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24226"/>
  <mc:AlternateContent xmlns:mc="http://schemas.openxmlformats.org/markup-compatibility/2006">
    <mc:Choice Requires="x15">
      <x15ac:absPath xmlns:x15ac="http://schemas.microsoft.com/office/spreadsheetml/2010/11/ac" url="C:\0-AV\UTDT\MFIN\2020 MFIN\Curso FC\FC - TRADICIONAL\5-IPO\Case\"/>
    </mc:Choice>
  </mc:AlternateContent>
  <xr:revisionPtr revIDLastSave="0" documentId="13_ncr:1_{16913994-09E4-4AE0-A8F6-FC5970B837B4}" xr6:coauthVersionLast="45" xr6:coauthVersionMax="45" xr10:uidLastSave="{00000000-0000-0000-0000-000000000000}"/>
  <bookViews>
    <workbookView xWindow="-96" yWindow="-96" windowWidth="23232" windowHeight="12552" tabRatio="764" activeTab="13" xr2:uid="{00000000-000D-0000-FFFF-FFFF00000000}"/>
  </bookViews>
  <sheets>
    <sheet name="Ex1" sheetId="33" r:id="rId1"/>
    <sheet name="Ex2" sheetId="18" r:id="rId2"/>
    <sheet name="Ex2 (revised)" sheetId="37" r:id="rId3"/>
    <sheet name="Ex3 " sheetId="4" r:id="rId4"/>
    <sheet name="Ex4" sheetId="5" r:id="rId5"/>
    <sheet name="Ex5" sheetId="19" r:id="rId6"/>
    <sheet name="Ex6" sheetId="2" r:id="rId7"/>
    <sheet name="Ex8" sheetId="34" r:id="rId8"/>
    <sheet name="Ex9" sheetId="35" r:id="rId9"/>
    <sheet name="Ex10" sheetId="36" r:id="rId10"/>
    <sheet name="Ex11 (revised)" sheetId="32" r:id="rId11"/>
    <sheet name="Ex12" sheetId="6" r:id="rId12"/>
    <sheet name="Ex14 (Model)" sheetId="44" r:id="rId13"/>
    <sheet name="Anex I. IPO terms" sheetId="43" r:id="rId14"/>
    <sheet name="Anex II. Prospectus--&gt;" sheetId="38" r:id="rId15"/>
    <sheet name="IPO P&amp;L" sheetId="40" r:id="rId16"/>
    <sheet name="IPO Bce Sheet" sheetId="41" r:id="rId17"/>
    <sheet name="IPO Cash Flow" sheetId="39" r:id="rId18"/>
    <sheet name="IPO Equity" sheetId="42" r:id="rId19"/>
  </sheets>
  <externalReferences>
    <externalReference r:id="rId20"/>
  </externalReferences>
  <definedNames>
    <definedName name="amzn" localSheetId="13">'[1]Comps (Ex12)'!#REF!</definedName>
    <definedName name="amzn" localSheetId="12">'[1]Comps (Ex12)'!#REF!</definedName>
    <definedName name="amzn">'Ex12'!#REF!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255" i="44" l="1"/>
  <c r="O255" i="44"/>
  <c r="N255" i="44"/>
  <c r="M255" i="44"/>
  <c r="L255" i="44"/>
  <c r="K255" i="44"/>
  <c r="J255" i="44"/>
  <c r="I255" i="44"/>
  <c r="H255" i="44"/>
  <c r="G255" i="44"/>
  <c r="F255" i="44"/>
  <c r="E255" i="44"/>
  <c r="D255" i="44"/>
  <c r="M253" i="44"/>
  <c r="N253" i="44" s="1"/>
  <c r="O253" i="44" s="1"/>
  <c r="P253" i="44" s="1"/>
  <c r="I253" i="44"/>
  <c r="J253" i="44" s="1"/>
  <c r="K253" i="44" s="1"/>
  <c r="L253" i="44" s="1"/>
  <c r="H253" i="44"/>
  <c r="P250" i="44"/>
  <c r="O250" i="44"/>
  <c r="N250" i="44"/>
  <c r="M250" i="44"/>
  <c r="L250" i="44"/>
  <c r="K250" i="44"/>
  <c r="J250" i="44"/>
  <c r="I250" i="44"/>
  <c r="H250" i="44"/>
  <c r="G250" i="44"/>
  <c r="F249" i="44"/>
  <c r="E249" i="44"/>
  <c r="D249" i="44"/>
  <c r="H242" i="44"/>
  <c r="I242" i="44" s="1"/>
  <c r="J242" i="44" s="1"/>
  <c r="K242" i="44" s="1"/>
  <c r="L242" i="44" s="1"/>
  <c r="M242" i="44" s="1"/>
  <c r="N242" i="44" s="1"/>
  <c r="O242" i="44" s="1"/>
  <c r="P242" i="44" s="1"/>
  <c r="O237" i="44"/>
  <c r="P237" i="44" s="1"/>
  <c r="I237" i="44"/>
  <c r="J237" i="44" s="1"/>
  <c r="K237" i="44" s="1"/>
  <c r="L237" i="44" s="1"/>
  <c r="M237" i="44" s="1"/>
  <c r="N237" i="44" s="1"/>
  <c r="H237" i="44"/>
  <c r="D232" i="44"/>
  <c r="P230" i="44"/>
  <c r="O230" i="44"/>
  <c r="N230" i="44"/>
  <c r="M230" i="44"/>
  <c r="L230" i="44"/>
  <c r="K230" i="44"/>
  <c r="J230" i="44"/>
  <c r="I230" i="44"/>
  <c r="H230" i="44"/>
  <c r="G230" i="44"/>
  <c r="E229" i="44"/>
  <c r="H219" i="44"/>
  <c r="I216" i="44"/>
  <c r="J216" i="44" s="1"/>
  <c r="K216" i="44" s="1"/>
  <c r="L216" i="44" s="1"/>
  <c r="M216" i="44" s="1"/>
  <c r="N216" i="44" s="1"/>
  <c r="O216" i="44" s="1"/>
  <c r="P216" i="44" s="1"/>
  <c r="H216" i="44"/>
  <c r="AE209" i="44"/>
  <c r="X209" i="44"/>
  <c r="W209" i="44"/>
  <c r="V209" i="44"/>
  <c r="U209" i="44"/>
  <c r="T209" i="44"/>
  <c r="F209" i="44"/>
  <c r="AF208" i="44"/>
  <c r="Y208" i="44"/>
  <c r="Z208" i="44" s="1"/>
  <c r="AF207" i="44"/>
  <c r="AF209" i="44" s="1"/>
  <c r="Y207" i="44"/>
  <c r="E207" i="44"/>
  <c r="Z206" i="44"/>
  <c r="AA206" i="44" s="1"/>
  <c r="AB206" i="44" s="1"/>
  <c r="AC206" i="44" s="1"/>
  <c r="Y206" i="44"/>
  <c r="H204" i="44"/>
  <c r="I204" i="44" s="1"/>
  <c r="J204" i="44" s="1"/>
  <c r="K204" i="44" s="1"/>
  <c r="L204" i="44" s="1"/>
  <c r="M204" i="44" s="1"/>
  <c r="N204" i="44" s="1"/>
  <c r="O204" i="44" s="1"/>
  <c r="P204" i="44" s="1"/>
  <c r="G204" i="44"/>
  <c r="D201" i="44"/>
  <c r="E198" i="44"/>
  <c r="E201" i="44" s="1"/>
  <c r="K194" i="44"/>
  <c r="L194" i="44" s="1"/>
  <c r="M194" i="44" s="1"/>
  <c r="N194" i="44" s="1"/>
  <c r="O194" i="44" s="1"/>
  <c r="P194" i="44" s="1"/>
  <c r="I194" i="44"/>
  <c r="J194" i="44" s="1"/>
  <c r="H194" i="44"/>
  <c r="K175" i="44"/>
  <c r="L175" i="44" s="1"/>
  <c r="M175" i="44" s="1"/>
  <c r="N175" i="44" s="1"/>
  <c r="O175" i="44" s="1"/>
  <c r="P175" i="44" s="1"/>
  <c r="M171" i="44"/>
  <c r="F171" i="44"/>
  <c r="M168" i="44"/>
  <c r="N168" i="44" s="1"/>
  <c r="O168" i="44" s="1"/>
  <c r="P168" i="44" s="1"/>
  <c r="G168" i="44"/>
  <c r="H168" i="44" s="1"/>
  <c r="I168" i="44" s="1"/>
  <c r="J168" i="44" s="1"/>
  <c r="K168" i="44" s="1"/>
  <c r="L168" i="44" s="1"/>
  <c r="F167" i="44"/>
  <c r="F169" i="44" s="1"/>
  <c r="F165" i="44"/>
  <c r="N163" i="44"/>
  <c r="O163" i="44" s="1"/>
  <c r="P163" i="44" s="1"/>
  <c r="I163" i="44"/>
  <c r="J163" i="44" s="1"/>
  <c r="K163" i="44" s="1"/>
  <c r="L163" i="44" s="1"/>
  <c r="M163" i="44" s="1"/>
  <c r="H163" i="44"/>
  <c r="O146" i="44"/>
  <c r="N146" i="44"/>
  <c r="F140" i="44"/>
  <c r="H136" i="44"/>
  <c r="I136" i="44" s="1"/>
  <c r="J136" i="44" s="1"/>
  <c r="K136" i="44" s="1"/>
  <c r="L136" i="44" s="1"/>
  <c r="M136" i="44" s="1"/>
  <c r="N136" i="44" s="1"/>
  <c r="O136" i="44" s="1"/>
  <c r="P136" i="44" s="1"/>
  <c r="I132" i="44"/>
  <c r="J132" i="44" s="1"/>
  <c r="K132" i="44" s="1"/>
  <c r="L132" i="44" s="1"/>
  <c r="M132" i="44" s="1"/>
  <c r="N132" i="44" s="1"/>
  <c r="O132" i="44" s="1"/>
  <c r="P132" i="44" s="1"/>
  <c r="H132" i="44"/>
  <c r="H131" i="44"/>
  <c r="I131" i="44" s="1"/>
  <c r="J131" i="44" s="1"/>
  <c r="K131" i="44" s="1"/>
  <c r="L131" i="44" s="1"/>
  <c r="M131" i="44" s="1"/>
  <c r="N131" i="44" s="1"/>
  <c r="O131" i="44" s="1"/>
  <c r="P131" i="44" s="1"/>
  <c r="D120" i="44"/>
  <c r="D129" i="44" s="1"/>
  <c r="E114" i="44"/>
  <c r="H108" i="44"/>
  <c r="I108" i="44" s="1"/>
  <c r="J108" i="44" s="1"/>
  <c r="K108" i="44" s="1"/>
  <c r="L108" i="44" s="1"/>
  <c r="M108" i="44" s="1"/>
  <c r="N108" i="44" s="1"/>
  <c r="O108" i="44" s="1"/>
  <c r="P108" i="44" s="1"/>
  <c r="D104" i="44"/>
  <c r="D103" i="44"/>
  <c r="F102" i="44"/>
  <c r="E102" i="44"/>
  <c r="D102" i="44"/>
  <c r="G98" i="44"/>
  <c r="P95" i="44"/>
  <c r="O95" i="44"/>
  <c r="N95" i="44"/>
  <c r="M95" i="44"/>
  <c r="L95" i="44"/>
  <c r="K95" i="44"/>
  <c r="J95" i="44"/>
  <c r="I95" i="44"/>
  <c r="H95" i="44"/>
  <c r="G95" i="44"/>
  <c r="F200" i="44"/>
  <c r="E199" i="44"/>
  <c r="P91" i="44"/>
  <c r="O91" i="44"/>
  <c r="N91" i="44"/>
  <c r="M91" i="44"/>
  <c r="L91" i="44"/>
  <c r="K91" i="44"/>
  <c r="J91" i="44"/>
  <c r="I91" i="44"/>
  <c r="H91" i="44"/>
  <c r="G91" i="44"/>
  <c r="F230" i="44"/>
  <c r="E230" i="44"/>
  <c r="E232" i="44" s="1"/>
  <c r="F229" i="44" s="1"/>
  <c r="D87" i="44"/>
  <c r="F174" i="44"/>
  <c r="E174" i="44"/>
  <c r="F145" i="44"/>
  <c r="E145" i="44"/>
  <c r="D145" i="44"/>
  <c r="E191" i="44"/>
  <c r="D191" i="44"/>
  <c r="F245" i="44"/>
  <c r="F246" i="44" s="1"/>
  <c r="G246" i="44" s="1"/>
  <c r="H246" i="44" s="1"/>
  <c r="I246" i="44" s="1"/>
  <c r="J246" i="44" s="1"/>
  <c r="K246" i="44" s="1"/>
  <c r="L246" i="44" s="1"/>
  <c r="M246" i="44" s="1"/>
  <c r="N246" i="44" s="1"/>
  <c r="O246" i="44" s="1"/>
  <c r="P246" i="44" s="1"/>
  <c r="E245" i="44"/>
  <c r="E246" i="44" s="1"/>
  <c r="D245" i="44"/>
  <c r="D246" i="44" s="1"/>
  <c r="I79" i="44"/>
  <c r="J79" i="44" s="1"/>
  <c r="K79" i="44" s="1"/>
  <c r="L79" i="44" s="1"/>
  <c r="M79" i="44" s="1"/>
  <c r="N79" i="44" s="1"/>
  <c r="O79" i="44" s="1"/>
  <c r="P79" i="44" s="1"/>
  <c r="H79" i="44"/>
  <c r="D76" i="44"/>
  <c r="D75" i="44"/>
  <c r="E73" i="44"/>
  <c r="G70" i="44"/>
  <c r="H70" i="44" s="1"/>
  <c r="I70" i="44" s="1"/>
  <c r="J70" i="44" s="1"/>
  <c r="K70" i="44" s="1"/>
  <c r="L70" i="44" s="1"/>
  <c r="M70" i="44" s="1"/>
  <c r="N70" i="44" s="1"/>
  <c r="O70" i="44" s="1"/>
  <c r="P70" i="44" s="1"/>
  <c r="M68" i="44"/>
  <c r="N68" i="44" s="1"/>
  <c r="O68" i="44" s="1"/>
  <c r="P68" i="44" s="1"/>
  <c r="G68" i="44"/>
  <c r="H68" i="44" s="1"/>
  <c r="I68" i="44" s="1"/>
  <c r="J68" i="44" s="1"/>
  <c r="K68" i="44" s="1"/>
  <c r="L68" i="44" s="1"/>
  <c r="F118" i="44"/>
  <c r="E118" i="44"/>
  <c r="G61" i="44"/>
  <c r="H61" i="44" s="1"/>
  <c r="I61" i="44" s="1"/>
  <c r="J61" i="44" s="1"/>
  <c r="K61" i="44" s="1"/>
  <c r="L61" i="44" s="1"/>
  <c r="M61" i="44" s="1"/>
  <c r="N61" i="44" s="1"/>
  <c r="F212" i="44"/>
  <c r="E212" i="44"/>
  <c r="F117" i="44"/>
  <c r="F127" i="44" s="1"/>
  <c r="E117" i="44"/>
  <c r="F116" i="44"/>
  <c r="E116" i="44"/>
  <c r="F115" i="44"/>
  <c r="E115" i="44"/>
  <c r="F114" i="44"/>
  <c r="F113" i="44"/>
  <c r="E113" i="44"/>
  <c r="F112" i="44"/>
  <c r="E112" i="44"/>
  <c r="F111" i="44"/>
  <c r="E111" i="44"/>
  <c r="G40" i="44"/>
  <c r="H40" i="44" s="1"/>
  <c r="I40" i="44" s="1"/>
  <c r="J40" i="44" s="1"/>
  <c r="K40" i="44" s="1"/>
  <c r="L40" i="44" s="1"/>
  <c r="M40" i="44" s="1"/>
  <c r="N40" i="44" s="1"/>
  <c r="O40" i="44" s="1"/>
  <c r="P40" i="44" s="1"/>
  <c r="F104" i="44"/>
  <c r="E43" i="44"/>
  <c r="E49" i="44" s="1"/>
  <c r="H35" i="44"/>
  <c r="I35" i="44" s="1"/>
  <c r="J35" i="44" s="1"/>
  <c r="K35" i="44" s="1"/>
  <c r="L35" i="44" s="1"/>
  <c r="M35" i="44" s="1"/>
  <c r="N35" i="44" s="1"/>
  <c r="O35" i="44" s="1"/>
  <c r="P35" i="44" s="1"/>
  <c r="F20" i="44"/>
  <c r="E20" i="44"/>
  <c r="D20" i="44"/>
  <c r="F14" i="44"/>
  <c r="F225" i="44"/>
  <c r="F226" i="44" s="1"/>
  <c r="G226" i="44" s="1"/>
  <c r="H226" i="44" s="1"/>
  <c r="I226" i="44" s="1"/>
  <c r="J226" i="44" s="1"/>
  <c r="K226" i="44" s="1"/>
  <c r="L226" i="44" s="1"/>
  <c r="M226" i="44" s="1"/>
  <c r="N226" i="44" s="1"/>
  <c r="O226" i="44" s="1"/>
  <c r="P226" i="44" s="1"/>
  <c r="E225" i="44"/>
  <c r="E226" i="44" s="1"/>
  <c r="D225" i="44"/>
  <c r="D226" i="44" s="1"/>
  <c r="D221" i="44"/>
  <c r="F10" i="44"/>
  <c r="F31" i="44" s="1"/>
  <c r="E10" i="44"/>
  <c r="F235" i="44"/>
  <c r="E235" i="44"/>
  <c r="D235" i="44"/>
  <c r="G6" i="44"/>
  <c r="I4" i="44"/>
  <c r="J4" i="44" s="1"/>
  <c r="K4" i="44" s="1"/>
  <c r="L4" i="44" s="1"/>
  <c r="M4" i="44" s="1"/>
  <c r="N4" i="44" s="1"/>
  <c r="O4" i="44" s="1"/>
  <c r="P4" i="44" s="1"/>
  <c r="H4" i="44"/>
  <c r="G67" i="44" l="1"/>
  <c r="F126" i="44"/>
  <c r="F257" i="44"/>
  <c r="F269" i="44"/>
  <c r="G225" i="44"/>
  <c r="G245" i="44"/>
  <c r="G83" i="44" s="1"/>
  <c r="G111" i="44"/>
  <c r="G145" i="44"/>
  <c r="G112" i="44"/>
  <c r="G122" i="44" s="1"/>
  <c r="G174" i="44"/>
  <c r="G113" i="44"/>
  <c r="G123" i="44" s="1"/>
  <c r="H6" i="44"/>
  <c r="E76" i="44"/>
  <c r="H67" i="44"/>
  <c r="E261" i="44"/>
  <c r="E256" i="44"/>
  <c r="E268" i="44"/>
  <c r="E31" i="44"/>
  <c r="F123" i="44"/>
  <c r="E123" i="44"/>
  <c r="O61" i="44"/>
  <c r="P61" i="44" s="1"/>
  <c r="F259" i="44"/>
  <c r="F146" i="44"/>
  <c r="E128" i="44"/>
  <c r="F122" i="44"/>
  <c r="F128" i="44"/>
  <c r="G69" i="44"/>
  <c r="D234" i="44"/>
  <c r="D236" i="44" s="1"/>
  <c r="E103" i="44"/>
  <c r="D105" i="44"/>
  <c r="E133" i="44"/>
  <c r="E124" i="44"/>
  <c r="F256" i="44"/>
  <c r="G256" i="44" s="1"/>
  <c r="F268" i="44"/>
  <c r="F132" i="44"/>
  <c r="E58" i="44"/>
  <c r="E64" i="44" s="1"/>
  <c r="E75" i="44" s="1"/>
  <c r="E104" i="44"/>
  <c r="E221" i="44"/>
  <c r="E89" i="44"/>
  <c r="F16" i="44"/>
  <c r="E125" i="44"/>
  <c r="E126" i="44"/>
  <c r="D89" i="44"/>
  <c r="D222" i="44"/>
  <c r="D263" i="44" s="1"/>
  <c r="D218" i="44"/>
  <c r="D219" i="44" s="1"/>
  <c r="D14" i="44"/>
  <c r="E119" i="44"/>
  <c r="E131" i="44"/>
  <c r="F121" i="44"/>
  <c r="F125" i="44"/>
  <c r="E132" i="44"/>
  <c r="F221" i="44"/>
  <c r="F89" i="44"/>
  <c r="D10" i="44"/>
  <c r="E14" i="44"/>
  <c r="E16" i="44" s="1"/>
  <c r="F234" i="44"/>
  <c r="F236" i="44" s="1"/>
  <c r="G103" i="44"/>
  <c r="F131" i="44"/>
  <c r="G121" i="44"/>
  <c r="F119" i="44"/>
  <c r="F43" i="44"/>
  <c r="F49" i="44" s="1"/>
  <c r="E259" i="44"/>
  <c r="E146" i="44"/>
  <c r="F58" i="44"/>
  <c r="F64" i="44" s="1"/>
  <c r="F73" i="44"/>
  <c r="F266" i="44" s="1"/>
  <c r="F232" i="44"/>
  <c r="U213" i="44"/>
  <c r="H209" i="44" s="1"/>
  <c r="F191" i="44"/>
  <c r="F142" i="44"/>
  <c r="F198" i="44"/>
  <c r="F201" i="44" s="1"/>
  <c r="F203" i="44"/>
  <c r="E203" i="44"/>
  <c r="E211" i="44"/>
  <c r="E267" i="44"/>
  <c r="E215" i="44"/>
  <c r="E210" i="44"/>
  <c r="E213" i="44" s="1"/>
  <c r="E266" i="44"/>
  <c r="F172" i="44"/>
  <c r="X211" i="44"/>
  <c r="X213" i="44" s="1"/>
  <c r="K209" i="44" s="1"/>
  <c r="AF213" i="44"/>
  <c r="T211" i="44"/>
  <c r="T213" i="44" s="1"/>
  <c r="G209" i="44" s="1"/>
  <c r="W211" i="44"/>
  <c r="W213" i="44" s="1"/>
  <c r="J209" i="44" s="1"/>
  <c r="F124" i="44"/>
  <c r="F133" i="44"/>
  <c r="F211" i="44"/>
  <c r="F213" i="44" s="1"/>
  <c r="F271" i="44"/>
  <c r="F215" i="44"/>
  <c r="F210" i="44"/>
  <c r="N171" i="44"/>
  <c r="G57" i="44"/>
  <c r="D259" i="44"/>
  <c r="D146" i="44"/>
  <c r="AA208" i="44"/>
  <c r="AB208" i="44" s="1"/>
  <c r="AC208" i="44" s="1"/>
  <c r="AD208" i="44"/>
  <c r="V211" i="44"/>
  <c r="V213" i="44" s="1"/>
  <c r="I209" i="44" s="1"/>
  <c r="I219" i="44"/>
  <c r="AE211" i="44"/>
  <c r="AE213" i="44"/>
  <c r="Y209" i="44"/>
  <c r="Z207" i="44"/>
  <c r="U211" i="44"/>
  <c r="I81" i="43"/>
  <c r="J79" i="43" s="1"/>
  <c r="F81" i="43"/>
  <c r="G77" i="43" s="1"/>
  <c r="G79" i="43"/>
  <c r="G78" i="43"/>
  <c r="G76" i="43"/>
  <c r="G75" i="43"/>
  <c r="G74" i="43"/>
  <c r="G72" i="43"/>
  <c r="G71" i="43"/>
  <c r="G70" i="43"/>
  <c r="G68" i="43"/>
  <c r="G67" i="43"/>
  <c r="G66" i="43"/>
  <c r="I61" i="43"/>
  <c r="I60" i="43"/>
  <c r="F60" i="43"/>
  <c r="M60" i="43" s="1"/>
  <c r="I58" i="43"/>
  <c r="I57" i="43"/>
  <c r="I56" i="43"/>
  <c r="I53" i="43"/>
  <c r="F52" i="43"/>
  <c r="F56" i="43" s="1"/>
  <c r="I44" i="43"/>
  <c r="C44" i="43"/>
  <c r="M40" i="43"/>
  <c r="L40" i="43"/>
  <c r="I38" i="43"/>
  <c r="I33" i="43"/>
  <c r="F33" i="43"/>
  <c r="I32" i="43"/>
  <c r="F21" i="43"/>
  <c r="F61" i="43" s="1"/>
  <c r="C20" i="43"/>
  <c r="I17" i="43"/>
  <c r="I16" i="43"/>
  <c r="L15" i="43"/>
  <c r="L17" i="43" s="1"/>
  <c r="I15" i="43"/>
  <c r="J15" i="43" s="1"/>
  <c r="F15" i="43"/>
  <c r="C15" i="43"/>
  <c r="L12" i="43"/>
  <c r="L42" i="43" s="1"/>
  <c r="I12" i="43"/>
  <c r="I43" i="43" s="1"/>
  <c r="O11" i="43"/>
  <c r="L11" i="43"/>
  <c r="L16" i="43" s="1"/>
  <c r="F11" i="43"/>
  <c r="F16" i="43" s="1"/>
  <c r="C11" i="43"/>
  <c r="C16" i="43" s="1"/>
  <c r="O10" i="43"/>
  <c r="O12" i="43" s="1"/>
  <c r="L10" i="43"/>
  <c r="F10" i="43"/>
  <c r="F44" i="43" s="1"/>
  <c r="C10" i="43"/>
  <c r="C12" i="43" s="1"/>
  <c r="I7" i="43"/>
  <c r="I28" i="43" s="1"/>
  <c r="G7" i="43"/>
  <c r="F7" i="43"/>
  <c r="F27" i="43" s="1"/>
  <c r="C7" i="43"/>
  <c r="O6" i="43"/>
  <c r="L6" i="43"/>
  <c r="L7" i="43" s="1"/>
  <c r="J6" i="43"/>
  <c r="J7" i="43" s="1"/>
  <c r="G6" i="43"/>
  <c r="D6" i="43"/>
  <c r="C6" i="43"/>
  <c r="O5" i="43"/>
  <c r="J5" i="43"/>
  <c r="G5" i="43"/>
  <c r="D133" i="44" l="1"/>
  <c r="F76" i="44"/>
  <c r="E19" i="44"/>
  <c r="E250" i="44"/>
  <c r="D261" i="44"/>
  <c r="D256" i="44"/>
  <c r="D16" i="44"/>
  <c r="D31" i="44"/>
  <c r="D257" i="44" s="1"/>
  <c r="F267" i="44"/>
  <c r="F96" i="44"/>
  <c r="F92" i="44"/>
  <c r="H225" i="44"/>
  <c r="H245" i="44"/>
  <c r="H83" i="44" s="1"/>
  <c r="H69" i="44" s="1"/>
  <c r="H112" i="44"/>
  <c r="H145" i="44"/>
  <c r="H111" i="44"/>
  <c r="H113" i="44"/>
  <c r="H123" i="44" s="1"/>
  <c r="I6" i="44"/>
  <c r="H174" i="44"/>
  <c r="G229" i="44"/>
  <c r="G232" i="44" s="1"/>
  <c r="G241" i="44" s="1"/>
  <c r="G13" i="44" s="1"/>
  <c r="F120" i="44"/>
  <c r="E178" i="44"/>
  <c r="G86" i="44"/>
  <c r="Z209" i="44"/>
  <c r="AA207" i="44"/>
  <c r="F250" i="44"/>
  <c r="F19" i="44"/>
  <c r="F75" i="44"/>
  <c r="E127" i="44"/>
  <c r="E92" i="44"/>
  <c r="E96" i="44"/>
  <c r="G259" i="44"/>
  <c r="G208" i="44"/>
  <c r="G94" i="44" s="1"/>
  <c r="G138" i="44"/>
  <c r="E149" i="44"/>
  <c r="G85" i="44"/>
  <c r="G198" i="44"/>
  <c r="G201" i="44" s="1"/>
  <c r="G203" i="44" s="1"/>
  <c r="E222" i="44"/>
  <c r="E263" i="44" s="1"/>
  <c r="E218" i="44"/>
  <c r="E219" i="44" s="1"/>
  <c r="H256" i="44"/>
  <c r="G10" i="44"/>
  <c r="I67" i="44"/>
  <c r="H121" i="44"/>
  <c r="G41" i="44"/>
  <c r="G42" i="44"/>
  <c r="Y211" i="44"/>
  <c r="Y213" i="44" s="1"/>
  <c r="L209" i="44" s="1"/>
  <c r="O171" i="44"/>
  <c r="G207" i="44"/>
  <c r="E208" i="44"/>
  <c r="F207" i="44"/>
  <c r="F208" i="44" s="1"/>
  <c r="G142" i="44"/>
  <c r="F143" i="44"/>
  <c r="D92" i="44"/>
  <c r="D96" i="44"/>
  <c r="E234" i="44"/>
  <c r="E236" i="44" s="1"/>
  <c r="E105" i="44"/>
  <c r="F103" i="44"/>
  <c r="F105" i="44" s="1"/>
  <c r="F261" i="44"/>
  <c r="D132" i="44"/>
  <c r="E122" i="44"/>
  <c r="E121" i="44"/>
  <c r="D131" i="44"/>
  <c r="D119" i="44"/>
  <c r="E120" i="44" s="1"/>
  <c r="E257" i="44"/>
  <c r="E269" i="44"/>
  <c r="J219" i="44"/>
  <c r="G211" i="44"/>
  <c r="H57" i="44"/>
  <c r="E271" i="44"/>
  <c r="G165" i="44"/>
  <c r="F218" i="44"/>
  <c r="F219" i="44" s="1"/>
  <c r="F222" i="44"/>
  <c r="F263" i="44" s="1"/>
  <c r="G47" i="44"/>
  <c r="G29" i="43"/>
  <c r="G27" i="43"/>
  <c r="C57" i="43"/>
  <c r="M42" i="43"/>
  <c r="G81" i="43"/>
  <c r="C62" i="43"/>
  <c r="L62" i="43" s="1"/>
  <c r="C17" i="43"/>
  <c r="L35" i="43" s="1"/>
  <c r="D16" i="43"/>
  <c r="F17" i="43"/>
  <c r="M35" i="43" s="1"/>
  <c r="I30" i="43"/>
  <c r="D10" i="43"/>
  <c r="D12" i="43" s="1"/>
  <c r="L36" i="43"/>
  <c r="C38" i="43"/>
  <c r="D11" i="43"/>
  <c r="C43" i="43"/>
  <c r="D15" i="43"/>
  <c r="D17" i="43" s="1"/>
  <c r="G15" i="43"/>
  <c r="F57" i="43"/>
  <c r="M61" i="43" s="1"/>
  <c r="F80" i="43"/>
  <c r="G80" i="43" s="1"/>
  <c r="D5" i="43"/>
  <c r="D7" i="43" s="1"/>
  <c r="F12" i="43"/>
  <c r="C22" i="43"/>
  <c r="I27" i="43"/>
  <c r="F32" i="43"/>
  <c r="M36" i="43"/>
  <c r="I62" i="43"/>
  <c r="J68" i="43"/>
  <c r="J72" i="43"/>
  <c r="J76" i="43"/>
  <c r="O7" i="43"/>
  <c r="J16" i="43"/>
  <c r="J17" i="43" s="1"/>
  <c r="F53" i="43"/>
  <c r="C53" i="43" s="1"/>
  <c r="C52" i="43" s="1"/>
  <c r="C58" i="43"/>
  <c r="C28" i="43" s="1"/>
  <c r="C61" i="43"/>
  <c r="L61" i="43" s="1"/>
  <c r="G69" i="43"/>
  <c r="G73" i="43"/>
  <c r="I80" i="43"/>
  <c r="J80" i="43" s="1"/>
  <c r="F22" i="43"/>
  <c r="C33" i="43"/>
  <c r="F58" i="43"/>
  <c r="F28" i="43" s="1"/>
  <c r="J69" i="43"/>
  <c r="J73" i="43"/>
  <c r="J77" i="43"/>
  <c r="C27" i="43"/>
  <c r="J66" i="43"/>
  <c r="J70" i="43"/>
  <c r="J74" i="43"/>
  <c r="J78" i="43"/>
  <c r="J67" i="43"/>
  <c r="J71" i="43"/>
  <c r="J75" i="43"/>
  <c r="H39" i="37"/>
  <c r="H35" i="37"/>
  <c r="H34" i="37"/>
  <c r="H33" i="37"/>
  <c r="H32" i="37"/>
  <c r="H57" i="37"/>
  <c r="H55" i="37"/>
  <c r="H54" i="37"/>
  <c r="H52" i="37"/>
  <c r="H49" i="37"/>
  <c r="H61" i="37"/>
  <c r="H48" i="37"/>
  <c r="H60" i="37"/>
  <c r="H43" i="37"/>
  <c r="L20" i="37"/>
  <c r="J20" i="37"/>
  <c r="H20" i="37"/>
  <c r="L18" i="37"/>
  <c r="J18" i="37"/>
  <c r="H18" i="37"/>
  <c r="F18" i="37"/>
  <c r="F20" i="37"/>
  <c r="D18" i="37"/>
  <c r="D20" i="37"/>
  <c r="L15" i="37"/>
  <c r="J15" i="37"/>
  <c r="H15" i="37"/>
  <c r="F15" i="37"/>
  <c r="D15" i="37"/>
  <c r="C60" i="32"/>
  <c r="C41" i="32"/>
  <c r="D27" i="6"/>
  <c r="E27" i="6"/>
  <c r="D28" i="6"/>
  <c r="E28" i="6"/>
  <c r="C70" i="32"/>
  <c r="H32" i="32"/>
  <c r="C43" i="32"/>
  <c r="C31" i="32"/>
  <c r="C33" i="32"/>
  <c r="I32" i="32"/>
  <c r="I30" i="32"/>
  <c r="G30" i="32"/>
  <c r="G31" i="32"/>
  <c r="C27" i="32"/>
  <c r="C15" i="32"/>
  <c r="C8" i="32"/>
  <c r="C16" i="32"/>
  <c r="C14" i="32"/>
  <c r="D14" i="32"/>
  <c r="N11" i="32"/>
  <c r="E10" i="32"/>
  <c r="F10" i="32"/>
  <c r="G10" i="32"/>
  <c r="H10" i="32"/>
  <c r="I10" i="32"/>
  <c r="J10" i="32"/>
  <c r="K10" i="32"/>
  <c r="L10" i="32"/>
  <c r="M10" i="32"/>
  <c r="N9" i="32"/>
  <c r="C9" i="32"/>
  <c r="D9" i="32"/>
  <c r="E9" i="32"/>
  <c r="F9" i="32"/>
  <c r="G9" i="32"/>
  <c r="H9" i="32"/>
  <c r="I9" i="32"/>
  <c r="J9" i="32"/>
  <c r="K9" i="32"/>
  <c r="L9" i="32"/>
  <c r="M9" i="32"/>
  <c r="D7" i="32"/>
  <c r="E7" i="32"/>
  <c r="F7" i="32"/>
  <c r="G7" i="32"/>
  <c r="H7" i="32"/>
  <c r="J1264" i="5"/>
  <c r="I1264" i="5"/>
  <c r="H1264" i="5"/>
  <c r="J1263" i="5"/>
  <c r="I1263" i="5"/>
  <c r="H1263" i="5"/>
  <c r="J1262" i="5"/>
  <c r="I1262" i="5"/>
  <c r="H1262" i="5"/>
  <c r="J1261" i="5"/>
  <c r="I1261" i="5"/>
  <c r="H1261" i="5"/>
  <c r="J1260" i="5"/>
  <c r="I1260" i="5"/>
  <c r="H1260" i="5"/>
  <c r="J1259" i="5"/>
  <c r="I1259" i="5"/>
  <c r="H1259" i="5"/>
  <c r="J1258" i="5"/>
  <c r="I1258" i="5"/>
  <c r="H1258" i="5"/>
  <c r="J1257" i="5"/>
  <c r="I1257" i="5"/>
  <c r="H1257" i="5"/>
  <c r="J1256" i="5"/>
  <c r="I1256" i="5"/>
  <c r="H1256" i="5"/>
  <c r="J1255" i="5"/>
  <c r="I1255" i="5"/>
  <c r="H1255" i="5"/>
  <c r="J1254" i="5"/>
  <c r="I1254" i="5"/>
  <c r="H1254" i="5"/>
  <c r="J1253" i="5"/>
  <c r="I1253" i="5"/>
  <c r="H1253" i="5"/>
  <c r="J1252" i="5"/>
  <c r="I1252" i="5"/>
  <c r="H1252" i="5"/>
  <c r="J1251" i="5"/>
  <c r="I1251" i="5"/>
  <c r="H1251" i="5"/>
  <c r="J1250" i="5"/>
  <c r="I1250" i="5"/>
  <c r="H1250" i="5"/>
  <c r="J1249" i="5"/>
  <c r="I1249" i="5"/>
  <c r="H1249" i="5"/>
  <c r="J1248" i="5"/>
  <c r="I1248" i="5"/>
  <c r="H1248" i="5"/>
  <c r="J1247" i="5"/>
  <c r="I1247" i="5"/>
  <c r="H1247" i="5"/>
  <c r="J1246" i="5"/>
  <c r="I1246" i="5"/>
  <c r="H1246" i="5"/>
  <c r="J1245" i="5"/>
  <c r="I1245" i="5"/>
  <c r="H1245" i="5"/>
  <c r="J1244" i="5"/>
  <c r="I1244" i="5"/>
  <c r="H1244" i="5"/>
  <c r="J1243" i="5"/>
  <c r="I1243" i="5"/>
  <c r="H1243" i="5"/>
  <c r="J1242" i="5"/>
  <c r="I1242" i="5"/>
  <c r="H1242" i="5"/>
  <c r="J1241" i="5"/>
  <c r="I1241" i="5"/>
  <c r="H1241" i="5"/>
  <c r="J1240" i="5"/>
  <c r="I1240" i="5"/>
  <c r="H1240" i="5"/>
  <c r="J1239" i="5"/>
  <c r="I1239" i="5"/>
  <c r="H1239" i="5"/>
  <c r="J1238" i="5"/>
  <c r="I1238" i="5"/>
  <c r="H1238" i="5"/>
  <c r="J1237" i="5"/>
  <c r="I1237" i="5"/>
  <c r="H1237" i="5"/>
  <c r="J1236" i="5"/>
  <c r="I1236" i="5"/>
  <c r="H1236" i="5"/>
  <c r="J1235" i="5"/>
  <c r="I1235" i="5"/>
  <c r="H1235" i="5"/>
  <c r="J1234" i="5"/>
  <c r="I1234" i="5"/>
  <c r="H1234" i="5"/>
  <c r="J1233" i="5"/>
  <c r="I1233" i="5"/>
  <c r="H1233" i="5"/>
  <c r="J1232" i="5"/>
  <c r="I1232" i="5"/>
  <c r="H1232" i="5"/>
  <c r="J1231" i="5"/>
  <c r="I1231" i="5"/>
  <c r="H1231" i="5"/>
  <c r="J1230" i="5"/>
  <c r="I1230" i="5"/>
  <c r="H1230" i="5"/>
  <c r="J1229" i="5"/>
  <c r="I1229" i="5"/>
  <c r="H1229" i="5"/>
  <c r="J1228" i="5"/>
  <c r="I1228" i="5"/>
  <c r="H1228" i="5"/>
  <c r="J1227" i="5"/>
  <c r="I1227" i="5"/>
  <c r="H1227" i="5"/>
  <c r="J1226" i="5"/>
  <c r="I1226" i="5"/>
  <c r="H1226" i="5"/>
  <c r="J1225" i="5"/>
  <c r="I1225" i="5"/>
  <c r="H1225" i="5"/>
  <c r="J1224" i="5"/>
  <c r="I1224" i="5"/>
  <c r="H1224" i="5"/>
  <c r="J1223" i="5"/>
  <c r="I1223" i="5"/>
  <c r="H1223" i="5"/>
  <c r="J1222" i="5"/>
  <c r="I1222" i="5"/>
  <c r="H1222" i="5"/>
  <c r="J1221" i="5"/>
  <c r="I1221" i="5"/>
  <c r="H1221" i="5"/>
  <c r="J1220" i="5"/>
  <c r="I1220" i="5"/>
  <c r="H1220" i="5"/>
  <c r="J1219" i="5"/>
  <c r="I1219" i="5"/>
  <c r="H1219" i="5"/>
  <c r="J1218" i="5"/>
  <c r="I1218" i="5"/>
  <c r="H1218" i="5"/>
  <c r="J1217" i="5"/>
  <c r="I1217" i="5"/>
  <c r="H1217" i="5"/>
  <c r="J1216" i="5"/>
  <c r="I1216" i="5"/>
  <c r="H1216" i="5"/>
  <c r="J1215" i="5"/>
  <c r="I1215" i="5"/>
  <c r="H1215" i="5"/>
  <c r="J1214" i="5"/>
  <c r="I1214" i="5"/>
  <c r="H1214" i="5"/>
  <c r="J1213" i="5"/>
  <c r="I1213" i="5"/>
  <c r="H1213" i="5"/>
  <c r="J1212" i="5"/>
  <c r="I1212" i="5"/>
  <c r="H1212" i="5"/>
  <c r="J1211" i="5"/>
  <c r="I1211" i="5"/>
  <c r="H1211" i="5"/>
  <c r="J1210" i="5"/>
  <c r="I1210" i="5"/>
  <c r="H1210" i="5"/>
  <c r="J1209" i="5"/>
  <c r="I1209" i="5"/>
  <c r="H1209" i="5"/>
  <c r="J1208" i="5"/>
  <c r="I1208" i="5"/>
  <c r="H1208" i="5"/>
  <c r="J1207" i="5"/>
  <c r="I1207" i="5"/>
  <c r="H1207" i="5"/>
  <c r="J1206" i="5"/>
  <c r="I1206" i="5"/>
  <c r="H1206" i="5"/>
  <c r="J1205" i="5"/>
  <c r="I1205" i="5"/>
  <c r="H1205" i="5"/>
  <c r="J1204" i="5"/>
  <c r="I1204" i="5"/>
  <c r="H1204" i="5"/>
  <c r="J1203" i="5"/>
  <c r="I1203" i="5"/>
  <c r="H1203" i="5"/>
  <c r="J1202" i="5"/>
  <c r="I1202" i="5"/>
  <c r="H1202" i="5"/>
  <c r="J1201" i="5"/>
  <c r="I1201" i="5"/>
  <c r="H1201" i="5"/>
  <c r="J1200" i="5"/>
  <c r="I1200" i="5"/>
  <c r="H1200" i="5"/>
  <c r="J1199" i="5"/>
  <c r="I1199" i="5"/>
  <c r="H1199" i="5"/>
  <c r="J1198" i="5"/>
  <c r="I1198" i="5"/>
  <c r="H1198" i="5"/>
  <c r="J1197" i="5"/>
  <c r="I1197" i="5"/>
  <c r="H1197" i="5"/>
  <c r="J1196" i="5"/>
  <c r="I1196" i="5"/>
  <c r="H1196" i="5"/>
  <c r="J1195" i="5"/>
  <c r="I1195" i="5"/>
  <c r="H1195" i="5"/>
  <c r="J1194" i="5"/>
  <c r="I1194" i="5"/>
  <c r="H1194" i="5"/>
  <c r="J1193" i="5"/>
  <c r="I1193" i="5"/>
  <c r="H1193" i="5"/>
  <c r="J1192" i="5"/>
  <c r="I1192" i="5"/>
  <c r="H1192" i="5"/>
  <c r="J1191" i="5"/>
  <c r="I1191" i="5"/>
  <c r="H1191" i="5"/>
  <c r="J1190" i="5"/>
  <c r="I1190" i="5"/>
  <c r="H1190" i="5"/>
  <c r="J1189" i="5"/>
  <c r="I1189" i="5"/>
  <c r="H1189" i="5"/>
  <c r="J1188" i="5"/>
  <c r="I1188" i="5"/>
  <c r="H1188" i="5"/>
  <c r="J1187" i="5"/>
  <c r="I1187" i="5"/>
  <c r="H1187" i="5"/>
  <c r="J1186" i="5"/>
  <c r="I1186" i="5"/>
  <c r="H1186" i="5"/>
  <c r="J1185" i="5"/>
  <c r="I1185" i="5"/>
  <c r="H1185" i="5"/>
  <c r="J1184" i="5"/>
  <c r="I1184" i="5"/>
  <c r="H1184" i="5"/>
  <c r="J1183" i="5"/>
  <c r="I1183" i="5"/>
  <c r="H1183" i="5"/>
  <c r="J1182" i="5"/>
  <c r="I1182" i="5"/>
  <c r="H1182" i="5"/>
  <c r="J1181" i="5"/>
  <c r="I1181" i="5"/>
  <c r="H1181" i="5"/>
  <c r="J1180" i="5"/>
  <c r="I1180" i="5"/>
  <c r="H1180" i="5"/>
  <c r="J1179" i="5"/>
  <c r="I1179" i="5"/>
  <c r="H1179" i="5"/>
  <c r="J1178" i="5"/>
  <c r="I1178" i="5"/>
  <c r="H1178" i="5"/>
  <c r="J1177" i="5"/>
  <c r="I1177" i="5"/>
  <c r="H1177" i="5"/>
  <c r="J1176" i="5"/>
  <c r="I1176" i="5"/>
  <c r="H1176" i="5"/>
  <c r="J1175" i="5"/>
  <c r="I1175" i="5"/>
  <c r="H1175" i="5"/>
  <c r="J1174" i="5"/>
  <c r="I1174" i="5"/>
  <c r="H1174" i="5"/>
  <c r="J1173" i="5"/>
  <c r="I1173" i="5"/>
  <c r="H1173" i="5"/>
  <c r="J1172" i="5"/>
  <c r="I1172" i="5"/>
  <c r="H1172" i="5"/>
  <c r="J1171" i="5"/>
  <c r="I1171" i="5"/>
  <c r="H1171" i="5"/>
  <c r="J1170" i="5"/>
  <c r="I1170" i="5"/>
  <c r="H1170" i="5"/>
  <c r="J1169" i="5"/>
  <c r="I1169" i="5"/>
  <c r="H1169" i="5"/>
  <c r="J1168" i="5"/>
  <c r="I1168" i="5"/>
  <c r="H1168" i="5"/>
  <c r="J1167" i="5"/>
  <c r="I1167" i="5"/>
  <c r="H1167" i="5"/>
  <c r="J1166" i="5"/>
  <c r="I1166" i="5"/>
  <c r="H1166" i="5"/>
  <c r="J1165" i="5"/>
  <c r="I1165" i="5"/>
  <c r="H1165" i="5"/>
  <c r="J1164" i="5"/>
  <c r="I1164" i="5"/>
  <c r="H1164" i="5"/>
  <c r="J1163" i="5"/>
  <c r="I1163" i="5"/>
  <c r="H1163" i="5"/>
  <c r="J1162" i="5"/>
  <c r="I1162" i="5"/>
  <c r="H1162" i="5"/>
  <c r="J1161" i="5"/>
  <c r="I1161" i="5"/>
  <c r="H1161" i="5"/>
  <c r="J1160" i="5"/>
  <c r="I1160" i="5"/>
  <c r="H1160" i="5"/>
  <c r="J1159" i="5"/>
  <c r="I1159" i="5"/>
  <c r="H1159" i="5"/>
  <c r="J1158" i="5"/>
  <c r="I1158" i="5"/>
  <c r="H1158" i="5"/>
  <c r="J1157" i="5"/>
  <c r="I1157" i="5"/>
  <c r="H1157" i="5"/>
  <c r="J1156" i="5"/>
  <c r="I1156" i="5"/>
  <c r="H1156" i="5"/>
  <c r="J1155" i="5"/>
  <c r="I1155" i="5"/>
  <c r="H1155" i="5"/>
  <c r="J1154" i="5"/>
  <c r="I1154" i="5"/>
  <c r="H1154" i="5"/>
  <c r="J1153" i="5"/>
  <c r="I1153" i="5"/>
  <c r="H1153" i="5"/>
  <c r="J1152" i="5"/>
  <c r="I1152" i="5"/>
  <c r="H1152" i="5"/>
  <c r="J1151" i="5"/>
  <c r="I1151" i="5"/>
  <c r="H1151" i="5"/>
  <c r="J1150" i="5"/>
  <c r="I1150" i="5"/>
  <c r="H1150" i="5"/>
  <c r="J1149" i="5"/>
  <c r="I1149" i="5"/>
  <c r="H1149" i="5"/>
  <c r="J1148" i="5"/>
  <c r="I1148" i="5"/>
  <c r="H1148" i="5"/>
  <c r="J1147" i="5"/>
  <c r="I1147" i="5"/>
  <c r="H1147" i="5"/>
  <c r="J1146" i="5"/>
  <c r="I1146" i="5"/>
  <c r="H1146" i="5"/>
  <c r="J1145" i="5"/>
  <c r="I1145" i="5"/>
  <c r="H1145" i="5"/>
  <c r="J1144" i="5"/>
  <c r="I1144" i="5"/>
  <c r="H1144" i="5"/>
  <c r="J1143" i="5"/>
  <c r="I1143" i="5"/>
  <c r="H1143" i="5"/>
  <c r="J1142" i="5"/>
  <c r="I1142" i="5"/>
  <c r="H1142" i="5"/>
  <c r="J1141" i="5"/>
  <c r="I1141" i="5"/>
  <c r="H1141" i="5"/>
  <c r="J1140" i="5"/>
  <c r="I1140" i="5"/>
  <c r="H1140" i="5"/>
  <c r="J1139" i="5"/>
  <c r="I1139" i="5"/>
  <c r="H1139" i="5"/>
  <c r="J1138" i="5"/>
  <c r="I1138" i="5"/>
  <c r="H1138" i="5"/>
  <c r="J1137" i="5"/>
  <c r="I1137" i="5"/>
  <c r="H1137" i="5"/>
  <c r="J1136" i="5"/>
  <c r="I1136" i="5"/>
  <c r="H1136" i="5"/>
  <c r="J1135" i="5"/>
  <c r="I1135" i="5"/>
  <c r="H1135" i="5"/>
  <c r="J1134" i="5"/>
  <c r="I1134" i="5"/>
  <c r="H1134" i="5"/>
  <c r="J1133" i="5"/>
  <c r="I1133" i="5"/>
  <c r="H1133" i="5"/>
  <c r="J1132" i="5"/>
  <c r="I1132" i="5"/>
  <c r="H1132" i="5"/>
  <c r="J1131" i="5"/>
  <c r="I1131" i="5"/>
  <c r="H1131" i="5"/>
  <c r="J1130" i="5"/>
  <c r="I1130" i="5"/>
  <c r="H1130" i="5"/>
  <c r="J1129" i="5"/>
  <c r="I1129" i="5"/>
  <c r="H1129" i="5"/>
  <c r="J1128" i="5"/>
  <c r="I1128" i="5"/>
  <c r="H1128" i="5"/>
  <c r="J1127" i="5"/>
  <c r="I1127" i="5"/>
  <c r="H1127" i="5"/>
  <c r="J1126" i="5"/>
  <c r="I1126" i="5"/>
  <c r="H1126" i="5"/>
  <c r="J1125" i="5"/>
  <c r="I1125" i="5"/>
  <c r="H1125" i="5"/>
  <c r="J1124" i="5"/>
  <c r="I1124" i="5"/>
  <c r="H1124" i="5"/>
  <c r="J1123" i="5"/>
  <c r="I1123" i="5"/>
  <c r="H1123" i="5"/>
  <c r="J1122" i="5"/>
  <c r="I1122" i="5"/>
  <c r="H1122" i="5"/>
  <c r="J1121" i="5"/>
  <c r="I1121" i="5"/>
  <c r="H1121" i="5"/>
  <c r="J1120" i="5"/>
  <c r="I1120" i="5"/>
  <c r="H1120" i="5"/>
  <c r="J1119" i="5"/>
  <c r="I1119" i="5"/>
  <c r="H1119" i="5"/>
  <c r="J1118" i="5"/>
  <c r="I1118" i="5"/>
  <c r="H1118" i="5"/>
  <c r="J1117" i="5"/>
  <c r="I1117" i="5"/>
  <c r="H1117" i="5"/>
  <c r="J1116" i="5"/>
  <c r="I1116" i="5"/>
  <c r="H1116" i="5"/>
  <c r="J1115" i="5"/>
  <c r="I1115" i="5"/>
  <c r="H1115" i="5"/>
  <c r="J1114" i="5"/>
  <c r="I1114" i="5"/>
  <c r="H1114" i="5"/>
  <c r="J1113" i="5"/>
  <c r="I1113" i="5"/>
  <c r="H1113" i="5"/>
  <c r="J1112" i="5"/>
  <c r="I1112" i="5"/>
  <c r="H1112" i="5"/>
  <c r="J1111" i="5"/>
  <c r="I1111" i="5"/>
  <c r="H1111" i="5"/>
  <c r="J1110" i="5"/>
  <c r="I1110" i="5"/>
  <c r="H1110" i="5"/>
  <c r="J1109" i="5"/>
  <c r="I1109" i="5"/>
  <c r="H1109" i="5"/>
  <c r="J1108" i="5"/>
  <c r="I1108" i="5"/>
  <c r="H1108" i="5"/>
  <c r="J1107" i="5"/>
  <c r="I1107" i="5"/>
  <c r="H1107" i="5"/>
  <c r="J1106" i="5"/>
  <c r="I1106" i="5"/>
  <c r="H1106" i="5"/>
  <c r="J1105" i="5"/>
  <c r="I1105" i="5"/>
  <c r="H1105" i="5"/>
  <c r="J1104" i="5"/>
  <c r="I1104" i="5"/>
  <c r="H1104" i="5"/>
  <c r="J1103" i="5"/>
  <c r="I1103" i="5"/>
  <c r="H1103" i="5"/>
  <c r="J1102" i="5"/>
  <c r="I1102" i="5"/>
  <c r="H1102" i="5"/>
  <c r="J1101" i="5"/>
  <c r="I1101" i="5"/>
  <c r="H1101" i="5"/>
  <c r="J1100" i="5"/>
  <c r="I1100" i="5"/>
  <c r="H1100" i="5"/>
  <c r="J1099" i="5"/>
  <c r="I1099" i="5"/>
  <c r="H1099" i="5"/>
  <c r="J1098" i="5"/>
  <c r="I1098" i="5"/>
  <c r="H1098" i="5"/>
  <c r="J1097" i="5"/>
  <c r="I1097" i="5"/>
  <c r="H1097" i="5"/>
  <c r="J1096" i="5"/>
  <c r="I1096" i="5"/>
  <c r="H1096" i="5"/>
  <c r="J1095" i="5"/>
  <c r="I1095" i="5"/>
  <c r="H1095" i="5"/>
  <c r="J1094" i="5"/>
  <c r="I1094" i="5"/>
  <c r="H1094" i="5"/>
  <c r="J1093" i="5"/>
  <c r="I1093" i="5"/>
  <c r="H1093" i="5"/>
  <c r="J1092" i="5"/>
  <c r="I1092" i="5"/>
  <c r="H1092" i="5"/>
  <c r="J1091" i="5"/>
  <c r="I1091" i="5"/>
  <c r="H1091" i="5"/>
  <c r="J1090" i="5"/>
  <c r="I1090" i="5"/>
  <c r="H1090" i="5"/>
  <c r="J1089" i="5"/>
  <c r="I1089" i="5"/>
  <c r="H1089" i="5"/>
  <c r="J1088" i="5"/>
  <c r="I1088" i="5"/>
  <c r="H1088" i="5"/>
  <c r="J1087" i="5"/>
  <c r="I1087" i="5"/>
  <c r="H1087" i="5"/>
  <c r="J1086" i="5"/>
  <c r="I1086" i="5"/>
  <c r="H1086" i="5"/>
  <c r="J1085" i="5"/>
  <c r="I1085" i="5"/>
  <c r="H1085" i="5"/>
  <c r="J1084" i="5"/>
  <c r="I1084" i="5"/>
  <c r="H1084" i="5"/>
  <c r="J1083" i="5"/>
  <c r="I1083" i="5"/>
  <c r="H1083" i="5"/>
  <c r="J1082" i="5"/>
  <c r="I1082" i="5"/>
  <c r="H1082" i="5"/>
  <c r="J1081" i="5"/>
  <c r="I1081" i="5"/>
  <c r="H1081" i="5"/>
  <c r="J1080" i="5"/>
  <c r="I1080" i="5"/>
  <c r="H1080" i="5"/>
  <c r="J1079" i="5"/>
  <c r="I1079" i="5"/>
  <c r="H1079" i="5"/>
  <c r="J1078" i="5"/>
  <c r="I1078" i="5"/>
  <c r="H1078" i="5"/>
  <c r="J1077" i="5"/>
  <c r="I1077" i="5"/>
  <c r="H1077" i="5"/>
  <c r="J1076" i="5"/>
  <c r="I1076" i="5"/>
  <c r="H1076" i="5"/>
  <c r="J1075" i="5"/>
  <c r="I1075" i="5"/>
  <c r="H1075" i="5"/>
  <c r="J1074" i="5"/>
  <c r="I1074" i="5"/>
  <c r="H1074" i="5"/>
  <c r="J1073" i="5"/>
  <c r="I1073" i="5"/>
  <c r="H1073" i="5"/>
  <c r="J1072" i="5"/>
  <c r="I1072" i="5"/>
  <c r="H1072" i="5"/>
  <c r="J1071" i="5"/>
  <c r="I1071" i="5"/>
  <c r="H1071" i="5"/>
  <c r="J1070" i="5"/>
  <c r="I1070" i="5"/>
  <c r="H1070" i="5"/>
  <c r="J1069" i="5"/>
  <c r="I1069" i="5"/>
  <c r="H1069" i="5"/>
  <c r="J1068" i="5"/>
  <c r="I1068" i="5"/>
  <c r="H1068" i="5"/>
  <c r="J1067" i="5"/>
  <c r="I1067" i="5"/>
  <c r="H1067" i="5"/>
  <c r="J1066" i="5"/>
  <c r="I1066" i="5"/>
  <c r="H1066" i="5"/>
  <c r="J1065" i="5"/>
  <c r="I1065" i="5"/>
  <c r="H1065" i="5"/>
  <c r="J1064" i="5"/>
  <c r="I1064" i="5"/>
  <c r="H1064" i="5"/>
  <c r="J1063" i="5"/>
  <c r="I1063" i="5"/>
  <c r="H1063" i="5"/>
  <c r="J1062" i="5"/>
  <c r="I1062" i="5"/>
  <c r="H1062" i="5"/>
  <c r="J1061" i="5"/>
  <c r="I1061" i="5"/>
  <c r="H1061" i="5"/>
  <c r="J1060" i="5"/>
  <c r="I1060" i="5"/>
  <c r="H1060" i="5"/>
  <c r="J1059" i="5"/>
  <c r="I1059" i="5"/>
  <c r="H1059" i="5"/>
  <c r="J1058" i="5"/>
  <c r="I1058" i="5"/>
  <c r="H1058" i="5"/>
  <c r="J1057" i="5"/>
  <c r="I1057" i="5"/>
  <c r="H1057" i="5"/>
  <c r="J1056" i="5"/>
  <c r="I1056" i="5"/>
  <c r="H1056" i="5"/>
  <c r="J1055" i="5"/>
  <c r="I1055" i="5"/>
  <c r="H1055" i="5"/>
  <c r="J1054" i="5"/>
  <c r="I1054" i="5"/>
  <c r="H1054" i="5"/>
  <c r="J1053" i="5"/>
  <c r="I1053" i="5"/>
  <c r="H1053" i="5"/>
  <c r="J1052" i="5"/>
  <c r="I1052" i="5"/>
  <c r="H1052" i="5"/>
  <c r="J1051" i="5"/>
  <c r="I1051" i="5"/>
  <c r="H1051" i="5"/>
  <c r="J1050" i="5"/>
  <c r="I1050" i="5"/>
  <c r="H1050" i="5"/>
  <c r="J1049" i="5"/>
  <c r="I1049" i="5"/>
  <c r="H1049" i="5"/>
  <c r="J1048" i="5"/>
  <c r="I1048" i="5"/>
  <c r="H1048" i="5"/>
  <c r="J1047" i="5"/>
  <c r="I1047" i="5"/>
  <c r="H1047" i="5"/>
  <c r="J1046" i="5"/>
  <c r="I1046" i="5"/>
  <c r="H1046" i="5"/>
  <c r="J1045" i="5"/>
  <c r="I1045" i="5"/>
  <c r="H1045" i="5"/>
  <c r="J1044" i="5"/>
  <c r="I1044" i="5"/>
  <c r="H1044" i="5"/>
  <c r="J1043" i="5"/>
  <c r="I1043" i="5"/>
  <c r="H1043" i="5"/>
  <c r="J1042" i="5"/>
  <c r="I1042" i="5"/>
  <c r="H1042" i="5"/>
  <c r="J1041" i="5"/>
  <c r="I1041" i="5"/>
  <c r="H1041" i="5"/>
  <c r="J1040" i="5"/>
  <c r="I1040" i="5"/>
  <c r="H1040" i="5"/>
  <c r="J1039" i="5"/>
  <c r="I1039" i="5"/>
  <c r="H1039" i="5"/>
  <c r="J1038" i="5"/>
  <c r="I1038" i="5"/>
  <c r="H1038" i="5"/>
  <c r="J1037" i="5"/>
  <c r="I1037" i="5"/>
  <c r="H1037" i="5"/>
  <c r="J1036" i="5"/>
  <c r="I1036" i="5"/>
  <c r="H1036" i="5"/>
  <c r="J1035" i="5"/>
  <c r="I1035" i="5"/>
  <c r="H1035" i="5"/>
  <c r="J1034" i="5"/>
  <c r="I1034" i="5"/>
  <c r="H1034" i="5"/>
  <c r="J1033" i="5"/>
  <c r="I1033" i="5"/>
  <c r="H1033" i="5"/>
  <c r="J1032" i="5"/>
  <c r="I1032" i="5"/>
  <c r="H1032" i="5"/>
  <c r="J1031" i="5"/>
  <c r="I1031" i="5"/>
  <c r="H1031" i="5"/>
  <c r="J1030" i="5"/>
  <c r="I1030" i="5"/>
  <c r="H1030" i="5"/>
  <c r="J1029" i="5"/>
  <c r="I1029" i="5"/>
  <c r="H1029" i="5"/>
  <c r="J1028" i="5"/>
  <c r="I1028" i="5"/>
  <c r="H1028" i="5"/>
  <c r="J1027" i="5"/>
  <c r="I1027" i="5"/>
  <c r="H1027" i="5"/>
  <c r="J1026" i="5"/>
  <c r="I1026" i="5"/>
  <c r="H1026" i="5"/>
  <c r="J1025" i="5"/>
  <c r="I1025" i="5"/>
  <c r="H1025" i="5"/>
  <c r="J1024" i="5"/>
  <c r="I1024" i="5"/>
  <c r="H1024" i="5"/>
  <c r="J1023" i="5"/>
  <c r="I1023" i="5"/>
  <c r="H1023" i="5"/>
  <c r="J1022" i="5"/>
  <c r="I1022" i="5"/>
  <c r="H1022" i="5"/>
  <c r="J1021" i="5"/>
  <c r="I1021" i="5"/>
  <c r="H1021" i="5"/>
  <c r="J1020" i="5"/>
  <c r="I1020" i="5"/>
  <c r="H1020" i="5"/>
  <c r="J1019" i="5"/>
  <c r="I1019" i="5"/>
  <c r="H1019" i="5"/>
  <c r="J1018" i="5"/>
  <c r="I1018" i="5"/>
  <c r="H1018" i="5"/>
  <c r="J1017" i="5"/>
  <c r="I1017" i="5"/>
  <c r="H1017" i="5"/>
  <c r="J1016" i="5"/>
  <c r="I1016" i="5"/>
  <c r="H1016" i="5"/>
  <c r="J1015" i="5"/>
  <c r="I1015" i="5"/>
  <c r="H1015" i="5"/>
  <c r="J1014" i="5"/>
  <c r="I1014" i="5"/>
  <c r="H1014" i="5"/>
  <c r="J1013" i="5"/>
  <c r="I1013" i="5"/>
  <c r="H1013" i="5"/>
  <c r="J1012" i="5"/>
  <c r="I1012" i="5"/>
  <c r="H1012" i="5"/>
  <c r="J1011" i="5"/>
  <c r="I1011" i="5"/>
  <c r="H1011" i="5"/>
  <c r="J1010" i="5"/>
  <c r="I1010" i="5"/>
  <c r="H1010" i="5"/>
  <c r="J1009" i="5"/>
  <c r="I1009" i="5"/>
  <c r="H1009" i="5"/>
  <c r="J1008" i="5"/>
  <c r="I1008" i="5"/>
  <c r="H1008" i="5"/>
  <c r="J1007" i="5"/>
  <c r="I1007" i="5"/>
  <c r="H1007" i="5"/>
  <c r="J1006" i="5"/>
  <c r="I1006" i="5"/>
  <c r="H1006" i="5"/>
  <c r="J1005" i="5"/>
  <c r="I1005" i="5"/>
  <c r="H1005" i="5"/>
  <c r="J1004" i="5"/>
  <c r="I1004" i="5"/>
  <c r="H1004" i="5"/>
  <c r="J1003" i="5"/>
  <c r="I1003" i="5"/>
  <c r="H1003" i="5"/>
  <c r="J1002" i="5"/>
  <c r="I1002" i="5"/>
  <c r="H1002" i="5"/>
  <c r="J1001" i="5"/>
  <c r="I1001" i="5"/>
  <c r="H1001" i="5"/>
  <c r="J1000" i="5"/>
  <c r="I1000" i="5"/>
  <c r="H1000" i="5"/>
  <c r="J999" i="5"/>
  <c r="I999" i="5"/>
  <c r="H999" i="5"/>
  <c r="J998" i="5"/>
  <c r="I998" i="5"/>
  <c r="H998" i="5"/>
  <c r="J997" i="5"/>
  <c r="I997" i="5"/>
  <c r="H997" i="5"/>
  <c r="J996" i="5"/>
  <c r="I996" i="5"/>
  <c r="H996" i="5"/>
  <c r="J995" i="5"/>
  <c r="I995" i="5"/>
  <c r="H995" i="5"/>
  <c r="J994" i="5"/>
  <c r="I994" i="5"/>
  <c r="H994" i="5"/>
  <c r="J993" i="5"/>
  <c r="I993" i="5"/>
  <c r="H993" i="5"/>
  <c r="J992" i="5"/>
  <c r="I992" i="5"/>
  <c r="H992" i="5"/>
  <c r="J991" i="5"/>
  <c r="I991" i="5"/>
  <c r="H991" i="5"/>
  <c r="J990" i="5"/>
  <c r="I990" i="5"/>
  <c r="H990" i="5"/>
  <c r="J989" i="5"/>
  <c r="I989" i="5"/>
  <c r="H989" i="5"/>
  <c r="J988" i="5"/>
  <c r="I988" i="5"/>
  <c r="H988" i="5"/>
  <c r="J987" i="5"/>
  <c r="I987" i="5"/>
  <c r="H987" i="5"/>
  <c r="J986" i="5"/>
  <c r="I986" i="5"/>
  <c r="H986" i="5"/>
  <c r="J985" i="5"/>
  <c r="I985" i="5"/>
  <c r="H985" i="5"/>
  <c r="J984" i="5"/>
  <c r="I984" i="5"/>
  <c r="H984" i="5"/>
  <c r="J983" i="5"/>
  <c r="I983" i="5"/>
  <c r="H983" i="5"/>
  <c r="J982" i="5"/>
  <c r="I982" i="5"/>
  <c r="H982" i="5"/>
  <c r="J981" i="5"/>
  <c r="I981" i="5"/>
  <c r="H981" i="5"/>
  <c r="J980" i="5"/>
  <c r="I980" i="5"/>
  <c r="H980" i="5"/>
  <c r="J979" i="5"/>
  <c r="I979" i="5"/>
  <c r="H979" i="5"/>
  <c r="J978" i="5"/>
  <c r="I978" i="5"/>
  <c r="H978" i="5"/>
  <c r="J977" i="5"/>
  <c r="I977" i="5"/>
  <c r="H977" i="5"/>
  <c r="J976" i="5"/>
  <c r="I976" i="5"/>
  <c r="H976" i="5"/>
  <c r="J975" i="5"/>
  <c r="I975" i="5"/>
  <c r="H975" i="5"/>
  <c r="J974" i="5"/>
  <c r="I974" i="5"/>
  <c r="H974" i="5"/>
  <c r="J973" i="5"/>
  <c r="I973" i="5"/>
  <c r="H973" i="5"/>
  <c r="J972" i="5"/>
  <c r="I972" i="5"/>
  <c r="H972" i="5"/>
  <c r="J971" i="5"/>
  <c r="I971" i="5"/>
  <c r="H971" i="5"/>
  <c r="J970" i="5"/>
  <c r="I970" i="5"/>
  <c r="H970" i="5"/>
  <c r="J969" i="5"/>
  <c r="I969" i="5"/>
  <c r="H969" i="5"/>
  <c r="J968" i="5"/>
  <c r="I968" i="5"/>
  <c r="H968" i="5"/>
  <c r="J967" i="5"/>
  <c r="I967" i="5"/>
  <c r="H967" i="5"/>
  <c r="J966" i="5"/>
  <c r="I966" i="5"/>
  <c r="H966" i="5"/>
  <c r="J965" i="5"/>
  <c r="I965" i="5"/>
  <c r="H965" i="5"/>
  <c r="J964" i="5"/>
  <c r="I964" i="5"/>
  <c r="H964" i="5"/>
  <c r="J963" i="5"/>
  <c r="I963" i="5"/>
  <c r="H963" i="5"/>
  <c r="J962" i="5"/>
  <c r="I962" i="5"/>
  <c r="H962" i="5"/>
  <c r="J961" i="5"/>
  <c r="I961" i="5"/>
  <c r="H961" i="5"/>
  <c r="J960" i="5"/>
  <c r="I960" i="5"/>
  <c r="H960" i="5"/>
  <c r="J959" i="5"/>
  <c r="I959" i="5"/>
  <c r="H959" i="5"/>
  <c r="J958" i="5"/>
  <c r="I958" i="5"/>
  <c r="H958" i="5"/>
  <c r="J957" i="5"/>
  <c r="I957" i="5"/>
  <c r="H957" i="5"/>
  <c r="J956" i="5"/>
  <c r="I956" i="5"/>
  <c r="H956" i="5"/>
  <c r="J955" i="5"/>
  <c r="I955" i="5"/>
  <c r="H955" i="5"/>
  <c r="J954" i="5"/>
  <c r="I954" i="5"/>
  <c r="H954" i="5"/>
  <c r="J953" i="5"/>
  <c r="I953" i="5"/>
  <c r="H953" i="5"/>
  <c r="J952" i="5"/>
  <c r="I952" i="5"/>
  <c r="H952" i="5"/>
  <c r="J951" i="5"/>
  <c r="I951" i="5"/>
  <c r="H951" i="5"/>
  <c r="J950" i="5"/>
  <c r="I950" i="5"/>
  <c r="H950" i="5"/>
  <c r="J949" i="5"/>
  <c r="I949" i="5"/>
  <c r="H949" i="5"/>
  <c r="J948" i="5"/>
  <c r="I948" i="5"/>
  <c r="H948" i="5"/>
  <c r="J947" i="5"/>
  <c r="I947" i="5"/>
  <c r="H947" i="5"/>
  <c r="J946" i="5"/>
  <c r="I946" i="5"/>
  <c r="H946" i="5"/>
  <c r="J945" i="5"/>
  <c r="I945" i="5"/>
  <c r="H945" i="5"/>
  <c r="J944" i="5"/>
  <c r="I944" i="5"/>
  <c r="H944" i="5"/>
  <c r="J943" i="5"/>
  <c r="I943" i="5"/>
  <c r="H943" i="5"/>
  <c r="J942" i="5"/>
  <c r="I942" i="5"/>
  <c r="H942" i="5"/>
  <c r="J941" i="5"/>
  <c r="I941" i="5"/>
  <c r="H941" i="5"/>
  <c r="J940" i="5"/>
  <c r="I940" i="5"/>
  <c r="H940" i="5"/>
  <c r="J939" i="5"/>
  <c r="I939" i="5"/>
  <c r="H939" i="5"/>
  <c r="J938" i="5"/>
  <c r="I938" i="5"/>
  <c r="H938" i="5"/>
  <c r="J937" i="5"/>
  <c r="I937" i="5"/>
  <c r="H937" i="5"/>
  <c r="J936" i="5"/>
  <c r="I936" i="5"/>
  <c r="H936" i="5"/>
  <c r="J935" i="5"/>
  <c r="I935" i="5"/>
  <c r="H935" i="5"/>
  <c r="J934" i="5"/>
  <c r="I934" i="5"/>
  <c r="H934" i="5"/>
  <c r="J933" i="5"/>
  <c r="I933" i="5"/>
  <c r="H933" i="5"/>
  <c r="J932" i="5"/>
  <c r="I932" i="5"/>
  <c r="H932" i="5"/>
  <c r="J931" i="5"/>
  <c r="I931" i="5"/>
  <c r="H931" i="5"/>
  <c r="J930" i="5"/>
  <c r="I930" i="5"/>
  <c r="H930" i="5"/>
  <c r="J929" i="5"/>
  <c r="I929" i="5"/>
  <c r="H929" i="5"/>
  <c r="J928" i="5"/>
  <c r="I928" i="5"/>
  <c r="H928" i="5"/>
  <c r="J927" i="5"/>
  <c r="I927" i="5"/>
  <c r="H927" i="5"/>
  <c r="J926" i="5"/>
  <c r="I926" i="5"/>
  <c r="H926" i="5"/>
  <c r="J925" i="5"/>
  <c r="I925" i="5"/>
  <c r="H925" i="5"/>
  <c r="J924" i="5"/>
  <c r="I924" i="5"/>
  <c r="H924" i="5"/>
  <c r="J923" i="5"/>
  <c r="I923" i="5"/>
  <c r="H923" i="5"/>
  <c r="J922" i="5"/>
  <c r="I922" i="5"/>
  <c r="H922" i="5"/>
  <c r="J921" i="5"/>
  <c r="I921" i="5"/>
  <c r="H921" i="5"/>
  <c r="J920" i="5"/>
  <c r="I920" i="5"/>
  <c r="H920" i="5"/>
  <c r="J919" i="5"/>
  <c r="I919" i="5"/>
  <c r="H919" i="5"/>
  <c r="J918" i="5"/>
  <c r="I918" i="5"/>
  <c r="H918" i="5"/>
  <c r="J917" i="5"/>
  <c r="I917" i="5"/>
  <c r="H917" i="5"/>
  <c r="J916" i="5"/>
  <c r="I916" i="5"/>
  <c r="H916" i="5"/>
  <c r="J915" i="5"/>
  <c r="I915" i="5"/>
  <c r="H915" i="5"/>
  <c r="J914" i="5"/>
  <c r="I914" i="5"/>
  <c r="H914" i="5"/>
  <c r="J913" i="5"/>
  <c r="I913" i="5"/>
  <c r="H913" i="5"/>
  <c r="J912" i="5"/>
  <c r="I912" i="5"/>
  <c r="H912" i="5"/>
  <c r="J911" i="5"/>
  <c r="I911" i="5"/>
  <c r="H911" i="5"/>
  <c r="J910" i="5"/>
  <c r="I910" i="5"/>
  <c r="H910" i="5"/>
  <c r="J909" i="5"/>
  <c r="I909" i="5"/>
  <c r="H909" i="5"/>
  <c r="J908" i="5"/>
  <c r="I908" i="5"/>
  <c r="H908" i="5"/>
  <c r="J907" i="5"/>
  <c r="I907" i="5"/>
  <c r="H907" i="5"/>
  <c r="J906" i="5"/>
  <c r="I906" i="5"/>
  <c r="H906" i="5"/>
  <c r="J905" i="5"/>
  <c r="I905" i="5"/>
  <c r="H905" i="5"/>
  <c r="J904" i="5"/>
  <c r="I904" i="5"/>
  <c r="H904" i="5"/>
  <c r="J903" i="5"/>
  <c r="I903" i="5"/>
  <c r="H903" i="5"/>
  <c r="J902" i="5"/>
  <c r="I902" i="5"/>
  <c r="H902" i="5"/>
  <c r="J901" i="5"/>
  <c r="I901" i="5"/>
  <c r="H901" i="5"/>
  <c r="J900" i="5"/>
  <c r="I900" i="5"/>
  <c r="H900" i="5"/>
  <c r="J899" i="5"/>
  <c r="I899" i="5"/>
  <c r="H899" i="5"/>
  <c r="J898" i="5"/>
  <c r="I898" i="5"/>
  <c r="H898" i="5"/>
  <c r="J897" i="5"/>
  <c r="I897" i="5"/>
  <c r="H897" i="5"/>
  <c r="J896" i="5"/>
  <c r="I896" i="5"/>
  <c r="H896" i="5"/>
  <c r="J895" i="5"/>
  <c r="I895" i="5"/>
  <c r="H895" i="5"/>
  <c r="J894" i="5"/>
  <c r="I894" i="5"/>
  <c r="H894" i="5"/>
  <c r="J893" i="5"/>
  <c r="I893" i="5"/>
  <c r="H893" i="5"/>
  <c r="J892" i="5"/>
  <c r="I892" i="5"/>
  <c r="H892" i="5"/>
  <c r="J891" i="5"/>
  <c r="I891" i="5"/>
  <c r="H891" i="5"/>
  <c r="J890" i="5"/>
  <c r="I890" i="5"/>
  <c r="H890" i="5"/>
  <c r="J889" i="5"/>
  <c r="I889" i="5"/>
  <c r="H889" i="5"/>
  <c r="J888" i="5"/>
  <c r="I888" i="5"/>
  <c r="H888" i="5"/>
  <c r="J887" i="5"/>
  <c r="I887" i="5"/>
  <c r="H887" i="5"/>
  <c r="J886" i="5"/>
  <c r="I886" i="5"/>
  <c r="H886" i="5"/>
  <c r="J885" i="5"/>
  <c r="I885" i="5"/>
  <c r="H885" i="5"/>
  <c r="J884" i="5"/>
  <c r="I884" i="5"/>
  <c r="H884" i="5"/>
  <c r="J883" i="5"/>
  <c r="I883" i="5"/>
  <c r="H883" i="5"/>
  <c r="J882" i="5"/>
  <c r="I882" i="5"/>
  <c r="H882" i="5"/>
  <c r="J881" i="5"/>
  <c r="I881" i="5"/>
  <c r="H881" i="5"/>
  <c r="J880" i="5"/>
  <c r="I880" i="5"/>
  <c r="H880" i="5"/>
  <c r="J879" i="5"/>
  <c r="I879" i="5"/>
  <c r="H879" i="5"/>
  <c r="J878" i="5"/>
  <c r="I878" i="5"/>
  <c r="H878" i="5"/>
  <c r="J877" i="5"/>
  <c r="I877" i="5"/>
  <c r="H877" i="5"/>
  <c r="J876" i="5"/>
  <c r="I876" i="5"/>
  <c r="H876" i="5"/>
  <c r="J875" i="5"/>
  <c r="I875" i="5"/>
  <c r="H875" i="5"/>
  <c r="J874" i="5"/>
  <c r="I874" i="5"/>
  <c r="H874" i="5"/>
  <c r="J873" i="5"/>
  <c r="I873" i="5"/>
  <c r="H873" i="5"/>
  <c r="J872" i="5"/>
  <c r="I872" i="5"/>
  <c r="H872" i="5"/>
  <c r="J871" i="5"/>
  <c r="I871" i="5"/>
  <c r="H871" i="5"/>
  <c r="J870" i="5"/>
  <c r="I870" i="5"/>
  <c r="H870" i="5"/>
  <c r="J869" i="5"/>
  <c r="I869" i="5"/>
  <c r="H869" i="5"/>
  <c r="J868" i="5"/>
  <c r="I868" i="5"/>
  <c r="H868" i="5"/>
  <c r="J867" i="5"/>
  <c r="I867" i="5"/>
  <c r="H867" i="5"/>
  <c r="J866" i="5"/>
  <c r="I866" i="5"/>
  <c r="H866" i="5"/>
  <c r="J865" i="5"/>
  <c r="I865" i="5"/>
  <c r="H865" i="5"/>
  <c r="J864" i="5"/>
  <c r="I864" i="5"/>
  <c r="H864" i="5"/>
  <c r="J863" i="5"/>
  <c r="I863" i="5"/>
  <c r="H863" i="5"/>
  <c r="J862" i="5"/>
  <c r="I862" i="5"/>
  <c r="H862" i="5"/>
  <c r="J861" i="5"/>
  <c r="I861" i="5"/>
  <c r="H861" i="5"/>
  <c r="J860" i="5"/>
  <c r="I860" i="5"/>
  <c r="H860" i="5"/>
  <c r="J859" i="5"/>
  <c r="I859" i="5"/>
  <c r="H859" i="5"/>
  <c r="J858" i="5"/>
  <c r="I858" i="5"/>
  <c r="H858" i="5"/>
  <c r="J857" i="5"/>
  <c r="I857" i="5"/>
  <c r="H857" i="5"/>
  <c r="J856" i="5"/>
  <c r="I856" i="5"/>
  <c r="H856" i="5"/>
  <c r="J855" i="5"/>
  <c r="I855" i="5"/>
  <c r="H855" i="5"/>
  <c r="J854" i="5"/>
  <c r="I854" i="5"/>
  <c r="H854" i="5"/>
  <c r="J853" i="5"/>
  <c r="I853" i="5"/>
  <c r="H853" i="5"/>
  <c r="J852" i="5"/>
  <c r="I852" i="5"/>
  <c r="H852" i="5"/>
  <c r="J851" i="5"/>
  <c r="I851" i="5"/>
  <c r="H851" i="5"/>
  <c r="J850" i="5"/>
  <c r="I850" i="5"/>
  <c r="H850" i="5"/>
  <c r="J849" i="5"/>
  <c r="I849" i="5"/>
  <c r="H849" i="5"/>
  <c r="J848" i="5"/>
  <c r="I848" i="5"/>
  <c r="H848" i="5"/>
  <c r="J847" i="5"/>
  <c r="I847" i="5"/>
  <c r="H847" i="5"/>
  <c r="J846" i="5"/>
  <c r="I846" i="5"/>
  <c r="H846" i="5"/>
  <c r="J845" i="5"/>
  <c r="I845" i="5"/>
  <c r="H845" i="5"/>
  <c r="J844" i="5"/>
  <c r="I844" i="5"/>
  <c r="H844" i="5"/>
  <c r="J843" i="5"/>
  <c r="I843" i="5"/>
  <c r="H843" i="5"/>
  <c r="J842" i="5"/>
  <c r="I842" i="5"/>
  <c r="H842" i="5"/>
  <c r="J841" i="5"/>
  <c r="I841" i="5"/>
  <c r="H841" i="5"/>
  <c r="J840" i="5"/>
  <c r="I840" i="5"/>
  <c r="H840" i="5"/>
  <c r="J839" i="5"/>
  <c r="I839" i="5"/>
  <c r="H839" i="5"/>
  <c r="J838" i="5"/>
  <c r="I838" i="5"/>
  <c r="H838" i="5"/>
  <c r="J837" i="5"/>
  <c r="I837" i="5"/>
  <c r="H837" i="5"/>
  <c r="J836" i="5"/>
  <c r="I836" i="5"/>
  <c r="H836" i="5"/>
  <c r="J835" i="5"/>
  <c r="I835" i="5"/>
  <c r="H835" i="5"/>
  <c r="J834" i="5"/>
  <c r="I834" i="5"/>
  <c r="H834" i="5"/>
  <c r="J833" i="5"/>
  <c r="I833" i="5"/>
  <c r="H833" i="5"/>
  <c r="J832" i="5"/>
  <c r="I832" i="5"/>
  <c r="H832" i="5"/>
  <c r="J831" i="5"/>
  <c r="I831" i="5"/>
  <c r="H831" i="5"/>
  <c r="J830" i="5"/>
  <c r="I830" i="5"/>
  <c r="H830" i="5"/>
  <c r="J829" i="5"/>
  <c r="I829" i="5"/>
  <c r="H829" i="5"/>
  <c r="J828" i="5"/>
  <c r="I828" i="5"/>
  <c r="H828" i="5"/>
  <c r="J827" i="5"/>
  <c r="I827" i="5"/>
  <c r="H827" i="5"/>
  <c r="J826" i="5"/>
  <c r="I826" i="5"/>
  <c r="H826" i="5"/>
  <c r="J825" i="5"/>
  <c r="I825" i="5"/>
  <c r="H825" i="5"/>
  <c r="J824" i="5"/>
  <c r="I824" i="5"/>
  <c r="H824" i="5"/>
  <c r="J823" i="5"/>
  <c r="I823" i="5"/>
  <c r="H823" i="5"/>
  <c r="J822" i="5"/>
  <c r="I822" i="5"/>
  <c r="H822" i="5"/>
  <c r="J821" i="5"/>
  <c r="I821" i="5"/>
  <c r="H821" i="5"/>
  <c r="J820" i="5"/>
  <c r="I820" i="5"/>
  <c r="H820" i="5"/>
  <c r="J819" i="5"/>
  <c r="I819" i="5"/>
  <c r="H819" i="5"/>
  <c r="J818" i="5"/>
  <c r="I818" i="5"/>
  <c r="H818" i="5"/>
  <c r="J817" i="5"/>
  <c r="I817" i="5"/>
  <c r="H817" i="5"/>
  <c r="J816" i="5"/>
  <c r="I816" i="5"/>
  <c r="H816" i="5"/>
  <c r="J815" i="5"/>
  <c r="I815" i="5"/>
  <c r="H815" i="5"/>
  <c r="J814" i="5"/>
  <c r="I814" i="5"/>
  <c r="H814" i="5"/>
  <c r="J813" i="5"/>
  <c r="I813" i="5"/>
  <c r="H813" i="5"/>
  <c r="J812" i="5"/>
  <c r="I812" i="5"/>
  <c r="H812" i="5"/>
  <c r="J811" i="5"/>
  <c r="I811" i="5"/>
  <c r="H811" i="5"/>
  <c r="J810" i="5"/>
  <c r="I810" i="5"/>
  <c r="H810" i="5"/>
  <c r="J809" i="5"/>
  <c r="I809" i="5"/>
  <c r="H809" i="5"/>
  <c r="J808" i="5"/>
  <c r="I808" i="5"/>
  <c r="H808" i="5"/>
  <c r="J807" i="5"/>
  <c r="I807" i="5"/>
  <c r="H807" i="5"/>
  <c r="J806" i="5"/>
  <c r="I806" i="5"/>
  <c r="H806" i="5"/>
  <c r="J805" i="5"/>
  <c r="I805" i="5"/>
  <c r="H805" i="5"/>
  <c r="J804" i="5"/>
  <c r="I804" i="5"/>
  <c r="H804" i="5"/>
  <c r="J803" i="5"/>
  <c r="I803" i="5"/>
  <c r="H803" i="5"/>
  <c r="J802" i="5"/>
  <c r="I802" i="5"/>
  <c r="H802" i="5"/>
  <c r="J801" i="5"/>
  <c r="I801" i="5"/>
  <c r="H801" i="5"/>
  <c r="J800" i="5"/>
  <c r="I800" i="5"/>
  <c r="H800" i="5"/>
  <c r="J799" i="5"/>
  <c r="I799" i="5"/>
  <c r="H799" i="5"/>
  <c r="J798" i="5"/>
  <c r="I798" i="5"/>
  <c r="H798" i="5"/>
  <c r="J797" i="5"/>
  <c r="I797" i="5"/>
  <c r="H797" i="5"/>
  <c r="J796" i="5"/>
  <c r="I796" i="5"/>
  <c r="H796" i="5"/>
  <c r="J795" i="5"/>
  <c r="I795" i="5"/>
  <c r="H795" i="5"/>
  <c r="J794" i="5"/>
  <c r="I794" i="5"/>
  <c r="H794" i="5"/>
  <c r="J793" i="5"/>
  <c r="I793" i="5"/>
  <c r="H793" i="5"/>
  <c r="J792" i="5"/>
  <c r="I792" i="5"/>
  <c r="H792" i="5"/>
  <c r="J791" i="5"/>
  <c r="I791" i="5"/>
  <c r="H791" i="5"/>
  <c r="J790" i="5"/>
  <c r="I790" i="5"/>
  <c r="H790" i="5"/>
  <c r="J789" i="5"/>
  <c r="I789" i="5"/>
  <c r="H789" i="5"/>
  <c r="J788" i="5"/>
  <c r="I788" i="5"/>
  <c r="H788" i="5"/>
  <c r="J787" i="5"/>
  <c r="I787" i="5"/>
  <c r="H787" i="5"/>
  <c r="J786" i="5"/>
  <c r="I786" i="5"/>
  <c r="H786" i="5"/>
  <c r="J785" i="5"/>
  <c r="I785" i="5"/>
  <c r="H785" i="5"/>
  <c r="J784" i="5"/>
  <c r="I784" i="5"/>
  <c r="H784" i="5"/>
  <c r="J783" i="5"/>
  <c r="I783" i="5"/>
  <c r="H783" i="5"/>
  <c r="J782" i="5"/>
  <c r="I782" i="5"/>
  <c r="H782" i="5"/>
  <c r="J781" i="5"/>
  <c r="I781" i="5"/>
  <c r="H781" i="5"/>
  <c r="J780" i="5"/>
  <c r="I780" i="5"/>
  <c r="H780" i="5"/>
  <c r="J779" i="5"/>
  <c r="I779" i="5"/>
  <c r="H779" i="5"/>
  <c r="J778" i="5"/>
  <c r="I778" i="5"/>
  <c r="H778" i="5"/>
  <c r="J777" i="5"/>
  <c r="I777" i="5"/>
  <c r="H777" i="5"/>
  <c r="J776" i="5"/>
  <c r="I776" i="5"/>
  <c r="H776" i="5"/>
  <c r="J775" i="5"/>
  <c r="I775" i="5"/>
  <c r="H775" i="5"/>
  <c r="J774" i="5"/>
  <c r="I774" i="5"/>
  <c r="H774" i="5"/>
  <c r="J773" i="5"/>
  <c r="I773" i="5"/>
  <c r="H773" i="5"/>
  <c r="J772" i="5"/>
  <c r="I772" i="5"/>
  <c r="H772" i="5"/>
  <c r="J771" i="5"/>
  <c r="I771" i="5"/>
  <c r="H771" i="5"/>
  <c r="J770" i="5"/>
  <c r="I770" i="5"/>
  <c r="H770" i="5"/>
  <c r="J769" i="5"/>
  <c r="I769" i="5"/>
  <c r="H769" i="5"/>
  <c r="J768" i="5"/>
  <c r="I768" i="5"/>
  <c r="H768" i="5"/>
  <c r="J767" i="5"/>
  <c r="I767" i="5"/>
  <c r="H767" i="5"/>
  <c r="J766" i="5"/>
  <c r="I766" i="5"/>
  <c r="H766" i="5"/>
  <c r="J765" i="5"/>
  <c r="I765" i="5"/>
  <c r="H765" i="5"/>
  <c r="J764" i="5"/>
  <c r="I764" i="5"/>
  <c r="H764" i="5"/>
  <c r="J763" i="5"/>
  <c r="I763" i="5"/>
  <c r="H763" i="5"/>
  <c r="J762" i="5"/>
  <c r="I762" i="5"/>
  <c r="H762" i="5"/>
  <c r="J761" i="5"/>
  <c r="I761" i="5"/>
  <c r="H761" i="5"/>
  <c r="J760" i="5"/>
  <c r="I760" i="5"/>
  <c r="H760" i="5"/>
  <c r="J759" i="5"/>
  <c r="I759" i="5"/>
  <c r="H759" i="5"/>
  <c r="J758" i="5"/>
  <c r="I758" i="5"/>
  <c r="H758" i="5"/>
  <c r="J757" i="5"/>
  <c r="I757" i="5"/>
  <c r="H757" i="5"/>
  <c r="J756" i="5"/>
  <c r="I756" i="5"/>
  <c r="H756" i="5"/>
  <c r="J755" i="5"/>
  <c r="I755" i="5"/>
  <c r="H755" i="5"/>
  <c r="J754" i="5"/>
  <c r="I754" i="5"/>
  <c r="H754" i="5"/>
  <c r="J753" i="5"/>
  <c r="I753" i="5"/>
  <c r="H753" i="5"/>
  <c r="J752" i="5"/>
  <c r="I752" i="5"/>
  <c r="H752" i="5"/>
  <c r="J751" i="5"/>
  <c r="I751" i="5"/>
  <c r="H751" i="5"/>
  <c r="J750" i="5"/>
  <c r="I750" i="5"/>
  <c r="H750" i="5"/>
  <c r="J749" i="5"/>
  <c r="I749" i="5"/>
  <c r="H749" i="5"/>
  <c r="J748" i="5"/>
  <c r="I748" i="5"/>
  <c r="H748" i="5"/>
  <c r="J747" i="5"/>
  <c r="I747" i="5"/>
  <c r="H747" i="5"/>
  <c r="J746" i="5"/>
  <c r="I746" i="5"/>
  <c r="H746" i="5"/>
  <c r="J745" i="5"/>
  <c r="I745" i="5"/>
  <c r="H745" i="5"/>
  <c r="J744" i="5"/>
  <c r="I744" i="5"/>
  <c r="H744" i="5"/>
  <c r="J743" i="5"/>
  <c r="I743" i="5"/>
  <c r="H743" i="5"/>
  <c r="J742" i="5"/>
  <c r="I742" i="5"/>
  <c r="H742" i="5"/>
  <c r="J741" i="5"/>
  <c r="I741" i="5"/>
  <c r="H741" i="5"/>
  <c r="J740" i="5"/>
  <c r="I740" i="5"/>
  <c r="H740" i="5"/>
  <c r="J739" i="5"/>
  <c r="I739" i="5"/>
  <c r="H739" i="5"/>
  <c r="J738" i="5"/>
  <c r="I738" i="5"/>
  <c r="H738" i="5"/>
  <c r="J737" i="5"/>
  <c r="I737" i="5"/>
  <c r="H737" i="5"/>
  <c r="J736" i="5"/>
  <c r="I736" i="5"/>
  <c r="H736" i="5"/>
  <c r="J735" i="5"/>
  <c r="I735" i="5"/>
  <c r="H735" i="5"/>
  <c r="J734" i="5"/>
  <c r="I734" i="5"/>
  <c r="H734" i="5"/>
  <c r="J733" i="5"/>
  <c r="I733" i="5"/>
  <c r="H733" i="5"/>
  <c r="J732" i="5"/>
  <c r="I732" i="5"/>
  <c r="H732" i="5"/>
  <c r="J731" i="5"/>
  <c r="I731" i="5"/>
  <c r="H731" i="5"/>
  <c r="J730" i="5"/>
  <c r="I730" i="5"/>
  <c r="H730" i="5"/>
  <c r="J729" i="5"/>
  <c r="I729" i="5"/>
  <c r="H729" i="5"/>
  <c r="J728" i="5"/>
  <c r="I728" i="5"/>
  <c r="H728" i="5"/>
  <c r="J727" i="5"/>
  <c r="I727" i="5"/>
  <c r="H727" i="5"/>
  <c r="J726" i="5"/>
  <c r="I726" i="5"/>
  <c r="H726" i="5"/>
  <c r="J725" i="5"/>
  <c r="I725" i="5"/>
  <c r="H725" i="5"/>
  <c r="J724" i="5"/>
  <c r="I724" i="5"/>
  <c r="H724" i="5"/>
  <c r="J723" i="5"/>
  <c r="I723" i="5"/>
  <c r="H723" i="5"/>
  <c r="J722" i="5"/>
  <c r="I722" i="5"/>
  <c r="H722" i="5"/>
  <c r="J721" i="5"/>
  <c r="I721" i="5"/>
  <c r="H721" i="5"/>
  <c r="J720" i="5"/>
  <c r="I720" i="5"/>
  <c r="H720" i="5"/>
  <c r="J719" i="5"/>
  <c r="I719" i="5"/>
  <c r="H719" i="5"/>
  <c r="J718" i="5"/>
  <c r="I718" i="5"/>
  <c r="H718" i="5"/>
  <c r="J717" i="5"/>
  <c r="I717" i="5"/>
  <c r="H717" i="5"/>
  <c r="J716" i="5"/>
  <c r="I716" i="5"/>
  <c r="H716" i="5"/>
  <c r="J715" i="5"/>
  <c r="I715" i="5"/>
  <c r="H715" i="5"/>
  <c r="J714" i="5"/>
  <c r="I714" i="5"/>
  <c r="H714" i="5"/>
  <c r="J713" i="5"/>
  <c r="I713" i="5"/>
  <c r="H713" i="5"/>
  <c r="J712" i="5"/>
  <c r="I712" i="5"/>
  <c r="H712" i="5"/>
  <c r="J711" i="5"/>
  <c r="I711" i="5"/>
  <c r="H711" i="5"/>
  <c r="J710" i="5"/>
  <c r="I710" i="5"/>
  <c r="H710" i="5"/>
  <c r="J709" i="5"/>
  <c r="I709" i="5"/>
  <c r="H709" i="5"/>
  <c r="J708" i="5"/>
  <c r="I708" i="5"/>
  <c r="H708" i="5"/>
  <c r="J707" i="5"/>
  <c r="I707" i="5"/>
  <c r="H707" i="5"/>
  <c r="J706" i="5"/>
  <c r="I706" i="5"/>
  <c r="H706" i="5"/>
  <c r="J705" i="5"/>
  <c r="I705" i="5"/>
  <c r="H705" i="5"/>
  <c r="J704" i="5"/>
  <c r="I704" i="5"/>
  <c r="H704" i="5"/>
  <c r="J703" i="5"/>
  <c r="I703" i="5"/>
  <c r="H703" i="5"/>
  <c r="J702" i="5"/>
  <c r="I702" i="5"/>
  <c r="H702" i="5"/>
  <c r="J701" i="5"/>
  <c r="I701" i="5"/>
  <c r="H701" i="5"/>
  <c r="J700" i="5"/>
  <c r="I700" i="5"/>
  <c r="H700" i="5"/>
  <c r="J699" i="5"/>
  <c r="I699" i="5"/>
  <c r="H699" i="5"/>
  <c r="J698" i="5"/>
  <c r="I698" i="5"/>
  <c r="H698" i="5"/>
  <c r="J697" i="5"/>
  <c r="I697" i="5"/>
  <c r="H697" i="5"/>
  <c r="J696" i="5"/>
  <c r="I696" i="5"/>
  <c r="H696" i="5"/>
  <c r="J695" i="5"/>
  <c r="I695" i="5"/>
  <c r="H695" i="5"/>
  <c r="J694" i="5"/>
  <c r="I694" i="5"/>
  <c r="H694" i="5"/>
  <c r="J693" i="5"/>
  <c r="I693" i="5"/>
  <c r="H693" i="5"/>
  <c r="J692" i="5"/>
  <c r="I692" i="5"/>
  <c r="H692" i="5"/>
  <c r="J691" i="5"/>
  <c r="I691" i="5"/>
  <c r="H691" i="5"/>
  <c r="J690" i="5"/>
  <c r="I690" i="5"/>
  <c r="H690" i="5"/>
  <c r="J689" i="5"/>
  <c r="I689" i="5"/>
  <c r="H689" i="5"/>
  <c r="J688" i="5"/>
  <c r="I688" i="5"/>
  <c r="H688" i="5"/>
  <c r="J687" i="5"/>
  <c r="I687" i="5"/>
  <c r="H687" i="5"/>
  <c r="J686" i="5"/>
  <c r="I686" i="5"/>
  <c r="H686" i="5"/>
  <c r="J685" i="5"/>
  <c r="I685" i="5"/>
  <c r="H685" i="5"/>
  <c r="J684" i="5"/>
  <c r="I684" i="5"/>
  <c r="H684" i="5"/>
  <c r="J683" i="5"/>
  <c r="I683" i="5"/>
  <c r="H683" i="5"/>
  <c r="J682" i="5"/>
  <c r="I682" i="5"/>
  <c r="H682" i="5"/>
  <c r="J681" i="5"/>
  <c r="I681" i="5"/>
  <c r="H681" i="5"/>
  <c r="J680" i="5"/>
  <c r="I680" i="5"/>
  <c r="H680" i="5"/>
  <c r="J679" i="5"/>
  <c r="I679" i="5"/>
  <c r="H679" i="5"/>
  <c r="J678" i="5"/>
  <c r="I678" i="5"/>
  <c r="H678" i="5"/>
  <c r="J677" i="5"/>
  <c r="I677" i="5"/>
  <c r="H677" i="5"/>
  <c r="J676" i="5"/>
  <c r="I676" i="5"/>
  <c r="H676" i="5"/>
  <c r="J675" i="5"/>
  <c r="I675" i="5"/>
  <c r="H675" i="5"/>
  <c r="J674" i="5"/>
  <c r="I674" i="5"/>
  <c r="H674" i="5"/>
  <c r="J673" i="5"/>
  <c r="I673" i="5"/>
  <c r="H673" i="5"/>
  <c r="J672" i="5"/>
  <c r="I672" i="5"/>
  <c r="H672" i="5"/>
  <c r="J671" i="5"/>
  <c r="I671" i="5"/>
  <c r="H671" i="5"/>
  <c r="J670" i="5"/>
  <c r="I670" i="5"/>
  <c r="H670" i="5"/>
  <c r="J669" i="5"/>
  <c r="I669" i="5"/>
  <c r="H669" i="5"/>
  <c r="J668" i="5"/>
  <c r="I668" i="5"/>
  <c r="H668" i="5"/>
  <c r="J667" i="5"/>
  <c r="I667" i="5"/>
  <c r="H667" i="5"/>
  <c r="J666" i="5"/>
  <c r="I666" i="5"/>
  <c r="H666" i="5"/>
  <c r="J665" i="5"/>
  <c r="I665" i="5"/>
  <c r="H665" i="5"/>
  <c r="J664" i="5"/>
  <c r="I664" i="5"/>
  <c r="H664" i="5"/>
  <c r="J663" i="5"/>
  <c r="I663" i="5"/>
  <c r="H663" i="5"/>
  <c r="J662" i="5"/>
  <c r="I662" i="5"/>
  <c r="H662" i="5"/>
  <c r="J661" i="5"/>
  <c r="I661" i="5"/>
  <c r="H661" i="5"/>
  <c r="J660" i="5"/>
  <c r="I660" i="5"/>
  <c r="H660" i="5"/>
  <c r="J659" i="5"/>
  <c r="I659" i="5"/>
  <c r="H659" i="5"/>
  <c r="J658" i="5"/>
  <c r="I658" i="5"/>
  <c r="H658" i="5"/>
  <c r="J657" i="5"/>
  <c r="I657" i="5"/>
  <c r="H657" i="5"/>
  <c r="J656" i="5"/>
  <c r="I656" i="5"/>
  <c r="H656" i="5"/>
  <c r="J655" i="5"/>
  <c r="I655" i="5"/>
  <c r="H655" i="5"/>
  <c r="J654" i="5"/>
  <c r="I654" i="5"/>
  <c r="H654" i="5"/>
  <c r="J653" i="5"/>
  <c r="I653" i="5"/>
  <c r="H653" i="5"/>
  <c r="J652" i="5"/>
  <c r="I652" i="5"/>
  <c r="H652" i="5"/>
  <c r="J651" i="5"/>
  <c r="I651" i="5"/>
  <c r="H651" i="5"/>
  <c r="J650" i="5"/>
  <c r="I650" i="5"/>
  <c r="H650" i="5"/>
  <c r="J649" i="5"/>
  <c r="I649" i="5"/>
  <c r="H649" i="5"/>
  <c r="J648" i="5"/>
  <c r="I648" i="5"/>
  <c r="H648" i="5"/>
  <c r="J647" i="5"/>
  <c r="I647" i="5"/>
  <c r="H647" i="5"/>
  <c r="J646" i="5"/>
  <c r="I646" i="5"/>
  <c r="H646" i="5"/>
  <c r="J645" i="5"/>
  <c r="I645" i="5"/>
  <c r="H645" i="5"/>
  <c r="J644" i="5"/>
  <c r="I644" i="5"/>
  <c r="H644" i="5"/>
  <c r="J643" i="5"/>
  <c r="I643" i="5"/>
  <c r="H643" i="5"/>
  <c r="J642" i="5"/>
  <c r="I642" i="5"/>
  <c r="H642" i="5"/>
  <c r="J641" i="5"/>
  <c r="I641" i="5"/>
  <c r="H641" i="5"/>
  <c r="J640" i="5"/>
  <c r="I640" i="5"/>
  <c r="H640" i="5"/>
  <c r="J639" i="5"/>
  <c r="I639" i="5"/>
  <c r="H639" i="5"/>
  <c r="J638" i="5"/>
  <c r="I638" i="5"/>
  <c r="H638" i="5"/>
  <c r="J637" i="5"/>
  <c r="I637" i="5"/>
  <c r="H637" i="5"/>
  <c r="J636" i="5"/>
  <c r="I636" i="5"/>
  <c r="H636" i="5"/>
  <c r="J635" i="5"/>
  <c r="I635" i="5"/>
  <c r="H635" i="5"/>
  <c r="J634" i="5"/>
  <c r="I634" i="5"/>
  <c r="H634" i="5"/>
  <c r="J633" i="5"/>
  <c r="I633" i="5"/>
  <c r="H633" i="5"/>
  <c r="J632" i="5"/>
  <c r="I632" i="5"/>
  <c r="H632" i="5"/>
  <c r="J631" i="5"/>
  <c r="I631" i="5"/>
  <c r="H631" i="5"/>
  <c r="J630" i="5"/>
  <c r="I630" i="5"/>
  <c r="H630" i="5"/>
  <c r="J629" i="5"/>
  <c r="I629" i="5"/>
  <c r="H629" i="5"/>
  <c r="J628" i="5"/>
  <c r="I628" i="5"/>
  <c r="H628" i="5"/>
  <c r="J627" i="5"/>
  <c r="I627" i="5"/>
  <c r="H627" i="5"/>
  <c r="J626" i="5"/>
  <c r="I626" i="5"/>
  <c r="H626" i="5"/>
  <c r="J625" i="5"/>
  <c r="I625" i="5"/>
  <c r="H625" i="5"/>
  <c r="J624" i="5"/>
  <c r="I624" i="5"/>
  <c r="H624" i="5"/>
  <c r="J623" i="5"/>
  <c r="I623" i="5"/>
  <c r="H623" i="5"/>
  <c r="J622" i="5"/>
  <c r="I622" i="5"/>
  <c r="H622" i="5"/>
  <c r="J621" i="5"/>
  <c r="I621" i="5"/>
  <c r="H621" i="5"/>
  <c r="J620" i="5"/>
  <c r="I620" i="5"/>
  <c r="H620" i="5"/>
  <c r="J619" i="5"/>
  <c r="I619" i="5"/>
  <c r="H619" i="5"/>
  <c r="J618" i="5"/>
  <c r="I618" i="5"/>
  <c r="H618" i="5"/>
  <c r="J617" i="5"/>
  <c r="I617" i="5"/>
  <c r="H617" i="5"/>
  <c r="J616" i="5"/>
  <c r="I616" i="5"/>
  <c r="H616" i="5"/>
  <c r="J615" i="5"/>
  <c r="I615" i="5"/>
  <c r="H615" i="5"/>
  <c r="J614" i="5"/>
  <c r="I614" i="5"/>
  <c r="H614" i="5"/>
  <c r="J613" i="5"/>
  <c r="I613" i="5"/>
  <c r="H613" i="5"/>
  <c r="J612" i="5"/>
  <c r="I612" i="5"/>
  <c r="H612" i="5"/>
  <c r="J611" i="5"/>
  <c r="I611" i="5"/>
  <c r="H611" i="5"/>
  <c r="J610" i="5"/>
  <c r="I610" i="5"/>
  <c r="H610" i="5"/>
  <c r="J609" i="5"/>
  <c r="I609" i="5"/>
  <c r="H609" i="5"/>
  <c r="J608" i="5"/>
  <c r="I608" i="5"/>
  <c r="H608" i="5"/>
  <c r="J607" i="5"/>
  <c r="I607" i="5"/>
  <c r="H607" i="5"/>
  <c r="J606" i="5"/>
  <c r="I606" i="5"/>
  <c r="H606" i="5"/>
  <c r="J605" i="5"/>
  <c r="I605" i="5"/>
  <c r="H605" i="5"/>
  <c r="J604" i="5"/>
  <c r="I604" i="5"/>
  <c r="H604" i="5"/>
  <c r="J603" i="5"/>
  <c r="I603" i="5"/>
  <c r="H603" i="5"/>
  <c r="J602" i="5"/>
  <c r="I602" i="5"/>
  <c r="H602" i="5"/>
  <c r="J601" i="5"/>
  <c r="I601" i="5"/>
  <c r="H601" i="5"/>
  <c r="J600" i="5"/>
  <c r="I600" i="5"/>
  <c r="H600" i="5"/>
  <c r="J599" i="5"/>
  <c r="I599" i="5"/>
  <c r="H599" i="5"/>
  <c r="J598" i="5"/>
  <c r="I598" i="5"/>
  <c r="H598" i="5"/>
  <c r="J597" i="5"/>
  <c r="I597" i="5"/>
  <c r="H597" i="5"/>
  <c r="J596" i="5"/>
  <c r="I596" i="5"/>
  <c r="H596" i="5"/>
  <c r="J595" i="5"/>
  <c r="I595" i="5"/>
  <c r="H595" i="5"/>
  <c r="J594" i="5"/>
  <c r="I594" i="5"/>
  <c r="H594" i="5"/>
  <c r="J593" i="5"/>
  <c r="I593" i="5"/>
  <c r="H593" i="5"/>
  <c r="J592" i="5"/>
  <c r="I592" i="5"/>
  <c r="H592" i="5"/>
  <c r="J591" i="5"/>
  <c r="I591" i="5"/>
  <c r="H591" i="5"/>
  <c r="J590" i="5"/>
  <c r="I590" i="5"/>
  <c r="H590" i="5"/>
  <c r="J589" i="5"/>
  <c r="I589" i="5"/>
  <c r="H589" i="5"/>
  <c r="J588" i="5"/>
  <c r="I588" i="5"/>
  <c r="H588" i="5"/>
  <c r="J587" i="5"/>
  <c r="I587" i="5"/>
  <c r="H587" i="5"/>
  <c r="J586" i="5"/>
  <c r="I586" i="5"/>
  <c r="H586" i="5"/>
  <c r="J585" i="5"/>
  <c r="I585" i="5"/>
  <c r="H585" i="5"/>
  <c r="J584" i="5"/>
  <c r="I584" i="5"/>
  <c r="H584" i="5"/>
  <c r="J583" i="5"/>
  <c r="I583" i="5"/>
  <c r="H583" i="5"/>
  <c r="J582" i="5"/>
  <c r="I582" i="5"/>
  <c r="H582" i="5"/>
  <c r="J581" i="5"/>
  <c r="I581" i="5"/>
  <c r="H581" i="5"/>
  <c r="J580" i="5"/>
  <c r="I580" i="5"/>
  <c r="H580" i="5"/>
  <c r="J579" i="5"/>
  <c r="I579" i="5"/>
  <c r="H579" i="5"/>
  <c r="J578" i="5"/>
  <c r="I578" i="5"/>
  <c r="H578" i="5"/>
  <c r="J577" i="5"/>
  <c r="I577" i="5"/>
  <c r="H577" i="5"/>
  <c r="J576" i="5"/>
  <c r="I576" i="5"/>
  <c r="H576" i="5"/>
  <c r="J575" i="5"/>
  <c r="I575" i="5"/>
  <c r="H575" i="5"/>
  <c r="J574" i="5"/>
  <c r="I574" i="5"/>
  <c r="H574" i="5"/>
  <c r="J573" i="5"/>
  <c r="I573" i="5"/>
  <c r="H573" i="5"/>
  <c r="J572" i="5"/>
  <c r="I572" i="5"/>
  <c r="H572" i="5"/>
  <c r="J571" i="5"/>
  <c r="I571" i="5"/>
  <c r="H571" i="5"/>
  <c r="J570" i="5"/>
  <c r="I570" i="5"/>
  <c r="H570" i="5"/>
  <c r="J569" i="5"/>
  <c r="I569" i="5"/>
  <c r="H569" i="5"/>
  <c r="J568" i="5"/>
  <c r="I568" i="5"/>
  <c r="H568" i="5"/>
  <c r="J567" i="5"/>
  <c r="I567" i="5"/>
  <c r="H567" i="5"/>
  <c r="J566" i="5"/>
  <c r="I566" i="5"/>
  <c r="H566" i="5"/>
  <c r="J565" i="5"/>
  <c r="I565" i="5"/>
  <c r="H565" i="5"/>
  <c r="J564" i="5"/>
  <c r="I564" i="5"/>
  <c r="H564" i="5"/>
  <c r="J563" i="5"/>
  <c r="I563" i="5"/>
  <c r="H563" i="5"/>
  <c r="J562" i="5"/>
  <c r="I562" i="5"/>
  <c r="H562" i="5"/>
  <c r="J561" i="5"/>
  <c r="I561" i="5"/>
  <c r="H561" i="5"/>
  <c r="J560" i="5"/>
  <c r="I560" i="5"/>
  <c r="H560" i="5"/>
  <c r="J559" i="5"/>
  <c r="I559" i="5"/>
  <c r="H559" i="5"/>
  <c r="J558" i="5"/>
  <c r="I558" i="5"/>
  <c r="H558" i="5"/>
  <c r="J557" i="5"/>
  <c r="I557" i="5"/>
  <c r="H557" i="5"/>
  <c r="J556" i="5"/>
  <c r="I556" i="5"/>
  <c r="H556" i="5"/>
  <c r="J555" i="5"/>
  <c r="I555" i="5"/>
  <c r="H555" i="5"/>
  <c r="J554" i="5"/>
  <c r="I554" i="5"/>
  <c r="H554" i="5"/>
  <c r="J553" i="5"/>
  <c r="I553" i="5"/>
  <c r="H553" i="5"/>
  <c r="J552" i="5"/>
  <c r="I552" i="5"/>
  <c r="H552" i="5"/>
  <c r="J551" i="5"/>
  <c r="I551" i="5"/>
  <c r="H551" i="5"/>
  <c r="J550" i="5"/>
  <c r="I550" i="5"/>
  <c r="H550" i="5"/>
  <c r="J549" i="5"/>
  <c r="I549" i="5"/>
  <c r="H549" i="5"/>
  <c r="J548" i="5"/>
  <c r="I548" i="5"/>
  <c r="H548" i="5"/>
  <c r="J547" i="5"/>
  <c r="I547" i="5"/>
  <c r="H547" i="5"/>
  <c r="J546" i="5"/>
  <c r="I546" i="5"/>
  <c r="H546" i="5"/>
  <c r="J545" i="5"/>
  <c r="I545" i="5"/>
  <c r="H545" i="5"/>
  <c r="J544" i="5"/>
  <c r="I544" i="5"/>
  <c r="H544" i="5"/>
  <c r="J543" i="5"/>
  <c r="I543" i="5"/>
  <c r="H543" i="5"/>
  <c r="J542" i="5"/>
  <c r="I542" i="5"/>
  <c r="H542" i="5"/>
  <c r="J541" i="5"/>
  <c r="I541" i="5"/>
  <c r="H541" i="5"/>
  <c r="J540" i="5"/>
  <c r="I540" i="5"/>
  <c r="H540" i="5"/>
  <c r="J539" i="5"/>
  <c r="I539" i="5"/>
  <c r="H539" i="5"/>
  <c r="J538" i="5"/>
  <c r="I538" i="5"/>
  <c r="H538" i="5"/>
  <c r="J537" i="5"/>
  <c r="I537" i="5"/>
  <c r="H537" i="5"/>
  <c r="J536" i="5"/>
  <c r="I536" i="5"/>
  <c r="H536" i="5"/>
  <c r="J535" i="5"/>
  <c r="I535" i="5"/>
  <c r="H535" i="5"/>
  <c r="J534" i="5"/>
  <c r="I534" i="5"/>
  <c r="H534" i="5"/>
  <c r="J533" i="5"/>
  <c r="I533" i="5"/>
  <c r="H533" i="5"/>
  <c r="J532" i="5"/>
  <c r="I532" i="5"/>
  <c r="H532" i="5"/>
  <c r="J531" i="5"/>
  <c r="I531" i="5"/>
  <c r="H531" i="5"/>
  <c r="J530" i="5"/>
  <c r="I530" i="5"/>
  <c r="H530" i="5"/>
  <c r="J529" i="5"/>
  <c r="I529" i="5"/>
  <c r="H529" i="5"/>
  <c r="J528" i="5"/>
  <c r="I528" i="5"/>
  <c r="H528" i="5"/>
  <c r="J527" i="5"/>
  <c r="I527" i="5"/>
  <c r="H527" i="5"/>
  <c r="J526" i="5"/>
  <c r="I526" i="5"/>
  <c r="H526" i="5"/>
  <c r="J525" i="5"/>
  <c r="I525" i="5"/>
  <c r="H525" i="5"/>
  <c r="J524" i="5"/>
  <c r="I524" i="5"/>
  <c r="H524" i="5"/>
  <c r="J523" i="5"/>
  <c r="I523" i="5"/>
  <c r="H523" i="5"/>
  <c r="J522" i="5"/>
  <c r="I522" i="5"/>
  <c r="H522" i="5"/>
  <c r="J521" i="5"/>
  <c r="I521" i="5"/>
  <c r="H521" i="5"/>
  <c r="J520" i="5"/>
  <c r="I520" i="5"/>
  <c r="H520" i="5"/>
  <c r="J519" i="5"/>
  <c r="I519" i="5"/>
  <c r="H519" i="5"/>
  <c r="J518" i="5"/>
  <c r="I518" i="5"/>
  <c r="H518" i="5"/>
  <c r="J517" i="5"/>
  <c r="I517" i="5"/>
  <c r="H517" i="5"/>
  <c r="J516" i="5"/>
  <c r="I516" i="5"/>
  <c r="H516" i="5"/>
  <c r="J515" i="5"/>
  <c r="I515" i="5"/>
  <c r="H515" i="5"/>
  <c r="J514" i="5"/>
  <c r="I514" i="5"/>
  <c r="H514" i="5"/>
  <c r="J513" i="5"/>
  <c r="I513" i="5"/>
  <c r="H513" i="5"/>
  <c r="J512" i="5"/>
  <c r="I512" i="5"/>
  <c r="H512" i="5"/>
  <c r="J511" i="5"/>
  <c r="I511" i="5"/>
  <c r="H511" i="5"/>
  <c r="J510" i="5"/>
  <c r="I510" i="5"/>
  <c r="H510" i="5"/>
  <c r="J509" i="5"/>
  <c r="I509" i="5"/>
  <c r="H509" i="5"/>
  <c r="J508" i="5"/>
  <c r="I508" i="5"/>
  <c r="H508" i="5"/>
  <c r="J507" i="5"/>
  <c r="I507" i="5"/>
  <c r="H507" i="5"/>
  <c r="J506" i="5"/>
  <c r="I506" i="5"/>
  <c r="H506" i="5"/>
  <c r="J505" i="5"/>
  <c r="I505" i="5"/>
  <c r="H505" i="5"/>
  <c r="J504" i="5"/>
  <c r="I504" i="5"/>
  <c r="H504" i="5"/>
  <c r="J503" i="5"/>
  <c r="I503" i="5"/>
  <c r="H503" i="5"/>
  <c r="J502" i="5"/>
  <c r="I502" i="5"/>
  <c r="H502" i="5"/>
  <c r="J501" i="5"/>
  <c r="I501" i="5"/>
  <c r="H501" i="5"/>
  <c r="J500" i="5"/>
  <c r="I500" i="5"/>
  <c r="H500" i="5"/>
  <c r="J499" i="5"/>
  <c r="I499" i="5"/>
  <c r="H499" i="5"/>
  <c r="J498" i="5"/>
  <c r="I498" i="5"/>
  <c r="H498" i="5"/>
  <c r="J497" i="5"/>
  <c r="I497" i="5"/>
  <c r="H497" i="5"/>
  <c r="J496" i="5"/>
  <c r="I496" i="5"/>
  <c r="H496" i="5"/>
  <c r="J495" i="5"/>
  <c r="I495" i="5"/>
  <c r="H495" i="5"/>
  <c r="J494" i="5"/>
  <c r="I494" i="5"/>
  <c r="H494" i="5"/>
  <c r="J493" i="5"/>
  <c r="I493" i="5"/>
  <c r="H493" i="5"/>
  <c r="J492" i="5"/>
  <c r="I492" i="5"/>
  <c r="H492" i="5"/>
  <c r="J491" i="5"/>
  <c r="I491" i="5"/>
  <c r="H491" i="5"/>
  <c r="J490" i="5"/>
  <c r="I490" i="5"/>
  <c r="H490" i="5"/>
  <c r="J489" i="5"/>
  <c r="I489" i="5"/>
  <c r="H489" i="5"/>
  <c r="J488" i="5"/>
  <c r="I488" i="5"/>
  <c r="H488" i="5"/>
  <c r="J487" i="5"/>
  <c r="I487" i="5"/>
  <c r="H487" i="5"/>
  <c r="J486" i="5"/>
  <c r="I486" i="5"/>
  <c r="H486" i="5"/>
  <c r="J485" i="5"/>
  <c r="I485" i="5"/>
  <c r="H485" i="5"/>
  <c r="J484" i="5"/>
  <c r="I484" i="5"/>
  <c r="H484" i="5"/>
  <c r="J483" i="5"/>
  <c r="I483" i="5"/>
  <c r="H483" i="5"/>
  <c r="J482" i="5"/>
  <c r="I482" i="5"/>
  <c r="H482" i="5"/>
  <c r="J481" i="5"/>
  <c r="I481" i="5"/>
  <c r="H481" i="5"/>
  <c r="J480" i="5"/>
  <c r="I480" i="5"/>
  <c r="H480" i="5"/>
  <c r="J479" i="5"/>
  <c r="I479" i="5"/>
  <c r="H479" i="5"/>
  <c r="J478" i="5"/>
  <c r="I478" i="5"/>
  <c r="H478" i="5"/>
  <c r="J477" i="5"/>
  <c r="I477" i="5"/>
  <c r="H477" i="5"/>
  <c r="J476" i="5"/>
  <c r="I476" i="5"/>
  <c r="H476" i="5"/>
  <c r="J475" i="5"/>
  <c r="I475" i="5"/>
  <c r="H475" i="5"/>
  <c r="J474" i="5"/>
  <c r="I474" i="5"/>
  <c r="H474" i="5"/>
  <c r="J473" i="5"/>
  <c r="I473" i="5"/>
  <c r="H473" i="5"/>
  <c r="J472" i="5"/>
  <c r="I472" i="5"/>
  <c r="H472" i="5"/>
  <c r="J471" i="5"/>
  <c r="I471" i="5"/>
  <c r="H471" i="5"/>
  <c r="J470" i="5"/>
  <c r="I470" i="5"/>
  <c r="H470" i="5"/>
  <c r="J469" i="5"/>
  <c r="I469" i="5"/>
  <c r="H469" i="5"/>
  <c r="J468" i="5"/>
  <c r="I468" i="5"/>
  <c r="H468" i="5"/>
  <c r="J467" i="5"/>
  <c r="I467" i="5"/>
  <c r="H467" i="5"/>
  <c r="J466" i="5"/>
  <c r="I466" i="5"/>
  <c r="H466" i="5"/>
  <c r="J465" i="5"/>
  <c r="I465" i="5"/>
  <c r="H465" i="5"/>
  <c r="J464" i="5"/>
  <c r="I464" i="5"/>
  <c r="H464" i="5"/>
  <c r="J463" i="5"/>
  <c r="I463" i="5"/>
  <c r="H463" i="5"/>
  <c r="J462" i="5"/>
  <c r="I462" i="5"/>
  <c r="H462" i="5"/>
  <c r="J461" i="5"/>
  <c r="I461" i="5"/>
  <c r="H461" i="5"/>
  <c r="J460" i="5"/>
  <c r="I460" i="5"/>
  <c r="H460" i="5"/>
  <c r="J459" i="5"/>
  <c r="I459" i="5"/>
  <c r="H459" i="5"/>
  <c r="J458" i="5"/>
  <c r="I458" i="5"/>
  <c r="H458" i="5"/>
  <c r="J457" i="5"/>
  <c r="I457" i="5"/>
  <c r="H457" i="5"/>
  <c r="J456" i="5"/>
  <c r="I456" i="5"/>
  <c r="H456" i="5"/>
  <c r="J455" i="5"/>
  <c r="I455" i="5"/>
  <c r="H455" i="5"/>
  <c r="J454" i="5"/>
  <c r="I454" i="5"/>
  <c r="H454" i="5"/>
  <c r="J453" i="5"/>
  <c r="I453" i="5"/>
  <c r="H453" i="5"/>
  <c r="J452" i="5"/>
  <c r="I452" i="5"/>
  <c r="H452" i="5"/>
  <c r="J451" i="5"/>
  <c r="I451" i="5"/>
  <c r="H451" i="5"/>
  <c r="J450" i="5"/>
  <c r="I450" i="5"/>
  <c r="H450" i="5"/>
  <c r="J449" i="5"/>
  <c r="I449" i="5"/>
  <c r="H449" i="5"/>
  <c r="J448" i="5"/>
  <c r="I448" i="5"/>
  <c r="H448" i="5"/>
  <c r="J447" i="5"/>
  <c r="I447" i="5"/>
  <c r="H447" i="5"/>
  <c r="J446" i="5"/>
  <c r="I446" i="5"/>
  <c r="H446" i="5"/>
  <c r="J445" i="5"/>
  <c r="I445" i="5"/>
  <c r="H445" i="5"/>
  <c r="J444" i="5"/>
  <c r="I444" i="5"/>
  <c r="H444" i="5"/>
  <c r="J443" i="5"/>
  <c r="I443" i="5"/>
  <c r="H443" i="5"/>
  <c r="J442" i="5"/>
  <c r="I442" i="5"/>
  <c r="H442" i="5"/>
  <c r="J441" i="5"/>
  <c r="I441" i="5"/>
  <c r="H441" i="5"/>
  <c r="J440" i="5"/>
  <c r="I440" i="5"/>
  <c r="H440" i="5"/>
  <c r="J439" i="5"/>
  <c r="I439" i="5"/>
  <c r="H439" i="5"/>
  <c r="J438" i="5"/>
  <c r="I438" i="5"/>
  <c r="H438" i="5"/>
  <c r="J437" i="5"/>
  <c r="I437" i="5"/>
  <c r="H437" i="5"/>
  <c r="J436" i="5"/>
  <c r="I436" i="5"/>
  <c r="H436" i="5"/>
  <c r="J435" i="5"/>
  <c r="I435" i="5"/>
  <c r="H435" i="5"/>
  <c r="J434" i="5"/>
  <c r="I434" i="5"/>
  <c r="H434" i="5"/>
  <c r="J433" i="5"/>
  <c r="I433" i="5"/>
  <c r="H433" i="5"/>
  <c r="J432" i="5"/>
  <c r="I432" i="5"/>
  <c r="H432" i="5"/>
  <c r="J431" i="5"/>
  <c r="I431" i="5"/>
  <c r="H431" i="5"/>
  <c r="J430" i="5"/>
  <c r="I430" i="5"/>
  <c r="H430" i="5"/>
  <c r="J429" i="5"/>
  <c r="I429" i="5"/>
  <c r="H429" i="5"/>
  <c r="J428" i="5"/>
  <c r="I428" i="5"/>
  <c r="H428" i="5"/>
  <c r="J427" i="5"/>
  <c r="I427" i="5"/>
  <c r="H427" i="5"/>
  <c r="J426" i="5"/>
  <c r="I426" i="5"/>
  <c r="H426" i="5"/>
  <c r="J425" i="5"/>
  <c r="I425" i="5"/>
  <c r="H425" i="5"/>
  <c r="J424" i="5"/>
  <c r="I424" i="5"/>
  <c r="H424" i="5"/>
  <c r="J423" i="5"/>
  <c r="I423" i="5"/>
  <c r="H423" i="5"/>
  <c r="J422" i="5"/>
  <c r="I422" i="5"/>
  <c r="H422" i="5"/>
  <c r="J421" i="5"/>
  <c r="I421" i="5"/>
  <c r="H421" i="5"/>
  <c r="J420" i="5"/>
  <c r="I420" i="5"/>
  <c r="H420" i="5"/>
  <c r="J419" i="5"/>
  <c r="I419" i="5"/>
  <c r="H419" i="5"/>
  <c r="J418" i="5"/>
  <c r="I418" i="5"/>
  <c r="H418" i="5"/>
  <c r="J417" i="5"/>
  <c r="I417" i="5"/>
  <c r="H417" i="5"/>
  <c r="J416" i="5"/>
  <c r="I416" i="5"/>
  <c r="H416" i="5"/>
  <c r="J415" i="5"/>
  <c r="I415" i="5"/>
  <c r="H415" i="5"/>
  <c r="J414" i="5"/>
  <c r="I414" i="5"/>
  <c r="H414" i="5"/>
  <c r="J413" i="5"/>
  <c r="I413" i="5"/>
  <c r="H413" i="5"/>
  <c r="J412" i="5"/>
  <c r="I412" i="5"/>
  <c r="H412" i="5"/>
  <c r="J411" i="5"/>
  <c r="I411" i="5"/>
  <c r="H411" i="5"/>
  <c r="J410" i="5"/>
  <c r="I410" i="5"/>
  <c r="H410" i="5"/>
  <c r="J409" i="5"/>
  <c r="I409" i="5"/>
  <c r="H409" i="5"/>
  <c r="J408" i="5"/>
  <c r="I408" i="5"/>
  <c r="H408" i="5"/>
  <c r="J407" i="5"/>
  <c r="I407" i="5"/>
  <c r="H407" i="5"/>
  <c r="J406" i="5"/>
  <c r="I406" i="5"/>
  <c r="H406" i="5"/>
  <c r="J405" i="5"/>
  <c r="I405" i="5"/>
  <c r="H405" i="5"/>
  <c r="J404" i="5"/>
  <c r="I404" i="5"/>
  <c r="H404" i="5"/>
  <c r="J403" i="5"/>
  <c r="I403" i="5"/>
  <c r="H403" i="5"/>
  <c r="J402" i="5"/>
  <c r="I402" i="5"/>
  <c r="H402" i="5"/>
  <c r="J401" i="5"/>
  <c r="I401" i="5"/>
  <c r="H401" i="5"/>
  <c r="J400" i="5"/>
  <c r="I400" i="5"/>
  <c r="H400" i="5"/>
  <c r="J399" i="5"/>
  <c r="I399" i="5"/>
  <c r="H399" i="5"/>
  <c r="J398" i="5"/>
  <c r="I398" i="5"/>
  <c r="H398" i="5"/>
  <c r="J397" i="5"/>
  <c r="I397" i="5"/>
  <c r="H397" i="5"/>
  <c r="J396" i="5"/>
  <c r="I396" i="5"/>
  <c r="H396" i="5"/>
  <c r="J395" i="5"/>
  <c r="I395" i="5"/>
  <c r="H395" i="5"/>
  <c r="J394" i="5"/>
  <c r="I394" i="5"/>
  <c r="H394" i="5"/>
  <c r="J393" i="5"/>
  <c r="I393" i="5"/>
  <c r="H393" i="5"/>
  <c r="J392" i="5"/>
  <c r="I392" i="5"/>
  <c r="H392" i="5"/>
  <c r="J391" i="5"/>
  <c r="I391" i="5"/>
  <c r="H391" i="5"/>
  <c r="J390" i="5"/>
  <c r="I390" i="5"/>
  <c r="H390" i="5"/>
  <c r="J389" i="5"/>
  <c r="I389" i="5"/>
  <c r="H389" i="5"/>
  <c r="J388" i="5"/>
  <c r="I388" i="5"/>
  <c r="H388" i="5"/>
  <c r="J387" i="5"/>
  <c r="I387" i="5"/>
  <c r="H387" i="5"/>
  <c r="J386" i="5"/>
  <c r="I386" i="5"/>
  <c r="H386" i="5"/>
  <c r="J385" i="5"/>
  <c r="I385" i="5"/>
  <c r="H385" i="5"/>
  <c r="J384" i="5"/>
  <c r="I384" i="5"/>
  <c r="H384" i="5"/>
  <c r="J383" i="5"/>
  <c r="I383" i="5"/>
  <c r="H383" i="5"/>
  <c r="J382" i="5"/>
  <c r="I382" i="5"/>
  <c r="H382" i="5"/>
  <c r="J381" i="5"/>
  <c r="I381" i="5"/>
  <c r="H381" i="5"/>
  <c r="J380" i="5"/>
  <c r="I380" i="5"/>
  <c r="H380" i="5"/>
  <c r="J379" i="5"/>
  <c r="I379" i="5"/>
  <c r="H379" i="5"/>
  <c r="J378" i="5"/>
  <c r="I378" i="5"/>
  <c r="H378" i="5"/>
  <c r="J377" i="5"/>
  <c r="I377" i="5"/>
  <c r="H377" i="5"/>
  <c r="J376" i="5"/>
  <c r="I376" i="5"/>
  <c r="H376" i="5"/>
  <c r="J375" i="5"/>
  <c r="I375" i="5"/>
  <c r="H375" i="5"/>
  <c r="J374" i="5"/>
  <c r="I374" i="5"/>
  <c r="H374" i="5"/>
  <c r="J373" i="5"/>
  <c r="I373" i="5"/>
  <c r="H373" i="5"/>
  <c r="J372" i="5"/>
  <c r="I372" i="5"/>
  <c r="H372" i="5"/>
  <c r="J371" i="5"/>
  <c r="I371" i="5"/>
  <c r="H371" i="5"/>
  <c r="J370" i="5"/>
  <c r="I370" i="5"/>
  <c r="H370" i="5"/>
  <c r="J369" i="5"/>
  <c r="I369" i="5"/>
  <c r="H369" i="5"/>
  <c r="J368" i="5"/>
  <c r="I368" i="5"/>
  <c r="H368" i="5"/>
  <c r="J367" i="5"/>
  <c r="I367" i="5"/>
  <c r="H367" i="5"/>
  <c r="J366" i="5"/>
  <c r="I366" i="5"/>
  <c r="H366" i="5"/>
  <c r="J365" i="5"/>
  <c r="I365" i="5"/>
  <c r="H365" i="5"/>
  <c r="J364" i="5"/>
  <c r="I364" i="5"/>
  <c r="H364" i="5"/>
  <c r="J363" i="5"/>
  <c r="I363" i="5"/>
  <c r="H363" i="5"/>
  <c r="J362" i="5"/>
  <c r="I362" i="5"/>
  <c r="H362" i="5"/>
  <c r="J361" i="5"/>
  <c r="I361" i="5"/>
  <c r="H361" i="5"/>
  <c r="J360" i="5"/>
  <c r="I360" i="5"/>
  <c r="H360" i="5"/>
  <c r="J359" i="5"/>
  <c r="I359" i="5"/>
  <c r="H359" i="5"/>
  <c r="J358" i="5"/>
  <c r="I358" i="5"/>
  <c r="H358" i="5"/>
  <c r="J357" i="5"/>
  <c r="I357" i="5"/>
  <c r="H357" i="5"/>
  <c r="J356" i="5"/>
  <c r="I356" i="5"/>
  <c r="H356" i="5"/>
  <c r="J355" i="5"/>
  <c r="I355" i="5"/>
  <c r="H355" i="5"/>
  <c r="J354" i="5"/>
  <c r="I354" i="5"/>
  <c r="H354" i="5"/>
  <c r="J353" i="5"/>
  <c r="I353" i="5"/>
  <c r="H353" i="5"/>
  <c r="J352" i="5"/>
  <c r="I352" i="5"/>
  <c r="H352" i="5"/>
  <c r="J351" i="5"/>
  <c r="I351" i="5"/>
  <c r="H351" i="5"/>
  <c r="J350" i="5"/>
  <c r="I350" i="5"/>
  <c r="H350" i="5"/>
  <c r="J349" i="5"/>
  <c r="I349" i="5"/>
  <c r="H349" i="5"/>
  <c r="J348" i="5"/>
  <c r="I348" i="5"/>
  <c r="H348" i="5"/>
  <c r="J347" i="5"/>
  <c r="I347" i="5"/>
  <c r="H347" i="5"/>
  <c r="J346" i="5"/>
  <c r="I346" i="5"/>
  <c r="H346" i="5"/>
  <c r="J345" i="5"/>
  <c r="I345" i="5"/>
  <c r="H345" i="5"/>
  <c r="J344" i="5"/>
  <c r="I344" i="5"/>
  <c r="H344" i="5"/>
  <c r="J343" i="5"/>
  <c r="I343" i="5"/>
  <c r="H343" i="5"/>
  <c r="J342" i="5"/>
  <c r="I342" i="5"/>
  <c r="H342" i="5"/>
  <c r="J341" i="5"/>
  <c r="I341" i="5"/>
  <c r="H341" i="5"/>
  <c r="J340" i="5"/>
  <c r="I340" i="5"/>
  <c r="H340" i="5"/>
  <c r="J339" i="5"/>
  <c r="I339" i="5"/>
  <c r="H339" i="5"/>
  <c r="J338" i="5"/>
  <c r="I338" i="5"/>
  <c r="H338" i="5"/>
  <c r="J337" i="5"/>
  <c r="I337" i="5"/>
  <c r="H337" i="5"/>
  <c r="J336" i="5"/>
  <c r="I336" i="5"/>
  <c r="H336" i="5"/>
  <c r="J335" i="5"/>
  <c r="I335" i="5"/>
  <c r="H335" i="5"/>
  <c r="J334" i="5"/>
  <c r="I334" i="5"/>
  <c r="H334" i="5"/>
  <c r="J333" i="5"/>
  <c r="I333" i="5"/>
  <c r="H333" i="5"/>
  <c r="J332" i="5"/>
  <c r="I332" i="5"/>
  <c r="H332" i="5"/>
  <c r="J331" i="5"/>
  <c r="I331" i="5"/>
  <c r="H331" i="5"/>
  <c r="J330" i="5"/>
  <c r="I330" i="5"/>
  <c r="H330" i="5"/>
  <c r="J329" i="5"/>
  <c r="I329" i="5"/>
  <c r="H329" i="5"/>
  <c r="J328" i="5"/>
  <c r="I328" i="5"/>
  <c r="H328" i="5"/>
  <c r="J327" i="5"/>
  <c r="I327" i="5"/>
  <c r="H327" i="5"/>
  <c r="J326" i="5"/>
  <c r="I326" i="5"/>
  <c r="H326" i="5"/>
  <c r="J325" i="5"/>
  <c r="I325" i="5"/>
  <c r="H325" i="5"/>
  <c r="J324" i="5"/>
  <c r="I324" i="5"/>
  <c r="H324" i="5"/>
  <c r="J323" i="5"/>
  <c r="I323" i="5"/>
  <c r="H323" i="5"/>
  <c r="J322" i="5"/>
  <c r="I322" i="5"/>
  <c r="H322" i="5"/>
  <c r="J321" i="5"/>
  <c r="I321" i="5"/>
  <c r="H321" i="5"/>
  <c r="J320" i="5"/>
  <c r="I320" i="5"/>
  <c r="H320" i="5"/>
  <c r="J319" i="5"/>
  <c r="I319" i="5"/>
  <c r="H319" i="5"/>
  <c r="J318" i="5"/>
  <c r="I318" i="5"/>
  <c r="H318" i="5"/>
  <c r="J317" i="5"/>
  <c r="I317" i="5"/>
  <c r="H317" i="5"/>
  <c r="J316" i="5"/>
  <c r="I316" i="5"/>
  <c r="H316" i="5"/>
  <c r="J315" i="5"/>
  <c r="I315" i="5"/>
  <c r="H315" i="5"/>
  <c r="J314" i="5"/>
  <c r="I314" i="5"/>
  <c r="H314" i="5"/>
  <c r="J313" i="5"/>
  <c r="I313" i="5"/>
  <c r="H313" i="5"/>
  <c r="J312" i="5"/>
  <c r="I312" i="5"/>
  <c r="H312" i="5"/>
  <c r="J311" i="5"/>
  <c r="I311" i="5"/>
  <c r="H311" i="5"/>
  <c r="J310" i="5"/>
  <c r="I310" i="5"/>
  <c r="H310" i="5"/>
  <c r="J309" i="5"/>
  <c r="I309" i="5"/>
  <c r="H309" i="5"/>
  <c r="J308" i="5"/>
  <c r="I308" i="5"/>
  <c r="H308" i="5"/>
  <c r="J307" i="5"/>
  <c r="I307" i="5"/>
  <c r="H307" i="5"/>
  <c r="J306" i="5"/>
  <c r="I306" i="5"/>
  <c r="H306" i="5"/>
  <c r="J305" i="5"/>
  <c r="I305" i="5"/>
  <c r="H305" i="5"/>
  <c r="J304" i="5"/>
  <c r="I304" i="5"/>
  <c r="H304" i="5"/>
  <c r="J303" i="5"/>
  <c r="I303" i="5"/>
  <c r="H303" i="5"/>
  <c r="J302" i="5"/>
  <c r="I302" i="5"/>
  <c r="H302" i="5"/>
  <c r="J301" i="5"/>
  <c r="I301" i="5"/>
  <c r="H301" i="5"/>
  <c r="J300" i="5"/>
  <c r="I300" i="5"/>
  <c r="H300" i="5"/>
  <c r="J299" i="5"/>
  <c r="I299" i="5"/>
  <c r="H299" i="5"/>
  <c r="J298" i="5"/>
  <c r="I298" i="5"/>
  <c r="H298" i="5"/>
  <c r="J297" i="5"/>
  <c r="I297" i="5"/>
  <c r="H297" i="5"/>
  <c r="J296" i="5"/>
  <c r="I296" i="5"/>
  <c r="H296" i="5"/>
  <c r="J295" i="5"/>
  <c r="I295" i="5"/>
  <c r="H295" i="5"/>
  <c r="J294" i="5"/>
  <c r="I294" i="5"/>
  <c r="H294" i="5"/>
  <c r="J293" i="5"/>
  <c r="I293" i="5"/>
  <c r="H293" i="5"/>
  <c r="J292" i="5"/>
  <c r="I292" i="5"/>
  <c r="H292" i="5"/>
  <c r="J291" i="5"/>
  <c r="I291" i="5"/>
  <c r="H291" i="5"/>
  <c r="J290" i="5"/>
  <c r="I290" i="5"/>
  <c r="H290" i="5"/>
  <c r="J289" i="5"/>
  <c r="I289" i="5"/>
  <c r="H289" i="5"/>
  <c r="J288" i="5"/>
  <c r="I288" i="5"/>
  <c r="H288" i="5"/>
  <c r="J287" i="5"/>
  <c r="I287" i="5"/>
  <c r="H287" i="5"/>
  <c r="J286" i="5"/>
  <c r="I286" i="5"/>
  <c r="H286" i="5"/>
  <c r="J285" i="5"/>
  <c r="I285" i="5"/>
  <c r="H285" i="5"/>
  <c r="J284" i="5"/>
  <c r="I284" i="5"/>
  <c r="H284" i="5"/>
  <c r="J283" i="5"/>
  <c r="I283" i="5"/>
  <c r="H283" i="5"/>
  <c r="J282" i="5"/>
  <c r="I282" i="5"/>
  <c r="H282" i="5"/>
  <c r="J281" i="5"/>
  <c r="I281" i="5"/>
  <c r="H281" i="5"/>
  <c r="J280" i="5"/>
  <c r="I280" i="5"/>
  <c r="H280" i="5"/>
  <c r="J279" i="5"/>
  <c r="I279" i="5"/>
  <c r="H279" i="5"/>
  <c r="J278" i="5"/>
  <c r="I278" i="5"/>
  <c r="H278" i="5"/>
  <c r="J277" i="5"/>
  <c r="I277" i="5"/>
  <c r="H277" i="5"/>
  <c r="J276" i="5"/>
  <c r="I276" i="5"/>
  <c r="H276" i="5"/>
  <c r="J275" i="5"/>
  <c r="I275" i="5"/>
  <c r="H275" i="5"/>
  <c r="J274" i="5"/>
  <c r="I274" i="5"/>
  <c r="H274" i="5"/>
  <c r="J273" i="5"/>
  <c r="I273" i="5"/>
  <c r="H273" i="5"/>
  <c r="J272" i="5"/>
  <c r="I272" i="5"/>
  <c r="H272" i="5"/>
  <c r="J271" i="5"/>
  <c r="I271" i="5"/>
  <c r="H271" i="5"/>
  <c r="J270" i="5"/>
  <c r="I270" i="5"/>
  <c r="H270" i="5"/>
  <c r="J269" i="5"/>
  <c r="I269" i="5"/>
  <c r="H269" i="5"/>
  <c r="J268" i="5"/>
  <c r="I268" i="5"/>
  <c r="H268" i="5"/>
  <c r="J267" i="5"/>
  <c r="I267" i="5"/>
  <c r="H267" i="5"/>
  <c r="J266" i="5"/>
  <c r="I266" i="5"/>
  <c r="H266" i="5"/>
  <c r="J265" i="5"/>
  <c r="I265" i="5"/>
  <c r="H265" i="5"/>
  <c r="J264" i="5"/>
  <c r="I264" i="5"/>
  <c r="H264" i="5"/>
  <c r="J263" i="5"/>
  <c r="I263" i="5"/>
  <c r="H263" i="5"/>
  <c r="J262" i="5"/>
  <c r="I262" i="5"/>
  <c r="H262" i="5"/>
  <c r="J261" i="5"/>
  <c r="I261" i="5"/>
  <c r="H261" i="5"/>
  <c r="J260" i="5"/>
  <c r="I260" i="5"/>
  <c r="H260" i="5"/>
  <c r="J259" i="5"/>
  <c r="I259" i="5"/>
  <c r="H259" i="5"/>
  <c r="J258" i="5"/>
  <c r="I258" i="5"/>
  <c r="H258" i="5"/>
  <c r="J257" i="5"/>
  <c r="I257" i="5"/>
  <c r="H257" i="5"/>
  <c r="J256" i="5"/>
  <c r="I256" i="5"/>
  <c r="H256" i="5"/>
  <c r="J255" i="5"/>
  <c r="I255" i="5"/>
  <c r="H255" i="5"/>
  <c r="J254" i="5"/>
  <c r="I254" i="5"/>
  <c r="H254" i="5"/>
  <c r="J253" i="5"/>
  <c r="I253" i="5"/>
  <c r="H253" i="5"/>
  <c r="J252" i="5"/>
  <c r="I252" i="5"/>
  <c r="H252" i="5"/>
  <c r="J251" i="5"/>
  <c r="I251" i="5"/>
  <c r="H251" i="5"/>
  <c r="J250" i="5"/>
  <c r="I250" i="5"/>
  <c r="H250" i="5"/>
  <c r="J249" i="5"/>
  <c r="I249" i="5"/>
  <c r="H249" i="5"/>
  <c r="J248" i="5"/>
  <c r="I248" i="5"/>
  <c r="H248" i="5"/>
  <c r="J247" i="5"/>
  <c r="I247" i="5"/>
  <c r="H247" i="5"/>
  <c r="J246" i="5"/>
  <c r="I246" i="5"/>
  <c r="H246" i="5"/>
  <c r="J245" i="5"/>
  <c r="I245" i="5"/>
  <c r="H245" i="5"/>
  <c r="J244" i="5"/>
  <c r="I244" i="5"/>
  <c r="H244" i="5"/>
  <c r="J243" i="5"/>
  <c r="I243" i="5"/>
  <c r="H243" i="5"/>
  <c r="J242" i="5"/>
  <c r="I242" i="5"/>
  <c r="H242" i="5"/>
  <c r="J241" i="5"/>
  <c r="I241" i="5"/>
  <c r="H241" i="5"/>
  <c r="J240" i="5"/>
  <c r="I240" i="5"/>
  <c r="H240" i="5"/>
  <c r="J239" i="5"/>
  <c r="I239" i="5"/>
  <c r="H239" i="5"/>
  <c r="J238" i="5"/>
  <c r="I238" i="5"/>
  <c r="H238" i="5"/>
  <c r="J237" i="5"/>
  <c r="I237" i="5"/>
  <c r="H237" i="5"/>
  <c r="J236" i="5"/>
  <c r="I236" i="5"/>
  <c r="H236" i="5"/>
  <c r="J235" i="5"/>
  <c r="I235" i="5"/>
  <c r="H235" i="5"/>
  <c r="J234" i="5"/>
  <c r="I234" i="5"/>
  <c r="H234" i="5"/>
  <c r="J233" i="5"/>
  <c r="I233" i="5"/>
  <c r="H233" i="5"/>
  <c r="J232" i="5"/>
  <c r="I232" i="5"/>
  <c r="H232" i="5"/>
  <c r="J231" i="5"/>
  <c r="I231" i="5"/>
  <c r="H231" i="5"/>
  <c r="J230" i="5"/>
  <c r="I230" i="5"/>
  <c r="H230" i="5"/>
  <c r="J229" i="5"/>
  <c r="I229" i="5"/>
  <c r="H229" i="5"/>
  <c r="J228" i="5"/>
  <c r="I228" i="5"/>
  <c r="H228" i="5"/>
  <c r="J227" i="5"/>
  <c r="I227" i="5"/>
  <c r="H227" i="5"/>
  <c r="J226" i="5"/>
  <c r="I226" i="5"/>
  <c r="H226" i="5"/>
  <c r="J225" i="5"/>
  <c r="I225" i="5"/>
  <c r="H225" i="5"/>
  <c r="J224" i="5"/>
  <c r="I224" i="5"/>
  <c r="H224" i="5"/>
  <c r="J223" i="5"/>
  <c r="I223" i="5"/>
  <c r="H223" i="5"/>
  <c r="J222" i="5"/>
  <c r="I222" i="5"/>
  <c r="H222" i="5"/>
  <c r="J221" i="5"/>
  <c r="I221" i="5"/>
  <c r="H221" i="5"/>
  <c r="J220" i="5"/>
  <c r="I220" i="5"/>
  <c r="H220" i="5"/>
  <c r="J219" i="5"/>
  <c r="I219" i="5"/>
  <c r="H219" i="5"/>
  <c r="J218" i="5"/>
  <c r="I218" i="5"/>
  <c r="H218" i="5"/>
  <c r="J217" i="5"/>
  <c r="I217" i="5"/>
  <c r="H217" i="5"/>
  <c r="J216" i="5"/>
  <c r="I216" i="5"/>
  <c r="H216" i="5"/>
  <c r="J215" i="5"/>
  <c r="I215" i="5"/>
  <c r="H215" i="5"/>
  <c r="J214" i="5"/>
  <c r="I214" i="5"/>
  <c r="H214" i="5"/>
  <c r="J213" i="5"/>
  <c r="I213" i="5"/>
  <c r="H213" i="5"/>
  <c r="J212" i="5"/>
  <c r="I212" i="5"/>
  <c r="H212" i="5"/>
  <c r="J211" i="5"/>
  <c r="I211" i="5"/>
  <c r="H211" i="5"/>
  <c r="J210" i="5"/>
  <c r="I210" i="5"/>
  <c r="H210" i="5"/>
  <c r="J209" i="5"/>
  <c r="I209" i="5"/>
  <c r="H209" i="5"/>
  <c r="J208" i="5"/>
  <c r="I208" i="5"/>
  <c r="H208" i="5"/>
  <c r="J207" i="5"/>
  <c r="I207" i="5"/>
  <c r="H207" i="5"/>
  <c r="J206" i="5"/>
  <c r="I206" i="5"/>
  <c r="H206" i="5"/>
  <c r="J205" i="5"/>
  <c r="I205" i="5"/>
  <c r="H205" i="5"/>
  <c r="J204" i="5"/>
  <c r="I204" i="5"/>
  <c r="H204" i="5"/>
  <c r="J203" i="5"/>
  <c r="I203" i="5"/>
  <c r="H203" i="5"/>
  <c r="J202" i="5"/>
  <c r="I202" i="5"/>
  <c r="H202" i="5"/>
  <c r="J201" i="5"/>
  <c r="I201" i="5"/>
  <c r="H201" i="5"/>
  <c r="J200" i="5"/>
  <c r="I200" i="5"/>
  <c r="H200" i="5"/>
  <c r="J199" i="5"/>
  <c r="I199" i="5"/>
  <c r="H199" i="5"/>
  <c r="J198" i="5"/>
  <c r="I198" i="5"/>
  <c r="H198" i="5"/>
  <c r="J197" i="5"/>
  <c r="I197" i="5"/>
  <c r="H197" i="5"/>
  <c r="J196" i="5"/>
  <c r="I196" i="5"/>
  <c r="H196" i="5"/>
  <c r="J195" i="5"/>
  <c r="I195" i="5"/>
  <c r="H195" i="5"/>
  <c r="J194" i="5"/>
  <c r="I194" i="5"/>
  <c r="H194" i="5"/>
  <c r="J193" i="5"/>
  <c r="I193" i="5"/>
  <c r="H193" i="5"/>
  <c r="J192" i="5"/>
  <c r="I192" i="5"/>
  <c r="H192" i="5"/>
  <c r="J191" i="5"/>
  <c r="I191" i="5"/>
  <c r="H191" i="5"/>
  <c r="J190" i="5"/>
  <c r="I190" i="5"/>
  <c r="H190" i="5"/>
  <c r="J189" i="5"/>
  <c r="I189" i="5"/>
  <c r="H189" i="5"/>
  <c r="J188" i="5"/>
  <c r="I188" i="5"/>
  <c r="H188" i="5"/>
  <c r="J187" i="5"/>
  <c r="I187" i="5"/>
  <c r="H187" i="5"/>
  <c r="J186" i="5"/>
  <c r="I186" i="5"/>
  <c r="H186" i="5"/>
  <c r="J185" i="5"/>
  <c r="I185" i="5"/>
  <c r="H185" i="5"/>
  <c r="J184" i="5"/>
  <c r="I184" i="5"/>
  <c r="H184" i="5"/>
  <c r="J183" i="5"/>
  <c r="I183" i="5"/>
  <c r="H183" i="5"/>
  <c r="J182" i="5"/>
  <c r="I182" i="5"/>
  <c r="H182" i="5"/>
  <c r="J181" i="5"/>
  <c r="I181" i="5"/>
  <c r="H181" i="5"/>
  <c r="J180" i="5"/>
  <c r="I180" i="5"/>
  <c r="H180" i="5"/>
  <c r="J179" i="5"/>
  <c r="I179" i="5"/>
  <c r="H179" i="5"/>
  <c r="J178" i="5"/>
  <c r="I178" i="5"/>
  <c r="H178" i="5"/>
  <c r="J177" i="5"/>
  <c r="I177" i="5"/>
  <c r="H177" i="5"/>
  <c r="J176" i="5"/>
  <c r="I176" i="5"/>
  <c r="H176" i="5"/>
  <c r="J175" i="5"/>
  <c r="I175" i="5"/>
  <c r="H175" i="5"/>
  <c r="J174" i="5"/>
  <c r="I174" i="5"/>
  <c r="H174" i="5"/>
  <c r="J173" i="5"/>
  <c r="I173" i="5"/>
  <c r="H173" i="5"/>
  <c r="J172" i="5"/>
  <c r="I172" i="5"/>
  <c r="H172" i="5"/>
  <c r="J171" i="5"/>
  <c r="I171" i="5"/>
  <c r="H171" i="5"/>
  <c r="J170" i="5"/>
  <c r="I170" i="5"/>
  <c r="H170" i="5"/>
  <c r="J169" i="5"/>
  <c r="I169" i="5"/>
  <c r="H169" i="5"/>
  <c r="J168" i="5"/>
  <c r="I168" i="5"/>
  <c r="H168" i="5"/>
  <c r="J167" i="5"/>
  <c r="I167" i="5"/>
  <c r="H167" i="5"/>
  <c r="J166" i="5"/>
  <c r="I166" i="5"/>
  <c r="H166" i="5"/>
  <c r="J165" i="5"/>
  <c r="I165" i="5"/>
  <c r="H165" i="5"/>
  <c r="J164" i="5"/>
  <c r="I164" i="5"/>
  <c r="H164" i="5"/>
  <c r="J163" i="5"/>
  <c r="I163" i="5"/>
  <c r="H163" i="5"/>
  <c r="J162" i="5"/>
  <c r="I162" i="5"/>
  <c r="H162" i="5"/>
  <c r="J161" i="5"/>
  <c r="I161" i="5"/>
  <c r="H161" i="5"/>
  <c r="J160" i="5"/>
  <c r="I160" i="5"/>
  <c r="H160" i="5"/>
  <c r="J159" i="5"/>
  <c r="I159" i="5"/>
  <c r="H159" i="5"/>
  <c r="J158" i="5"/>
  <c r="I158" i="5"/>
  <c r="H158" i="5"/>
  <c r="J157" i="5"/>
  <c r="I157" i="5"/>
  <c r="H157" i="5"/>
  <c r="J156" i="5"/>
  <c r="I156" i="5"/>
  <c r="H156" i="5"/>
  <c r="J155" i="5"/>
  <c r="I155" i="5"/>
  <c r="H155" i="5"/>
  <c r="J154" i="5"/>
  <c r="I154" i="5"/>
  <c r="H154" i="5"/>
  <c r="J153" i="5"/>
  <c r="I153" i="5"/>
  <c r="H153" i="5"/>
  <c r="J152" i="5"/>
  <c r="I152" i="5"/>
  <c r="H152" i="5"/>
  <c r="J151" i="5"/>
  <c r="I151" i="5"/>
  <c r="H151" i="5"/>
  <c r="J150" i="5"/>
  <c r="I150" i="5"/>
  <c r="H150" i="5"/>
  <c r="J149" i="5"/>
  <c r="I149" i="5"/>
  <c r="H149" i="5"/>
  <c r="J148" i="5"/>
  <c r="I148" i="5"/>
  <c r="H148" i="5"/>
  <c r="J147" i="5"/>
  <c r="I147" i="5"/>
  <c r="H147" i="5"/>
  <c r="J146" i="5"/>
  <c r="I146" i="5"/>
  <c r="H146" i="5"/>
  <c r="J145" i="5"/>
  <c r="I145" i="5"/>
  <c r="H145" i="5"/>
  <c r="J144" i="5"/>
  <c r="I144" i="5"/>
  <c r="H144" i="5"/>
  <c r="J143" i="5"/>
  <c r="I143" i="5"/>
  <c r="H143" i="5"/>
  <c r="J142" i="5"/>
  <c r="I142" i="5"/>
  <c r="H142" i="5"/>
  <c r="J141" i="5"/>
  <c r="I141" i="5"/>
  <c r="H141" i="5"/>
  <c r="J140" i="5"/>
  <c r="I140" i="5"/>
  <c r="H140" i="5"/>
  <c r="J139" i="5"/>
  <c r="I139" i="5"/>
  <c r="H139" i="5"/>
  <c r="J138" i="5"/>
  <c r="I138" i="5"/>
  <c r="H138" i="5"/>
  <c r="J137" i="5"/>
  <c r="I137" i="5"/>
  <c r="H137" i="5"/>
  <c r="J136" i="5"/>
  <c r="I136" i="5"/>
  <c r="H136" i="5"/>
  <c r="J135" i="5"/>
  <c r="I135" i="5"/>
  <c r="H135" i="5"/>
  <c r="J134" i="5"/>
  <c r="I134" i="5"/>
  <c r="H134" i="5"/>
  <c r="J133" i="5"/>
  <c r="I133" i="5"/>
  <c r="H133" i="5"/>
  <c r="J132" i="5"/>
  <c r="I132" i="5"/>
  <c r="H132" i="5"/>
  <c r="J131" i="5"/>
  <c r="I131" i="5"/>
  <c r="H131" i="5"/>
  <c r="J130" i="5"/>
  <c r="I130" i="5"/>
  <c r="H130" i="5"/>
  <c r="J129" i="5"/>
  <c r="I129" i="5"/>
  <c r="H129" i="5"/>
  <c r="J128" i="5"/>
  <c r="I128" i="5"/>
  <c r="H128" i="5"/>
  <c r="J127" i="5"/>
  <c r="I127" i="5"/>
  <c r="H127" i="5"/>
  <c r="J126" i="5"/>
  <c r="I126" i="5"/>
  <c r="H126" i="5"/>
  <c r="J125" i="5"/>
  <c r="I125" i="5"/>
  <c r="H125" i="5"/>
  <c r="J124" i="5"/>
  <c r="I124" i="5"/>
  <c r="H124" i="5"/>
  <c r="J123" i="5"/>
  <c r="I123" i="5"/>
  <c r="H123" i="5"/>
  <c r="J122" i="5"/>
  <c r="I122" i="5"/>
  <c r="H122" i="5"/>
  <c r="J121" i="5"/>
  <c r="I121" i="5"/>
  <c r="H121" i="5"/>
  <c r="J120" i="5"/>
  <c r="I120" i="5"/>
  <c r="H120" i="5"/>
  <c r="J119" i="5"/>
  <c r="I119" i="5"/>
  <c r="H119" i="5"/>
  <c r="J118" i="5"/>
  <c r="I118" i="5"/>
  <c r="H118" i="5"/>
  <c r="J117" i="5"/>
  <c r="I117" i="5"/>
  <c r="H117" i="5"/>
  <c r="J116" i="5"/>
  <c r="I116" i="5"/>
  <c r="H116" i="5"/>
  <c r="J115" i="5"/>
  <c r="I115" i="5"/>
  <c r="H115" i="5"/>
  <c r="J114" i="5"/>
  <c r="I114" i="5"/>
  <c r="H114" i="5"/>
  <c r="J113" i="5"/>
  <c r="I113" i="5"/>
  <c r="H113" i="5"/>
  <c r="J112" i="5"/>
  <c r="I112" i="5"/>
  <c r="H112" i="5"/>
  <c r="J111" i="5"/>
  <c r="I111" i="5"/>
  <c r="H111" i="5"/>
  <c r="J110" i="5"/>
  <c r="I110" i="5"/>
  <c r="H110" i="5"/>
  <c r="J109" i="5"/>
  <c r="I109" i="5"/>
  <c r="H109" i="5"/>
  <c r="J108" i="5"/>
  <c r="I108" i="5"/>
  <c r="H108" i="5"/>
  <c r="J107" i="5"/>
  <c r="I107" i="5"/>
  <c r="H107" i="5"/>
  <c r="J106" i="5"/>
  <c r="I106" i="5"/>
  <c r="H106" i="5"/>
  <c r="J105" i="5"/>
  <c r="I105" i="5"/>
  <c r="H105" i="5"/>
  <c r="J104" i="5"/>
  <c r="I104" i="5"/>
  <c r="H104" i="5"/>
  <c r="J103" i="5"/>
  <c r="I103" i="5"/>
  <c r="H103" i="5"/>
  <c r="J102" i="5"/>
  <c r="I102" i="5"/>
  <c r="H102" i="5"/>
  <c r="J101" i="5"/>
  <c r="I101" i="5"/>
  <c r="H101" i="5"/>
  <c r="J100" i="5"/>
  <c r="I100" i="5"/>
  <c r="H100" i="5"/>
  <c r="J99" i="5"/>
  <c r="I99" i="5"/>
  <c r="H99" i="5"/>
  <c r="J98" i="5"/>
  <c r="I98" i="5"/>
  <c r="H98" i="5"/>
  <c r="J97" i="5"/>
  <c r="I97" i="5"/>
  <c r="H97" i="5"/>
  <c r="J96" i="5"/>
  <c r="I96" i="5"/>
  <c r="H96" i="5"/>
  <c r="J95" i="5"/>
  <c r="I95" i="5"/>
  <c r="H95" i="5"/>
  <c r="J94" i="5"/>
  <c r="I94" i="5"/>
  <c r="H94" i="5"/>
  <c r="J93" i="5"/>
  <c r="I93" i="5"/>
  <c r="H93" i="5"/>
  <c r="J92" i="5"/>
  <c r="I92" i="5"/>
  <c r="H92" i="5"/>
  <c r="J91" i="5"/>
  <c r="I91" i="5"/>
  <c r="H91" i="5"/>
  <c r="J90" i="5"/>
  <c r="I90" i="5"/>
  <c r="H90" i="5"/>
  <c r="J89" i="5"/>
  <c r="I89" i="5"/>
  <c r="H89" i="5"/>
  <c r="J88" i="5"/>
  <c r="I88" i="5"/>
  <c r="H88" i="5"/>
  <c r="J87" i="5"/>
  <c r="I87" i="5"/>
  <c r="H87" i="5"/>
  <c r="J86" i="5"/>
  <c r="I86" i="5"/>
  <c r="H86" i="5"/>
  <c r="J85" i="5"/>
  <c r="I85" i="5"/>
  <c r="H85" i="5"/>
  <c r="J84" i="5"/>
  <c r="I84" i="5"/>
  <c r="H84" i="5"/>
  <c r="J83" i="5"/>
  <c r="I83" i="5"/>
  <c r="H83" i="5"/>
  <c r="J82" i="5"/>
  <c r="I82" i="5"/>
  <c r="H82" i="5"/>
  <c r="J81" i="5"/>
  <c r="I81" i="5"/>
  <c r="H81" i="5"/>
  <c r="J80" i="5"/>
  <c r="I80" i="5"/>
  <c r="H80" i="5"/>
  <c r="J79" i="5"/>
  <c r="I79" i="5"/>
  <c r="H79" i="5"/>
  <c r="J78" i="5"/>
  <c r="I78" i="5"/>
  <c r="H78" i="5"/>
  <c r="J77" i="5"/>
  <c r="I77" i="5"/>
  <c r="H77" i="5"/>
  <c r="J76" i="5"/>
  <c r="I76" i="5"/>
  <c r="H76" i="5"/>
  <c r="J75" i="5"/>
  <c r="I75" i="5"/>
  <c r="H75" i="5"/>
  <c r="J74" i="5"/>
  <c r="I74" i="5"/>
  <c r="H74" i="5"/>
  <c r="J73" i="5"/>
  <c r="I73" i="5"/>
  <c r="H73" i="5"/>
  <c r="J72" i="5"/>
  <c r="I72" i="5"/>
  <c r="H72" i="5"/>
  <c r="J71" i="5"/>
  <c r="I71" i="5"/>
  <c r="H71" i="5"/>
  <c r="J70" i="5"/>
  <c r="I70" i="5"/>
  <c r="H70" i="5"/>
  <c r="J69" i="5"/>
  <c r="I69" i="5"/>
  <c r="H69" i="5"/>
  <c r="J68" i="5"/>
  <c r="I68" i="5"/>
  <c r="H68" i="5"/>
  <c r="J67" i="5"/>
  <c r="I67" i="5"/>
  <c r="H67" i="5"/>
  <c r="J66" i="5"/>
  <c r="I66" i="5"/>
  <c r="H66" i="5"/>
  <c r="J65" i="5"/>
  <c r="I65" i="5"/>
  <c r="H65" i="5"/>
  <c r="J64" i="5"/>
  <c r="I64" i="5"/>
  <c r="H64" i="5"/>
  <c r="J63" i="5"/>
  <c r="I63" i="5"/>
  <c r="H63" i="5"/>
  <c r="J62" i="5"/>
  <c r="I62" i="5"/>
  <c r="H62" i="5"/>
  <c r="J61" i="5"/>
  <c r="I61" i="5"/>
  <c r="H61" i="5"/>
  <c r="J60" i="5"/>
  <c r="I60" i="5"/>
  <c r="H60" i="5"/>
  <c r="J59" i="5"/>
  <c r="I59" i="5"/>
  <c r="H59" i="5"/>
  <c r="J58" i="5"/>
  <c r="I58" i="5"/>
  <c r="H58" i="5"/>
  <c r="J57" i="5"/>
  <c r="I57" i="5"/>
  <c r="H57" i="5"/>
  <c r="J56" i="5"/>
  <c r="I56" i="5"/>
  <c r="H56" i="5"/>
  <c r="J55" i="5"/>
  <c r="I55" i="5"/>
  <c r="H55" i="5"/>
  <c r="J54" i="5"/>
  <c r="I54" i="5"/>
  <c r="H54" i="5"/>
  <c r="J53" i="5"/>
  <c r="I53" i="5"/>
  <c r="H53" i="5"/>
  <c r="J52" i="5"/>
  <c r="I52" i="5"/>
  <c r="H52" i="5"/>
  <c r="J51" i="5"/>
  <c r="I51" i="5"/>
  <c r="H51" i="5"/>
  <c r="J50" i="5"/>
  <c r="I50" i="5"/>
  <c r="H50" i="5"/>
  <c r="J49" i="5"/>
  <c r="I49" i="5"/>
  <c r="H49" i="5"/>
  <c r="J48" i="5"/>
  <c r="I48" i="5"/>
  <c r="H48" i="5"/>
  <c r="J47" i="5"/>
  <c r="I47" i="5"/>
  <c r="H47" i="5"/>
  <c r="J46" i="5"/>
  <c r="I46" i="5"/>
  <c r="H46" i="5"/>
  <c r="J45" i="5"/>
  <c r="I45" i="5"/>
  <c r="H45" i="5"/>
  <c r="J44" i="5"/>
  <c r="I44" i="5"/>
  <c r="H44" i="5"/>
  <c r="J43" i="5"/>
  <c r="I43" i="5"/>
  <c r="H43" i="5"/>
  <c r="J42" i="5"/>
  <c r="I42" i="5"/>
  <c r="H42" i="5"/>
  <c r="J41" i="5"/>
  <c r="I41" i="5"/>
  <c r="H41" i="5"/>
  <c r="J40" i="5"/>
  <c r="I40" i="5"/>
  <c r="H40" i="5"/>
  <c r="J39" i="5"/>
  <c r="I39" i="5"/>
  <c r="H39" i="5"/>
  <c r="J38" i="5"/>
  <c r="I38" i="5"/>
  <c r="H38" i="5"/>
  <c r="J37" i="5"/>
  <c r="I37" i="5"/>
  <c r="H37" i="5"/>
  <c r="J36" i="5"/>
  <c r="I36" i="5"/>
  <c r="H36" i="5"/>
  <c r="J35" i="5"/>
  <c r="I35" i="5"/>
  <c r="H35" i="5"/>
  <c r="J34" i="5"/>
  <c r="I34" i="5"/>
  <c r="H34" i="5"/>
  <c r="J33" i="5"/>
  <c r="I33" i="5"/>
  <c r="H33" i="5"/>
  <c r="J32" i="5"/>
  <c r="I32" i="5"/>
  <c r="H32" i="5"/>
  <c r="J31" i="5"/>
  <c r="I31" i="5"/>
  <c r="H31" i="5"/>
  <c r="J30" i="5"/>
  <c r="I30" i="5"/>
  <c r="H30" i="5"/>
  <c r="J29" i="5"/>
  <c r="I29" i="5"/>
  <c r="H29" i="5"/>
  <c r="J28" i="5"/>
  <c r="I28" i="5"/>
  <c r="H28" i="5"/>
  <c r="J27" i="5"/>
  <c r="I27" i="5"/>
  <c r="H27" i="5"/>
  <c r="J26" i="5"/>
  <c r="I26" i="5"/>
  <c r="H26" i="5"/>
  <c r="J25" i="5"/>
  <c r="I25" i="5"/>
  <c r="H25" i="5"/>
  <c r="J24" i="5"/>
  <c r="I24" i="5"/>
  <c r="H24" i="5"/>
  <c r="J23" i="5"/>
  <c r="I23" i="5"/>
  <c r="H23" i="5"/>
  <c r="J22" i="5"/>
  <c r="I22" i="5"/>
  <c r="H22" i="5"/>
  <c r="J21" i="5"/>
  <c r="I21" i="5"/>
  <c r="H21" i="5"/>
  <c r="J20" i="5"/>
  <c r="I20" i="5"/>
  <c r="H20" i="5"/>
  <c r="J19" i="5"/>
  <c r="I19" i="5"/>
  <c r="H19" i="5"/>
  <c r="J18" i="5"/>
  <c r="I18" i="5"/>
  <c r="H18" i="5"/>
  <c r="J17" i="5"/>
  <c r="I17" i="5"/>
  <c r="H17" i="5"/>
  <c r="J16" i="5"/>
  <c r="I16" i="5"/>
  <c r="H16" i="5"/>
  <c r="J15" i="5"/>
  <c r="I15" i="5"/>
  <c r="H15" i="5"/>
  <c r="J14" i="5"/>
  <c r="I14" i="5"/>
  <c r="H14" i="5"/>
  <c r="J13" i="5"/>
  <c r="I13" i="5"/>
  <c r="H13" i="5"/>
  <c r="J12" i="5"/>
  <c r="I12" i="5"/>
  <c r="H12" i="5"/>
  <c r="J11" i="5"/>
  <c r="I11" i="5"/>
  <c r="H11" i="5"/>
  <c r="J10" i="5"/>
  <c r="I10" i="5"/>
  <c r="H10" i="5"/>
  <c r="J9" i="5"/>
  <c r="I9" i="5"/>
  <c r="H9" i="5"/>
  <c r="J8" i="5"/>
  <c r="I8" i="5"/>
  <c r="H8" i="5"/>
  <c r="J7" i="5"/>
  <c r="I7" i="5"/>
  <c r="H7" i="5"/>
  <c r="J6" i="5"/>
  <c r="I6" i="5"/>
  <c r="H6" i="5"/>
  <c r="J5" i="5"/>
  <c r="I5" i="5"/>
  <c r="H5" i="5"/>
  <c r="J4" i="5"/>
  <c r="I4" i="5"/>
  <c r="H4" i="5"/>
  <c r="L18" i="18"/>
  <c r="L20" i="18"/>
  <c r="J18" i="18"/>
  <c r="J20" i="18"/>
  <c r="H18" i="18"/>
  <c r="H20" i="18"/>
  <c r="F18" i="18"/>
  <c r="F20" i="18"/>
  <c r="D18" i="18"/>
  <c r="D20" i="18"/>
  <c r="L15" i="18"/>
  <c r="J15" i="18"/>
  <c r="H15" i="18"/>
  <c r="F15" i="18"/>
  <c r="D15" i="18"/>
  <c r="F18" i="6"/>
  <c r="G18" i="6"/>
  <c r="H18" i="6"/>
  <c r="I18" i="6"/>
  <c r="J18" i="6"/>
  <c r="F19" i="6"/>
  <c r="G19" i="6"/>
  <c r="H19" i="6"/>
  <c r="I19" i="6"/>
  <c r="J19" i="6"/>
  <c r="C21" i="4"/>
  <c r="O21" i="4"/>
  <c r="N21" i="4"/>
  <c r="M21" i="4"/>
  <c r="L21" i="4"/>
  <c r="K21" i="4"/>
  <c r="J21" i="4"/>
  <c r="I21" i="4"/>
  <c r="H21" i="4"/>
  <c r="G21" i="4"/>
  <c r="F21" i="4"/>
  <c r="E21" i="4"/>
  <c r="D21" i="4"/>
  <c r="D13" i="4"/>
  <c r="E13" i="4"/>
  <c r="F13" i="4"/>
  <c r="G13" i="4"/>
  <c r="H13" i="4"/>
  <c r="I13" i="4"/>
  <c r="J13" i="4"/>
  <c r="K13" i="4"/>
  <c r="L13" i="4"/>
  <c r="M13" i="4"/>
  <c r="N13" i="4"/>
  <c r="O13" i="4"/>
  <c r="C13" i="4"/>
  <c r="E19" i="6"/>
  <c r="E18" i="6"/>
  <c r="H30" i="32"/>
  <c r="C66" i="32"/>
  <c r="G32" i="32"/>
  <c r="C26" i="32"/>
  <c r="J30" i="32"/>
  <c r="I31" i="32"/>
  <c r="H31" i="32"/>
  <c r="E14" i="32"/>
  <c r="D17" i="32"/>
  <c r="D12" i="32"/>
  <c r="I7" i="32"/>
  <c r="L7" i="32"/>
  <c r="J7" i="32"/>
  <c r="M7" i="32"/>
  <c r="K7" i="32"/>
  <c r="L8" i="32"/>
  <c r="F8" i="32"/>
  <c r="G8" i="32"/>
  <c r="H8" i="32"/>
  <c r="J8" i="32"/>
  <c r="E8" i="32"/>
  <c r="E15" i="32"/>
  <c r="E16" i="32"/>
  <c r="K8" i="32"/>
  <c r="M8" i="32"/>
  <c r="D8" i="32"/>
  <c r="D15" i="32"/>
  <c r="D16" i="32"/>
  <c r="D18" i="32"/>
  <c r="I8" i="32"/>
  <c r="J31" i="32"/>
  <c r="J32" i="32"/>
  <c r="N8" i="32"/>
  <c r="C55" i="32"/>
  <c r="D11" i="32"/>
  <c r="D26" i="6"/>
  <c r="E17" i="32"/>
  <c r="E12" i="32"/>
  <c r="F14" i="32"/>
  <c r="E26" i="6"/>
  <c r="F17" i="32"/>
  <c r="F12" i="32"/>
  <c r="G14" i="32"/>
  <c r="F15" i="32"/>
  <c r="F16" i="32"/>
  <c r="D22" i="32"/>
  <c r="E11" i="32"/>
  <c r="F11" i="32"/>
  <c r="G11" i="32"/>
  <c r="H11" i="32"/>
  <c r="I11" i="32"/>
  <c r="J11" i="32"/>
  <c r="K11" i="32"/>
  <c r="L11" i="32"/>
  <c r="M11" i="32"/>
  <c r="E18" i="32"/>
  <c r="F18" i="32"/>
  <c r="G17" i="32"/>
  <c r="G12" i="32"/>
  <c r="H14" i="32"/>
  <c r="G15" i="32"/>
  <c r="G16" i="32"/>
  <c r="G18" i="32"/>
  <c r="E22" i="32"/>
  <c r="F22" i="32"/>
  <c r="G22" i="32"/>
  <c r="H22" i="32"/>
  <c r="I22" i="32"/>
  <c r="J22" i="32"/>
  <c r="K22" i="32"/>
  <c r="L22" i="32"/>
  <c r="M22" i="32"/>
  <c r="N22" i="32"/>
  <c r="D23" i="32"/>
  <c r="H17" i="32"/>
  <c r="H12" i="32"/>
  <c r="I14" i="32"/>
  <c r="H15" i="32"/>
  <c r="H16" i="32"/>
  <c r="H18" i="32"/>
  <c r="H23" i="32"/>
  <c r="G23" i="32"/>
  <c r="F23" i="32"/>
  <c r="E23" i="32"/>
  <c r="I17" i="32"/>
  <c r="I12" i="32"/>
  <c r="J14" i="32"/>
  <c r="I15" i="32"/>
  <c r="I16" i="32"/>
  <c r="I18" i="32"/>
  <c r="I23" i="32"/>
  <c r="J17" i="32"/>
  <c r="J12" i="32"/>
  <c r="K14" i="32"/>
  <c r="J15" i="32"/>
  <c r="J16" i="32"/>
  <c r="J18" i="32"/>
  <c r="J23" i="32"/>
  <c r="L14" i="32"/>
  <c r="K17" i="32"/>
  <c r="K12" i="32"/>
  <c r="K15" i="32"/>
  <c r="K16" i="32"/>
  <c r="K18" i="32"/>
  <c r="K23" i="32"/>
  <c r="L17" i="32"/>
  <c r="L12" i="32"/>
  <c r="M14" i="32"/>
  <c r="L15" i="32"/>
  <c r="L16" i="32"/>
  <c r="L18" i="32"/>
  <c r="L23" i="32"/>
  <c r="N14" i="32"/>
  <c r="M17" i="32"/>
  <c r="M12" i="32"/>
  <c r="M15" i="32"/>
  <c r="M16" i="32"/>
  <c r="M18" i="32"/>
  <c r="M23" i="32"/>
  <c r="N17" i="32"/>
  <c r="N12" i="32"/>
  <c r="N15" i="32"/>
  <c r="N16" i="32"/>
  <c r="N18" i="32"/>
  <c r="N19" i="32"/>
  <c r="N23" i="32"/>
  <c r="C25" i="32"/>
  <c r="C28" i="32"/>
  <c r="C30" i="32"/>
  <c r="C32" i="32"/>
  <c r="C34" i="32"/>
  <c r="H59" i="37"/>
  <c r="H47" i="37"/>
  <c r="G60" i="44" l="1"/>
  <c r="G8" i="44"/>
  <c r="F258" i="44"/>
  <c r="F262" i="44"/>
  <c r="F82" i="44"/>
  <c r="F21" i="44"/>
  <c r="F28" i="44" s="1"/>
  <c r="F175" i="44"/>
  <c r="H229" i="44"/>
  <c r="H232" i="44" s="1"/>
  <c r="H241" i="44" s="1"/>
  <c r="H13" i="44" s="1"/>
  <c r="D250" i="44"/>
  <c r="D19" i="44"/>
  <c r="H42" i="44"/>
  <c r="E129" i="44"/>
  <c r="E87" i="44"/>
  <c r="H122" i="44"/>
  <c r="I256" i="44"/>
  <c r="H10" i="44"/>
  <c r="H138" i="44"/>
  <c r="H165" i="44"/>
  <c r="G210" i="44"/>
  <c r="Z213" i="44"/>
  <c r="M209" i="44" s="1"/>
  <c r="Z211" i="44"/>
  <c r="I245" i="44"/>
  <c r="I83" i="44" s="1"/>
  <c r="I69" i="44" s="1"/>
  <c r="I145" i="44"/>
  <c r="I174" i="44"/>
  <c r="I225" i="44"/>
  <c r="I111" i="44"/>
  <c r="I113" i="44"/>
  <c r="I112" i="44"/>
  <c r="I122" i="44" s="1"/>
  <c r="J6" i="44"/>
  <c r="E179" i="44"/>
  <c r="H86" i="44"/>
  <c r="K219" i="44"/>
  <c r="D101" i="44"/>
  <c r="D100" i="44" s="1"/>
  <c r="D90" i="44"/>
  <c r="P171" i="44"/>
  <c r="H198" i="44"/>
  <c r="H201" i="44" s="1"/>
  <c r="H203" i="44" s="1"/>
  <c r="H47" i="44"/>
  <c r="F90" i="44"/>
  <c r="F101" i="44"/>
  <c r="F100" i="44" s="1"/>
  <c r="F186" i="44"/>
  <c r="F183" i="44"/>
  <c r="F184" i="44"/>
  <c r="F187" i="44"/>
  <c r="F185" i="44"/>
  <c r="F154" i="44"/>
  <c r="F153" i="44"/>
  <c r="F155" i="44"/>
  <c r="F152" i="44"/>
  <c r="F158" i="44"/>
  <c r="F151" i="44"/>
  <c r="F149" i="44"/>
  <c r="J149" i="44" s="1"/>
  <c r="F180" i="44"/>
  <c r="F179" i="44"/>
  <c r="F182" i="44"/>
  <c r="F157" i="44"/>
  <c r="F181" i="44"/>
  <c r="F156" i="44"/>
  <c r="F178" i="44"/>
  <c r="L178" i="44" s="1"/>
  <c r="F150" i="44"/>
  <c r="E90" i="44"/>
  <c r="E101" i="44"/>
  <c r="E100" i="44" s="1"/>
  <c r="H178" i="44"/>
  <c r="G178" i="44"/>
  <c r="G188" i="44" s="1"/>
  <c r="G189" i="44" s="1"/>
  <c r="G166" i="44" s="1"/>
  <c r="I121" i="44"/>
  <c r="H41" i="44"/>
  <c r="E262" i="44"/>
  <c r="E258" i="44"/>
  <c r="E82" i="44"/>
  <c r="E21" i="44"/>
  <c r="E28" i="44" s="1"/>
  <c r="E175" i="44"/>
  <c r="AA209" i="44"/>
  <c r="AB207" i="44"/>
  <c r="H211" i="44"/>
  <c r="I57" i="44"/>
  <c r="H142" i="44"/>
  <c r="J67" i="44"/>
  <c r="F129" i="44"/>
  <c r="F87" i="44"/>
  <c r="H259" i="44"/>
  <c r="H208" i="44"/>
  <c r="H94" i="44" s="1"/>
  <c r="E150" i="44"/>
  <c r="H85" i="44"/>
  <c r="G17" i="43"/>
  <c r="F30" i="43"/>
  <c r="G28" i="43"/>
  <c r="C56" i="43"/>
  <c r="C32" i="43"/>
  <c r="J30" i="43"/>
  <c r="C30" i="43"/>
  <c r="D30" i="43" s="1"/>
  <c r="D28" i="43"/>
  <c r="G20" i="43"/>
  <c r="G22" i="43" s="1"/>
  <c r="F62" i="43"/>
  <c r="M62" i="43" s="1"/>
  <c r="G21" i="43"/>
  <c r="D21" i="43"/>
  <c r="D20" i="43"/>
  <c r="D22" i="43" s="1"/>
  <c r="C60" i="43"/>
  <c r="L60" i="43" s="1"/>
  <c r="J81" i="43"/>
  <c r="F38" i="43"/>
  <c r="G10" i="43"/>
  <c r="G12" i="43" s="1"/>
  <c r="F43" i="43"/>
  <c r="G11" i="43"/>
  <c r="G16" i="43"/>
  <c r="J29" i="43"/>
  <c r="J27" i="43"/>
  <c r="I31" i="43"/>
  <c r="J31" i="43" s="1"/>
  <c r="J28" i="43"/>
  <c r="D27" i="43"/>
  <c r="D29" i="43"/>
  <c r="K179" i="44" l="1"/>
  <c r="J179" i="44"/>
  <c r="I179" i="44"/>
  <c r="H179" i="44"/>
  <c r="H188" i="44" s="1"/>
  <c r="H189" i="44" s="1"/>
  <c r="H166" i="44" s="1"/>
  <c r="M179" i="44"/>
  <c r="L179" i="44"/>
  <c r="D262" i="44"/>
  <c r="D258" i="44"/>
  <c r="D82" i="44"/>
  <c r="D88" i="44" s="1"/>
  <c r="D21" i="44"/>
  <c r="D28" i="44" s="1"/>
  <c r="I198" i="44"/>
  <c r="I201" i="44" s="1"/>
  <c r="K149" i="44"/>
  <c r="K67" i="44"/>
  <c r="I178" i="44"/>
  <c r="J245" i="44"/>
  <c r="J83" i="44" s="1"/>
  <c r="J69" i="44" s="1"/>
  <c r="J225" i="44"/>
  <c r="J112" i="44"/>
  <c r="J122" i="44" s="1"/>
  <c r="J145" i="44"/>
  <c r="J111" i="44"/>
  <c r="J113" i="44"/>
  <c r="J174" i="44"/>
  <c r="K6" i="44"/>
  <c r="H8" i="44"/>
  <c r="G149" i="44"/>
  <c r="G159" i="44" s="1"/>
  <c r="G160" i="44" s="1"/>
  <c r="J256" i="44"/>
  <c r="I10" i="44"/>
  <c r="H207" i="44"/>
  <c r="H210" i="44" s="1"/>
  <c r="H218" i="44" s="1"/>
  <c r="H221" i="44" s="1"/>
  <c r="G218" i="44"/>
  <c r="G221" i="44" s="1"/>
  <c r="M149" i="44"/>
  <c r="I259" i="44"/>
  <c r="I208" i="44"/>
  <c r="I94" i="44" s="1"/>
  <c r="I85" i="44"/>
  <c r="E151" i="44"/>
  <c r="I229" i="44"/>
  <c r="I232" i="44" s="1"/>
  <c r="K150" i="44"/>
  <c r="J150" i="44"/>
  <c r="I150" i="44"/>
  <c r="H150" i="44"/>
  <c r="N150" i="44"/>
  <c r="M150" i="44"/>
  <c r="L150" i="44"/>
  <c r="H60" i="44"/>
  <c r="I142" i="44"/>
  <c r="AA213" i="44"/>
  <c r="N209" i="44" s="1"/>
  <c r="AA211" i="44"/>
  <c r="E260" i="44"/>
  <c r="E270" i="44"/>
  <c r="E88" i="44"/>
  <c r="F260" i="44"/>
  <c r="F270" i="44"/>
  <c r="F88" i="44"/>
  <c r="J121" i="44"/>
  <c r="I41" i="44"/>
  <c r="G167" i="44"/>
  <c r="G169" i="44" s="1"/>
  <c r="G46" i="44" s="1"/>
  <c r="H149" i="44"/>
  <c r="L149" i="44"/>
  <c r="I47" i="44"/>
  <c r="I211" i="44"/>
  <c r="J57" i="44"/>
  <c r="K178" i="44"/>
  <c r="L219" i="44"/>
  <c r="I165" i="44"/>
  <c r="I149" i="44"/>
  <c r="G212" i="44"/>
  <c r="G213" i="44" s="1"/>
  <c r="G215" i="44"/>
  <c r="I138" i="44"/>
  <c r="J178" i="44"/>
  <c r="I42" i="44"/>
  <c r="AB209" i="44"/>
  <c r="AC207" i="44"/>
  <c r="D260" i="44"/>
  <c r="I123" i="44"/>
  <c r="E180" i="44"/>
  <c r="I86" i="44"/>
  <c r="C31" i="43"/>
  <c r="D31" i="43" s="1"/>
  <c r="G30" i="43"/>
  <c r="F31" i="43"/>
  <c r="G31" i="43" s="1"/>
  <c r="H167" i="44" l="1"/>
  <c r="H169" i="44" s="1"/>
  <c r="H46" i="44" s="1"/>
  <c r="H222" i="44"/>
  <c r="H263" i="44" s="1"/>
  <c r="H12" i="44"/>
  <c r="L180" i="44"/>
  <c r="K180" i="44"/>
  <c r="J180" i="44"/>
  <c r="I180" i="44"/>
  <c r="I188" i="44" s="1"/>
  <c r="I189" i="44" s="1"/>
  <c r="I166" i="44" s="1"/>
  <c r="N180" i="44"/>
  <c r="M180" i="44"/>
  <c r="H212" i="44"/>
  <c r="H213" i="44" s="1"/>
  <c r="H215" i="44"/>
  <c r="K245" i="44"/>
  <c r="K83" i="44" s="1"/>
  <c r="K69" i="44" s="1"/>
  <c r="K225" i="44"/>
  <c r="K145" i="44"/>
  <c r="K113" i="44"/>
  <c r="K123" i="44" s="1"/>
  <c r="K174" i="44"/>
  <c r="K112" i="44"/>
  <c r="K122" i="44" s="1"/>
  <c r="L6" i="44"/>
  <c r="K111" i="44"/>
  <c r="J138" i="44"/>
  <c r="H159" i="44"/>
  <c r="H160" i="44" s="1"/>
  <c r="H191" i="44" s="1"/>
  <c r="H84" i="44" s="1"/>
  <c r="H31" i="44" s="1"/>
  <c r="J229" i="44"/>
  <c r="J232" i="44" s="1"/>
  <c r="J241" i="44" s="1"/>
  <c r="J13" i="44" s="1"/>
  <c r="E181" i="44"/>
  <c r="J86" i="44"/>
  <c r="G222" i="44"/>
  <c r="G263" i="44" s="1"/>
  <c r="G12" i="44"/>
  <c r="J165" i="44"/>
  <c r="I241" i="44"/>
  <c r="I13" i="44" s="1"/>
  <c r="I207" i="44"/>
  <c r="I210" i="44" s="1"/>
  <c r="I218" i="44" s="1"/>
  <c r="J47" i="44"/>
  <c r="L67" i="44"/>
  <c r="K151" i="44"/>
  <c r="J151" i="44"/>
  <c r="I151" i="44"/>
  <c r="I159" i="44" s="1"/>
  <c r="I160" i="44" s="1"/>
  <c r="N151" i="44"/>
  <c r="O151" i="44"/>
  <c r="M151" i="44"/>
  <c r="L151" i="44"/>
  <c r="I8" i="44"/>
  <c r="G191" i="44"/>
  <c r="G84" i="44" s="1"/>
  <c r="G139" i="44"/>
  <c r="K121" i="44"/>
  <c r="J41" i="44"/>
  <c r="AC209" i="44"/>
  <c r="AD207" i="44"/>
  <c r="AD209" i="44" s="1"/>
  <c r="M219" i="44"/>
  <c r="K256" i="44"/>
  <c r="J10" i="44"/>
  <c r="J259" i="44"/>
  <c r="J208" i="44"/>
  <c r="J94" i="44" s="1"/>
  <c r="E152" i="44"/>
  <c r="J85" i="44"/>
  <c r="J211" i="44"/>
  <c r="K57" i="44"/>
  <c r="AB211" i="44"/>
  <c r="AB213" i="44" s="1"/>
  <c r="O209" i="44" s="1"/>
  <c r="I60" i="44"/>
  <c r="J42" i="44"/>
  <c r="J198" i="44"/>
  <c r="J201" i="44" s="1"/>
  <c r="J203" i="44" s="1"/>
  <c r="J123" i="44"/>
  <c r="J142" i="44"/>
  <c r="I203" i="44"/>
  <c r="I191" i="44" l="1"/>
  <c r="I84" i="44" s="1"/>
  <c r="I31" i="44" s="1"/>
  <c r="I257" i="44" s="1"/>
  <c r="J159" i="44"/>
  <c r="J160" i="44" s="1"/>
  <c r="K142" i="44"/>
  <c r="H89" i="44"/>
  <c r="H96" i="44" s="1"/>
  <c r="H101" i="44" s="1"/>
  <c r="H14" i="44"/>
  <c r="H16" i="44" s="1"/>
  <c r="H268" i="44"/>
  <c r="K259" i="44"/>
  <c r="K208" i="44"/>
  <c r="K94" i="44" s="1"/>
  <c r="E153" i="44"/>
  <c r="K85" i="44"/>
  <c r="L256" i="44"/>
  <c r="K10" i="44"/>
  <c r="G89" i="44"/>
  <c r="G96" i="44" s="1"/>
  <c r="G101" i="44" s="1"/>
  <c r="G14" i="44"/>
  <c r="G16" i="44" s="1"/>
  <c r="G268" i="44"/>
  <c r="H269" i="44"/>
  <c r="H257" i="44"/>
  <c r="G31" i="44"/>
  <c r="G115" i="44"/>
  <c r="G114" i="44"/>
  <c r="G235" i="44"/>
  <c r="G118" i="44"/>
  <c r="G117" i="44"/>
  <c r="G116" i="44"/>
  <c r="K138" i="44"/>
  <c r="I212" i="44"/>
  <c r="I213" i="44" s="1"/>
  <c r="I215" i="44"/>
  <c r="I271" i="44"/>
  <c r="N219" i="44"/>
  <c r="J207" i="44"/>
  <c r="J210" i="44" s="1"/>
  <c r="J218" i="44" s="1"/>
  <c r="J221" i="44" s="1"/>
  <c r="K41" i="44"/>
  <c r="H139" i="44"/>
  <c r="G140" i="44"/>
  <c r="G45" i="44" s="1"/>
  <c r="AD211" i="44"/>
  <c r="AD213" i="44"/>
  <c r="K211" i="44"/>
  <c r="L57" i="44"/>
  <c r="AC211" i="44"/>
  <c r="AC213" i="44" s="1"/>
  <c r="P209" i="44" s="1"/>
  <c r="L245" i="44"/>
  <c r="L83" i="44" s="1"/>
  <c r="L69" i="44" s="1"/>
  <c r="L225" i="44"/>
  <c r="L145" i="44"/>
  <c r="L174" i="44"/>
  <c r="L113" i="44"/>
  <c r="L112" i="44"/>
  <c r="L122" i="44" s="1"/>
  <c r="M6" i="44"/>
  <c r="L111" i="44"/>
  <c r="K47" i="44"/>
  <c r="K203" i="44"/>
  <c r="K198" i="44"/>
  <c r="K201" i="44" s="1"/>
  <c r="I235" i="44"/>
  <c r="I221" i="44"/>
  <c r="K152" i="44"/>
  <c r="J152" i="44"/>
  <c r="P152" i="44"/>
  <c r="N152" i="44"/>
  <c r="L152" i="44"/>
  <c r="O152" i="44"/>
  <c r="M152" i="44"/>
  <c r="H235" i="44"/>
  <c r="I167" i="44"/>
  <c r="I169" i="44" s="1"/>
  <c r="I46" i="44" s="1"/>
  <c r="L181" i="44"/>
  <c r="N181" i="44"/>
  <c r="O181" i="44"/>
  <c r="M181" i="44"/>
  <c r="K181" i="44"/>
  <c r="J181" i="44"/>
  <c r="J188" i="44" s="1"/>
  <c r="J189" i="44" s="1"/>
  <c r="J166" i="44" s="1"/>
  <c r="K42" i="44"/>
  <c r="H271" i="44"/>
  <c r="J60" i="44"/>
  <c r="J8" i="44"/>
  <c r="M67" i="44"/>
  <c r="K165" i="44"/>
  <c r="K229" i="44"/>
  <c r="K232" i="44" s="1"/>
  <c r="K241" i="44" s="1"/>
  <c r="K13" i="44" s="1"/>
  <c r="E182" i="44"/>
  <c r="K86" i="44"/>
  <c r="J191" i="44" l="1"/>
  <c r="J84" i="44" s="1"/>
  <c r="J31" i="44" s="1"/>
  <c r="J271" i="44" s="1"/>
  <c r="H116" i="44"/>
  <c r="H114" i="44"/>
  <c r="H124" i="44" s="1"/>
  <c r="H55" i="44"/>
  <c r="H126" i="44"/>
  <c r="J222" i="44"/>
  <c r="J263" i="44" s="1"/>
  <c r="J12" i="44"/>
  <c r="M69" i="44"/>
  <c r="J167" i="44"/>
  <c r="J169" i="44" s="1"/>
  <c r="J46" i="44" s="1"/>
  <c r="H53" i="44"/>
  <c r="J257" i="44"/>
  <c r="J212" i="44"/>
  <c r="J213" i="44" s="1"/>
  <c r="J215" i="44"/>
  <c r="G127" i="44"/>
  <c r="G56" i="44"/>
  <c r="L41" i="44"/>
  <c r="G128" i="44"/>
  <c r="G62" i="44"/>
  <c r="M225" i="44"/>
  <c r="M113" i="44"/>
  <c r="M174" i="44"/>
  <c r="M111" i="44"/>
  <c r="M245" i="44"/>
  <c r="M83" i="44" s="1"/>
  <c r="M145" i="44"/>
  <c r="M112" i="44"/>
  <c r="N6" i="44"/>
  <c r="G249" i="44"/>
  <c r="G17" i="44" s="1"/>
  <c r="G19" i="44" s="1"/>
  <c r="L165" i="44"/>
  <c r="N67" i="44"/>
  <c r="L198" i="44"/>
  <c r="L201" i="44" s="1"/>
  <c r="L203" i="44"/>
  <c r="L42" i="44"/>
  <c r="K207" i="44"/>
  <c r="K210" i="44" s="1"/>
  <c r="K218" i="44"/>
  <c r="K221" i="44" s="1"/>
  <c r="G53" i="44"/>
  <c r="G124" i="44"/>
  <c r="G119" i="44"/>
  <c r="J235" i="44"/>
  <c r="I222" i="44"/>
  <c r="I263" i="44" s="1"/>
  <c r="I12" i="44"/>
  <c r="L47" i="44"/>
  <c r="L211" i="44"/>
  <c r="M57" i="44"/>
  <c r="H118" i="44"/>
  <c r="G125" i="44"/>
  <c r="G54" i="44"/>
  <c r="H115" i="44"/>
  <c r="K8" i="44"/>
  <c r="H249" i="44"/>
  <c r="H17" i="44" s="1"/>
  <c r="H19" i="44" s="1"/>
  <c r="E183" i="44"/>
  <c r="L86" i="44"/>
  <c r="L138" i="44"/>
  <c r="G269" i="44"/>
  <c r="G257" i="44"/>
  <c r="G271" i="44"/>
  <c r="H117" i="44"/>
  <c r="L259" i="44"/>
  <c r="L208" i="44"/>
  <c r="L94" i="44" s="1"/>
  <c r="E154" i="44"/>
  <c r="L85" i="44"/>
  <c r="I139" i="44"/>
  <c r="H140" i="44"/>
  <c r="H45" i="44" s="1"/>
  <c r="O219" i="44"/>
  <c r="L142" i="44"/>
  <c r="K60" i="44"/>
  <c r="M182" i="44"/>
  <c r="K182" i="44"/>
  <c r="K188" i="44" s="1"/>
  <c r="K189" i="44" s="1"/>
  <c r="K166" i="44" s="1"/>
  <c r="O182" i="44"/>
  <c r="N182" i="44"/>
  <c r="P182" i="44"/>
  <c r="L182" i="44"/>
  <c r="M256" i="44"/>
  <c r="L10" i="44"/>
  <c r="L229" i="44"/>
  <c r="L232" i="44" s="1"/>
  <c r="L241" i="44"/>
  <c r="L123" i="44"/>
  <c r="L13" i="44"/>
  <c r="L121" i="44"/>
  <c r="G126" i="44"/>
  <c r="G55" i="44"/>
  <c r="K153" i="44"/>
  <c r="K159" i="44" s="1"/>
  <c r="K160" i="44" s="1"/>
  <c r="P153" i="44"/>
  <c r="N153" i="44"/>
  <c r="O153" i="44"/>
  <c r="M153" i="44"/>
  <c r="L153" i="44"/>
  <c r="H119" i="44" l="1"/>
  <c r="K167" i="44"/>
  <c r="K169" i="44" s="1"/>
  <c r="K46" i="44" s="1"/>
  <c r="J139" i="44"/>
  <c r="I140" i="44"/>
  <c r="I45" i="44" s="1"/>
  <c r="N256" i="44"/>
  <c r="M10" i="44"/>
  <c r="M198" i="44"/>
  <c r="M201" i="44" s="1"/>
  <c r="M203" i="44"/>
  <c r="N225" i="44"/>
  <c r="N245" i="44"/>
  <c r="N83" i="44" s="1"/>
  <c r="N174" i="44"/>
  <c r="N113" i="44"/>
  <c r="N123" i="44" s="1"/>
  <c r="N112" i="44"/>
  <c r="N111" i="44"/>
  <c r="N145" i="44"/>
  <c r="O6" i="44"/>
  <c r="I114" i="44"/>
  <c r="N69" i="44"/>
  <c r="M142" i="44"/>
  <c r="L60" i="44"/>
  <c r="M138" i="44"/>
  <c r="G58" i="44"/>
  <c r="G64" i="44" s="1"/>
  <c r="M42" i="44"/>
  <c r="J89" i="44"/>
  <c r="J96" i="44" s="1"/>
  <c r="J101" i="44" s="1"/>
  <c r="J14" i="44"/>
  <c r="J16" i="44" s="1"/>
  <c r="J268" i="44"/>
  <c r="L8" i="44"/>
  <c r="K222" i="44"/>
  <c r="K263" i="44" s="1"/>
  <c r="K12" i="44"/>
  <c r="M47" i="44"/>
  <c r="H120" i="44"/>
  <c r="G120" i="44"/>
  <c r="M13" i="44"/>
  <c r="H125" i="44"/>
  <c r="H54" i="44"/>
  <c r="I115" i="44"/>
  <c r="M208" i="44"/>
  <c r="M94" i="44" s="1"/>
  <c r="E155" i="44"/>
  <c r="M259" i="44"/>
  <c r="M85" i="44"/>
  <c r="H56" i="44"/>
  <c r="H127" i="44"/>
  <c r="I117" i="44"/>
  <c r="L207" i="44"/>
  <c r="L210" i="44" s="1"/>
  <c r="L218" i="44" s="1"/>
  <c r="L221" i="44" s="1"/>
  <c r="P219" i="44"/>
  <c r="H258" i="44"/>
  <c r="H82" i="44"/>
  <c r="M123" i="44"/>
  <c r="M165" i="44"/>
  <c r="M41" i="44"/>
  <c r="N121" i="44"/>
  <c r="M121" i="44"/>
  <c r="I116" i="44"/>
  <c r="K212" i="44"/>
  <c r="K213" i="44" s="1"/>
  <c r="K215" i="44"/>
  <c r="M211" i="44"/>
  <c r="N57" i="44"/>
  <c r="G258" i="44"/>
  <c r="G82" i="44"/>
  <c r="G71" i="44"/>
  <c r="I89" i="44"/>
  <c r="I96" i="44" s="1"/>
  <c r="I101" i="44" s="1"/>
  <c r="I14" i="44"/>
  <c r="I16" i="44" s="1"/>
  <c r="I268" i="44"/>
  <c r="I269" i="44"/>
  <c r="L154" i="44"/>
  <c r="L159" i="44" s="1"/>
  <c r="L160" i="44" s="1"/>
  <c r="O154" i="44"/>
  <c r="P154" i="44"/>
  <c r="N154" i="44"/>
  <c r="M154" i="44"/>
  <c r="K191" i="44"/>
  <c r="K84" i="44" s="1"/>
  <c r="K31" i="44" s="1"/>
  <c r="K271" i="44" s="1"/>
  <c r="O67" i="44"/>
  <c r="N183" i="44"/>
  <c r="L183" i="44"/>
  <c r="L188" i="44" s="1"/>
  <c r="L189" i="44" s="1"/>
  <c r="L166" i="44" s="1"/>
  <c r="P183" i="44"/>
  <c r="O183" i="44"/>
  <c r="M183" i="44"/>
  <c r="M229" i="44"/>
  <c r="M232" i="44" s="1"/>
  <c r="M241" i="44"/>
  <c r="H128" i="44"/>
  <c r="H62" i="44"/>
  <c r="I118" i="44"/>
  <c r="M122" i="44"/>
  <c r="E184" i="44"/>
  <c r="M86" i="44"/>
  <c r="J269" i="44"/>
  <c r="L191" i="44" l="1"/>
  <c r="L84" i="44" s="1"/>
  <c r="L31" i="44" s="1"/>
  <c r="H58" i="44"/>
  <c r="H64" i="44" s="1"/>
  <c r="L167" i="44"/>
  <c r="L169" i="44" s="1"/>
  <c r="L46" i="44" s="1"/>
  <c r="L222" i="44"/>
  <c r="L263" i="44" s="1"/>
  <c r="L12" i="44"/>
  <c r="L269" i="44" s="1"/>
  <c r="L257" i="44"/>
  <c r="E185" i="44"/>
  <c r="N86" i="44"/>
  <c r="I62" i="44"/>
  <c r="I128" i="44"/>
  <c r="J118" i="44"/>
  <c r="H129" i="44"/>
  <c r="H87" i="44"/>
  <c r="H90" i="44" s="1"/>
  <c r="I124" i="44"/>
  <c r="I53" i="44"/>
  <c r="I119" i="44"/>
  <c r="J114" i="44"/>
  <c r="N155" i="44"/>
  <c r="M155" i="44"/>
  <c r="M159" i="44" s="1"/>
  <c r="M160" i="44" s="1"/>
  <c r="O155" i="44"/>
  <c r="P155" i="44"/>
  <c r="O225" i="44"/>
  <c r="O245" i="44"/>
  <c r="O83" i="44" s="1"/>
  <c r="O69" i="44" s="1"/>
  <c r="O111" i="44"/>
  <c r="O145" i="44"/>
  <c r="O113" i="44"/>
  <c r="O112" i="44"/>
  <c r="O174" i="44"/>
  <c r="P6" i="44"/>
  <c r="M207" i="44"/>
  <c r="M210" i="44" s="1"/>
  <c r="M218" i="44"/>
  <c r="M221" i="44" s="1"/>
  <c r="M60" i="44"/>
  <c r="J249" i="44"/>
  <c r="J17" i="44" s="1"/>
  <c r="J19" i="44" s="1"/>
  <c r="L212" i="44"/>
  <c r="L213" i="44" s="1"/>
  <c r="L271" i="44"/>
  <c r="L215" i="44"/>
  <c r="N259" i="44"/>
  <c r="N208" i="44"/>
  <c r="N94" i="44" s="1"/>
  <c r="E156" i="44"/>
  <c r="N85" i="44"/>
  <c r="N198" i="44"/>
  <c r="N201" i="44" s="1"/>
  <c r="N203" i="44" s="1"/>
  <c r="G129" i="44"/>
  <c r="G87" i="44"/>
  <c r="G90" i="44" s="1"/>
  <c r="I56" i="44"/>
  <c r="I127" i="44"/>
  <c r="J117" i="44"/>
  <c r="I125" i="44"/>
  <c r="I54" i="44"/>
  <c r="J115" i="44"/>
  <c r="K89" i="44"/>
  <c r="K96" i="44" s="1"/>
  <c r="K101" i="44" s="1"/>
  <c r="K14" i="44"/>
  <c r="K16" i="44" s="1"/>
  <c r="K268" i="44"/>
  <c r="N41" i="44"/>
  <c r="M8" i="44"/>
  <c r="P184" i="44"/>
  <c r="N184" i="44"/>
  <c r="M184" i="44"/>
  <c r="O184" i="44"/>
  <c r="G75" i="44"/>
  <c r="K139" i="44"/>
  <c r="J140" i="44"/>
  <c r="J45" i="44" s="1"/>
  <c r="N138" i="44"/>
  <c r="P67" i="44"/>
  <c r="K257" i="44"/>
  <c r="K269" i="44"/>
  <c r="K235" i="44"/>
  <c r="I126" i="44"/>
  <c r="I55" i="44"/>
  <c r="J116" i="44"/>
  <c r="N42" i="44"/>
  <c r="O256" i="44"/>
  <c r="O10" i="44" s="1"/>
  <c r="N10" i="44"/>
  <c r="N211" i="44"/>
  <c r="O57" i="44"/>
  <c r="N165" i="44"/>
  <c r="N229" i="44"/>
  <c r="N232" i="44" s="1"/>
  <c r="N241" i="44"/>
  <c r="N13" i="44" s="1"/>
  <c r="M188" i="44"/>
  <c r="M189" i="44" s="1"/>
  <c r="M166" i="44" s="1"/>
  <c r="I249" i="44"/>
  <c r="I17" i="44" s="1"/>
  <c r="I19" i="44" s="1"/>
  <c r="H71" i="44"/>
  <c r="G73" i="44"/>
  <c r="L235" i="44"/>
  <c r="N122" i="44"/>
  <c r="N47" i="44"/>
  <c r="O123" i="44"/>
  <c r="M191" i="44" l="1"/>
  <c r="M84" i="44" s="1"/>
  <c r="M31" i="44" s="1"/>
  <c r="M167" i="44"/>
  <c r="M169" i="44" s="1"/>
  <c r="M46" i="44" s="1"/>
  <c r="I258" i="44"/>
  <c r="I82" i="44"/>
  <c r="M257" i="44"/>
  <c r="J258" i="44"/>
  <c r="J82" i="44"/>
  <c r="M222" i="44"/>
  <c r="M263" i="44" s="1"/>
  <c r="M12" i="44"/>
  <c r="H270" i="44"/>
  <c r="H260" i="44"/>
  <c r="H92" i="44"/>
  <c r="H102" i="44" s="1"/>
  <c r="I71" i="44"/>
  <c r="H73" i="44"/>
  <c r="H262" i="44" s="1"/>
  <c r="P185" i="44"/>
  <c r="O185" i="44"/>
  <c r="N185" i="44"/>
  <c r="N188" i="44" s="1"/>
  <c r="N189" i="44" s="1"/>
  <c r="N166" i="44" s="1"/>
  <c r="O211" i="44"/>
  <c r="P57" i="44"/>
  <c r="O138" i="44"/>
  <c r="M235" i="44"/>
  <c r="K249" i="44"/>
  <c r="K17" i="44" s="1"/>
  <c r="K19" i="44" s="1"/>
  <c r="M212" i="44"/>
  <c r="M213" i="44" s="1"/>
  <c r="M271" i="44"/>
  <c r="M215" i="44"/>
  <c r="O47" i="44"/>
  <c r="J126" i="44"/>
  <c r="J55" i="44"/>
  <c r="K116" i="44"/>
  <c r="O42" i="44"/>
  <c r="N8" i="44"/>
  <c r="O259" i="44"/>
  <c r="O208" i="44"/>
  <c r="O94" i="44" s="1"/>
  <c r="E157" i="44"/>
  <c r="O85" i="44"/>
  <c r="N60" i="44"/>
  <c r="J128" i="44"/>
  <c r="J62" i="44"/>
  <c r="K118" i="44"/>
  <c r="N207" i="44"/>
  <c r="N210" i="44" s="1"/>
  <c r="N218" i="44" s="1"/>
  <c r="N221" i="44" s="1"/>
  <c r="J53" i="44"/>
  <c r="J124" i="44"/>
  <c r="J119" i="44"/>
  <c r="J120" i="44" s="1"/>
  <c r="K114" i="44"/>
  <c r="J54" i="44"/>
  <c r="J125" i="44"/>
  <c r="K115" i="44"/>
  <c r="L89" i="44"/>
  <c r="L96" i="44" s="1"/>
  <c r="L101" i="44" s="1"/>
  <c r="L14" i="44"/>
  <c r="L16" i="44" s="1"/>
  <c r="L268" i="44"/>
  <c r="O198" i="44"/>
  <c r="O201" i="44" s="1"/>
  <c r="I120" i="44"/>
  <c r="L139" i="44"/>
  <c r="K140" i="44"/>
  <c r="K45" i="44" s="1"/>
  <c r="G260" i="44"/>
  <c r="G270" i="44"/>
  <c r="G92" i="44"/>
  <c r="G102" i="44" s="1"/>
  <c r="G104" i="44" s="1"/>
  <c r="P121" i="44"/>
  <c r="O41" i="44"/>
  <c r="O229" i="44"/>
  <c r="O232" i="44" s="1"/>
  <c r="O241" i="44" s="1"/>
  <c r="O13" i="44" s="1"/>
  <c r="O122" i="44"/>
  <c r="J127" i="44"/>
  <c r="J56" i="44"/>
  <c r="K117" i="44"/>
  <c r="P225" i="44"/>
  <c r="P245" i="44"/>
  <c r="P83" i="44" s="1"/>
  <c r="P69" i="44" s="1"/>
  <c r="P112" i="44"/>
  <c r="P42" i="44" s="1"/>
  <c r="P113" i="44"/>
  <c r="P47" i="44" s="1"/>
  <c r="P174" i="44"/>
  <c r="P111" i="44"/>
  <c r="P10" i="44"/>
  <c r="P145" i="44"/>
  <c r="I58" i="44"/>
  <c r="I64" i="44" s="1"/>
  <c r="O8" i="44"/>
  <c r="G267" i="44"/>
  <c r="G266" i="44"/>
  <c r="G262" i="44"/>
  <c r="O165" i="44"/>
  <c r="O121" i="44"/>
  <c r="P156" i="44"/>
  <c r="O156" i="44"/>
  <c r="N156" i="44"/>
  <c r="N159" i="44" s="1"/>
  <c r="N160" i="44" s="1"/>
  <c r="N191" i="44" s="1"/>
  <c r="N84" i="44" s="1"/>
  <c r="N31" i="44" s="1"/>
  <c r="E186" i="44"/>
  <c r="O86" i="44"/>
  <c r="P123" i="44" l="1"/>
  <c r="N167" i="44"/>
  <c r="N169" i="44" s="1"/>
  <c r="N46" i="44" s="1"/>
  <c r="K258" i="44"/>
  <c r="K82" i="44"/>
  <c r="N257" i="44"/>
  <c r="O60" i="44"/>
  <c r="P8" i="44"/>
  <c r="K62" i="44"/>
  <c r="K128" i="44"/>
  <c r="L118" i="44"/>
  <c r="G234" i="44"/>
  <c r="G236" i="44" s="1"/>
  <c r="G239" i="44" s="1"/>
  <c r="G105" i="44"/>
  <c r="H103" i="44"/>
  <c r="H104" i="44" s="1"/>
  <c r="G39" i="44"/>
  <c r="G43" i="44" s="1"/>
  <c r="G49" i="44" s="1"/>
  <c r="P198" i="44"/>
  <c r="P201" i="44" s="1"/>
  <c r="P203" i="44" s="1"/>
  <c r="K124" i="44"/>
  <c r="K53" i="44"/>
  <c r="K119" i="44"/>
  <c r="K120" i="44" s="1"/>
  <c r="L114" i="44"/>
  <c r="N235" i="44"/>
  <c r="M89" i="44"/>
  <c r="M96" i="44" s="1"/>
  <c r="M101" i="44" s="1"/>
  <c r="M14" i="44"/>
  <c r="M16" i="44" s="1"/>
  <c r="M268" i="44"/>
  <c r="K126" i="44"/>
  <c r="K55" i="44"/>
  <c r="L116" i="44"/>
  <c r="P138" i="44"/>
  <c r="N212" i="44"/>
  <c r="N213" i="44" s="1"/>
  <c r="N215" i="44"/>
  <c r="N271" i="44"/>
  <c r="P211" i="44"/>
  <c r="P259" i="44"/>
  <c r="P208" i="44"/>
  <c r="P94" i="44" s="1"/>
  <c r="E158" i="44"/>
  <c r="P158" i="44" s="1"/>
  <c r="P85" i="44"/>
  <c r="J129" i="44"/>
  <c r="J87" i="44"/>
  <c r="J90" i="44" s="1"/>
  <c r="P41" i="44"/>
  <c r="E187" i="44"/>
  <c r="P187" i="44" s="1"/>
  <c r="P86" i="44"/>
  <c r="O203" i="44"/>
  <c r="P165" i="44"/>
  <c r="L249" i="44"/>
  <c r="L17" i="44" s="1"/>
  <c r="L19" i="44" s="1"/>
  <c r="J58" i="44"/>
  <c r="J64" i="44" s="1"/>
  <c r="H266" i="44"/>
  <c r="H267" i="44"/>
  <c r="H75" i="44"/>
  <c r="J71" i="44"/>
  <c r="I73" i="44"/>
  <c r="I75" i="44" s="1"/>
  <c r="K56" i="44"/>
  <c r="K127" i="44"/>
  <c r="L117" i="44"/>
  <c r="N222" i="44"/>
  <c r="N263" i="44" s="1"/>
  <c r="N12" i="44"/>
  <c r="N269" i="44" s="1"/>
  <c r="P229" i="44"/>
  <c r="P232" i="44" s="1"/>
  <c r="P241" i="44" s="1"/>
  <c r="P13" i="44" s="1"/>
  <c r="M139" i="44"/>
  <c r="L140" i="44"/>
  <c r="L45" i="44" s="1"/>
  <c r="O186" i="44"/>
  <c r="O188" i="44" s="1"/>
  <c r="O189" i="44" s="1"/>
  <c r="O166" i="44" s="1"/>
  <c r="P186" i="44"/>
  <c r="I129" i="44"/>
  <c r="I87" i="44"/>
  <c r="I90" i="44" s="1"/>
  <c r="K54" i="44"/>
  <c r="K125" i="44"/>
  <c r="L115" i="44"/>
  <c r="O207" i="44"/>
  <c r="O210" i="44" s="1"/>
  <c r="O218" i="44" s="1"/>
  <c r="P157" i="44"/>
  <c r="O157" i="44"/>
  <c r="O159" i="44" s="1"/>
  <c r="O160" i="44" s="1"/>
  <c r="P122" i="44"/>
  <c r="M269" i="44"/>
  <c r="P188" i="44" l="1"/>
  <c r="P189" i="44" s="1"/>
  <c r="P159" i="44"/>
  <c r="P160" i="44" s="1"/>
  <c r="I270" i="44"/>
  <c r="I260" i="44"/>
  <c r="I92" i="44"/>
  <c r="I102" i="44" s="1"/>
  <c r="J270" i="44"/>
  <c r="J260" i="44"/>
  <c r="J92" i="44"/>
  <c r="J102" i="44" s="1"/>
  <c r="P166" i="44"/>
  <c r="P167" i="44" s="1"/>
  <c r="P169" i="44" s="1"/>
  <c r="P46" i="44" s="1"/>
  <c r="O167" i="44"/>
  <c r="O169" i="44" s="1"/>
  <c r="O46" i="44" s="1"/>
  <c r="K71" i="44"/>
  <c r="J73" i="44"/>
  <c r="J262" i="44" s="1"/>
  <c r="O191" i="44"/>
  <c r="O84" i="44" s="1"/>
  <c r="L126" i="44"/>
  <c r="L55" i="44"/>
  <c r="M116" i="44"/>
  <c r="N89" i="44"/>
  <c r="N96" i="44" s="1"/>
  <c r="N101" i="44" s="1"/>
  <c r="N14" i="44"/>
  <c r="N16" i="44" s="1"/>
  <c r="N268" i="44"/>
  <c r="P60" i="44"/>
  <c r="K129" i="44"/>
  <c r="K87" i="44"/>
  <c r="O212" i="44"/>
  <c r="O213" i="44" s="1"/>
  <c r="O215" i="44"/>
  <c r="G76" i="44"/>
  <c r="G261" i="44"/>
  <c r="K90" i="44"/>
  <c r="L128" i="44"/>
  <c r="L62" i="44"/>
  <c r="M118" i="44"/>
  <c r="O221" i="44"/>
  <c r="P207" i="44"/>
  <c r="P210" i="44" s="1"/>
  <c r="P218" i="44" s="1"/>
  <c r="P221" i="44" s="1"/>
  <c r="L127" i="44"/>
  <c r="L56" i="44"/>
  <c r="M117" i="44"/>
  <c r="L125" i="44"/>
  <c r="L54" i="44"/>
  <c r="M115" i="44"/>
  <c r="L124" i="44"/>
  <c r="L53" i="44"/>
  <c r="L119" i="44"/>
  <c r="M114" i="44"/>
  <c r="L258" i="44"/>
  <c r="L82" i="44"/>
  <c r="M249" i="44"/>
  <c r="M17" i="44" s="1"/>
  <c r="M19" i="44" s="1"/>
  <c r="H234" i="44"/>
  <c r="H236" i="44" s="1"/>
  <c r="H239" i="44" s="1"/>
  <c r="H105" i="44"/>
  <c r="I103" i="44"/>
  <c r="H39" i="44"/>
  <c r="H43" i="44" s="1"/>
  <c r="H49" i="44" s="1"/>
  <c r="H261" i="44" s="1"/>
  <c r="N139" i="44"/>
  <c r="M140" i="44"/>
  <c r="M45" i="44" s="1"/>
  <c r="I267" i="44"/>
  <c r="I266" i="44"/>
  <c r="I262" i="44"/>
  <c r="K58" i="44"/>
  <c r="K64" i="44" s="1"/>
  <c r="P191" i="44" l="1"/>
  <c r="P84" i="44" s="1"/>
  <c r="L58" i="44"/>
  <c r="L64" i="44" s="1"/>
  <c r="P222" i="44"/>
  <c r="P263" i="44" s="1"/>
  <c r="P12" i="44"/>
  <c r="N249" i="44"/>
  <c r="N17" i="44" s="1"/>
  <c r="N19" i="44" s="1"/>
  <c r="M258" i="44"/>
  <c r="M82" i="44"/>
  <c r="K270" i="44"/>
  <c r="K260" i="44"/>
  <c r="K92" i="44"/>
  <c r="K102" i="44" s="1"/>
  <c r="M55" i="44"/>
  <c r="M126" i="44"/>
  <c r="N116" i="44"/>
  <c r="M125" i="44"/>
  <c r="M54" i="44"/>
  <c r="N115" i="44"/>
  <c r="M128" i="44"/>
  <c r="M62" i="44"/>
  <c r="N118" i="44"/>
  <c r="J267" i="44"/>
  <c r="J266" i="44"/>
  <c r="I104" i="44"/>
  <c r="M127" i="44"/>
  <c r="M56" i="44"/>
  <c r="N117" i="44"/>
  <c r="O139" i="44"/>
  <c r="N140" i="44"/>
  <c r="N45" i="44" s="1"/>
  <c r="H76" i="44"/>
  <c r="O222" i="44"/>
  <c r="O263" i="44" s="1"/>
  <c r="O12" i="44"/>
  <c r="P212" i="44"/>
  <c r="P213" i="44" s="1"/>
  <c r="P215" i="44"/>
  <c r="O31" i="44"/>
  <c r="O235" i="44"/>
  <c r="L120" i="44"/>
  <c r="M53" i="44"/>
  <c r="M124" i="44"/>
  <c r="M119" i="44"/>
  <c r="N114" i="44"/>
  <c r="J75" i="44"/>
  <c r="L71" i="44"/>
  <c r="K73" i="44"/>
  <c r="K262" i="44" s="1"/>
  <c r="P31" i="44" l="1"/>
  <c r="P235" i="44"/>
  <c r="O115" i="44"/>
  <c r="O125" i="44" s="1"/>
  <c r="O116" i="44"/>
  <c r="O126" i="44" s="1"/>
  <c r="O118" i="44"/>
  <c r="O128" i="44" s="1"/>
  <c r="K75" i="44"/>
  <c r="O89" i="44"/>
  <c r="O96" i="44" s="1"/>
  <c r="O101" i="44" s="1"/>
  <c r="O14" i="44"/>
  <c r="O16" i="44" s="1"/>
  <c r="O268" i="44"/>
  <c r="O114" i="44"/>
  <c r="N62" i="44"/>
  <c r="N128" i="44"/>
  <c r="N127" i="44"/>
  <c r="N56" i="44"/>
  <c r="O62" i="44"/>
  <c r="M71" i="44"/>
  <c r="L73" i="44"/>
  <c r="L262" i="44" s="1"/>
  <c r="P139" i="44"/>
  <c r="P140" i="44" s="1"/>
  <c r="P45" i="44" s="1"/>
  <c r="O140" i="44"/>
  <c r="O45" i="44" s="1"/>
  <c r="N124" i="44"/>
  <c r="N53" i="44"/>
  <c r="N119" i="44"/>
  <c r="N120" i="44"/>
  <c r="N258" i="44"/>
  <c r="N82" i="44"/>
  <c r="M58" i="44"/>
  <c r="M64" i="44" s="1"/>
  <c r="O269" i="44"/>
  <c r="O257" i="44"/>
  <c r="O271" i="44"/>
  <c r="M120" i="44"/>
  <c r="N55" i="44"/>
  <c r="N126" i="44"/>
  <c r="O117" i="44"/>
  <c r="I234" i="44"/>
  <c r="I236" i="44" s="1"/>
  <c r="I239" i="44" s="1"/>
  <c r="I105" i="44"/>
  <c r="J103" i="44"/>
  <c r="J104" i="44" s="1"/>
  <c r="I39" i="44"/>
  <c r="I43" i="44" s="1"/>
  <c r="I49" i="44" s="1"/>
  <c r="L87" i="44"/>
  <c r="L90" i="44" s="1"/>
  <c r="L129" i="44"/>
  <c r="P89" i="44"/>
  <c r="P96" i="44" s="1"/>
  <c r="P101" i="44" s="1"/>
  <c r="P14" i="44"/>
  <c r="P16" i="44" s="1"/>
  <c r="P268" i="44"/>
  <c r="P269" i="44"/>
  <c r="K266" i="44"/>
  <c r="K267" i="44"/>
  <c r="N125" i="44"/>
  <c r="N54" i="44"/>
  <c r="P257" i="44" l="1"/>
  <c r="P271" i="44"/>
  <c r="O54" i="44"/>
  <c r="N58" i="44"/>
  <c r="N64" i="44" s="1"/>
  <c r="O55" i="44"/>
  <c r="P116" i="44"/>
  <c r="P126" i="44"/>
  <c r="P55" i="44"/>
  <c r="P249" i="44"/>
  <c r="P17" i="44" s="1"/>
  <c r="P19" i="44"/>
  <c r="O127" i="44"/>
  <c r="O56" i="44"/>
  <c r="P117" i="44"/>
  <c r="L267" i="44"/>
  <c r="L266" i="44"/>
  <c r="L75" i="44"/>
  <c r="O249" i="44"/>
  <c r="O17" i="44" s="1"/>
  <c r="O19" i="44" s="1"/>
  <c r="N71" i="44"/>
  <c r="M73" i="44"/>
  <c r="P115" i="44"/>
  <c r="L270" i="44"/>
  <c r="L260" i="44"/>
  <c r="L92" i="44"/>
  <c r="L102" i="44" s="1"/>
  <c r="M129" i="44"/>
  <c r="M87" i="44"/>
  <c r="M90" i="44" s="1"/>
  <c r="N87" i="44"/>
  <c r="N90" i="44" s="1"/>
  <c r="N129" i="44"/>
  <c r="P118" i="44"/>
  <c r="O53" i="44"/>
  <c r="O124" i="44"/>
  <c r="O119" i="44"/>
  <c r="O120" i="44" s="1"/>
  <c r="P114" i="44"/>
  <c r="J234" i="44"/>
  <c r="J236" i="44" s="1"/>
  <c r="J239" i="44" s="1"/>
  <c r="J105" i="44"/>
  <c r="K103" i="44"/>
  <c r="K104" i="44" s="1"/>
  <c r="J39" i="44"/>
  <c r="J43" i="44" s="1"/>
  <c r="J49" i="44" s="1"/>
  <c r="J261" i="44" s="1"/>
  <c r="I76" i="44"/>
  <c r="I261" i="44"/>
  <c r="O58" i="44" l="1"/>
  <c r="O64" i="44" s="1"/>
  <c r="O87" i="44"/>
  <c r="O129" i="44"/>
  <c r="N260" i="44"/>
  <c r="N270" i="44"/>
  <c r="N92" i="44"/>
  <c r="N102" i="44" s="1"/>
  <c r="O258" i="44"/>
  <c r="O82" i="44"/>
  <c r="O90" i="44" s="1"/>
  <c r="K234" i="44"/>
  <c r="K236" i="44" s="1"/>
  <c r="K239" i="44" s="1"/>
  <c r="K105" i="44"/>
  <c r="L103" i="44"/>
  <c r="L104" i="44" s="1"/>
  <c r="K39" i="44"/>
  <c r="K43" i="44" s="1"/>
  <c r="K49" i="44" s="1"/>
  <c r="M266" i="44"/>
  <c r="M267" i="44"/>
  <c r="O71" i="44"/>
  <c r="N73" i="44"/>
  <c r="N262" i="44" s="1"/>
  <c r="M260" i="44"/>
  <c r="M270" i="44"/>
  <c r="M92" i="44"/>
  <c r="M102" i="44" s="1"/>
  <c r="P127" i="44"/>
  <c r="P56" i="44"/>
  <c r="P124" i="44"/>
  <c r="P53" i="44"/>
  <c r="P119" i="44"/>
  <c r="P120" i="44" s="1"/>
  <c r="M75" i="44"/>
  <c r="M262" i="44"/>
  <c r="P258" i="44"/>
  <c r="P82" i="44"/>
  <c r="J76" i="44"/>
  <c r="P128" i="44"/>
  <c r="P62" i="44"/>
  <c r="P125" i="44"/>
  <c r="P54" i="44"/>
  <c r="P58" i="44" l="1"/>
  <c r="P64" i="44" s="1"/>
  <c r="P71" i="44"/>
  <c r="P73" i="44" s="1"/>
  <c r="O73" i="44"/>
  <c r="K76" i="44"/>
  <c r="P129" i="44"/>
  <c r="P87" i="44"/>
  <c r="P90" i="44" s="1"/>
  <c r="L234" i="44"/>
  <c r="L236" i="44" s="1"/>
  <c r="L239" i="44" s="1"/>
  <c r="M103" i="44"/>
  <c r="M104" i="44" s="1"/>
  <c r="L105" i="44"/>
  <c r="L39" i="44"/>
  <c r="L43" i="44" s="1"/>
  <c r="L49" i="44" s="1"/>
  <c r="K261" i="44"/>
  <c r="O260" i="44"/>
  <c r="O270" i="44"/>
  <c r="O92" i="44"/>
  <c r="O102" i="44" s="1"/>
  <c r="N267" i="44"/>
  <c r="N266" i="44"/>
  <c r="N75" i="44"/>
  <c r="P75" i="44" l="1"/>
  <c r="P270" i="44"/>
  <c r="P260" i="44"/>
  <c r="P92" i="44"/>
  <c r="P102" i="44" s="1"/>
  <c r="L76" i="44"/>
  <c r="M234" i="44"/>
  <c r="M236" i="44" s="1"/>
  <c r="M239" i="44" s="1"/>
  <c r="M105" i="44"/>
  <c r="N103" i="44"/>
  <c r="N104" i="44" s="1"/>
  <c r="M39" i="44"/>
  <c r="M43" i="44" s="1"/>
  <c r="M49" i="44" s="1"/>
  <c r="M261" i="44" s="1"/>
  <c r="L261" i="44"/>
  <c r="O266" i="44"/>
  <c r="O267" i="44"/>
  <c r="O262" i="44"/>
  <c r="P262" i="44"/>
  <c r="O75" i="44"/>
  <c r="P267" i="44"/>
  <c r="P266" i="44"/>
  <c r="N234" i="44" l="1"/>
  <c r="N236" i="44" s="1"/>
  <c r="N239" i="44" s="1"/>
  <c r="O103" i="44"/>
  <c r="O104" i="44" s="1"/>
  <c r="N105" i="44"/>
  <c r="N39" i="44"/>
  <c r="N43" i="44" s="1"/>
  <c r="N49" i="44" s="1"/>
  <c r="M76" i="44"/>
  <c r="N76" i="44" l="1"/>
  <c r="N261" i="44"/>
  <c r="O234" i="44"/>
  <c r="O236" i="44" s="1"/>
  <c r="O239" i="44" s="1"/>
  <c r="P103" i="44"/>
  <c r="P104" i="44" s="1"/>
  <c r="O105" i="44"/>
  <c r="O39" i="44"/>
  <c r="O43" i="44" s="1"/>
  <c r="O49" i="44" s="1"/>
  <c r="O76" i="44" l="1"/>
  <c r="O261" i="44"/>
  <c r="P234" i="44"/>
  <c r="P236" i="44" s="1"/>
  <c r="P239" i="44" s="1"/>
  <c r="P105" i="44"/>
  <c r="P39" i="44"/>
  <c r="P43" i="44" s="1"/>
  <c r="P49" i="44" s="1"/>
  <c r="P76" i="44" s="1"/>
  <c r="P261" i="4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C49" authorId="0" shapeId="0" xr:uid="{00000000-0006-0000-0A00-000001000000}">
      <text>
        <r>
          <rPr>
            <b/>
            <sz val="9"/>
            <color indexed="81"/>
            <rFont val="Geneva"/>
          </rPr>
          <t>Aswath Damodaran:</t>
        </r>
        <r>
          <rPr>
            <sz val="9"/>
            <color indexed="81"/>
            <rFont val="Geneva"/>
          </rPr>
          <t xml:space="preserve">
I don't have a crystal ball but you should look at 
a. Revenue growth in your company in recent years
b. Your company's revenues, relative to the overall market size and larger players in the sector. 
Suggestion: Check your revenues in year 10 against the overall market and see what market share are you giving your company. Check your company's revenues against other companies in the sector.
Note that this number can be negative for a declining firm.</t>
        </r>
      </text>
    </comment>
    <comment ref="C50" authorId="0" shapeId="0" xr:uid="{00000000-0006-0000-0A00-000002000000}">
      <text>
        <r>
          <rPr>
            <b/>
            <sz val="9"/>
            <color indexed="81"/>
            <rFont val="Geneva"/>
          </rPr>
          <t>Aswath Damodaran:</t>
        </r>
        <r>
          <rPr>
            <sz val="9"/>
            <color indexed="81"/>
            <rFont val="Geneva"/>
          </rPr>
          <t xml:space="preserve">
You should start by looking at your company's current pre-tax operating margin (Divide cell B4 by cell B3 on this page) but also look at the average for your industry. (You can check my estimates of industry averages in the last worksheet on this spreadsheet.) </t>
        </r>
      </text>
    </comment>
    <comment ref="C51" authorId="0" shapeId="0" xr:uid="{00000000-0006-0000-0A00-000003000000}">
      <text>
        <r>
          <rPr>
            <b/>
            <sz val="9"/>
            <color indexed="81"/>
            <rFont val="Geneva"/>
          </rPr>
          <t>Aswath Damodaran:</t>
        </r>
        <r>
          <rPr>
            <sz val="9"/>
            <color indexed="81"/>
            <rFont val="Geneva"/>
          </rPr>
          <t xml:space="preserve">
You are probably wondering what this is but it is how I compute how much you are going to reinvest to keep your business growing in future years. The higher you set this number, the more efficiently you are growing and the higher the value of your growth. Again, look at your company's current number (divide cell B3 by the sum of cells B5 and B6). Look at the industry averages as well in the worksheet.</t>
        </r>
      </text>
    </comment>
    <comment ref="C54" authorId="0" shapeId="0" xr:uid="{00000000-0006-0000-0A00-000004000000}">
      <text>
        <r>
          <rPr>
            <b/>
            <sz val="9"/>
            <color indexed="81"/>
            <rFont val="Geneva"/>
          </rPr>
          <t>Aswath Damodaran:</t>
        </r>
        <r>
          <rPr>
            <sz val="9"/>
            <color indexed="81"/>
            <rFont val="Geneva"/>
          </rPr>
          <t xml:space="preserve">
This should be today's long term riskfree rate. If you are working with a currency where the government has default risk, clean up the government bond rate to make it riskfree (by subtracting the default spread for the government).</t>
        </r>
      </text>
    </comment>
    <comment ref="C55" authorId="0" shapeId="0" xr:uid="{00000000-0006-0000-0A00-000005000000}">
      <text>
        <r>
          <rPr>
            <b/>
            <sz val="9"/>
            <color indexed="81"/>
            <rFont val="Geneva"/>
          </rPr>
          <t>Aswath Damodaran:</t>
        </r>
        <r>
          <rPr>
            <sz val="9"/>
            <color indexed="81"/>
            <rFont val="Geneva"/>
          </rPr>
          <t xml:space="preserve">
Enter the current cost of capital for your firm. If you don't know what it is, you can use the worksheet to compute it.</t>
        </r>
      </text>
    </comment>
    <comment ref="C63" authorId="0" shapeId="0" xr:uid="{00000000-0006-0000-0A00-000006000000}">
      <text>
        <r>
          <rPr>
            <b/>
            <sz val="9"/>
            <color indexed="81"/>
            <rFont val="Geneva"/>
          </rPr>
          <t>Aswath Damodaran:</t>
        </r>
        <r>
          <rPr>
            <sz val="9"/>
            <color indexed="81"/>
            <rFont val="Geneva"/>
          </rPr>
          <t xml:space="preserve">
Use a sector average beta, if need be.</t>
        </r>
      </text>
    </comment>
    <comment ref="C65" authorId="0" shapeId="0" xr:uid="{00000000-0006-0000-0A00-000007000000}">
      <text>
        <r>
          <rPr>
            <b/>
            <sz val="9"/>
            <color indexed="81"/>
            <rFont val="Geneva"/>
          </rPr>
          <t>Aswath Damodaran:</t>
        </r>
        <r>
          <rPr>
            <sz val="9"/>
            <color indexed="81"/>
            <rFont val="Geneva"/>
          </rPr>
          <t xml:space="preserve">
If your company has risk exposure in emergiing markets, incorporate that risk premiums here. See worksheet on country risk premiums.</t>
        </r>
      </text>
    </comment>
    <comment ref="C69" authorId="0" shapeId="0" xr:uid="{00000000-0006-0000-0A00-000008000000}">
      <text>
        <r>
          <rPr>
            <b/>
            <sz val="9"/>
            <color indexed="81"/>
            <rFont val="Geneva"/>
          </rPr>
          <t>Aswath Damodaran:</t>
        </r>
        <r>
          <rPr>
            <sz val="9"/>
            <color indexed="81"/>
            <rFont val="Geneva"/>
          </rPr>
          <t xml:space="preserve">
Current, long term cost of borrowing money. If you have a rating use it, if not use a synthetic rating.</t>
        </r>
      </text>
    </comment>
  </commentList>
</comments>
</file>

<file path=xl/sharedStrings.xml><?xml version="1.0" encoding="utf-8"?>
<sst xmlns="http://schemas.openxmlformats.org/spreadsheetml/2006/main" count="1220" uniqueCount="789">
  <si>
    <t>Provision for income taxes</t>
  </si>
  <si>
    <t>Mean</t>
  </si>
  <si>
    <t>Median</t>
  </si>
  <si>
    <t>Year Ended</t>
  </si>
  <si>
    <t>Three Months Ended</t>
  </si>
  <si>
    <t>December 31,</t>
  </si>
  <si>
    <t>March  31,</t>
  </si>
  <si>
    <t>    2009    </t>
  </si>
  <si>
    <t>    2010    </t>
  </si>
  <si>
    <t>    2011    </t>
  </si>
  <si>
    <t>    2012    </t>
  </si>
  <si>
    <t xml:space="preserve">Costs and expenses: </t>
  </si>
  <si>
    <t xml:space="preserve">Cost of revenue </t>
  </si>
  <si>
    <t xml:space="preserve">Marketing and sales </t>
  </si>
  <si>
    <t xml:space="preserve">Research and development </t>
  </si>
  <si>
    <t xml:space="preserve">General and administrative </t>
  </si>
  <si>
    <t>Total costs and expenses</t>
  </si>
  <si>
    <t>Interest and other income (expense), net</t>
  </si>
  <si>
    <t>Income before provision for income taxes</t>
  </si>
  <si>
    <t>Net income (loss) attributable to Class A and Class B common stockholders</t>
  </si>
  <si>
    <t>  </t>
  </si>
  <si>
    <t>Basic</t>
  </si>
  <si>
    <t>Diluted</t>
  </si>
  <si>
    <t>Working capital</t>
  </si>
  <si>
    <t>Property and equipment, net</t>
  </si>
  <si>
    <t>Total stockholders’ equity</t>
  </si>
  <si>
    <t>Q1'04</t>
  </si>
  <si>
    <t>Q2'04</t>
  </si>
  <si>
    <t>Q1'05</t>
  </si>
  <si>
    <t>Q3'04</t>
  </si>
  <si>
    <t>Q4'04</t>
  </si>
  <si>
    <t>Number of deals</t>
  </si>
  <si>
    <t>Q2'05</t>
  </si>
  <si>
    <t>Q3'05</t>
  </si>
  <si>
    <t>Q4'05</t>
  </si>
  <si>
    <t>Q1'06</t>
  </si>
  <si>
    <t>Q2'06</t>
  </si>
  <si>
    <t>Q3'06</t>
  </si>
  <si>
    <t>Q4'06</t>
  </si>
  <si>
    <t>Q1'07</t>
  </si>
  <si>
    <t>Q2'07</t>
  </si>
  <si>
    <t>Q3'07</t>
  </si>
  <si>
    <t>Q4'07</t>
  </si>
  <si>
    <t>Q1'08</t>
  </si>
  <si>
    <t>Q2'08</t>
  </si>
  <si>
    <t>Q3'08</t>
  </si>
  <si>
    <t>Q4'08</t>
  </si>
  <si>
    <t>Q1'09</t>
  </si>
  <si>
    <t>Q2'09</t>
  </si>
  <si>
    <t>Q3'09</t>
  </si>
  <si>
    <t>Q4'09</t>
  </si>
  <si>
    <t>Q1'10</t>
  </si>
  <si>
    <t>Q2'10</t>
  </si>
  <si>
    <t>Q3'10</t>
  </si>
  <si>
    <t>Q4'11</t>
  </si>
  <si>
    <t>Q1'11</t>
  </si>
  <si>
    <t>Q4'10</t>
  </si>
  <si>
    <t>Q2'11</t>
  </si>
  <si>
    <t>Q3'11</t>
  </si>
  <si>
    <t>Q1'12</t>
  </si>
  <si>
    <t>Capital raised ($B)</t>
  </si>
  <si>
    <t>Name of Beneficial Owner</t>
  </si>
  <si>
    <t>Shares subject to voting proxy</t>
  </si>
  <si>
    <t>Dustin Moskovitz</t>
  </si>
  <si>
    <t>T. Rowe Price Associates, Inc.</t>
  </si>
  <si>
    <t>Mail.ru Group Limited</t>
  </si>
  <si>
    <t>Mark Pincus</t>
  </si>
  <si>
    <t>Microsoft Corporation</t>
  </si>
  <si>
    <t>Sean Parker</t>
  </si>
  <si>
    <t>Valiant Capital Opportunities, LLC</t>
  </si>
  <si>
    <t>All other selling stockholders</t>
  </si>
  <si>
    <t>Shares</t>
  </si>
  <si>
    <t>Class A</t>
  </si>
  <si>
    <t>Class B</t>
  </si>
  <si>
    <t>Date</t>
  </si>
  <si>
    <t>AAPL</t>
  </si>
  <si>
    <t>GOOG</t>
  </si>
  <si>
    <t>GRPN</t>
  </si>
  <si>
    <t>LNKD</t>
  </si>
  <si>
    <t>QQQ</t>
  </si>
  <si>
    <t>SPY</t>
  </si>
  <si>
    <t>ZYNG</t>
  </si>
  <si>
    <t>LinkedIn</t>
  </si>
  <si>
    <t>Groupon</t>
  </si>
  <si>
    <t>Zynga</t>
  </si>
  <si>
    <t>Company</t>
  </si>
  <si>
    <t>Ticker</t>
  </si>
  <si>
    <t>IPO date</t>
  </si>
  <si>
    <t>Price Range</t>
  </si>
  <si>
    <t>IPO price</t>
  </si>
  <si>
    <t>1st Day Total Return</t>
  </si>
  <si>
    <t>1st Week Total Return</t>
  </si>
  <si>
    <t>1st Month Total Return</t>
  </si>
  <si>
    <t>http://www.reuters.com/article/2011/05/19/us-linkedin-ipo-risks-idUSTRE74H0TL20110519</t>
  </si>
  <si>
    <t>$32 to $35; $42 to $45</t>
  </si>
  <si>
    <t>http://www.nyse.com/press/1305802537651.html</t>
  </si>
  <si>
    <t>Gross Proceeds</t>
  </si>
  <si>
    <t>$621 million</t>
  </si>
  <si>
    <t>$16 to $18</t>
  </si>
  <si>
    <t>http://articles.marketwatch.com/2011-10-21/markets/30759863_1_groupon-online-deals-zynga</t>
  </si>
  <si>
    <t>http://latimesblogs.latimes.com/money_co/2011/11/groupon-ipo.html</t>
  </si>
  <si>
    <t>http://articles.latimes.com/2011/dec/17/business/la-fi-ct-zynga-ipo-20111217</t>
  </si>
  <si>
    <t xml:space="preserve">$8.50 to $10 </t>
  </si>
  <si>
    <t>http://techcrunch.com/2011/12/02/zynga-sets-price-range-for-ipo-at-8-50-to-10-per-share/</t>
  </si>
  <si>
    <t>$1 billion</t>
  </si>
  <si>
    <t>Amazon</t>
  </si>
  <si>
    <t>Apple</t>
  </si>
  <si>
    <t>Cisco Systems</t>
  </si>
  <si>
    <t>Google</t>
  </si>
  <si>
    <t>Microsoft</t>
  </si>
  <si>
    <t>Yahoo!</t>
  </si>
  <si>
    <t>Firm</t>
  </si>
  <si>
    <t>EV/Sales</t>
  </si>
  <si>
    <t>2013E</t>
  </si>
  <si>
    <t>2014E</t>
  </si>
  <si>
    <t>ZNGA</t>
  </si>
  <si>
    <t>AMZN</t>
  </si>
  <si>
    <t>Mobile MAUs</t>
  </si>
  <si>
    <t>Total</t>
  </si>
  <si>
    <t>IYW</t>
  </si>
  <si>
    <t>CSCO</t>
  </si>
  <si>
    <t>MSFT</t>
  </si>
  <si>
    <t>YHOO</t>
  </si>
  <si>
    <t>Revenues</t>
  </si>
  <si>
    <t>Price/Earnings</t>
  </si>
  <si>
    <t>Total assets</t>
  </si>
  <si>
    <t>Total liabilities</t>
  </si>
  <si>
    <t>Income from operations</t>
  </si>
  <si>
    <t>Net income</t>
  </si>
  <si>
    <t>Revenue</t>
  </si>
  <si>
    <t>DCF</t>
  </si>
  <si>
    <t>Base year</t>
    <phoneticPr fontId="5" type="noConversion"/>
  </si>
  <si>
    <t>Assumptions:</t>
  </si>
  <si>
    <t>Revenue growth rate</t>
    <phoneticPr fontId="5" type="noConversion"/>
  </si>
  <si>
    <t>EBIT (Operating) margin</t>
    <phoneticPr fontId="5" type="noConversion"/>
  </si>
  <si>
    <t>Tax rate</t>
  </si>
  <si>
    <t>Cost of capital</t>
  </si>
  <si>
    <t>Free cash flow to firm ($ millions):</t>
  </si>
  <si>
    <t>EBIT</t>
  </si>
  <si>
    <t>EBIT(1-tax)</t>
  </si>
  <si>
    <t>FCFF</t>
  </si>
  <si>
    <t>Terminal value</t>
  </si>
  <si>
    <t>Present value:</t>
  </si>
  <si>
    <t>Cumulative discount factor</t>
  </si>
  <si>
    <t>- Debt</t>
  </si>
  <si>
    <t>Value of equity</t>
  </si>
  <si>
    <t>- Cost of equity options (after tax)</t>
  </si>
  <si>
    <t>Value of common equity</t>
  </si>
  <si>
    <t>Estimated value /share</t>
  </si>
  <si>
    <t>Price talk</t>
  </si>
  <si>
    <t>Price as % of value</t>
  </si>
  <si>
    <t>VALUATION OF FACEBOOK, BASED ON PROF. ASWATH DAMODARAN</t>
  </si>
  <si>
    <t>PV of FCFF and TV</t>
  </si>
  <si>
    <t>Assumtions ( in $ millions)</t>
  </si>
  <si>
    <t>Operating income or EBIT</t>
  </si>
  <si>
    <t>Book value of equity</t>
  </si>
  <si>
    <t>Book value of debt</t>
  </si>
  <si>
    <t xml:space="preserve">Current stock price </t>
  </si>
  <si>
    <t xml:space="preserve">Effective tax rate (last 3 years) </t>
  </si>
  <si>
    <t xml:space="preserve">Marginal tax rate </t>
  </si>
  <si>
    <t>The value drivers below:</t>
  </si>
  <si>
    <t xml:space="preserve">Compounded annual revenue growth rate over next 5 years </t>
  </si>
  <si>
    <t xml:space="preserve">Target pre-tax operating margin (EBIT as % of sales in year 10) </t>
  </si>
  <si>
    <t xml:space="preserve">Sales to capital ratio  (for computing reinvestment) </t>
  </si>
  <si>
    <t xml:space="preserve">Market numbers </t>
  </si>
  <si>
    <t>Riskfree rate</t>
    <phoneticPr fontId="0" type="noConversion"/>
  </si>
  <si>
    <t xml:space="preserve">Initial cost of capital </t>
  </si>
  <si>
    <t xml:space="preserve">Cost of capital after year 10 </t>
  </si>
  <si>
    <t>Estimation of Current Cost of Capital</t>
  </si>
  <si>
    <t>Equity</t>
  </si>
  <si>
    <t>Current Market Price per share</t>
  </si>
  <si>
    <t>Industry avg unlevered beta</t>
  </si>
  <si>
    <t>Riskfree Rate</t>
  </si>
  <si>
    <t>Equity Risk Premium</t>
  </si>
  <si>
    <t>Levered Beta for equity</t>
  </si>
  <si>
    <t>Debt</t>
  </si>
  <si>
    <t>Pre-tax Cost of Debt</t>
  </si>
  <si>
    <t>Preferred Stock</t>
  </si>
  <si>
    <t>Number of Preferred Shares</t>
  </si>
  <si>
    <t>Current Market Price per Share</t>
  </si>
  <si>
    <t>Annual Dividend per Share</t>
  </si>
  <si>
    <t>WACC</t>
  </si>
  <si>
    <t xml:space="preserve">Debt </t>
  </si>
  <si>
    <t>Preferred</t>
  </si>
  <si>
    <t>Capital</t>
  </si>
  <si>
    <t>Market values</t>
  </si>
  <si>
    <t>Weights in WACC</t>
  </si>
  <si>
    <t>Cost of Component</t>
  </si>
  <si>
    <t>Price/Sales</t>
  </si>
  <si>
    <t>$352.8 million</t>
  </si>
  <si>
    <r>
      <t xml:space="preserve">Earnings (loss) per share attributable to Class A and Class B common stockholders </t>
    </r>
    <r>
      <rPr>
        <sz val="6"/>
        <color indexed="8"/>
        <rFont val="Arial"/>
        <family val="2"/>
      </rPr>
      <t>(2)</t>
    </r>
    <r>
      <rPr>
        <sz val="10"/>
        <rFont val="Arial"/>
        <family val="2"/>
      </rPr>
      <t>:</t>
    </r>
  </si>
  <si>
    <t>Consolidated Balance Sheets:</t>
  </si>
  <si>
    <t>Consolidated Statements of Operations:</t>
  </si>
  <si>
    <t>US dollars in millions</t>
  </si>
  <si>
    <t>&lt;1.0</t>
  </si>
  <si>
    <t>Accel Partners</t>
  </si>
  <si>
    <t>DST Global Limited</t>
  </si>
  <si>
    <t>Goldman Sachs</t>
  </si>
  <si>
    <t>Elevation Partners</t>
  </si>
  <si>
    <t>Greylock Partners</t>
  </si>
  <si>
    <t>Meritech Capital Partners</t>
  </si>
  <si>
    <t>Reid Hoffman</t>
  </si>
  <si>
    <t>Tiger Global Management</t>
  </si>
  <si>
    <t>Executive Officers and Directors:</t>
  </si>
  <si>
    <t/>
  </si>
  <si>
    <t>Other Stockholders:</t>
  </si>
  <si>
    <t xml:space="preserve">     Total</t>
  </si>
  <si>
    <t>Increase in CAPEX + WC</t>
  </si>
  <si>
    <t>Increase in CAPEX + WC as % of sales</t>
  </si>
  <si>
    <t>Levels of Indices</t>
  </si>
  <si>
    <t>Average revenue per user</t>
  </si>
  <si>
    <t>US &amp; Canada</t>
  </si>
  <si>
    <t>Europe</t>
  </si>
  <si>
    <t>Asia</t>
  </si>
  <si>
    <t>Rest of World</t>
  </si>
  <si>
    <t>Worldwide</t>
  </si>
  <si>
    <t>DAUs</t>
  </si>
  <si>
    <t>MAUs</t>
  </si>
  <si>
    <t>Indexed to 100 as of May 16, 2007</t>
  </si>
  <si>
    <t>2012E</t>
  </si>
  <si>
    <t>2015E</t>
  </si>
  <si>
    <t>2016E</t>
  </si>
  <si>
    <t>2017E</t>
  </si>
  <si>
    <t>2018E</t>
  </si>
  <si>
    <t>2019E</t>
  </si>
  <si>
    <t>2020E</t>
  </si>
  <si>
    <t>2021E</t>
  </si>
  <si>
    <t>Terminal</t>
  </si>
  <si>
    <t>year</t>
  </si>
  <si>
    <t>Value of firm</t>
  </si>
  <si>
    <t>+ Excess Cash</t>
  </si>
  <si>
    <t>This year</t>
  </si>
  <si>
    <t>Excess Cash</t>
  </si>
  <si>
    <t>Year</t>
  </si>
  <si>
    <t>Highlights</t>
  </si>
  <si>
    <t>Monthly Active Users (MAUs)</t>
  </si>
  <si>
    <t>at year-end</t>
  </si>
  <si>
    <r>
      <t>·</t>
    </r>
    <r>
      <rPr>
        <sz val="7"/>
        <rFont val="Times New Roman"/>
        <family val="1"/>
      </rPr>
      <t xml:space="preserve">         </t>
    </r>
    <r>
      <rPr>
        <i/>
        <sz val="10"/>
        <rFont val="Arial"/>
        <family val="2"/>
      </rPr>
      <t>February</t>
    </r>
    <r>
      <rPr>
        <sz val="10"/>
        <rFont val="Arial"/>
        <family val="2"/>
      </rPr>
      <t>. Founded under the name thefacebook.com at Harvard University</t>
    </r>
  </si>
  <si>
    <r>
      <t>·</t>
    </r>
    <r>
      <rPr>
        <sz val="7"/>
        <rFont val="Times New Roman"/>
        <family val="1"/>
      </rPr>
      <t xml:space="preserve">         </t>
    </r>
    <r>
      <rPr>
        <i/>
        <sz val="10"/>
        <rFont val="Arial"/>
        <family val="2"/>
      </rPr>
      <t>September</t>
    </r>
    <r>
      <rPr>
        <sz val="10"/>
        <rFont val="Arial"/>
        <family val="2"/>
      </rPr>
      <t>. Introduced the Facebook Wall, a forum for users to post messages to their friends</t>
    </r>
  </si>
  <si>
    <r>
      <t>·</t>
    </r>
    <r>
      <rPr>
        <sz val="7"/>
        <rFont val="Times New Roman"/>
        <family val="1"/>
      </rPr>
      <t xml:space="preserve">         </t>
    </r>
    <r>
      <rPr>
        <sz val="10"/>
        <rFont val="Arial"/>
        <family val="2"/>
      </rPr>
      <t>Began to expand to colleges and universities around the country</t>
    </r>
  </si>
  <si>
    <r>
      <t>·</t>
    </r>
    <r>
      <rPr>
        <sz val="7"/>
        <rFont val="Times New Roman"/>
        <family val="1"/>
      </rPr>
      <t xml:space="preserve">         </t>
    </r>
    <r>
      <rPr>
        <sz val="10"/>
        <rFont val="Arial"/>
        <family val="2"/>
      </rPr>
      <t>Recorded $382,000 in revenue</t>
    </r>
  </si>
  <si>
    <t>1 million</t>
  </si>
  <si>
    <r>
      <t>·</t>
    </r>
    <r>
      <rPr>
        <sz val="7"/>
        <rFont val="Times New Roman"/>
        <family val="1"/>
      </rPr>
      <t xml:space="preserve">         </t>
    </r>
    <r>
      <rPr>
        <i/>
        <sz val="10"/>
        <rFont val="Arial"/>
        <family val="2"/>
      </rPr>
      <t>May</t>
    </r>
    <r>
      <rPr>
        <sz val="10"/>
        <rFont val="Arial"/>
        <family val="2"/>
      </rPr>
      <t>. Grew to support more than 800 college networks</t>
    </r>
  </si>
  <si>
    <r>
      <t>·</t>
    </r>
    <r>
      <rPr>
        <sz val="7"/>
        <rFont val="Times New Roman"/>
        <family val="1"/>
      </rPr>
      <t xml:space="preserve">         </t>
    </r>
    <r>
      <rPr>
        <i/>
        <sz val="10"/>
        <rFont val="Arial"/>
        <family val="2"/>
      </rPr>
      <t>September</t>
    </r>
    <r>
      <rPr>
        <sz val="10"/>
        <rFont val="Arial"/>
        <family val="2"/>
      </rPr>
      <t>. Added high school networks</t>
    </r>
  </si>
  <si>
    <r>
      <t>·</t>
    </r>
    <r>
      <rPr>
        <sz val="7"/>
        <rFont val="Times New Roman"/>
        <family val="1"/>
      </rPr>
      <t xml:space="preserve">         </t>
    </r>
    <r>
      <rPr>
        <i/>
        <sz val="10"/>
        <rFont val="Arial"/>
        <family val="2"/>
      </rPr>
      <t>October</t>
    </r>
    <r>
      <rPr>
        <sz val="10"/>
        <rFont val="Arial"/>
        <family val="2"/>
      </rPr>
      <t>. Added international school networks and introduced photos</t>
    </r>
  </si>
  <si>
    <r>
      <t>·</t>
    </r>
    <r>
      <rPr>
        <sz val="7"/>
        <rFont val="Times New Roman"/>
        <family val="1"/>
      </rPr>
      <t xml:space="preserve">         </t>
    </r>
    <r>
      <rPr>
        <sz val="10"/>
        <rFont val="Arial"/>
        <family val="2"/>
      </rPr>
      <t>Recorded $9 million in revenue</t>
    </r>
  </si>
  <si>
    <t>6 million</t>
  </si>
  <si>
    <r>
      <t>·</t>
    </r>
    <r>
      <rPr>
        <sz val="7"/>
        <rFont val="Times New Roman"/>
        <family val="1"/>
      </rPr>
      <t xml:space="preserve">         </t>
    </r>
    <r>
      <rPr>
        <i/>
        <sz val="10"/>
        <rFont val="Arial"/>
        <family val="2"/>
      </rPr>
      <t>April</t>
    </r>
    <r>
      <rPr>
        <sz val="10"/>
        <rFont val="Arial"/>
        <family val="2"/>
      </rPr>
      <t>. Launched Facebook Mobile</t>
    </r>
  </si>
  <si>
    <r>
      <t>·</t>
    </r>
    <r>
      <rPr>
        <sz val="7"/>
        <rFont val="Times New Roman"/>
        <family val="1"/>
      </rPr>
      <t xml:space="preserve">         </t>
    </r>
    <r>
      <rPr>
        <i/>
        <sz val="10"/>
        <rFont val="Arial"/>
        <family val="2"/>
      </rPr>
      <t>December</t>
    </r>
    <r>
      <rPr>
        <sz val="10"/>
        <rFont val="Arial"/>
        <family val="2"/>
      </rPr>
      <t>. Launched Facebook Connect, the next generation of the Facebook Platform</t>
    </r>
  </si>
  <si>
    <r>
      <t>·</t>
    </r>
    <r>
      <rPr>
        <sz val="7"/>
        <rFont val="Times New Roman"/>
        <family val="1"/>
      </rPr>
      <t xml:space="preserve">         </t>
    </r>
    <r>
      <rPr>
        <sz val="10"/>
        <rFont val="Arial"/>
        <family val="2"/>
      </rPr>
      <t>Expanded to 23 languages offered including French, German and Spanish</t>
    </r>
  </si>
  <si>
    <r>
      <t>·</t>
    </r>
    <r>
      <rPr>
        <sz val="7"/>
        <rFont val="Times New Roman"/>
        <family val="1"/>
      </rPr>
      <t xml:space="preserve">         </t>
    </r>
    <r>
      <rPr>
        <sz val="10"/>
        <rFont val="Arial"/>
        <family val="2"/>
      </rPr>
      <t>Recorded $272 million in revenue</t>
    </r>
  </si>
  <si>
    <t>12 million</t>
  </si>
  <si>
    <r>
      <t>·</t>
    </r>
    <r>
      <rPr>
        <sz val="7"/>
        <rFont val="Times New Roman"/>
        <family val="1"/>
      </rPr>
      <t xml:space="preserve">         </t>
    </r>
    <r>
      <rPr>
        <i/>
        <sz val="10"/>
        <rFont val="Arial"/>
        <family val="2"/>
      </rPr>
      <t>May</t>
    </r>
    <r>
      <rPr>
        <sz val="10"/>
        <rFont val="Arial"/>
        <family val="2"/>
      </rPr>
      <t>. Launched the Facebook Platform with 65 developers and 85 applications</t>
    </r>
  </si>
  <si>
    <r>
      <t>·</t>
    </r>
    <r>
      <rPr>
        <sz val="7"/>
        <rFont val="Times New Roman"/>
        <family val="1"/>
      </rPr>
      <t xml:space="preserve">         </t>
    </r>
    <r>
      <rPr>
        <i/>
        <sz val="10"/>
        <rFont val="Arial"/>
        <family val="2"/>
      </rPr>
      <t>November</t>
    </r>
    <r>
      <rPr>
        <sz val="10"/>
        <rFont val="Arial"/>
        <family val="2"/>
      </rPr>
      <t>. Launched self-service ad platform and Facebook Pages</t>
    </r>
  </si>
  <si>
    <r>
      <t>·</t>
    </r>
    <r>
      <rPr>
        <sz val="7"/>
        <rFont val="Times New Roman"/>
        <family val="1"/>
      </rPr>
      <t xml:space="preserve">         </t>
    </r>
    <r>
      <rPr>
        <sz val="10"/>
        <rFont val="Arial"/>
        <family val="2"/>
      </rPr>
      <t>Recorded $153 million revenue</t>
    </r>
  </si>
  <si>
    <t>58 million</t>
  </si>
  <si>
    <r>
      <t>·</t>
    </r>
    <r>
      <rPr>
        <sz val="7"/>
        <rFont val="Times New Roman"/>
        <family val="1"/>
      </rPr>
      <t xml:space="preserve">         </t>
    </r>
    <r>
      <rPr>
        <i/>
        <sz val="10"/>
        <rFont val="Arial"/>
        <family val="2"/>
      </rPr>
      <t>April</t>
    </r>
    <r>
      <rPr>
        <sz val="10"/>
        <rFont val="Arial"/>
        <family val="2"/>
      </rPr>
      <t>. Introduced Chat for users to instant message with their friends.</t>
    </r>
  </si>
  <si>
    <r>
      <t>·</t>
    </r>
    <r>
      <rPr>
        <sz val="7"/>
        <rFont val="Times New Roman"/>
        <family val="1"/>
      </rPr>
      <t xml:space="preserve">         </t>
    </r>
    <r>
      <rPr>
        <i/>
        <sz val="10"/>
        <rFont val="Arial"/>
        <family val="2"/>
      </rPr>
      <t>December</t>
    </r>
    <r>
      <rPr>
        <sz val="10"/>
        <rFont val="Arial"/>
        <family val="2"/>
      </rPr>
      <t>. Launched Facebook Connect, the next iteration of the Facebook Platform.</t>
    </r>
  </si>
  <si>
    <r>
      <t>·</t>
    </r>
    <r>
      <rPr>
        <sz val="7"/>
        <rFont val="Times New Roman"/>
        <family val="1"/>
      </rPr>
      <t xml:space="preserve">         </t>
    </r>
    <r>
      <rPr>
        <sz val="10"/>
        <rFont val="Arial"/>
        <family val="2"/>
      </rPr>
      <t>Expanded to 23 languages offered including French, German, and Spanish.</t>
    </r>
  </si>
  <si>
    <r>
      <t>·</t>
    </r>
    <r>
      <rPr>
        <sz val="7"/>
        <rFont val="Times New Roman"/>
        <family val="1"/>
      </rPr>
      <t xml:space="preserve">         </t>
    </r>
    <r>
      <rPr>
        <sz val="10"/>
        <rFont val="Arial"/>
        <family val="2"/>
      </rPr>
      <t xml:space="preserve">Recorded $272 million in revenues. </t>
    </r>
  </si>
  <si>
    <t>145 million</t>
  </si>
  <si>
    <r>
      <t>·</t>
    </r>
    <r>
      <rPr>
        <sz val="7"/>
        <rFont val="Times New Roman"/>
        <family val="1"/>
      </rPr>
      <t xml:space="preserve">         </t>
    </r>
    <r>
      <rPr>
        <i/>
        <sz val="10"/>
        <rFont val="Arial"/>
        <family val="2"/>
      </rPr>
      <t>February</t>
    </r>
    <r>
      <rPr>
        <sz val="10"/>
        <rFont val="Arial"/>
        <family val="2"/>
      </rPr>
      <t>. Introduced the Like button, which lets users connect with things they care about both on and off Facebook</t>
    </r>
  </si>
  <si>
    <r>
      <t>·</t>
    </r>
    <r>
      <rPr>
        <sz val="7"/>
        <rFont val="Times New Roman"/>
        <family val="1"/>
      </rPr>
      <t xml:space="preserve">         </t>
    </r>
    <r>
      <rPr>
        <i/>
        <sz val="10"/>
        <rFont val="Arial"/>
        <family val="2"/>
      </rPr>
      <t>May</t>
    </r>
    <r>
      <rPr>
        <sz val="10"/>
        <rFont val="Arial"/>
        <family val="2"/>
      </rPr>
      <t>. Launched Facebook Payments</t>
    </r>
  </si>
  <si>
    <r>
      <t>·</t>
    </r>
    <r>
      <rPr>
        <sz val="7"/>
        <rFont val="Times New Roman"/>
        <family val="1"/>
      </rPr>
      <t xml:space="preserve">         </t>
    </r>
    <r>
      <rPr>
        <sz val="10"/>
        <rFont val="Arial"/>
        <family val="2"/>
      </rPr>
      <t>Recorded $777 million in revenue</t>
    </r>
  </si>
  <si>
    <t>360 million</t>
  </si>
  <si>
    <r>
      <t>·</t>
    </r>
    <r>
      <rPr>
        <sz val="7"/>
        <rFont val="Times New Roman"/>
        <family val="1"/>
      </rPr>
      <t xml:space="preserve">         </t>
    </r>
    <r>
      <rPr>
        <i/>
        <sz val="10"/>
        <rFont val="Arial"/>
        <family val="2"/>
      </rPr>
      <t>April</t>
    </r>
    <r>
      <rPr>
        <sz val="10"/>
        <rFont val="Arial"/>
        <family val="2"/>
      </rPr>
      <t>. Introduced Graph API, a new programming interface for the Facebook Platform, and Social plugins, a set of easy-to-use modules allowing anyone to integrate with the Facebook Platform</t>
    </r>
  </si>
  <si>
    <r>
      <t>·</t>
    </r>
    <r>
      <rPr>
        <sz val="7"/>
        <rFont val="Times New Roman"/>
        <family val="1"/>
      </rPr>
      <t xml:space="preserve">         </t>
    </r>
    <r>
      <rPr>
        <i/>
        <sz val="10"/>
        <rFont val="Arial"/>
        <family val="2"/>
      </rPr>
      <t>October</t>
    </r>
    <r>
      <rPr>
        <sz val="10"/>
        <rFont val="Arial"/>
        <family val="2"/>
      </rPr>
      <t>. Launched Groups, a shared space for users to discuss common interests</t>
    </r>
  </si>
  <si>
    <r>
      <t>·</t>
    </r>
    <r>
      <rPr>
        <sz val="7"/>
        <rFont val="Times New Roman"/>
        <family val="1"/>
      </rPr>
      <t xml:space="preserve">         </t>
    </r>
    <r>
      <rPr>
        <sz val="10"/>
        <rFont val="Arial"/>
        <family val="2"/>
      </rPr>
      <t>Recorded $1,974 million in revenue</t>
    </r>
  </si>
  <si>
    <t>608 million</t>
  </si>
  <si>
    <r>
      <t>·</t>
    </r>
    <r>
      <rPr>
        <sz val="7"/>
        <rFont val="Times New Roman"/>
        <family val="1"/>
      </rPr>
      <t xml:space="preserve">         </t>
    </r>
    <r>
      <rPr>
        <i/>
        <sz val="10"/>
        <rFont val="Arial"/>
        <family val="2"/>
      </rPr>
      <t>September</t>
    </r>
    <r>
      <rPr>
        <sz val="10"/>
        <rFont val="Arial"/>
        <family val="2"/>
      </rPr>
      <t>. Introduced Timeline, an enhanced and updated version of the Facebook Profile</t>
    </r>
  </si>
  <si>
    <r>
      <t>·</t>
    </r>
    <r>
      <rPr>
        <sz val="7"/>
        <rFont val="Times New Roman"/>
        <family val="1"/>
      </rPr>
      <t xml:space="preserve">         </t>
    </r>
    <r>
      <rPr>
        <i/>
        <sz val="10"/>
        <rFont val="Arial"/>
        <family val="2"/>
      </rPr>
      <t>September</t>
    </r>
    <r>
      <rPr>
        <sz val="10"/>
        <rFont val="Arial"/>
        <family val="2"/>
      </rPr>
      <t>. Launched the next iteration of Open Graph</t>
    </r>
  </si>
  <si>
    <r>
      <t>·</t>
    </r>
    <r>
      <rPr>
        <sz val="7"/>
        <rFont val="Times New Roman"/>
        <family val="1"/>
      </rPr>
      <t xml:space="preserve">         </t>
    </r>
    <r>
      <rPr>
        <sz val="10"/>
        <rFont val="Arial"/>
        <family val="2"/>
      </rPr>
      <t>Recorded $3,711 million in revenue</t>
    </r>
  </si>
  <si>
    <t>845 million</t>
  </si>
  <si>
    <t>Exhibit 1</t>
  </si>
  <si>
    <t>Facebook — Timeline</t>
  </si>
  <si>
    <t>Exhibit 2</t>
  </si>
  <si>
    <t>Facebook — Consolidated Financial Statements</t>
  </si>
  <si>
    <t>Exhibit 3</t>
  </si>
  <si>
    <t>Facebook — Key Operating Statistics</t>
  </si>
  <si>
    <t>Exhibit 4</t>
  </si>
  <si>
    <t>Performance of stock indices, 5 Years ending May 2012</t>
  </si>
  <si>
    <t>Exhibit 5</t>
  </si>
  <si>
    <t>Market Statistics on US IPOs</t>
  </si>
  <si>
    <t>Exhibit 6</t>
  </si>
  <si>
    <t>Recent Technology IPOs</t>
  </si>
  <si>
    <t>Exhibit 8</t>
  </si>
  <si>
    <t>Facebook — Principal and Selling Stockholders</t>
  </si>
  <si>
    <t>Owned</t>
  </si>
  <si>
    <t>Pre-IPO</t>
  </si>
  <si>
    <t>Post-IPO</t>
  </si>
  <si>
    <t>IPO</t>
  </si>
  <si>
    <t>% Voting</t>
  </si>
  <si>
    <t xml:space="preserve">Power </t>
  </si>
  <si>
    <t xml:space="preserve">Sold In </t>
  </si>
  <si>
    <t>The price of our Class A common stock could decline if there are substantial sales of our common stock, particularly sales by our directors, executive officers, employees, and significant stockholders, or when there is a large number of shares of our common stock available for sale. After our initial public offering, we will have outstanding 598,396,119 shares of our Class A common stock and 1,539,688,918 shares of our Class B common stock, based on the number of shares outstanding as of March 31, 2012. This includes 337,415,352 shares that we and the selling stockholders are selling in our initial public offering, which shares may be resold in the public market immediately following our initial public offering, and assumes no additional exercises of outstanding options (other than the partial exercise of an outstanding stock option to purchase 120,000,000 shares of Class B common stock held by Mr. Zuckerberg, resulting in the issuance of 60,000,000 shares of our Class B common stock as described elsewhere in this prospectus). Shares of our Class B common stock are convertible into an equivalent number of shares of our Class A common stock and generally convert into shares of our Class A common stock upon transfer. The 260,980,767 shares of our Class A common stock and 1,539,688,918 shares of our Class B common stock that are not offered and sold in our initial public offering as well as the shares underlying outstanding restricted stock units (RSUs) and shares subject to employee stock options will be eligible for sale in the public market in the near future as set forth below.</t>
  </si>
  <si>
    <t>Date Available for Sale into Public Market</t>
  </si>
  <si>
    <t>Number of Shares of Common Stock</t>
  </si>
  <si>
    <t>91 days after the date of this prospectus</t>
  </si>
  <si>
    <t>268,113,248 shares held by the selling stockholders other than Mr. Zuckerberg</t>
  </si>
  <si>
    <t>151 to 180 days after the date of this prospectus</t>
  </si>
  <si>
    <t>Approximately 137 million shares underlying net- settled Pre-2011 RSUs held by our directors and then current employees and approximately 55 million outstanding shares and approximately 55 million shares subject to stock options held by then current employees other than Mr. Zuckerberg</t>
  </si>
  <si>
    <t>181 days after the date of this prospectus</t>
  </si>
  <si>
    <t>1,222,849,097 outstanding shares and approximately 18 million shares underlying other net-settled Pre-2011 RSUs</t>
  </si>
  <si>
    <t>211 days after the date of this prospectus</t>
  </si>
  <si>
    <t>123,746,921 shares held by the selling stockholders other than Mr. Zuckerberg</t>
  </si>
  <si>
    <t>366 days after the date of this prospectus</t>
  </si>
  <si>
    <t>47,315,862 shares held by Mail.ru Group Limited and DST Global Limited and their respective affiliates</t>
  </si>
  <si>
    <t>In addition, as of March 31, 2012, options to purchase 49,390,599 shares of Class B common stock held by former employees were outstanding and fully vested and the Class B common stock underlying such options will be eligible for sale 181 days after the date of this prospectus. Furthermore, following our initial public offering, the remaining 60,000,000 shares subject to the partially exercised stock option held by Mr. Zuckerberg will be eligible for sale 181 days after the date of this prospectus. We expect an additional approximately 2 million shares of Class B common stock to be delivered upon the net settlement of RSUs between the date of the initial settlement of RSUs described above and December 31, 2012 will be eligible for sale in the public market immediately following settlement.</t>
  </si>
  <si>
    <t>Exhibit 9</t>
  </si>
  <si>
    <t>Lock-Ups Ending After IPO</t>
  </si>
  <si>
    <t>Exhibit 10</t>
  </si>
  <si>
    <t>Mean First-day Returns of U.S. IPOs, 1990–2011</t>
  </si>
  <si>
    <t>The sample is U.S. initial public offerings (IPOs) with an offer price of at least $5.00 on the Amex, New York Stock Exchange and NASDAQ. It excludes American Depositary Receipts, unit offers, closed-end funds, Real Estate Investment Trusts, partnerships, small best efforts offers, banks and Savings &amp; Loans, and stocks not listed on the Center for Research in Security Prices (CRSP). Proceeds exclude overallotment options, but include the global offering size.</t>
  </si>
  <si>
    <t>Mean first day return</t>
  </si>
  <si>
    <t>Aggregate</t>
  </si>
  <si>
    <t>Number</t>
  </si>
  <si>
    <t>Equal-</t>
  </si>
  <si>
    <t>Proceeds-weighted</t>
  </si>
  <si>
    <t>proceeds</t>
  </si>
  <si>
    <t>of IPOs</t>
  </si>
  <si>
    <t>weighted</t>
  </si>
  <si>
    <t>($ billions)</t>
  </si>
  <si>
    <t>1980-2011</t>
  </si>
  <si>
    <t>Average first-day returns if IPO price relative to price range in filing is:</t>
  </si>
  <si>
    <t>Below</t>
  </si>
  <si>
    <t>Within</t>
  </si>
  <si>
    <t>Above</t>
  </si>
  <si>
    <t>1990-1998</t>
  </si>
  <si>
    <t>1999-2000</t>
  </si>
  <si>
    <t>2001-2011</t>
  </si>
  <si>
    <t>Exhibit 12</t>
  </si>
  <si>
    <t>Market Comparables — Multiples</t>
  </si>
  <si>
    <t>EPS consensus forecast</t>
  </si>
  <si>
    <t>Sales forecast mn (Ex. 11)</t>
  </si>
  <si>
    <t>Net Debt mn (Ex. 11)</t>
  </si>
  <si>
    <t>Facebook assumptions</t>
  </si>
  <si>
    <t>Pre-IPO Shares outstanding</t>
  </si>
  <si>
    <t xml:space="preserve">Facebook </t>
  </si>
  <si>
    <t>FB</t>
  </si>
  <si>
    <t>Share Price</t>
  </si>
  <si>
    <t>Pro forma for stock options</t>
  </si>
  <si>
    <t>Pro forma for stock options + IPO</t>
  </si>
  <si>
    <t>Number of shares used for EPS (millions):</t>
  </si>
  <si>
    <t>As of March 31, 2012</t>
  </si>
  <si>
    <t>Pre-IPO number of shares (millions)</t>
  </si>
  <si>
    <t>Cash and marketable securities</t>
  </si>
  <si>
    <t>Mark Zuckerberg, Chairman and CEO</t>
  </si>
  <si>
    <t>Sheryl K. Sandberg, COO</t>
  </si>
  <si>
    <t>David A. Ebersman, CFO</t>
  </si>
  <si>
    <t>Mike Schroepfer, VP - Engineering</t>
  </si>
  <si>
    <t>Theodore W. Ullyot, VP - Counsel</t>
  </si>
  <si>
    <t>Marc L. Andreessen, Director</t>
  </si>
  <si>
    <t>James W. Breyer, Director</t>
  </si>
  <si>
    <t>Peter A. Thiel, Director</t>
  </si>
  <si>
    <t>Pre-money shares (mn)</t>
  </si>
  <si>
    <t>Primary Shares</t>
  </si>
  <si>
    <t>Secondary Shares</t>
  </si>
  <si>
    <t>Offering Shares</t>
  </si>
  <si>
    <t>IPO Price per Share</t>
  </si>
  <si>
    <t>IPO Total Gross Proceeds</t>
  </si>
  <si>
    <t>Gross Proceeds - Primary Shares</t>
  </si>
  <si>
    <t>Gross Proceeds - Secondary Shares</t>
  </si>
  <si>
    <t>Underwritting Fees per Share</t>
  </si>
  <si>
    <t>Underwritting Fees %</t>
  </si>
  <si>
    <t>IPO total Expenses</t>
  </si>
  <si>
    <t>Fees - Related to Primary Shares</t>
  </si>
  <si>
    <t>Expenses - Related to Primary Shares</t>
  </si>
  <si>
    <t>Fees - Related to Secondary Shares</t>
  </si>
  <si>
    <t>IPO Total Net Proceeds</t>
  </si>
  <si>
    <t>Net Proceeds - Primary Shares</t>
  </si>
  <si>
    <t>Net Proceeds - Secondary Shares</t>
  </si>
  <si>
    <t>Total lease obligations</t>
  </si>
  <si>
    <t>Total long-term debt</t>
  </si>
  <si>
    <t>Facebook - Consolidated Statements of Cash Flows</t>
  </si>
  <si>
    <t>(In millions)</t>
  </si>
  <si>
    <t>Year Ended December 31,</t>
  </si>
  <si>
    <t>Three Months Ended March 31,</t>
  </si>
  <si>
    <t>(unaudited)</t>
  </si>
  <si>
    <t>Cash flows from operating activities</t>
  </si>
  <si>
    <t>Adjustments to reconcile net income to net</t>
  </si>
  <si>
    <t>cash provided by operating activities:</t>
  </si>
  <si>
    <t>Depreciation and amortization</t>
  </si>
  <si>
    <t>Loss on write-off of assets</t>
  </si>
  <si>
    <t>Share-based compensation</t>
  </si>
  <si>
    <t>Tax benefit from share-based award activity</t>
  </si>
  <si>
    <t>Excess tax benefit from share-based award activity</t>
  </si>
  <si>
    <t>Changes in assets and liabilities:</t>
  </si>
  <si>
    <t>Accounts receivable</t>
  </si>
  <si>
    <t>Prepaid expenses and other current assets</t>
  </si>
  <si>
    <t>Other assets</t>
  </si>
  <si>
    <t>Accounts payable</t>
  </si>
  <si>
    <t>Platform partners payable</t>
  </si>
  <si>
    <t>Accrued expenses and other current liabilities</t>
  </si>
  <si>
    <t>Deferred revenue and deposits</t>
  </si>
  <si>
    <t>Other liabilities</t>
  </si>
  <si>
    <t>Net cash provided by operating activities</t>
  </si>
  <si>
    <t>Cash flows from investing activities</t>
  </si>
  <si>
    <t>Purchases of property and equipment</t>
  </si>
  <si>
    <t>Purchases of marketable securities</t>
  </si>
  <si>
    <t>Maturities of marketable securities</t>
  </si>
  <si>
    <t>Sales of marketable securities</t>
  </si>
  <si>
    <t>Investments in non-marketable equity securities</t>
  </si>
  <si>
    <t>Acquisitions of business and purchases of intangible and other assets</t>
  </si>
  <si>
    <t>Change in restricted cash and deposits</t>
  </si>
  <si>
    <t>Net cash used in investing activities</t>
  </si>
  <si>
    <t>Cash flows from financing activities</t>
  </si>
  <si>
    <t>Net proceeds from issuance of convertible</t>
  </si>
  <si>
    <t>preferred stock</t>
  </si>
  <si>
    <t>Net proceeds from issuance of common stock</t>
  </si>
  <si>
    <t>Proceeds from exercise of stock options</t>
  </si>
  <si>
    <t>Proceeds from (repayments of) long-term debt</t>
  </si>
  <si>
    <t>Proceeds from sale and lease-back transactions</t>
  </si>
  <si>
    <t>Principal payments on capital lease obligations</t>
  </si>
  <si>
    <t>Net cash provided by financing activities</t>
  </si>
  <si>
    <t>Effect of exchange rate changes on cash and cash equivalents</t>
  </si>
  <si>
    <t>Net increase (decrease) in cash and cash equivalents</t>
  </si>
  <si>
    <t>Cash and cash equivalents at beginning of period</t>
  </si>
  <si>
    <t>Cash and cash equivalents at end of period</t>
  </si>
  <si>
    <t>Supplemental cash flow data</t>
  </si>
  <si>
    <t>Cash paid during the period for:</t>
  </si>
  <si>
    <t>Interest</t>
  </si>
  <si>
    <t>$9</t>
  </si>
  <si>
    <t>$7</t>
  </si>
  <si>
    <t>Income taxes</t>
  </si>
  <si>
    <t>Non-cash investing and financing activities:</t>
  </si>
  <si>
    <t>Property and equipment additions included in</t>
  </si>
  <si>
    <t>accounts payable and accrued expenses and</t>
  </si>
  <si>
    <t>other liabilities</t>
  </si>
  <si>
    <t>$5</t>
  </si>
  <si>
    <t>Property and equipment acquired under</t>
  </si>
  <si>
    <t>capital leases</t>
  </si>
  <si>
    <t>Fair value of shares issued related to</t>
  </si>
  <si>
    <t>acquisitions of business and other assets</t>
  </si>
  <si>
    <t>$6</t>
  </si>
  <si>
    <t>Facebook - Consolidated Statements of Income</t>
  </si>
  <si>
    <t>(In millions, except per share amounts)</t>
  </si>
  <si>
    <t>Costs and expenses:</t>
  </si>
  <si>
    <t>Cost of revenue</t>
  </si>
  <si>
    <t>Marketing and sales</t>
  </si>
  <si>
    <t>Research and development</t>
  </si>
  <si>
    <t>General and administrative</t>
  </si>
  <si>
    <t>Interest and other income (expense), net:</t>
  </si>
  <si>
    <t>Interest expense</t>
  </si>
  <si>
    <t>Other income (expense), net</t>
  </si>
  <si>
    <t>Net income attributable to participating securities</t>
  </si>
  <si>
    <t>Net income attributable to Class A and</t>
  </si>
  <si>
    <t>Class B common stockholders</t>
  </si>
  <si>
    <t>Earnings per share attributable to</t>
  </si>
  <si>
    <t>Class A and Class B common stockholders:</t>
  </si>
  <si>
    <t>Pro forma earnings per share attributable</t>
  </si>
  <si>
    <t>to Class A and Class B common</t>
  </si>
  <si>
    <t>stockholders (unaudited):</t>
  </si>
  <si>
    <t>Share-based compensation expense included</t>
  </si>
  <si>
    <t>in costs and expenses:</t>
  </si>
  <si>
    <t>$4</t>
  </si>
  <si>
    <t>Total share-based compensation expense</t>
  </si>
  <si>
    <t>CONSOLIDATED STATEMENTS OF COMPREHENSIVE INCOME</t>
  </si>
  <si>
    <t>Other comprehensive income (loss):</t>
  </si>
  <si>
    <t>Foreign currency translation adjustments</t>
  </si>
  <si>
    <t>Comprehensive income</t>
  </si>
  <si>
    <t>Facebook - Consolidated Balance Sheet</t>
  </si>
  <si>
    <t>(In millions, except for number of shares and par value)</t>
  </si>
  <si>
    <t>December 31,</t>
  </si>
  <si>
    <t>March 31,</t>
  </si>
  <si>
    <t>Pro Forma</t>
  </si>
  <si>
    <t>Assets</t>
  </si>
  <si>
    <t>Current assets:</t>
  </si>
  <si>
    <t>Cash and cash equivalents</t>
  </si>
  <si>
    <t>Marketable securities</t>
  </si>
  <si>
    <t>Accounts receivable, net of allowances for</t>
  </si>
  <si>
    <t>doubtful accounts of $11, $17 and $16 as of</t>
  </si>
  <si>
    <t>December 31, 2010 and 2011 and March 31,</t>
  </si>
  <si>
    <t>2012, respectively</t>
  </si>
  <si>
    <t>Total current assets</t>
  </si>
  <si>
    <t>Goodwill and intangible assets, net</t>
  </si>
  <si>
    <t>Liabilities and stockholders' equity</t>
  </si>
  <si>
    <t>Current liabilities:</t>
  </si>
  <si>
    <t>Current portion of capital lease obligations</t>
  </si>
  <si>
    <t>Total current liabilities</t>
  </si>
  <si>
    <t>Capital lease obligations, less current portion</t>
  </si>
  <si>
    <t>Long-term debt</t>
  </si>
  <si>
    <t>Stockholders' equity:</t>
  </si>
  <si>
    <t>Convertible preferred stock, $0.000006 par</t>
  </si>
  <si>
    <t>value, issuable in series: 569 million</t>
  </si>
  <si>
    <t>shares authorized, 541 million shares</t>
  </si>
  <si>
    <t>issued and outstanding at December 31, 2010</t>
  </si>
  <si>
    <t>and 543 million shares issued and</t>
  </si>
  <si>
    <t>outstanding at December 31, 2011 and</t>
  </si>
  <si>
    <t>March 31, 2012 (unaudited) (aggregate</t>
  </si>
  <si>
    <t>liquidation preference of $615 million as</t>
  </si>
  <si>
    <t>of December 31, 2011 and March 31, 2012</t>
  </si>
  <si>
    <t>(unaudited)); no shares authorized, issued</t>
  </si>
  <si>
    <t>and outstanding, pro forma (unaudited)</t>
  </si>
  <si>
    <t>Common stock, $0.000006 par value:</t>
  </si>
  <si>
    <t>4,141 million Class A shares authorized,</t>
  </si>
  <si>
    <t>60 million shares issued and outstanding at</t>
  </si>
  <si>
    <t>December 31, 2010, 117 million shares</t>
  </si>
  <si>
    <t>issued and outstanding, including 1 million</t>
  </si>
  <si>
    <t>outstanding shares subject to repurchase at</t>
  </si>
  <si>
    <t>December 31, 2011 and 118 million shares</t>
  </si>
  <si>
    <t>March 31, 2012 (unaudited) and pro forma</t>
  </si>
  <si>
    <t>(unaudited); 4,141 million Class B shares</t>
  </si>
  <si>
    <t>authorized, 1,112 million, 1,213 million,</t>
  </si>
  <si>
    <t>1,235 million and 1,781 million shares</t>
  </si>
  <si>
    <t>issued and outstanding, including</t>
  </si>
  <si>
    <t>5 million, 2 million, 2 million and</t>
  </si>
  <si>
    <t>2 million outstanding shares subject to</t>
  </si>
  <si>
    <t>repurchase, at December 31, 2010, 2011,</t>
  </si>
  <si>
    <t>(unaudited), respectively</t>
  </si>
  <si>
    <t>Additional paid-in capital</t>
  </si>
  <si>
    <t>Accumulated other comprehensive loss</t>
  </si>
  <si>
    <t>Retained earnings</t>
  </si>
  <si>
    <t>Total stockholders' equity</t>
  </si>
  <si>
    <t>Total liabilities and stockholders' equity</t>
  </si>
  <si>
    <t>Facebook - Consolidated Statements of Stockholders' Equity</t>
  </si>
  <si>
    <t>Convertible</t>
  </si>
  <si>
    <t>Class A and Class B</t>
  </si>
  <si>
    <t>Additional</t>
  </si>
  <si>
    <t>Accumulated Other</t>
  </si>
  <si>
    <t>Retained Earnings</t>
  </si>
  <si>
    <t>Common Stock</t>
  </si>
  <si>
    <t>Paid-In</t>
  </si>
  <si>
    <t>Comprehensive</t>
  </si>
  <si>
    <t>(Accumulated</t>
  </si>
  <si>
    <t>Stockholders'</t>
  </si>
  <si>
    <t>Amount</t>
  </si>
  <si>
    <t>Par Value</t>
  </si>
  <si>
    <t>Loss</t>
  </si>
  <si>
    <t>Deficit)</t>
  </si>
  <si>
    <t>Balances at December 31, 2008</t>
  </si>
  <si>
    <t>Issuance of Series E convertible preferred</t>
  </si>
  <si>
    <t>stock, net of issuance costs</t>
  </si>
  <si>
    <t>Issuance of common stock for cash upon</t>
  </si>
  <si>
    <t>exercise of stock options</t>
  </si>
  <si>
    <t>Issuance of common stock to nonemployees for</t>
  </si>
  <si>
    <t>past services</t>
  </si>
  <si>
    <t>Issuance of common stock related to</t>
  </si>
  <si>
    <t>acquisition</t>
  </si>
  <si>
    <t>Share-based compensation, related to employee</t>
  </si>
  <si>
    <t>share-based awards</t>
  </si>
  <si>
    <t>Share-based compensation, related to</t>
  </si>
  <si>
    <t>nonemployee share-based awards</t>
  </si>
  <si>
    <t>Excess tax benefit from share-based award</t>
  </si>
  <si>
    <t>activity</t>
  </si>
  <si>
    <t>Balances at December 31, 2009</t>
  </si>
  <si>
    <t>Issuance of common stock, net of issuance</t>
  </si>
  <si>
    <t>costs</t>
  </si>
  <si>
    <t>acquisitions</t>
  </si>
  <si>
    <t>Conversion of Series A preferred stock to</t>
  </si>
  <si>
    <t>common stock</t>
  </si>
  <si>
    <t>Reclassification of option liability to</t>
  </si>
  <si>
    <t>additional paid-in capital</t>
  </si>
  <si>
    <t>activity, net of deferred tax impact</t>
  </si>
  <si>
    <t>Other comprehensive income</t>
  </si>
  <si>
    <t>Balances at December 31, 2010</t>
  </si>
  <si>
    <t>Exercise of preferred stock warrants</t>
  </si>
  <si>
    <t>Conversion of Series B preferred stock to</t>
  </si>
  <si>
    <t>Conversion of Series C preferred stock to</t>
  </si>
  <si>
    <t>common stock.</t>
  </si>
  <si>
    <t>Balances at December 31, 2011</t>
  </si>
  <si>
    <t>Issuance of common stock for cash upon exercise</t>
  </si>
  <si>
    <t>of stock options  (unaudited)</t>
  </si>
  <si>
    <t>Issuance of common stock to nonemployees</t>
  </si>
  <si>
    <t>for past services (unaudited)</t>
  </si>
  <si>
    <t>Issuance of common stock related to asset acquisition (unaudited)</t>
  </si>
  <si>
    <t>Share-based compensation, related to employee share-based awards (unaudited)</t>
  </si>
  <si>
    <t>Excess tax benefit from share-based</t>
  </si>
  <si>
    <t>award activity (unaudited)</t>
  </si>
  <si>
    <t>Other comprehensive income (unaudited)</t>
  </si>
  <si>
    <t>Net income (unaudited)</t>
  </si>
  <si>
    <t>Balances at March 31, 2012 (unaudited)</t>
  </si>
  <si>
    <t>Note: Exhibit adjusted for latest Prospectus</t>
  </si>
  <si>
    <t>IPO (2012)</t>
  </si>
  <si>
    <t>Follow-on (2013)</t>
  </si>
  <si>
    <t>Red to Final</t>
  </si>
  <si>
    <t>Red Herring 15/5/2012</t>
  </si>
  <si>
    <t>Final 18/5/2012</t>
  </si>
  <si>
    <t>Follow-on 20/12/2013</t>
  </si>
  <si>
    <t>Prospectus 3/5/2012</t>
  </si>
  <si>
    <t>% Increase</t>
  </si>
  <si>
    <t>Shares Offered and Price Range</t>
  </si>
  <si>
    <t>New Shares Class A Issued</t>
  </si>
  <si>
    <t>Shares Class A Sold by Existing Shareholders</t>
  </si>
  <si>
    <t>Total Class A Shares Offered</t>
  </si>
  <si>
    <t>Common Shares Outstanding after Offering</t>
  </si>
  <si>
    <t>Class A Shares (1 vote)</t>
  </si>
  <si>
    <t>Class B Shares (10 votes)</t>
  </si>
  <si>
    <t>Total Shares Outstanding</t>
  </si>
  <si>
    <t>Common Shares Outstanding Before Offering</t>
  </si>
  <si>
    <t>Over-allotment Option (Up to 15%)</t>
  </si>
  <si>
    <t>Primary Shares - Issued by Company</t>
  </si>
  <si>
    <t>Secondary Shares - sold by Selling Shareholders</t>
  </si>
  <si>
    <t>NA</t>
  </si>
  <si>
    <t>Offering Price</t>
  </si>
  <si>
    <t>$34.00 - $38.00</t>
  </si>
  <si>
    <t>$28.00 - $35.00</t>
  </si>
  <si>
    <t>Gross and Net Proceeds</t>
  </si>
  <si>
    <t>Underwriting Fee</t>
  </si>
  <si>
    <t>IPO Expenses</t>
  </si>
  <si>
    <t>Total Fees &amp; Expenses</t>
  </si>
  <si>
    <t>Net Proceeds</t>
  </si>
  <si>
    <t>Net Proceeds to Company</t>
  </si>
  <si>
    <t>Net Proceeds to Selling Shareholders</t>
  </si>
  <si>
    <t xml:space="preserve">     Assuming an initial public offering price of $36.00 per share in 15/5 filing; $38.00 per share closing price in 19/7 filing.</t>
  </si>
  <si>
    <t>check # of shares post IPO</t>
  </si>
  <si>
    <t xml:space="preserve">     After deducting estimated underwriting discounts and commissions and estimated offering expenses</t>
  </si>
  <si>
    <t>float</t>
  </si>
  <si>
    <t>Market Capitalization post-Offering</t>
  </si>
  <si>
    <t>15/5/2012</t>
  </si>
  <si>
    <t>18/5/2012</t>
  </si>
  <si>
    <t>Lock-Up (Days)</t>
  </si>
  <si>
    <t>91 - 366 days
(74% &gt;181 days)</t>
  </si>
  <si>
    <t>91 - 366 days
(65% &gt;181 days)</t>
  </si>
  <si>
    <t>None</t>
  </si>
  <si>
    <t>Lock-ups post 181 days</t>
  </si>
  <si>
    <t>Stockholder Structure</t>
  </si>
  <si>
    <t>% of total shares post-offering</t>
  </si>
  <si>
    <t>% Total Shares Owned by Offering New Stockholders</t>
  </si>
  <si>
    <t>% Voting Control - Offering New Stockholders</t>
  </si>
  <si>
    <t>% Voting Control - CEO (MZ)</t>
  </si>
  <si>
    <t>Underwriting Fees</t>
  </si>
  <si>
    <t>Underwriting Fee per Share</t>
  </si>
  <si>
    <t>Underwriting Fee %</t>
  </si>
  <si>
    <t>Without Over-allotment</t>
  </si>
  <si>
    <t>Paid by Company (Primary Shares)</t>
  </si>
  <si>
    <t>Paid by Selling Sharehoders (Secondary Shares)</t>
  </si>
  <si>
    <t>Total Fees</t>
  </si>
  <si>
    <t>With Over-allotment</t>
  </si>
  <si>
    <t>Incremental Fees</t>
  </si>
  <si>
    <t>Underwriters</t>
  </si>
  <si>
    <t>Morgan Stanley &amp; Co. LLC</t>
  </si>
  <si>
    <t>J.P. Morgan Securities LLC</t>
  </si>
  <si>
    <t>Goldman, Sachs &amp; Co.</t>
  </si>
  <si>
    <t>Merrill Lynch, Pierce, Fenner &amp; Smith</t>
  </si>
  <si>
    <t>Barclays Capital Inc.</t>
  </si>
  <si>
    <t>Citigroup Global Markets Inc.</t>
  </si>
  <si>
    <t>Credit Suisse Securities (USA) LLC</t>
  </si>
  <si>
    <t>Deutsche Bank Securities Inc.</t>
  </si>
  <si>
    <t>Allen &amp; Company LLC</t>
  </si>
  <si>
    <t>RBC Capital Markets, LLC</t>
  </si>
  <si>
    <t>Wells Fargo Securities, LLC 4,212,336</t>
  </si>
  <si>
    <t>BNP Paribas Securities Corp.</t>
  </si>
  <si>
    <t>HSBC Securities (USA) Inc. 3,980,546</t>
  </si>
  <si>
    <t xml:space="preserve">RBS Securities Inc. </t>
  </si>
  <si>
    <t>Other underwriters</t>
  </si>
  <si>
    <t>Facebook — Projected Consolidated Financial Statements</t>
  </si>
  <si>
    <t>Historical</t>
  </si>
  <si>
    <t>Projected</t>
  </si>
  <si>
    <t>P&amp;L</t>
  </si>
  <si>
    <t>Operating costs</t>
  </si>
  <si>
    <t>Income from operations (EBIT)</t>
  </si>
  <si>
    <t>Net income attribut. to participating securities</t>
  </si>
  <si>
    <t>Net income attribut. to common stockholders</t>
  </si>
  <si>
    <t>EPS attribut. to common stockholders</t>
  </si>
  <si>
    <r>
      <rPr>
        <b/>
        <u/>
        <sz val="10"/>
        <rFont val="Calibri"/>
        <family val="2"/>
        <scheme val="minor"/>
      </rPr>
      <t>Note</t>
    </r>
    <r>
      <rPr>
        <b/>
        <sz val="10"/>
        <rFont val="Calibri"/>
        <family val="2"/>
        <scheme val="minor"/>
      </rPr>
      <t>: EBITDA</t>
    </r>
  </si>
  <si>
    <t>Balance Sheet</t>
  </si>
  <si>
    <t>Convertible preferred stock</t>
  </si>
  <si>
    <t>Common stock</t>
  </si>
  <si>
    <t>Control</t>
  </si>
  <si>
    <t>Cash Flow</t>
  </si>
  <si>
    <t>Cash flow from operations</t>
  </si>
  <si>
    <t>Net Income</t>
  </si>
  <si>
    <t>Shared-based compensation</t>
  </si>
  <si>
    <t>Capital expenditures &amp; intangible acquisitions</t>
  </si>
  <si>
    <t>Investments in acquisitions</t>
  </si>
  <si>
    <t>Change in working capital</t>
  </si>
  <si>
    <t>Other changes assets, liabilities &amp; adjustments</t>
  </si>
  <si>
    <t>Changes in investments in marketable securities</t>
  </si>
  <si>
    <t>Cash flow from operations incl. mark. securities</t>
  </si>
  <si>
    <t>Cash flow from financings</t>
  </si>
  <si>
    <t>Change in lease obligations</t>
  </si>
  <si>
    <t>Changes in long-term debt</t>
  </si>
  <si>
    <t>Changes in convertible preferred equity</t>
  </si>
  <si>
    <t>Changes in common equity</t>
  </si>
  <si>
    <t>Dividend payments</t>
  </si>
  <si>
    <t>Other financing transactions</t>
  </si>
  <si>
    <t>Net change in cash flow</t>
  </si>
  <si>
    <t>Beginning cash balance</t>
  </si>
  <si>
    <t>Ending cash balance</t>
  </si>
  <si>
    <t>SUPPORTING CALCULATIONS</t>
  </si>
  <si>
    <t>Net working capital</t>
  </si>
  <si>
    <t>Change in accounts receivable</t>
  </si>
  <si>
    <t>Change in prepaid expenses and other current assets</t>
  </si>
  <si>
    <t>Change in other assets</t>
  </si>
  <si>
    <t>Change in accounts payable</t>
  </si>
  <si>
    <t>Change in platform partners payable</t>
  </si>
  <si>
    <t>Changes in accrued expenses and other current liabilities</t>
  </si>
  <si>
    <t>Changes in deferred revenue and deposits</t>
  </si>
  <si>
    <t>Changes in other liabilities</t>
  </si>
  <si>
    <t>DSO (days)</t>
  </si>
  <si>
    <t>Prepaids &amp; other assets (days)</t>
  </si>
  <si>
    <t>DPO (days)</t>
  </si>
  <si>
    <t>PP&amp;E</t>
  </si>
  <si>
    <t>Gross PP&amp;E</t>
  </si>
  <si>
    <t>Accumulated depreciation</t>
  </si>
  <si>
    <t>Net PP&amp;E</t>
  </si>
  <si>
    <t>Depreciation of Existing PP&amp;E</t>
  </si>
  <si>
    <t>Years Depreciation</t>
  </si>
  <si>
    <t>Capex</t>
  </si>
  <si>
    <t>% of Revenues</t>
  </si>
  <si>
    <t>Depreciation of Capex</t>
  </si>
  <si>
    <t>Years Deprec.</t>
  </si>
  <si>
    <t>Year 2012</t>
  </si>
  <si>
    <t>Year 2013</t>
  </si>
  <si>
    <t>Year 2014</t>
  </si>
  <si>
    <t>Year 2015</t>
  </si>
  <si>
    <t>Year 2016</t>
  </si>
  <si>
    <t>Year 2017</t>
  </si>
  <si>
    <t>Year 2018</t>
  </si>
  <si>
    <t>Year 2019</t>
  </si>
  <si>
    <t>Year 2020</t>
  </si>
  <si>
    <t>Year 2021</t>
  </si>
  <si>
    <t>Total Depreciation PP&amp;E</t>
  </si>
  <si>
    <t>Goodwill and Intangible Assets</t>
  </si>
  <si>
    <t>Gross Intangible Assets</t>
  </si>
  <si>
    <t>Accumulated amortization</t>
  </si>
  <si>
    <t>Net Intangible Assets</t>
  </si>
  <si>
    <t>Goodwill</t>
  </si>
  <si>
    <t>Amortization of Existing Intangible Assets</t>
  </si>
  <si>
    <t>Investment in Intangibles</t>
  </si>
  <si>
    <t>NM</t>
  </si>
  <si>
    <t>Amortization of Intangibles</t>
  </si>
  <si>
    <t>Investments</t>
  </si>
  <si>
    <t>Years Amort.</t>
  </si>
  <si>
    <t>Amortizaiton of Investments in Intangibles</t>
  </si>
  <si>
    <t>Total Amortization of Intangibles</t>
  </si>
  <si>
    <t>Total Depreciation &amp; Amortization</t>
  </si>
  <si>
    <t>Financial and Lease Debt</t>
  </si>
  <si>
    <t>Financial Debt</t>
  </si>
  <si>
    <t>Long-term Debt Beginning Balance</t>
  </si>
  <si>
    <t>Long-term Debt Issuance</t>
  </si>
  <si>
    <t>Long-term Debt Repayment</t>
  </si>
  <si>
    <t>Long-term Debt Ending Balance</t>
  </si>
  <si>
    <t>Interest Expense on LT Debt</t>
  </si>
  <si>
    <t>Average Interest Rate %</t>
  </si>
  <si>
    <t>Instructor Estimates</t>
  </si>
  <si>
    <t>Leasing Debt</t>
  </si>
  <si>
    <t>Leases</t>
  </si>
  <si>
    <t>Post '21</t>
  </si>
  <si>
    <t>Post '16</t>
  </si>
  <si>
    <t>Leasing Debt Beginning Balance</t>
  </si>
  <si>
    <t>Leasing Debt Issuance</t>
  </si>
  <si>
    <t>Operating</t>
  </si>
  <si>
    <t>Leasing Debt Repayment</t>
  </si>
  <si>
    <t>Leasing Debt Ending Balance</t>
  </si>
  <si>
    <t>Current Leasing Debt</t>
  </si>
  <si>
    <t>Interest and Taxes</t>
  </si>
  <si>
    <t>Non-current Leasing Debt</t>
  </si>
  <si>
    <t>Principal payments</t>
  </si>
  <si>
    <t>% of PP&amp;E  financed with Leasings</t>
  </si>
  <si>
    <t>% of Capex  financed with Leasings</t>
  </si>
  <si>
    <t>Interest Expense on Leasing Debt</t>
  </si>
  <si>
    <t>Total Interest Expense (Financial + Leasing Debt)</t>
  </si>
  <si>
    <t>Other financial expenses (incl. Forex losses)</t>
  </si>
  <si>
    <t>Other financial losses / (gains)</t>
  </si>
  <si>
    <t>Marketable Securities</t>
  </si>
  <si>
    <t>Marketable Securities Beginning Balance</t>
  </si>
  <si>
    <t>Marketable Securities Investments</t>
  </si>
  <si>
    <t>Marketable Securities Sales</t>
  </si>
  <si>
    <t>Marketable Securities Ending Balance</t>
  </si>
  <si>
    <t>Cash Balance</t>
  </si>
  <si>
    <t>Monthly Cash Operating Expenses</t>
  </si>
  <si>
    <t># of Months of Coverage</t>
  </si>
  <si>
    <t># of Months of Coverage - TARGET …...................................................................................................................................................................................</t>
  </si>
  <si>
    <t>Marketable Securities Investments …..........................................................................................................................................................................</t>
  </si>
  <si>
    <t>Control (cambiando la linea "Mark. Sec. Investments" arriba, tiene que dar cercano a "0") ---&gt;</t>
  </si>
  <si>
    <t>Interest Income on Marketable Securities</t>
  </si>
  <si>
    <t>Share-based Compensation</t>
  </si>
  <si>
    <t>Income Tax</t>
  </si>
  <si>
    <t>Provision Income Tax</t>
  </si>
  <si>
    <t>Implied Income Tax Rate %</t>
  </si>
  <si>
    <t>Operational Ratios</t>
  </si>
  <si>
    <t>Revenue growth</t>
  </si>
  <si>
    <t>Sensitivity</t>
  </si>
  <si>
    <t>EBIT margin</t>
  </si>
  <si>
    <t>EBITDA margin</t>
  </si>
  <si>
    <t>Net margin</t>
  </si>
  <si>
    <t>Capex % of revenues</t>
  </si>
  <si>
    <t>FCF margin</t>
  </si>
  <si>
    <t>ROA</t>
  </si>
  <si>
    <t>ROE</t>
  </si>
  <si>
    <t>Avg. Interest Rate</t>
  </si>
  <si>
    <t>Leverage</t>
  </si>
  <si>
    <t>Debt to equity</t>
  </si>
  <si>
    <t>Debt to capitalization</t>
  </si>
  <si>
    <t>EBIT / Interest</t>
  </si>
  <si>
    <t>EBITDA / Interest</t>
  </si>
  <si>
    <t>Cash Flow / Interest</t>
  </si>
  <si>
    <t>Debt / EBITDA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</si>
</sst>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5" formatCode="&quot;$&quot;#,##0_);\(&quot;$&quot;#,##0\)"/>
    <numFmt numFmtId="6" formatCode="&quot;$&quot;#,##0_);[Red]\(&quot;$&quot;#,##0\)"/>
    <numFmt numFmtId="7" formatCode="&quot;$&quot;#,##0.00_);\(&quot;$&quot;#,##0.0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0.0"/>
    <numFmt numFmtId="165" formatCode="0.0%"/>
    <numFmt numFmtId="166" formatCode="0.0\x"/>
    <numFmt numFmtId="167" formatCode="0.0000"/>
    <numFmt numFmtId="168" formatCode="_(* #,##0.0_);_(* \(#,##0.0\);_(* &quot;-&quot;??_);_(@_)"/>
    <numFmt numFmtId="169" formatCode="&quot;$&quot;#,##0"/>
    <numFmt numFmtId="170" formatCode="#,##0.0_);[Red]\(#,##0.0\)"/>
    <numFmt numFmtId="171" formatCode="_(&quot;$&quot;* #,##0.0_);_(&quot;$&quot;* \(#,##0.0\);_(&quot;$&quot;* &quot;-&quot;??_);_(@_)"/>
    <numFmt numFmtId="172" formatCode="#,##0.0_);\(#,##0.0\)"/>
    <numFmt numFmtId="173" formatCode="#,##0.0"/>
    <numFmt numFmtId="174" formatCode="&quot;$&quot;#,##0.00_);&quot;$&quot;\(#,##0.00\)"/>
    <numFmt numFmtId="175" formatCode="&quot;$&quot;#,##0_);&quot;$&quot;\(#,##0\)"/>
    <numFmt numFmtId="176" formatCode="#,##0_)%;\(#,##0\)%"/>
    <numFmt numFmtId="177" formatCode="#,##0.0_)%;\(#,##0.0\)%"/>
    <numFmt numFmtId="178" formatCode="_(* #,##0_);_(* \(#,##0\);_(* &quot;-&quot;??_);_(@_)"/>
    <numFmt numFmtId="179" formatCode="&quot;$&quot;#,##0.0_);&quot;$&quot;\(#,##0.0\)"/>
  </numFmts>
  <fonts count="66">
    <font>
      <sz val="10"/>
      <name val="Arial"/>
    </font>
    <font>
      <sz val="10"/>
      <name val="Arial"/>
    </font>
    <font>
      <u/>
      <sz val="10"/>
      <color indexed="12"/>
      <name val="Arial"/>
      <family val="2"/>
    </font>
    <font>
      <b/>
      <sz val="10"/>
      <name val="Arial"/>
      <family val="2"/>
    </font>
    <font>
      <sz val="10"/>
      <name val="Arial"/>
      <family val="2"/>
    </font>
    <font>
      <u/>
      <sz val="10"/>
      <color indexed="36"/>
      <name val="Arial"/>
      <family val="2"/>
    </font>
    <font>
      <sz val="8"/>
      <name val="Arial"/>
      <family val="2"/>
    </font>
    <font>
      <i/>
      <sz val="10"/>
      <name val="Arial"/>
      <family val="2"/>
    </font>
    <font>
      <sz val="11"/>
      <color indexed="60"/>
      <name val="Calibri"/>
      <family val="2"/>
    </font>
    <font>
      <b/>
      <sz val="11"/>
      <color indexed="8"/>
      <name val="Calibri"/>
      <family val="2"/>
    </font>
    <font>
      <u/>
      <sz val="10"/>
      <name val="Arial"/>
      <family val="2"/>
    </font>
    <font>
      <b/>
      <i/>
      <sz val="10"/>
      <name val="Arial"/>
      <family val="2"/>
    </font>
    <font>
      <b/>
      <sz val="11"/>
      <color indexed="8"/>
      <name val="Arial"/>
      <family val="2"/>
    </font>
    <font>
      <sz val="6"/>
      <color indexed="8"/>
      <name val="Arial"/>
      <family val="2"/>
    </font>
    <font>
      <sz val="10"/>
      <name val="Arial"/>
      <family val="2"/>
    </font>
    <font>
      <b/>
      <sz val="9"/>
      <color indexed="81"/>
      <name val="Geneva"/>
    </font>
    <font>
      <sz val="9"/>
      <color indexed="81"/>
      <name val="Geneva"/>
    </font>
    <font>
      <sz val="10"/>
      <name val="Symbol"/>
      <family val="1"/>
      <charset val="2"/>
    </font>
    <font>
      <sz val="7"/>
      <name val="Times New Roman"/>
      <family val="1"/>
    </font>
    <font>
      <sz val="11"/>
      <name val="Times New Roman"/>
      <family val="1"/>
    </font>
    <font>
      <b/>
      <sz val="9"/>
      <name val="Arial"/>
      <family val="2"/>
    </font>
    <font>
      <sz val="5"/>
      <name val="Times New Roman"/>
      <family val="1"/>
    </font>
    <font>
      <b/>
      <u/>
      <sz val="10"/>
      <name val="Arial"/>
      <family val="2"/>
    </font>
    <font>
      <i/>
      <u/>
      <sz val="10"/>
      <name val="Arial"/>
      <family val="2"/>
    </font>
    <font>
      <i/>
      <sz val="10"/>
      <color rgb="FFFF0000"/>
      <name val="Arial"/>
      <family val="2"/>
    </font>
    <font>
      <sz val="10"/>
      <color theme="1"/>
      <name val="Arial"/>
      <family val="2"/>
    </font>
    <font>
      <i/>
      <sz val="10"/>
      <color theme="1"/>
      <name val="Arial"/>
      <family val="2"/>
    </font>
    <font>
      <u/>
      <sz val="10"/>
      <color theme="1"/>
      <name val="Arial"/>
      <family val="2"/>
    </font>
    <font>
      <b/>
      <sz val="10"/>
      <color rgb="FF000000"/>
      <name val="Arial"/>
      <family val="2"/>
    </font>
    <font>
      <sz val="10"/>
      <color rgb="FF000000"/>
      <name val="Arial"/>
      <family val="2"/>
    </font>
    <font>
      <sz val="11"/>
      <name val="Calibri"/>
      <family val="2"/>
      <scheme val="minor"/>
    </font>
    <font>
      <u val="singleAccounting"/>
      <sz val="11"/>
      <name val="Calibri"/>
      <family val="2"/>
      <scheme val="minor"/>
    </font>
    <font>
      <sz val="10"/>
      <color rgb="FF0070C0"/>
      <name val="Arial"/>
      <family val="2"/>
    </font>
    <font>
      <i/>
      <sz val="10"/>
      <color rgb="FF0070C0"/>
      <name val="Arial"/>
      <family val="2"/>
    </font>
    <font>
      <b/>
      <sz val="11"/>
      <color theme="0"/>
      <name val="Calibri"/>
      <family val="2"/>
      <scheme val="minor"/>
    </font>
    <font>
      <sz val="11"/>
      <color theme="0"/>
      <name val="Calibri"/>
      <family val="2"/>
      <scheme val="minor"/>
    </font>
    <font>
      <b/>
      <sz val="12"/>
      <color theme="0"/>
      <name val="Arial"/>
      <family val="2"/>
    </font>
    <font>
      <b/>
      <sz val="11"/>
      <name val="Calibri"/>
      <family val="2"/>
      <scheme val="minor"/>
    </font>
    <font>
      <b/>
      <u/>
      <sz val="11"/>
      <color theme="1"/>
      <name val="Calibri"/>
      <family val="2"/>
      <scheme val="minor"/>
    </font>
    <font>
      <b/>
      <sz val="11"/>
      <color theme="1"/>
      <name val="Calibri"/>
      <family val="2"/>
      <scheme val="minor"/>
    </font>
    <font>
      <u/>
      <sz val="11"/>
      <color theme="1"/>
      <name val="Calibri"/>
      <family val="2"/>
      <scheme val="minor"/>
    </font>
    <font>
      <sz val="9"/>
      <color theme="1"/>
      <name val="Calibri"/>
      <family val="2"/>
      <scheme val="minor"/>
    </font>
    <font>
      <sz val="10"/>
      <color rgb="FFFF0000"/>
      <name val="Arial"/>
      <family val="2"/>
    </font>
    <font>
      <b/>
      <sz val="14"/>
      <name val="Calibri"/>
      <family val="2"/>
      <scheme val="minor"/>
    </font>
    <font>
      <sz val="10"/>
      <name val="Calibri"/>
      <family val="2"/>
      <scheme val="minor"/>
    </font>
    <font>
      <sz val="12"/>
      <name val="Calibri"/>
      <family val="2"/>
      <scheme val="minor"/>
    </font>
    <font>
      <b/>
      <sz val="10"/>
      <name val="Calibri"/>
      <family val="2"/>
      <scheme val="minor"/>
    </font>
    <font>
      <b/>
      <u/>
      <sz val="11"/>
      <color indexed="8"/>
      <name val="Calibri"/>
      <family val="2"/>
      <scheme val="minor"/>
    </font>
    <font>
      <b/>
      <sz val="11"/>
      <color indexed="8"/>
      <name val="Calibri"/>
      <family val="2"/>
      <scheme val="minor"/>
    </font>
    <font>
      <sz val="10"/>
      <color rgb="FF0070C0"/>
      <name val="Calibri"/>
      <family val="2"/>
      <scheme val="minor"/>
    </font>
    <font>
      <b/>
      <u/>
      <sz val="10"/>
      <name val="Calibri"/>
      <family val="2"/>
      <scheme val="minor"/>
    </font>
    <font>
      <u/>
      <sz val="10"/>
      <name val="Calibri"/>
      <family val="2"/>
      <scheme val="minor"/>
    </font>
    <font>
      <i/>
      <sz val="9"/>
      <name val="Calibri"/>
      <family val="2"/>
      <scheme val="minor"/>
    </font>
    <font>
      <i/>
      <sz val="10"/>
      <name val="Calibri"/>
      <family val="2"/>
      <scheme val="minor"/>
    </font>
    <font>
      <i/>
      <sz val="7"/>
      <name val="Calibri"/>
      <family val="2"/>
      <scheme val="minor"/>
    </font>
    <font>
      <sz val="9"/>
      <name val="Calibri"/>
      <family val="2"/>
      <scheme val="minor"/>
    </font>
    <font>
      <b/>
      <u/>
      <sz val="10"/>
      <color theme="1"/>
      <name val="Calibri"/>
      <family val="2"/>
      <scheme val="minor"/>
    </font>
    <font>
      <b/>
      <u/>
      <sz val="10.5"/>
      <name val="Calibri"/>
      <family val="2"/>
      <scheme val="minor"/>
    </font>
    <font>
      <sz val="10"/>
      <color theme="1"/>
      <name val="Calibri"/>
      <family val="2"/>
      <scheme val="minor"/>
    </font>
    <font>
      <i/>
      <sz val="10"/>
      <color rgb="FF0070C0"/>
      <name val="Calibri"/>
      <family val="2"/>
      <scheme val="minor"/>
    </font>
    <font>
      <b/>
      <sz val="10"/>
      <color rgb="FF0070C0"/>
      <name val="Calibri"/>
      <family val="2"/>
      <scheme val="minor"/>
    </font>
    <font>
      <i/>
      <u/>
      <sz val="10"/>
      <name val="Calibri"/>
      <family val="2"/>
      <scheme val="minor"/>
    </font>
    <font>
      <u/>
      <sz val="10"/>
      <color rgb="FF0070C0"/>
      <name val="Calibri"/>
      <family val="2"/>
      <scheme val="minor"/>
    </font>
    <font>
      <i/>
      <u/>
      <sz val="10"/>
      <color rgb="FF0070C0"/>
      <name val="Calibri"/>
      <family val="2"/>
      <scheme val="minor"/>
    </font>
    <font>
      <b/>
      <u/>
      <sz val="10.5"/>
      <color theme="1"/>
      <name val="Calibri"/>
      <family val="2"/>
      <scheme val="minor"/>
    </font>
    <font>
      <b/>
      <i/>
      <u/>
      <sz val="10.5"/>
      <color theme="1"/>
      <name val="Calibri"/>
      <family val="2"/>
      <scheme val="minor"/>
    </font>
  </fonts>
  <fills count="13">
    <fill>
      <patternFill patternType="none"/>
    </fill>
    <fill>
      <patternFill patternType="gray125"/>
    </fill>
    <fill>
      <patternFill patternType="solid">
        <fgColor indexed="43"/>
      </patternFill>
    </fill>
    <fill>
      <patternFill patternType="solid">
        <fgColor indexed="13"/>
        <bgColor indexed="64"/>
      </patternFill>
    </fill>
    <fill>
      <patternFill patternType="solid">
        <fgColor rgb="FFFFFF00"/>
        <bgColor indexed="64"/>
      </patternFill>
    </fill>
    <fill>
      <patternFill patternType="solid">
        <fgColor rgb="FF0070C0"/>
        <bgColor indexed="6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4"/>
        <bgColor indexed="64"/>
      </patternFill>
    </fill>
    <fill>
      <patternFill patternType="solid">
        <fgColor theme="1"/>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9" tint="0.79998168889431442"/>
        <bgColor indexed="64"/>
      </patternFill>
    </fill>
  </fills>
  <borders count="28">
    <border>
      <left/>
      <right/>
      <top/>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medium">
        <color indexed="64"/>
      </right>
      <top/>
      <bottom/>
      <diagonal/>
    </border>
    <border>
      <left/>
      <right/>
      <top style="medium">
        <color indexed="64"/>
      </top>
      <bottom/>
      <diagonal/>
    </border>
    <border>
      <left/>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medium">
        <color indexed="64"/>
      </top>
      <bottom style="medium">
        <color indexed="64"/>
      </bottom>
      <diagonal/>
    </border>
    <border>
      <left/>
      <right style="thin">
        <color indexed="64"/>
      </right>
      <top style="thin">
        <color indexed="64"/>
      </top>
      <bottom/>
      <diagonal/>
    </border>
    <border>
      <left/>
      <right/>
      <top/>
      <bottom style="thick">
        <color auto="1"/>
      </bottom>
      <diagonal/>
    </border>
    <border>
      <left style="mediumDashed">
        <color rgb="FF0070C0"/>
      </left>
      <right style="mediumDashed">
        <color rgb="FF0070C0"/>
      </right>
      <top style="mediumDashed">
        <color rgb="FF0070C0"/>
      </top>
      <bottom style="mediumDashed">
        <color rgb="FF0070C0"/>
      </bottom>
      <diagonal/>
    </border>
  </borders>
  <cellStyleXfs count="17">
    <xf numFmtId="0" fontId="0" fillId="0" borderId="0"/>
    <xf numFmtId="43" fontId="14" fillId="0" borderId="0" applyFont="0" applyFill="0" applyBorder="0" applyAlignment="0" applyProtection="0"/>
    <xf numFmtId="43" fontId="4" fillId="0" borderId="0" applyFont="0" applyFill="0" applyBorder="0" applyAlignment="0" applyProtection="0"/>
    <xf numFmtId="44" fontId="14" fillId="0" borderId="0" applyFont="0" applyFill="0" applyBorder="0" applyAlignment="0" applyProtection="0"/>
    <xf numFmtId="0" fontId="2" fillId="0" borderId="0" applyNumberFormat="0" applyFill="0" applyBorder="0" applyAlignment="0" applyProtection="0">
      <alignment vertical="top"/>
      <protection locked="0"/>
    </xf>
    <xf numFmtId="43" fontId="1" fillId="0" borderId="0" applyFont="0" applyFill="0" applyBorder="0" applyAlignment="0" applyProtection="0"/>
    <xf numFmtId="44" fontId="1" fillId="0" borderId="0" applyFont="0" applyFill="0" applyBorder="0" applyAlignment="0" applyProtection="0"/>
    <xf numFmtId="0" fontId="8" fillId="2" borderId="0" applyNumberFormat="0" applyBorder="0" applyAlignment="0" applyProtection="0"/>
    <xf numFmtId="0" fontId="4" fillId="0" borderId="0">
      <alignment vertical="top"/>
    </xf>
    <xf numFmtId="0" fontId="4" fillId="0" borderId="0"/>
    <xf numFmtId="0" fontId="4" fillId="0" borderId="0">
      <alignment vertical="top"/>
    </xf>
    <xf numFmtId="9" fontId="1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0" fontId="9" fillId="0" borderId="1" applyNumberFormat="0" applyFill="0" applyAlignment="0" applyProtection="0"/>
    <xf numFmtId="9" fontId="4" fillId="0" borderId="0" applyFont="0" applyFill="0" applyBorder="0" applyAlignment="0" applyProtection="0"/>
    <xf numFmtId="43" fontId="4" fillId="0" borderId="0" applyFont="0" applyFill="0" applyBorder="0" applyAlignment="0" applyProtection="0"/>
  </cellStyleXfs>
  <cellXfs count="463">
    <xf numFmtId="0" fontId="0" fillId="0" borderId="0" xfId="0"/>
    <xf numFmtId="0" fontId="2" fillId="0" borderId="0" xfId="4" applyAlignment="1" applyProtection="1"/>
    <xf numFmtId="0" fontId="3" fillId="0" borderId="0" xfId="0" applyFont="1"/>
    <xf numFmtId="0" fontId="0" fillId="0" borderId="0" xfId="0" applyFill="1"/>
    <xf numFmtId="2" fontId="0" fillId="0" borderId="0" xfId="0" applyNumberFormat="1"/>
    <xf numFmtId="0" fontId="0" fillId="0" borderId="0" xfId="0" applyAlignment="1">
      <alignment wrapText="1"/>
    </xf>
    <xf numFmtId="0" fontId="0" fillId="0" borderId="2" xfId="0" applyBorder="1" applyAlignment="1">
      <alignment wrapText="1"/>
    </xf>
    <xf numFmtId="0" fontId="0" fillId="0" borderId="2" xfId="0" applyBorder="1" applyAlignment="1">
      <alignment horizontal="right" wrapText="1"/>
    </xf>
    <xf numFmtId="0" fontId="0" fillId="0" borderId="2" xfId="0" applyBorder="1"/>
    <xf numFmtId="0" fontId="0" fillId="0" borderId="3" xfId="0" applyBorder="1"/>
    <xf numFmtId="0" fontId="3" fillId="0" borderId="4" xfId="0" applyFont="1" applyBorder="1" applyAlignment="1">
      <alignment horizontal="center"/>
    </xf>
    <xf numFmtId="0" fontId="3" fillId="0" borderId="5" xfId="0" applyFont="1" applyBorder="1" applyAlignment="1">
      <alignment horizontal="center"/>
    </xf>
    <xf numFmtId="0" fontId="7" fillId="0" borderId="0" xfId="0" applyFont="1"/>
    <xf numFmtId="164" fontId="7" fillId="0" borderId="0" xfId="0" applyNumberFormat="1" applyFont="1"/>
    <xf numFmtId="1" fontId="0" fillId="0" borderId="0" xfId="0" applyNumberFormat="1"/>
    <xf numFmtId="0" fontId="3" fillId="0" borderId="4" xfId="0" applyFont="1" applyFill="1" applyBorder="1" applyAlignment="1">
      <alignment horizontal="center"/>
    </xf>
    <xf numFmtId="0" fontId="0" fillId="0" borderId="0" xfId="0" applyBorder="1"/>
    <xf numFmtId="0" fontId="3" fillId="0" borderId="0" xfId="0" applyFont="1" applyFill="1" applyBorder="1"/>
    <xf numFmtId="0" fontId="3" fillId="0" borderId="0" xfId="0" applyFont="1" applyBorder="1"/>
    <xf numFmtId="166" fontId="0" fillId="0" borderId="3" xfId="0" applyNumberFormat="1" applyBorder="1" applyAlignment="1">
      <alignment horizontal="center"/>
    </xf>
    <xf numFmtId="0" fontId="3" fillId="0" borderId="6" xfId="0" applyFont="1" applyFill="1" applyBorder="1" applyAlignment="1">
      <alignment horizontal="center"/>
    </xf>
    <xf numFmtId="15" fontId="3" fillId="0" borderId="0" xfId="0" applyNumberFormat="1" applyFont="1" applyAlignment="1">
      <alignment wrapText="1"/>
    </xf>
    <xf numFmtId="164" fontId="7" fillId="0" borderId="0" xfId="0" applyNumberFormat="1" applyFont="1" applyAlignment="1">
      <alignment wrapText="1"/>
    </xf>
    <xf numFmtId="166" fontId="0" fillId="0" borderId="3" xfId="0" applyNumberFormat="1" applyFill="1" applyBorder="1" applyAlignment="1">
      <alignment horizontal="center"/>
    </xf>
    <xf numFmtId="164" fontId="0" fillId="0" borderId="0" xfId="0" applyNumberFormat="1"/>
    <xf numFmtId="0" fontId="0" fillId="0" borderId="0" xfId="0" applyAlignment="1">
      <alignment horizontal="center"/>
    </xf>
    <xf numFmtId="0" fontId="4" fillId="0" borderId="0" xfId="0" applyFont="1" applyBorder="1" applyAlignment="1">
      <alignment horizontal="right"/>
    </xf>
    <xf numFmtId="0" fontId="4" fillId="0" borderId="0" xfId="0" applyFont="1" applyBorder="1"/>
    <xf numFmtId="165" fontId="4" fillId="0" borderId="0" xfId="0" applyNumberFormat="1" applyFont="1" applyFill="1" applyBorder="1" applyAlignment="1">
      <alignment horizontal="right"/>
    </xf>
    <xf numFmtId="2" fontId="4" fillId="0" borderId="0" xfId="0" applyNumberFormat="1" applyFont="1" applyFill="1" applyBorder="1" applyAlignment="1">
      <alignment horizontal="right"/>
    </xf>
    <xf numFmtId="0" fontId="4" fillId="0" borderId="0" xfId="0" applyFont="1" applyFill="1" applyBorder="1"/>
    <xf numFmtId="0" fontId="3" fillId="0" borderId="0" xfId="0" applyFont="1" applyAlignment="1"/>
    <xf numFmtId="0" fontId="4" fillId="0" borderId="0" xfId="0" applyFont="1"/>
    <xf numFmtId="0" fontId="3" fillId="0" borderId="0" xfId="0" applyFont="1" applyAlignment="1">
      <alignment horizontal="right"/>
    </xf>
    <xf numFmtId="0" fontId="4" fillId="0" borderId="0" xfId="0" applyFont="1" applyFill="1" applyBorder="1" applyAlignment="1">
      <alignment wrapText="1"/>
    </xf>
    <xf numFmtId="0" fontId="24" fillId="0" borderId="0" xfId="0" applyFont="1" applyAlignment="1">
      <alignment horizontal="left"/>
    </xf>
    <xf numFmtId="10" fontId="4" fillId="0" borderId="0" xfId="0" applyNumberFormat="1" applyFont="1" applyFill="1" applyBorder="1"/>
    <xf numFmtId="0" fontId="3" fillId="0" borderId="0" xfId="0" applyFont="1" applyFill="1" applyBorder="1" applyAlignment="1">
      <alignment wrapText="1"/>
    </xf>
    <xf numFmtId="2" fontId="4" fillId="0" borderId="0" xfId="0" applyNumberFormat="1" applyFont="1" applyFill="1" applyBorder="1"/>
    <xf numFmtId="10" fontId="4" fillId="4" borderId="2" xfId="0" applyNumberFormat="1" applyFont="1" applyFill="1" applyBorder="1" applyAlignment="1">
      <alignment horizontal="right"/>
    </xf>
    <xf numFmtId="2" fontId="4" fillId="4" borderId="2" xfId="0" applyNumberFormat="1" applyFont="1" applyFill="1" applyBorder="1" applyAlignment="1">
      <alignment horizontal="right"/>
    </xf>
    <xf numFmtId="10" fontId="4" fillId="0" borderId="0" xfId="0" applyNumberFormat="1" applyFont="1" applyFill="1" applyBorder="1" applyAlignment="1">
      <alignment horizontal="right"/>
    </xf>
    <xf numFmtId="165" fontId="4" fillId="4" borderId="2" xfId="0" applyNumberFormat="1" applyFont="1" applyFill="1" applyBorder="1" applyAlignment="1">
      <alignment horizontal="right"/>
    </xf>
    <xf numFmtId="0" fontId="11" fillId="0" borderId="0" xfId="0" applyFont="1"/>
    <xf numFmtId="44" fontId="4" fillId="4" borderId="2" xfId="0" applyNumberFormat="1" applyFont="1" applyFill="1" applyBorder="1"/>
    <xf numFmtId="0" fontId="4" fillId="0" borderId="0" xfId="0" applyFont="1" applyFill="1"/>
    <xf numFmtId="0" fontId="4" fillId="3" borderId="2" xfId="0" applyFont="1" applyFill="1" applyBorder="1"/>
    <xf numFmtId="165" fontId="4" fillId="4" borderId="2" xfId="0" applyNumberFormat="1" applyFont="1" applyFill="1" applyBorder="1"/>
    <xf numFmtId="10" fontId="4" fillId="3" borderId="2" xfId="0" applyNumberFormat="1" applyFont="1" applyFill="1" applyBorder="1"/>
    <xf numFmtId="0" fontId="4" fillId="0" borderId="2" xfId="0" applyFont="1" applyBorder="1"/>
    <xf numFmtId="10" fontId="4" fillId="4" borderId="2" xfId="0" applyNumberFormat="1" applyFont="1" applyFill="1" applyBorder="1"/>
    <xf numFmtId="9" fontId="4" fillId="0" borderId="2" xfId="0" applyNumberFormat="1" applyFont="1" applyFill="1" applyBorder="1"/>
    <xf numFmtId="0" fontId="3" fillId="0" borderId="0" xfId="0" applyFont="1" applyAlignment="1">
      <alignment horizontal="left"/>
    </xf>
    <xf numFmtId="0" fontId="0" fillId="0" borderId="0" xfId="0" applyFill="1" applyBorder="1"/>
    <xf numFmtId="0" fontId="0" fillId="0" borderId="2" xfId="0" applyBorder="1" applyAlignment="1">
      <alignment horizontal="center" wrapText="1"/>
    </xf>
    <xf numFmtId="15" fontId="0" fillId="0" borderId="2" xfId="0" applyNumberFormat="1" applyBorder="1"/>
    <xf numFmtId="0" fontId="0" fillId="0" borderId="2" xfId="0" applyBorder="1" applyAlignment="1">
      <alignment horizontal="center"/>
    </xf>
    <xf numFmtId="44" fontId="0" fillId="0" borderId="2" xfId="6" applyFont="1" applyBorder="1"/>
    <xf numFmtId="0" fontId="4" fillId="0" borderId="2" xfId="0" applyFont="1" applyBorder="1" applyAlignment="1">
      <alignment horizontal="center"/>
    </xf>
    <xf numFmtId="165" fontId="0" fillId="0" borderId="2" xfId="13" applyNumberFormat="1" applyFont="1" applyBorder="1"/>
    <xf numFmtId="165" fontId="0" fillId="0" borderId="2" xfId="0" applyNumberFormat="1" applyBorder="1"/>
    <xf numFmtId="7" fontId="4" fillId="0" borderId="0" xfId="0" applyNumberFormat="1" applyFont="1" applyFill="1" applyBorder="1" applyAlignment="1">
      <alignment horizontal="right" vertical="center" wrapText="1"/>
    </xf>
    <xf numFmtId="7" fontId="4" fillId="0" borderId="0" xfId="0" applyNumberFormat="1" applyFont="1" applyFill="1" applyBorder="1" applyAlignment="1">
      <alignment vertical="center" wrapText="1"/>
    </xf>
    <xf numFmtId="0" fontId="4" fillId="0" borderId="0" xfId="0" applyFont="1" applyBorder="1" applyAlignment="1">
      <alignment vertical="center" wrapText="1"/>
    </xf>
    <xf numFmtId="0" fontId="12" fillId="0" borderId="0" xfId="0" applyFont="1" applyBorder="1" applyAlignment="1">
      <alignment horizontal="center" vertical="center" wrapText="1"/>
    </xf>
    <xf numFmtId="0" fontId="12" fillId="0" borderId="7" xfId="0" applyFont="1" applyBorder="1" applyAlignment="1">
      <alignment horizontal="center" vertical="center" wrapText="1"/>
    </xf>
    <xf numFmtId="0" fontId="4" fillId="0" borderId="0" xfId="0" applyFont="1" applyFill="1" applyBorder="1" applyAlignment="1">
      <alignment vertical="center" wrapText="1"/>
    </xf>
    <xf numFmtId="0" fontId="4" fillId="0" borderId="0" xfId="0" applyFont="1" applyFill="1" applyBorder="1" applyAlignment="1">
      <alignment horizontal="left" vertical="center" wrapText="1" indent="1"/>
    </xf>
    <xf numFmtId="169" fontId="4" fillId="0" borderId="0" xfId="0" applyNumberFormat="1" applyFont="1" applyFill="1" applyBorder="1" applyAlignment="1">
      <alignment horizontal="right" vertical="center" wrapText="1"/>
    </xf>
    <xf numFmtId="0" fontId="4" fillId="0" borderId="0" xfId="0" applyFont="1" applyFill="1" applyBorder="1" applyAlignment="1">
      <alignment horizontal="left" vertical="center" wrapText="1" indent="4"/>
    </xf>
    <xf numFmtId="0" fontId="4" fillId="0" borderId="0" xfId="0" applyFont="1" applyFill="1" applyBorder="1" applyAlignment="1">
      <alignment horizontal="right" vertical="center" wrapText="1"/>
    </xf>
    <xf numFmtId="0" fontId="4" fillId="0" borderId="5" xfId="0" applyFont="1" applyFill="1" applyBorder="1" applyAlignment="1">
      <alignment horizontal="right" vertical="center" wrapText="1"/>
    </xf>
    <xf numFmtId="3" fontId="4" fillId="0" borderId="0" xfId="0" applyNumberFormat="1" applyFont="1" applyFill="1" applyBorder="1" applyAlignment="1">
      <alignment horizontal="right" vertical="center" wrapText="1"/>
    </xf>
    <xf numFmtId="37" fontId="4" fillId="0" borderId="0" xfId="0" applyNumberFormat="1" applyFont="1" applyFill="1" applyBorder="1" applyAlignment="1">
      <alignment horizontal="right" vertical="center" wrapText="1"/>
    </xf>
    <xf numFmtId="5" fontId="4" fillId="0" borderId="8" xfId="0" applyNumberFormat="1" applyFont="1" applyFill="1" applyBorder="1" applyAlignment="1">
      <alignment horizontal="right" vertical="center" wrapText="1"/>
    </xf>
    <xf numFmtId="5" fontId="4" fillId="0" borderId="0" xfId="0" applyNumberFormat="1" applyFont="1" applyFill="1" applyBorder="1" applyAlignment="1">
      <alignment horizontal="right" vertical="center" wrapText="1"/>
    </xf>
    <xf numFmtId="0" fontId="4" fillId="0" borderId="0" xfId="0" applyFont="1" applyFill="1" applyAlignment="1">
      <alignment vertical="center" wrapText="1"/>
    </xf>
    <xf numFmtId="169" fontId="4" fillId="0" borderId="8" xfId="0" applyNumberFormat="1" applyFont="1" applyFill="1" applyBorder="1" applyAlignment="1">
      <alignment horizontal="right" vertical="center" wrapText="1"/>
    </xf>
    <xf numFmtId="0" fontId="12" fillId="0" borderId="0" xfId="0" applyFont="1" applyFill="1" applyBorder="1" applyAlignment="1">
      <alignment vertical="center" wrapText="1"/>
    </xf>
    <xf numFmtId="0" fontId="4" fillId="0" borderId="0" xfId="0" applyFont="1" applyFill="1" applyAlignment="1">
      <alignment horizontal="left" vertical="center" wrapText="1" indent="1"/>
    </xf>
    <xf numFmtId="5" fontId="4" fillId="0" borderId="0" xfId="0" applyNumberFormat="1" applyFont="1" applyFill="1" applyBorder="1" applyAlignment="1">
      <alignment vertical="center" wrapText="1"/>
    </xf>
    <xf numFmtId="3" fontId="4" fillId="0" borderId="0" xfId="0" applyNumberFormat="1" applyFont="1" applyFill="1" applyAlignment="1">
      <alignment vertical="center" wrapText="1"/>
    </xf>
    <xf numFmtId="0" fontId="4" fillId="0" borderId="0" xfId="8">
      <alignment vertical="top"/>
    </xf>
    <xf numFmtId="0" fontId="4" fillId="0" borderId="0" xfId="8" applyFont="1">
      <alignment vertical="top"/>
    </xf>
    <xf numFmtId="0" fontId="4" fillId="0" borderId="0" xfId="8" applyFont="1" applyAlignment="1">
      <alignment horizontal="right" vertical="top"/>
    </xf>
    <xf numFmtId="0" fontId="4" fillId="0" borderId="0" xfId="8" applyAlignment="1">
      <alignment horizontal="right" vertical="top"/>
    </xf>
    <xf numFmtId="43" fontId="4" fillId="0" borderId="0" xfId="8" applyNumberFormat="1" applyFont="1" applyAlignment="1">
      <alignment horizontal="right" vertical="top"/>
    </xf>
    <xf numFmtId="37" fontId="4" fillId="0" borderId="0" xfId="8" applyNumberFormat="1" applyFont="1" applyAlignment="1">
      <alignment horizontal="right" vertical="top"/>
    </xf>
    <xf numFmtId="0" fontId="3" fillId="0" borderId="0" xfId="8" applyFont="1">
      <alignment vertical="top"/>
    </xf>
    <xf numFmtId="164" fontId="4" fillId="0" borderId="0" xfId="8" quotePrefix="1" applyNumberFormat="1" applyFont="1" applyAlignment="1">
      <alignment horizontal="right" vertical="top"/>
    </xf>
    <xf numFmtId="164" fontId="4" fillId="0" borderId="0" xfId="8" applyNumberFormat="1" applyFont="1" applyAlignment="1">
      <alignment horizontal="right" vertical="top"/>
    </xf>
    <xf numFmtId="164" fontId="4" fillId="0" borderId="0" xfId="8" applyNumberFormat="1" applyAlignment="1">
      <alignment horizontal="right" vertical="top"/>
    </xf>
    <xf numFmtId="0" fontId="3" fillId="0" borderId="0" xfId="8" applyFont="1" applyAlignment="1">
      <alignment vertical="top"/>
    </xf>
    <xf numFmtId="0" fontId="4" fillId="0" borderId="0" xfId="8" applyAlignment="1">
      <alignment vertical="top"/>
    </xf>
    <xf numFmtId="164" fontId="4" fillId="0" borderId="0" xfId="8" applyNumberFormat="1" applyAlignment="1">
      <alignment vertical="top"/>
    </xf>
    <xf numFmtId="0" fontId="3" fillId="0" borderId="9" xfId="0" applyFont="1" applyBorder="1" applyAlignment="1">
      <alignment wrapText="1"/>
    </xf>
    <xf numFmtId="0" fontId="7" fillId="0" borderId="0" xfId="0" applyFont="1" applyFill="1" applyBorder="1" applyAlignment="1">
      <alignment horizontal="left"/>
    </xf>
    <xf numFmtId="0" fontId="3" fillId="0" borderId="0" xfId="0" applyFont="1" applyFill="1" applyBorder="1" applyAlignment="1">
      <alignment horizontal="right"/>
    </xf>
    <xf numFmtId="0" fontId="24" fillId="0" borderId="0" xfId="0" applyFont="1" applyFill="1" applyBorder="1" applyAlignment="1">
      <alignment horizontal="left"/>
    </xf>
    <xf numFmtId="0" fontId="0" fillId="0" borderId="0" xfId="0" applyAlignment="1">
      <alignment horizontal="left"/>
    </xf>
    <xf numFmtId="14" fontId="0" fillId="0" borderId="0" xfId="0" applyNumberFormat="1" applyAlignment="1">
      <alignment horizontal="left"/>
    </xf>
    <xf numFmtId="37" fontId="10" fillId="0" borderId="0" xfId="8" applyNumberFormat="1" applyFont="1" applyAlignment="1">
      <alignment horizontal="right" vertical="top"/>
    </xf>
    <xf numFmtId="164" fontId="10" fillId="0" borderId="0" xfId="8" applyNumberFormat="1" applyFont="1" applyAlignment="1">
      <alignment horizontal="right" vertical="top"/>
    </xf>
    <xf numFmtId="0" fontId="3" fillId="0" borderId="3" xfId="0" applyFont="1" applyBorder="1" applyAlignment="1">
      <alignment wrapText="1"/>
    </xf>
    <xf numFmtId="0" fontId="25" fillId="0" borderId="10" xfId="0" applyFont="1" applyBorder="1"/>
    <xf numFmtId="0" fontId="25" fillId="0" borderId="10" xfId="0" applyFont="1" applyBorder="1" applyAlignment="1">
      <alignment horizontal="center"/>
    </xf>
    <xf numFmtId="0" fontId="25" fillId="0" borderId="10" xfId="0" applyFont="1" applyBorder="1" applyAlignment="1">
      <alignment horizontal="right"/>
    </xf>
    <xf numFmtId="0" fontId="26" fillId="0" borderId="5" xfId="0" applyFont="1" applyBorder="1" applyAlignment="1">
      <alignment horizontal="left"/>
    </xf>
    <xf numFmtId="0" fontId="26" fillId="0" borderId="5" xfId="0" applyFont="1" applyBorder="1" applyAlignment="1">
      <alignment horizontal="center"/>
    </xf>
    <xf numFmtId="0" fontId="26" fillId="0" borderId="5" xfId="0" applyFont="1" applyFill="1" applyBorder="1" applyAlignment="1">
      <alignment horizontal="center"/>
    </xf>
    <xf numFmtId="0" fontId="25" fillId="0" borderId="5" xfId="0" applyFont="1" applyBorder="1" applyAlignment="1">
      <alignment horizontal="right"/>
    </xf>
    <xf numFmtId="0" fontId="26" fillId="0" borderId="0" xfId="0" applyFont="1" applyBorder="1" applyAlignment="1">
      <alignment horizontal="left"/>
    </xf>
    <xf numFmtId="0" fontId="26" fillId="0" borderId="0" xfId="0" applyFont="1" applyBorder="1" applyAlignment="1">
      <alignment horizontal="right"/>
    </xf>
    <xf numFmtId="0" fontId="26" fillId="0" borderId="0" xfId="0" applyFont="1" applyFill="1" applyBorder="1" applyAlignment="1">
      <alignment horizontal="right"/>
    </xf>
    <xf numFmtId="0" fontId="25" fillId="0" borderId="0" xfId="0" applyFont="1" applyBorder="1" applyAlignment="1">
      <alignment horizontal="right"/>
    </xf>
    <xf numFmtId="0" fontId="25" fillId="0" borderId="0" xfId="0" applyFont="1" applyBorder="1"/>
    <xf numFmtId="165" fontId="25" fillId="0" borderId="0" xfId="0" applyNumberFormat="1" applyFont="1" applyFill="1" applyBorder="1" applyAlignment="1">
      <alignment horizontal="right"/>
    </xf>
    <xf numFmtId="165" fontId="25" fillId="0" borderId="0" xfId="11" applyNumberFormat="1" applyFont="1" applyFill="1" applyBorder="1" applyAlignment="1">
      <alignment horizontal="right"/>
    </xf>
    <xf numFmtId="165" fontId="25" fillId="0" borderId="0" xfId="3" applyNumberFormat="1" applyFont="1" applyFill="1" applyBorder="1" applyAlignment="1">
      <alignment horizontal="right"/>
    </xf>
    <xf numFmtId="0" fontId="25" fillId="0" borderId="0" xfId="0" applyFont="1" applyFill="1" applyBorder="1" applyAlignment="1">
      <alignment horizontal="right"/>
    </xf>
    <xf numFmtId="9" fontId="25" fillId="0" borderId="0" xfId="11" applyFont="1" applyFill="1" applyBorder="1" applyAlignment="1">
      <alignment horizontal="right"/>
    </xf>
    <xf numFmtId="9" fontId="25" fillId="0" borderId="0" xfId="0" applyNumberFormat="1" applyFont="1" applyFill="1" applyBorder="1" applyAlignment="1">
      <alignment horizontal="right"/>
    </xf>
    <xf numFmtId="9" fontId="25" fillId="0" borderId="0" xfId="11" applyNumberFormat="1" applyFont="1" applyFill="1" applyBorder="1" applyAlignment="1">
      <alignment horizontal="right"/>
    </xf>
    <xf numFmtId="0" fontId="26" fillId="0" borderId="0" xfId="0" applyFont="1" applyBorder="1"/>
    <xf numFmtId="38" fontId="25" fillId="0" borderId="0" xfId="3" applyNumberFormat="1" applyFont="1" applyFill="1" applyBorder="1" applyAlignment="1">
      <alignment horizontal="right"/>
    </xf>
    <xf numFmtId="38" fontId="27" fillId="0" borderId="0" xfId="3" applyNumberFormat="1" applyFont="1" applyFill="1" applyBorder="1" applyAlignment="1">
      <alignment horizontal="right"/>
    </xf>
    <xf numFmtId="38" fontId="25" fillId="0" borderId="0" xfId="0" applyNumberFormat="1" applyFont="1" applyFill="1" applyBorder="1" applyAlignment="1">
      <alignment horizontal="right"/>
    </xf>
    <xf numFmtId="0" fontId="25" fillId="0" borderId="0" xfId="0" applyFont="1" applyFill="1" applyBorder="1"/>
    <xf numFmtId="167" fontId="25" fillId="0" borderId="0" xfId="0" applyNumberFormat="1" applyFont="1" applyFill="1" applyBorder="1" applyAlignment="1">
      <alignment horizontal="right"/>
    </xf>
    <xf numFmtId="170" fontId="25" fillId="0" borderId="0" xfId="0" applyNumberFormat="1" applyFont="1" applyFill="1" applyBorder="1" applyAlignment="1">
      <alignment horizontal="right"/>
    </xf>
    <xf numFmtId="0" fontId="25" fillId="0" borderId="0" xfId="0" quotePrefix="1" applyFont="1" applyFill="1" applyBorder="1"/>
    <xf numFmtId="170" fontId="25" fillId="0" borderId="0" xfId="3" applyNumberFormat="1" applyFont="1" applyFill="1" applyBorder="1" applyAlignment="1">
      <alignment horizontal="right"/>
    </xf>
    <xf numFmtId="170" fontId="27" fillId="0" borderId="0" xfId="3" applyNumberFormat="1" applyFont="1" applyFill="1" applyBorder="1" applyAlignment="1">
      <alignment horizontal="right"/>
    </xf>
    <xf numFmtId="170" fontId="27" fillId="0" borderId="0" xfId="0" applyNumberFormat="1" applyFont="1" applyFill="1" applyBorder="1" applyAlignment="1">
      <alignment horizontal="right"/>
    </xf>
    <xf numFmtId="0" fontId="25" fillId="0" borderId="0" xfId="0" applyFont="1" applyAlignment="1">
      <alignment horizontal="left"/>
    </xf>
    <xf numFmtId="0" fontId="26" fillId="0" borderId="2" xfId="0" applyFont="1" applyBorder="1" applyAlignment="1">
      <alignment horizontal="center"/>
    </xf>
    <xf numFmtId="0" fontId="25" fillId="0" borderId="2" xfId="0" applyFont="1" applyBorder="1"/>
    <xf numFmtId="0" fontId="25" fillId="0" borderId="11" xfId="0" applyFont="1" applyBorder="1"/>
    <xf numFmtId="170" fontId="25" fillId="0" borderId="0" xfId="1" applyNumberFormat="1" applyFont="1" applyFill="1" applyBorder="1" applyAlignment="1">
      <alignment horizontal="right"/>
    </xf>
    <xf numFmtId="165" fontId="25" fillId="0" borderId="2" xfId="11" applyNumberFormat="1" applyFont="1" applyFill="1" applyBorder="1"/>
    <xf numFmtId="165" fontId="25" fillId="0" borderId="2" xfId="0" applyNumberFormat="1" applyFont="1" applyFill="1" applyBorder="1"/>
    <xf numFmtId="165" fontId="25" fillId="0" borderId="12" xfId="11" applyNumberFormat="1" applyFont="1" applyFill="1" applyBorder="1"/>
    <xf numFmtId="165" fontId="25" fillId="0" borderId="13" xfId="11" applyNumberFormat="1" applyFont="1" applyFill="1" applyBorder="1"/>
    <xf numFmtId="44" fontId="25" fillId="0" borderId="0" xfId="3" applyFont="1" applyFill="1" applyBorder="1" applyAlignment="1">
      <alignment horizontal="right"/>
    </xf>
    <xf numFmtId="0" fontId="25" fillId="0" borderId="5" xfId="0" applyFont="1" applyFill="1" applyBorder="1"/>
    <xf numFmtId="9" fontId="25" fillId="0" borderId="5" xfId="11" applyFont="1" applyFill="1" applyBorder="1" applyAlignment="1">
      <alignment horizontal="right"/>
    </xf>
    <xf numFmtId="0" fontId="25" fillId="0" borderId="5" xfId="0" applyFont="1" applyFill="1" applyBorder="1" applyAlignment="1">
      <alignment horizontal="right"/>
    </xf>
    <xf numFmtId="0" fontId="25" fillId="0" borderId="5" xfId="0" applyFont="1" applyBorder="1"/>
    <xf numFmtId="171" fontId="4" fillId="4" borderId="2" xfId="3" applyNumberFormat="1" applyFont="1" applyFill="1" applyBorder="1" applyAlignment="1">
      <alignment horizontal="right"/>
    </xf>
    <xf numFmtId="171" fontId="4" fillId="0" borderId="0" xfId="3" applyNumberFormat="1" applyFont="1" applyFill="1" applyBorder="1" applyAlignment="1">
      <alignment horizontal="left"/>
    </xf>
    <xf numFmtId="171" fontId="4" fillId="0" borderId="2" xfId="3" applyNumberFormat="1" applyFont="1" applyFill="1" applyBorder="1" applyAlignment="1">
      <alignment horizontal="right"/>
    </xf>
    <xf numFmtId="44" fontId="4" fillId="0" borderId="0" xfId="3" applyFont="1" applyFill="1" applyBorder="1"/>
    <xf numFmtId="44" fontId="4" fillId="4" borderId="2" xfId="3" applyFont="1" applyFill="1" applyBorder="1" applyAlignment="1">
      <alignment horizontal="right"/>
    </xf>
    <xf numFmtId="10" fontId="4" fillId="4" borderId="2" xfId="3" applyNumberFormat="1" applyFont="1" applyFill="1" applyBorder="1" applyAlignment="1">
      <alignment horizontal="right"/>
    </xf>
    <xf numFmtId="10" fontId="4" fillId="0" borderId="0" xfId="3" applyNumberFormat="1" applyFont="1" applyFill="1" applyBorder="1" applyAlignment="1">
      <alignment horizontal="right"/>
    </xf>
    <xf numFmtId="44" fontId="4" fillId="0" borderId="0" xfId="3" applyFont="1" applyFill="1" applyBorder="1" applyAlignment="1">
      <alignment horizontal="right"/>
    </xf>
    <xf numFmtId="10" fontId="4" fillId="0" borderId="0" xfId="11" applyNumberFormat="1" applyFont="1" applyFill="1" applyBorder="1"/>
    <xf numFmtId="2" fontId="4" fillId="0" borderId="2" xfId="3" applyNumberFormat="1" applyFont="1" applyFill="1" applyBorder="1"/>
    <xf numFmtId="0" fontId="3" fillId="0" borderId="0" xfId="0" applyFont="1" applyFill="1" applyBorder="1" applyAlignment="1">
      <alignment horizontal="center"/>
    </xf>
    <xf numFmtId="165" fontId="4" fillId="0" borderId="0" xfId="11" applyNumberFormat="1" applyFont="1" applyFill="1" applyBorder="1"/>
    <xf numFmtId="0" fontId="24" fillId="0" borderId="0" xfId="0" applyFont="1" applyFill="1" applyBorder="1"/>
    <xf numFmtId="44" fontId="4" fillId="0" borderId="0" xfId="0" applyNumberFormat="1" applyFont="1" applyFill="1" applyBorder="1"/>
    <xf numFmtId="165" fontId="4" fillId="0" borderId="0" xfId="11" applyNumberFormat="1" applyFont="1" applyFill="1" applyBorder="1" applyAlignment="1">
      <alignment horizontal="center"/>
    </xf>
    <xf numFmtId="0" fontId="4" fillId="0" borderId="14" xfId="0" applyFont="1" applyBorder="1" applyAlignment="1">
      <alignment vertical="center" wrapText="1"/>
    </xf>
    <xf numFmtId="0" fontId="4" fillId="0" borderId="15" xfId="0" applyFont="1" applyBorder="1" applyAlignment="1">
      <alignment vertical="center" wrapText="1"/>
    </xf>
    <xf numFmtId="0" fontId="17" fillId="0" borderId="16" xfId="0" applyFont="1" applyBorder="1" applyAlignment="1">
      <alignment horizontal="left" vertical="center" wrapText="1" indent="2"/>
    </xf>
    <xf numFmtId="0" fontId="17" fillId="0" borderId="15" xfId="0" applyFont="1" applyBorder="1" applyAlignment="1">
      <alignment horizontal="left" vertical="center" wrapText="1" indent="2"/>
    </xf>
    <xf numFmtId="0" fontId="3" fillId="0" borderId="0" xfId="0" applyFont="1" applyAlignment="1">
      <alignment horizontal="left" vertical="center"/>
    </xf>
    <xf numFmtId="0" fontId="19" fillId="0" borderId="0" xfId="0" applyFont="1" applyAlignment="1">
      <alignment horizontal="left" vertical="center"/>
    </xf>
    <xf numFmtId="0" fontId="28" fillId="0" borderId="0" xfId="0" applyFont="1" applyAlignment="1">
      <alignment horizontal="left" vertical="center"/>
    </xf>
    <xf numFmtId="38" fontId="4" fillId="0" borderId="0" xfId="8" applyNumberFormat="1" applyFont="1" applyAlignment="1">
      <alignment horizontal="right" vertical="top"/>
    </xf>
    <xf numFmtId="9" fontId="4" fillId="0" borderId="0" xfId="12" applyFont="1" applyAlignment="1">
      <alignment vertical="top"/>
    </xf>
    <xf numFmtId="165" fontId="4" fillId="0" borderId="0" xfId="12" applyNumberFormat="1" applyFont="1" applyAlignment="1">
      <alignment vertical="top"/>
    </xf>
    <xf numFmtId="9" fontId="4" fillId="0" borderId="0" xfId="8" applyNumberFormat="1">
      <alignment vertical="top"/>
    </xf>
    <xf numFmtId="0" fontId="20" fillId="0" borderId="17" xfId="0" applyFont="1" applyBorder="1" applyAlignment="1">
      <alignment horizontal="right" vertical="center"/>
    </xf>
    <xf numFmtId="0" fontId="20" fillId="0" borderId="0" xfId="0" applyFont="1" applyAlignment="1">
      <alignment horizontal="right" vertical="center"/>
    </xf>
    <xf numFmtId="0" fontId="20" fillId="0" borderId="0" xfId="0" applyFont="1" applyAlignment="1">
      <alignment horizontal="right" vertical="center" wrapText="1"/>
    </xf>
    <xf numFmtId="0" fontId="20" fillId="0" borderId="18" xfId="0" applyFont="1" applyBorder="1" applyAlignment="1">
      <alignment horizontal="right" vertical="center"/>
    </xf>
    <xf numFmtId="0" fontId="20" fillId="0" borderId="18" xfId="0" applyFont="1" applyBorder="1" applyAlignment="1">
      <alignment horizontal="right" vertical="center" wrapText="1"/>
    </xf>
    <xf numFmtId="0" fontId="20" fillId="0" borderId="17" xfId="0" applyFont="1" applyBorder="1" applyAlignment="1">
      <alignment vertical="center"/>
    </xf>
    <xf numFmtId="0" fontId="20" fillId="0" borderId="0" xfId="0" applyFont="1" applyAlignment="1">
      <alignment vertical="center"/>
    </xf>
    <xf numFmtId="0" fontId="20" fillId="0" borderId="18" xfId="0" applyFont="1" applyBorder="1" applyAlignment="1">
      <alignment vertical="center"/>
    </xf>
    <xf numFmtId="0" fontId="4" fillId="0" borderId="0" xfId="9"/>
    <xf numFmtId="0" fontId="4" fillId="0" borderId="0" xfId="9" applyFont="1" applyAlignment="1">
      <alignment vertical="center"/>
    </xf>
    <xf numFmtId="0" fontId="4" fillId="0" borderId="0" xfId="9" applyAlignment="1"/>
    <xf numFmtId="0" fontId="29" fillId="0" borderId="13" xfId="9" applyFont="1" applyBorder="1" applyAlignment="1">
      <alignment vertical="center"/>
    </xf>
    <xf numFmtId="0" fontId="29" fillId="0" borderId="19" xfId="9" applyFont="1" applyBorder="1" applyAlignment="1">
      <alignment vertical="center" wrapText="1"/>
    </xf>
    <xf numFmtId="0" fontId="29" fillId="0" borderId="20" xfId="9" applyFont="1" applyBorder="1" applyAlignment="1">
      <alignment vertical="center"/>
    </xf>
    <xf numFmtId="0" fontId="29" fillId="0" borderId="15" xfId="9" applyFont="1" applyBorder="1" applyAlignment="1">
      <alignment vertical="center" wrapText="1"/>
    </xf>
    <xf numFmtId="0" fontId="19" fillId="0" borderId="0" xfId="9" applyFont="1" applyAlignment="1">
      <alignment horizontal="justify" vertical="center"/>
    </xf>
    <xf numFmtId="0" fontId="4" fillId="0" borderId="0" xfId="9" applyFont="1"/>
    <xf numFmtId="3" fontId="4" fillId="0" borderId="0" xfId="9" applyNumberFormat="1" applyAlignment="1">
      <alignment horizontal="left"/>
    </xf>
    <xf numFmtId="9" fontId="0" fillId="0" borderId="0" xfId="12" applyNumberFormat="1" applyFont="1" applyAlignment="1">
      <alignment horizontal="left"/>
    </xf>
    <xf numFmtId="0" fontId="4" fillId="0" borderId="0" xfId="9" applyFont="1" applyAlignment="1">
      <alignment horizontal="left"/>
    </xf>
    <xf numFmtId="0" fontId="4" fillId="0" borderId="0" xfId="9" applyAlignment="1">
      <alignment horizontal="left"/>
    </xf>
    <xf numFmtId="0" fontId="3" fillId="0" borderId="0" xfId="9" applyFont="1" applyAlignment="1">
      <alignment horizontal="left" vertical="center"/>
    </xf>
    <xf numFmtId="0" fontId="19" fillId="0" borderId="0" xfId="9" applyFont="1" applyAlignment="1">
      <alignment horizontal="left" vertical="center"/>
    </xf>
    <xf numFmtId="0" fontId="21" fillId="0" borderId="0" xfId="9" applyFont="1" applyAlignment="1">
      <alignment vertical="center"/>
    </xf>
    <xf numFmtId="0" fontId="4" fillId="0" borderId="17" xfId="9" applyFont="1" applyBorder="1" applyAlignment="1">
      <alignment vertical="center" wrapText="1"/>
    </xf>
    <xf numFmtId="0" fontId="4" fillId="0" borderId="17" xfId="9" applyFont="1" applyBorder="1" applyAlignment="1">
      <alignment horizontal="center" vertical="center" wrapText="1"/>
    </xf>
    <xf numFmtId="0" fontId="4" fillId="0" borderId="0" xfId="9" applyFont="1" applyAlignment="1">
      <alignment vertical="center" wrapText="1"/>
    </xf>
    <xf numFmtId="0" fontId="4" fillId="0" borderId="0" xfId="9" applyFont="1" applyAlignment="1">
      <alignment horizontal="center" vertical="center" wrapText="1"/>
    </xf>
    <xf numFmtId="0" fontId="4" fillId="0" borderId="18" xfId="9" applyFont="1" applyBorder="1" applyAlignment="1">
      <alignment vertical="center" wrapText="1"/>
    </xf>
    <xf numFmtId="0" fontId="4" fillId="0" borderId="18" xfId="9" applyFont="1" applyBorder="1" applyAlignment="1">
      <alignment horizontal="center" vertical="center" wrapText="1"/>
    </xf>
    <xf numFmtId="10" fontId="4" fillId="0" borderId="0" xfId="9" applyNumberFormat="1" applyFont="1" applyAlignment="1">
      <alignment horizontal="center" vertical="center" wrapText="1"/>
    </xf>
    <xf numFmtId="8" fontId="4" fillId="0" borderId="0" xfId="9" applyNumberFormat="1" applyFont="1" applyAlignment="1">
      <alignment horizontal="center" vertical="center" wrapText="1"/>
    </xf>
    <xf numFmtId="3" fontId="4" fillId="0" borderId="0" xfId="9" applyNumberFormat="1" applyFont="1" applyAlignment="1">
      <alignment horizontal="center" vertical="center" wrapText="1"/>
    </xf>
    <xf numFmtId="9" fontId="4" fillId="0" borderId="0" xfId="9" applyNumberFormat="1" applyFont="1" applyAlignment="1">
      <alignment horizontal="center" vertical="center" wrapText="1"/>
    </xf>
    <xf numFmtId="9" fontId="4" fillId="0" borderId="18" xfId="9" applyNumberFormat="1" applyFont="1" applyBorder="1" applyAlignment="1">
      <alignment horizontal="center" vertical="center" wrapText="1"/>
    </xf>
    <xf numFmtId="0" fontId="3" fillId="0" borderId="0" xfId="0" applyFont="1" applyAlignment="1">
      <alignment vertical="center"/>
    </xf>
    <xf numFmtId="0" fontId="4" fillId="0" borderId="0" xfId="0" applyFont="1" applyAlignment="1">
      <alignment vertical="center"/>
    </xf>
    <xf numFmtId="166" fontId="0" fillId="0" borderId="2" xfId="0" applyNumberFormat="1" applyFill="1" applyBorder="1"/>
    <xf numFmtId="166" fontId="0" fillId="0" borderId="2" xfId="0" applyNumberFormat="1" applyBorder="1" applyAlignment="1">
      <alignment horizontal="center"/>
    </xf>
    <xf numFmtId="166" fontId="0" fillId="0" borderId="2" xfId="0" applyNumberFormat="1" applyFill="1" applyBorder="1" applyAlignment="1">
      <alignment horizontal="center"/>
    </xf>
    <xf numFmtId="0" fontId="10" fillId="0" borderId="0" xfId="0" applyFont="1" applyAlignment="1">
      <alignment horizontal="right" vertical="center"/>
    </xf>
    <xf numFmtId="8" fontId="4" fillId="0" borderId="0" xfId="0" applyNumberFormat="1" applyFont="1" applyAlignment="1">
      <alignment horizontal="right" vertical="center"/>
    </xf>
    <xf numFmtId="38" fontId="0" fillId="0" borderId="0" xfId="0" applyNumberFormat="1"/>
    <xf numFmtId="172" fontId="0" fillId="0" borderId="0" xfId="0" applyNumberFormat="1"/>
    <xf numFmtId="173" fontId="0" fillId="0" borderId="0" xfId="0" applyNumberFormat="1"/>
    <xf numFmtId="164" fontId="4" fillId="4" borderId="2" xfId="0" applyNumberFormat="1" applyFont="1" applyFill="1" applyBorder="1"/>
    <xf numFmtId="6" fontId="0" fillId="0" borderId="0" xfId="0" applyNumberFormat="1"/>
    <xf numFmtId="166" fontId="0" fillId="0" borderId="0" xfId="0" applyNumberFormat="1" applyFill="1" applyBorder="1" applyAlignment="1">
      <alignment horizontal="center"/>
    </xf>
    <xf numFmtId="0" fontId="3" fillId="0" borderId="3" xfId="0" applyFont="1" applyBorder="1"/>
    <xf numFmtId="0" fontId="3" fillId="0" borderId="2" xfId="0" applyFont="1" applyBorder="1"/>
    <xf numFmtId="0" fontId="4" fillId="0" borderId="9" xfId="0" applyFont="1" applyBorder="1"/>
    <xf numFmtId="0" fontId="4" fillId="0" borderId="2" xfId="0" applyFont="1" applyFill="1" applyBorder="1"/>
    <xf numFmtId="0" fontId="3" fillId="0" borderId="21" xfId="0" applyFont="1" applyBorder="1" applyAlignment="1">
      <alignment horizontal="center" wrapText="1"/>
    </xf>
    <xf numFmtId="0" fontId="3" fillId="0" borderId="6" xfId="0" applyFont="1" applyBorder="1" applyAlignment="1">
      <alignment horizontal="center" wrapText="1"/>
    </xf>
    <xf numFmtId="0" fontId="4" fillId="0" borderId="0" xfId="0" applyFont="1" applyAlignment="1">
      <alignment horizontal="center" vertical="center"/>
    </xf>
    <xf numFmtId="0" fontId="0" fillId="0" borderId="2" xfId="0" applyBorder="1" applyAlignment="1">
      <alignment horizontal="left"/>
    </xf>
    <xf numFmtId="44" fontId="0" fillId="0" borderId="3" xfId="6" applyFont="1" applyBorder="1" applyAlignment="1">
      <alignment horizontal="center"/>
    </xf>
    <xf numFmtId="44" fontId="0" fillId="0" borderId="2" xfId="6" applyFont="1" applyBorder="1" applyAlignment="1">
      <alignment horizontal="center"/>
    </xf>
    <xf numFmtId="173" fontId="4" fillId="0" borderId="2" xfId="3" applyNumberFormat="1" applyFont="1" applyFill="1" applyBorder="1" applyAlignment="1">
      <alignment horizontal="right"/>
    </xf>
    <xf numFmtId="165" fontId="4" fillId="0" borderId="2" xfId="0" applyNumberFormat="1" applyFont="1" applyFill="1" applyBorder="1" applyAlignment="1">
      <alignment horizontal="right"/>
    </xf>
    <xf numFmtId="0" fontId="4" fillId="0" borderId="0" xfId="0" applyFont="1" applyFill="1" applyAlignment="1">
      <alignment wrapText="1"/>
    </xf>
    <xf numFmtId="0" fontId="12" fillId="0" borderId="0" xfId="0" applyFont="1" applyFill="1" applyAlignment="1">
      <alignment horizontal="left" wrapText="1"/>
    </xf>
    <xf numFmtId="0" fontId="4" fillId="0" borderId="0" xfId="0" applyFont="1" applyAlignment="1"/>
    <xf numFmtId="0" fontId="12" fillId="0" borderId="0" xfId="0" applyFont="1" applyFill="1" applyBorder="1" applyAlignment="1">
      <alignment horizontal="center" wrapText="1"/>
    </xf>
    <xf numFmtId="0" fontId="12" fillId="0" borderId="0" xfId="0" applyFont="1" applyBorder="1" applyAlignment="1">
      <alignment vertical="center" wrapText="1"/>
    </xf>
    <xf numFmtId="0" fontId="4" fillId="0" borderId="5" xfId="8" applyFont="1" applyBorder="1">
      <alignment vertical="top"/>
    </xf>
    <xf numFmtId="43" fontId="4" fillId="0" borderId="5" xfId="8" applyNumberFormat="1" applyFont="1" applyBorder="1" applyAlignment="1">
      <alignment horizontal="right" vertical="top"/>
    </xf>
    <xf numFmtId="37" fontId="4" fillId="0" borderId="5" xfId="8" applyNumberFormat="1" applyFont="1" applyBorder="1" applyAlignment="1">
      <alignment horizontal="right" vertical="top"/>
    </xf>
    <xf numFmtId="164" fontId="4" fillId="0" borderId="5" xfId="8" quotePrefix="1" applyNumberFormat="1" applyFont="1" applyBorder="1" applyAlignment="1">
      <alignment horizontal="right" vertical="top"/>
    </xf>
    <xf numFmtId="168" fontId="30" fillId="0" borderId="0" xfId="5" applyNumberFormat="1" applyFont="1"/>
    <xf numFmtId="0" fontId="30" fillId="0" borderId="0" xfId="0" applyFont="1"/>
    <xf numFmtId="168" fontId="31" fillId="0" borderId="0" xfId="5" applyNumberFormat="1" applyFont="1"/>
    <xf numFmtId="174" fontId="30" fillId="0" borderId="0" xfId="5" applyNumberFormat="1" applyFont="1" applyFill="1" applyBorder="1"/>
    <xf numFmtId="175" fontId="30" fillId="0" borderId="0" xfId="5" applyNumberFormat="1" applyFont="1" applyFill="1" applyBorder="1"/>
    <xf numFmtId="165" fontId="30" fillId="0" borderId="0" xfId="13" applyNumberFormat="1" applyFont="1" applyFill="1" applyBorder="1"/>
    <xf numFmtId="0" fontId="22" fillId="0" borderId="0" xfId="10" applyFont="1">
      <alignment vertical="top"/>
    </xf>
    <xf numFmtId="0" fontId="4" fillId="0" borderId="0" xfId="10">
      <alignment vertical="top"/>
    </xf>
    <xf numFmtId="0" fontId="4" fillId="0" borderId="5" xfId="10" applyBorder="1" applyAlignment="1">
      <alignment horizontal="centerContinuous" vertical="top"/>
    </xf>
    <xf numFmtId="0" fontId="4" fillId="0" borderId="7" xfId="10" applyBorder="1" applyAlignment="1">
      <alignment horizontal="center" vertical="top"/>
    </xf>
    <xf numFmtId="0" fontId="4" fillId="0" borderId="0" xfId="10" applyAlignment="1">
      <alignment horizontal="center" vertical="top"/>
    </xf>
    <xf numFmtId="42" fontId="4" fillId="0" borderId="0" xfId="10" applyNumberFormat="1">
      <alignment vertical="top"/>
    </xf>
    <xf numFmtId="0" fontId="7" fillId="0" borderId="0" xfId="10" applyFont="1">
      <alignment vertical="top"/>
    </xf>
    <xf numFmtId="0" fontId="23" fillId="0" borderId="0" xfId="10" applyFont="1">
      <alignment vertical="top"/>
    </xf>
    <xf numFmtId="37" fontId="4" fillId="0" borderId="0" xfId="10" applyNumberFormat="1">
      <alignment vertical="top"/>
    </xf>
    <xf numFmtId="43" fontId="4" fillId="0" borderId="0" xfId="10" applyNumberFormat="1">
      <alignment vertical="top"/>
    </xf>
    <xf numFmtId="0" fontId="3" fillId="0" borderId="0" xfId="10" applyFont="1">
      <alignment vertical="top"/>
    </xf>
    <xf numFmtId="37" fontId="3" fillId="0" borderId="0" xfId="10" applyNumberFormat="1" applyFont="1">
      <alignment vertical="top"/>
    </xf>
    <xf numFmtId="0" fontId="4" fillId="0" borderId="0" xfId="10" applyAlignment="1">
      <alignment horizontal="right" vertical="top"/>
    </xf>
    <xf numFmtId="42" fontId="4" fillId="0" borderId="0" xfId="10" applyNumberFormat="1" applyAlignment="1">
      <alignment horizontal="right" vertical="top"/>
    </xf>
    <xf numFmtId="42" fontId="3" fillId="0" borderId="0" xfId="10" applyNumberFormat="1" applyFont="1">
      <alignment vertical="top"/>
    </xf>
    <xf numFmtId="44" fontId="4" fillId="0" borderId="0" xfId="10" applyNumberFormat="1">
      <alignment vertical="top"/>
    </xf>
    <xf numFmtId="0" fontId="10" fillId="0" borderId="0" xfId="10" applyFont="1">
      <alignment vertical="top"/>
    </xf>
    <xf numFmtId="0" fontId="4" fillId="0" borderId="0" xfId="10" applyAlignment="1">
      <alignment horizontal="centerContinuous" vertical="top"/>
    </xf>
    <xf numFmtId="0" fontId="4" fillId="0" borderId="5" xfId="10" applyBorder="1" applyAlignment="1">
      <alignment horizontal="center" vertical="top"/>
    </xf>
    <xf numFmtId="0" fontId="32" fillId="0" borderId="0" xfId="0" applyFont="1" applyAlignment="1">
      <alignment horizontal="left" vertical="center" wrapText="1" indent="1"/>
    </xf>
    <xf numFmtId="0" fontId="32" fillId="0" borderId="0" xfId="0" applyFont="1"/>
    <xf numFmtId="5" fontId="32" fillId="0" borderId="0" xfId="0" applyNumberFormat="1" applyFont="1" applyAlignment="1">
      <alignment vertical="center" wrapText="1"/>
    </xf>
    <xf numFmtId="5" fontId="32" fillId="0" borderId="0" xfId="0" applyNumberFormat="1" applyFont="1" applyFill="1" applyBorder="1" applyAlignment="1">
      <alignment vertical="center" wrapText="1"/>
    </xf>
    <xf numFmtId="3" fontId="32" fillId="0" borderId="0" xfId="0" applyNumberFormat="1" applyFont="1" applyFill="1" applyAlignment="1">
      <alignment vertical="center" wrapText="1"/>
    </xf>
    <xf numFmtId="44" fontId="32" fillId="0" borderId="13" xfId="3" applyFont="1" applyFill="1" applyBorder="1" applyAlignment="1">
      <alignment horizontal="right"/>
    </xf>
    <xf numFmtId="171" fontId="32" fillId="0" borderId="2" xfId="3" applyNumberFormat="1" applyFont="1" applyFill="1" applyBorder="1"/>
    <xf numFmtId="171" fontId="32" fillId="0" borderId="2" xfId="0" applyNumberFormat="1" applyFont="1" applyFill="1" applyBorder="1"/>
    <xf numFmtId="165" fontId="32" fillId="0" borderId="2" xfId="11" applyNumberFormat="1" applyFont="1" applyFill="1" applyBorder="1"/>
    <xf numFmtId="165" fontId="32" fillId="0" borderId="9" xfId="0" applyNumberFormat="1" applyFont="1" applyFill="1" applyBorder="1"/>
    <xf numFmtId="0" fontId="33" fillId="0" borderId="0" xfId="0" applyFont="1"/>
    <xf numFmtId="37" fontId="36" fillId="5" borderId="0" xfId="0" applyNumberFormat="1" applyFont="1" applyFill="1" applyAlignment="1">
      <alignment horizontal="centerContinuous"/>
    </xf>
    <xf numFmtId="0" fontId="36" fillId="5" borderId="0" xfId="0" applyFont="1" applyFill="1" applyAlignment="1">
      <alignment horizontal="centerContinuous"/>
    </xf>
    <xf numFmtId="37" fontId="36" fillId="6" borderId="0" xfId="0" applyNumberFormat="1" applyFont="1" applyFill="1" applyAlignment="1">
      <alignment horizontal="centerContinuous"/>
    </xf>
    <xf numFmtId="0" fontId="36" fillId="6" borderId="0" xfId="0" applyFont="1" applyFill="1" applyAlignment="1">
      <alignment horizontal="centerContinuous"/>
    </xf>
    <xf numFmtId="37" fontId="0" fillId="0" borderId="0" xfId="0" applyNumberFormat="1"/>
    <xf numFmtId="0" fontId="37" fillId="7" borderId="0" xfId="0" applyFont="1" applyFill="1" applyAlignment="1">
      <alignment horizontal="centerContinuous"/>
    </xf>
    <xf numFmtId="0" fontId="30" fillId="7" borderId="0" xfId="0" applyFont="1" applyFill="1" applyAlignment="1">
      <alignment horizontal="centerContinuous"/>
    </xf>
    <xf numFmtId="0" fontId="34" fillId="8" borderId="0" xfId="0" applyFont="1" applyFill="1" applyAlignment="1">
      <alignment horizontal="centerContinuous"/>
    </xf>
    <xf numFmtId="0" fontId="35" fillId="8" borderId="0" xfId="0" applyFont="1" applyFill="1" applyAlignment="1">
      <alignment horizontal="centerContinuous"/>
    </xf>
    <xf numFmtId="0" fontId="34" fillId="9" borderId="0" xfId="0" applyFont="1" applyFill="1" applyAlignment="1">
      <alignment horizontal="centerContinuous"/>
    </xf>
    <xf numFmtId="0" fontId="35" fillId="9" borderId="0" xfId="0" applyFont="1" applyFill="1" applyAlignment="1">
      <alignment horizontal="centerContinuous"/>
    </xf>
    <xf numFmtId="0" fontId="23" fillId="0" borderId="0" xfId="0" applyFont="1" applyAlignment="1">
      <alignment horizontal="center"/>
    </xf>
    <xf numFmtId="0" fontId="38" fillId="0" borderId="0" xfId="0" applyFont="1"/>
    <xf numFmtId="0" fontId="39" fillId="0" borderId="0" xfId="0" applyFont="1"/>
    <xf numFmtId="176" fontId="0" fillId="0" borderId="0" xfId="0" applyNumberFormat="1"/>
    <xf numFmtId="9" fontId="0" fillId="0" borderId="0" xfId="15" applyFont="1"/>
    <xf numFmtId="37" fontId="40" fillId="0" borderId="0" xfId="0" applyNumberFormat="1" applyFont="1"/>
    <xf numFmtId="176" fontId="40" fillId="0" borderId="0" xfId="0" applyNumberFormat="1" applyFont="1"/>
    <xf numFmtId="37" fontId="3" fillId="0" borderId="0" xfId="0" applyNumberFormat="1" applyFont="1"/>
    <xf numFmtId="176" fontId="3" fillId="0" borderId="0" xfId="0" applyNumberFormat="1" applyFont="1"/>
    <xf numFmtId="0" fontId="0" fillId="0" borderId="0" xfId="0" applyAlignment="1">
      <alignment horizontal="left" indent="2"/>
    </xf>
    <xf numFmtId="37" fontId="10" fillId="0" borderId="0" xfId="0" applyNumberFormat="1" applyFont="1"/>
    <xf numFmtId="176" fontId="10" fillId="0" borderId="0" xfId="0" applyNumberFormat="1" applyFont="1"/>
    <xf numFmtId="0" fontId="4" fillId="0" borderId="0" xfId="0" applyFont="1" applyAlignment="1">
      <alignment horizontal="left" indent="2"/>
    </xf>
    <xf numFmtId="37" fontId="4" fillId="0" borderId="0" xfId="0" applyNumberFormat="1" applyFont="1" applyAlignment="1">
      <alignment horizontal="center"/>
    </xf>
    <xf numFmtId="37" fontId="4" fillId="0" borderId="0" xfId="0" applyNumberFormat="1" applyFont="1" applyAlignment="1">
      <alignment horizontal="centerContinuous"/>
    </xf>
    <xf numFmtId="0" fontId="0" fillId="0" borderId="0" xfId="0" applyAlignment="1">
      <alignment horizontal="centerContinuous"/>
    </xf>
    <xf numFmtId="7" fontId="3" fillId="0" borderId="0" xfId="0" applyNumberFormat="1" applyFont="1" applyAlignment="1">
      <alignment horizontal="right"/>
    </xf>
    <xf numFmtId="7" fontId="3" fillId="0" borderId="0" xfId="0" applyNumberFormat="1" applyFont="1"/>
    <xf numFmtId="5" fontId="39" fillId="0" borderId="0" xfId="0" applyNumberFormat="1" applyFont="1"/>
    <xf numFmtId="176" fontId="39" fillId="0" borderId="0" xfId="0" applyNumberFormat="1" applyFont="1"/>
    <xf numFmtId="5" fontId="0" fillId="0" borderId="0" xfId="0" applyNumberFormat="1"/>
    <xf numFmtId="177" fontId="0" fillId="0" borderId="0" xfId="0" applyNumberFormat="1"/>
    <xf numFmtId="5" fontId="40" fillId="0" borderId="0" xfId="0" applyNumberFormat="1" applyFont="1"/>
    <xf numFmtId="177" fontId="40" fillId="0" borderId="0" xfId="0" applyNumberFormat="1" applyFont="1"/>
    <xf numFmtId="177" fontId="39" fillId="0" borderId="0" xfId="0" applyNumberFormat="1" applyFont="1"/>
    <xf numFmtId="7" fontId="0" fillId="0" borderId="0" xfId="0" applyNumberFormat="1"/>
    <xf numFmtId="0" fontId="41" fillId="0" borderId="0" xfId="0" applyFont="1"/>
    <xf numFmtId="37" fontId="7" fillId="0" borderId="0" xfId="0" applyNumberFormat="1" applyFont="1" applyAlignment="1">
      <alignment horizontal="center"/>
    </xf>
    <xf numFmtId="9" fontId="0" fillId="10" borderId="0" xfId="15" applyFont="1" applyFill="1" applyAlignment="1">
      <alignment horizontal="center"/>
    </xf>
    <xf numFmtId="0" fontId="0" fillId="10" borderId="0" xfId="0" applyFill="1"/>
    <xf numFmtId="0" fontId="22" fillId="0" borderId="0" xfId="0" applyFont="1" applyAlignment="1">
      <alignment horizontal="center"/>
    </xf>
    <xf numFmtId="0" fontId="39" fillId="0" borderId="0" xfId="0" applyFont="1" applyAlignment="1">
      <alignment vertical="center"/>
    </xf>
    <xf numFmtId="37" fontId="39" fillId="0" borderId="0" xfId="0" applyNumberFormat="1" applyFont="1" applyAlignment="1">
      <alignment horizontal="centerContinuous" vertical="center" wrapText="1"/>
    </xf>
    <xf numFmtId="0" fontId="39" fillId="0" borderId="0" xfId="0" applyFont="1" applyAlignment="1">
      <alignment horizontal="centerContinuous"/>
    </xf>
    <xf numFmtId="37" fontId="39" fillId="0" borderId="0" xfId="0" applyNumberFormat="1" applyFont="1" applyAlignment="1">
      <alignment horizontal="center" vertical="center"/>
    </xf>
    <xf numFmtId="178" fontId="3" fillId="0" borderId="0" xfId="16" applyNumberFormat="1" applyFont="1" applyFill="1"/>
    <xf numFmtId="37" fontId="39" fillId="0" borderId="0" xfId="0" applyNumberFormat="1" applyFont="1" applyAlignment="1">
      <alignment horizontal="centerContinuous"/>
    </xf>
    <xf numFmtId="37" fontId="39" fillId="0" borderId="0" xfId="0" applyNumberFormat="1" applyFont="1" applyAlignment="1">
      <alignment horizontal="center"/>
    </xf>
    <xf numFmtId="9" fontId="3" fillId="0" borderId="0" xfId="15" applyFont="1" applyFill="1"/>
    <xf numFmtId="165" fontId="39" fillId="0" borderId="0" xfId="15" applyNumberFormat="1" applyFont="1" applyAlignment="1">
      <alignment horizontal="centerContinuous"/>
    </xf>
    <xf numFmtId="37" fontId="39" fillId="0" borderId="0" xfId="0" applyNumberFormat="1" applyFont="1"/>
    <xf numFmtId="165" fontId="39" fillId="0" borderId="0" xfId="15" applyNumberFormat="1" applyFont="1" applyAlignment="1">
      <alignment horizontal="center"/>
    </xf>
    <xf numFmtId="0" fontId="40" fillId="0" borderId="0" xfId="0" applyFont="1"/>
    <xf numFmtId="5" fontId="10" fillId="0" borderId="0" xfId="0" applyNumberFormat="1" applyFont="1"/>
    <xf numFmtId="176" fontId="42" fillId="0" borderId="0" xfId="0" applyNumberFormat="1" applyFont="1"/>
    <xf numFmtId="43" fontId="0" fillId="0" borderId="0" xfId="16" applyFont="1"/>
    <xf numFmtId="37" fontId="4" fillId="0" borderId="18" xfId="0" applyNumberFormat="1" applyFont="1" applyBorder="1" applyAlignment="1">
      <alignment horizontal="center"/>
    </xf>
    <xf numFmtId="37" fontId="0" fillId="0" borderId="18" xfId="0" applyNumberFormat="1" applyBorder="1"/>
    <xf numFmtId="37" fontId="3" fillId="0" borderId="0" xfId="0" applyNumberFormat="1" applyFont="1" applyAlignment="1">
      <alignment horizontal="center"/>
    </xf>
    <xf numFmtId="0" fontId="4" fillId="0" borderId="22" xfId="0" applyFont="1" applyBorder="1" applyAlignment="1">
      <alignment vertical="center" wrapText="1"/>
    </xf>
    <xf numFmtId="0" fontId="4" fillId="0" borderId="23" xfId="0" applyFont="1" applyBorder="1" applyAlignment="1">
      <alignment vertical="center" wrapText="1"/>
    </xf>
    <xf numFmtId="0" fontId="4" fillId="0" borderId="20" xfId="0" applyFont="1" applyBorder="1" applyAlignment="1">
      <alignment vertical="center" wrapText="1"/>
    </xf>
    <xf numFmtId="0" fontId="12" fillId="0" borderId="0" xfId="0" applyFont="1" applyFill="1" applyBorder="1" applyAlignment="1">
      <alignment horizontal="center" wrapText="1"/>
    </xf>
    <xf numFmtId="0" fontId="4" fillId="0" borderId="0" xfId="0" applyFont="1" applyFill="1" applyAlignment="1">
      <alignment horizontal="left" wrapText="1"/>
    </xf>
    <xf numFmtId="0" fontId="12" fillId="0" borderId="0" xfId="0" applyFont="1" applyBorder="1" applyAlignment="1">
      <alignment horizontal="center" vertical="center" wrapText="1"/>
    </xf>
    <xf numFmtId="0" fontId="12" fillId="0" borderId="5" xfId="0" applyFont="1" applyBorder="1" applyAlignment="1">
      <alignment horizontal="center" vertical="center" wrapText="1"/>
    </xf>
    <xf numFmtId="0" fontId="19" fillId="0" borderId="0" xfId="9" applyFont="1" applyAlignment="1">
      <alignment horizontal="left" vertical="center" wrapText="1"/>
    </xf>
    <xf numFmtId="0" fontId="4" fillId="0" borderId="24" xfId="9" applyFont="1" applyBorder="1" applyAlignment="1">
      <alignment horizontal="center" vertical="center" wrapText="1"/>
    </xf>
    <xf numFmtId="0" fontId="4" fillId="0" borderId="0" xfId="9" applyFont="1" applyAlignment="1">
      <alignment vertical="center" wrapText="1"/>
    </xf>
    <xf numFmtId="0" fontId="4" fillId="0" borderId="18" xfId="9" applyFont="1" applyBorder="1" applyAlignment="1">
      <alignment vertical="center" wrapText="1"/>
    </xf>
    <xf numFmtId="0" fontId="4" fillId="0" borderId="17" xfId="9" applyFont="1" applyBorder="1" applyAlignment="1">
      <alignment horizontal="center" vertical="center" wrapText="1"/>
    </xf>
    <xf numFmtId="0" fontId="4" fillId="0" borderId="18" xfId="9" applyFont="1" applyBorder="1" applyAlignment="1">
      <alignment horizontal="center" vertical="center" wrapText="1"/>
    </xf>
    <xf numFmtId="0" fontId="3" fillId="0" borderId="0" xfId="9" applyFont="1" applyAlignment="1">
      <alignment vertical="center" wrapText="1"/>
    </xf>
    <xf numFmtId="0" fontId="3" fillId="0" borderId="0" xfId="0" applyFont="1" applyFill="1" applyBorder="1" applyAlignment="1">
      <alignment horizontal="right" wrapText="1"/>
    </xf>
    <xf numFmtId="0" fontId="3" fillId="0" borderId="21" xfId="0" applyFont="1" applyFill="1" applyBorder="1" applyAlignment="1">
      <alignment horizontal="center"/>
    </xf>
    <xf numFmtId="0" fontId="3" fillId="0" borderId="25" xfId="0" applyFont="1" applyFill="1" applyBorder="1" applyAlignment="1">
      <alignment horizontal="center"/>
    </xf>
    <xf numFmtId="0" fontId="3" fillId="0" borderId="10" xfId="0" applyFont="1" applyBorder="1" applyAlignment="1">
      <alignment horizontal="center"/>
    </xf>
    <xf numFmtId="0" fontId="0" fillId="0" borderId="25" xfId="0" applyBorder="1" applyAlignment="1">
      <alignment horizontal="center"/>
    </xf>
    <xf numFmtId="0" fontId="43" fillId="0" borderId="26" xfId="0" applyFont="1" applyBorder="1" applyAlignment="1">
      <alignment horizontal="left" vertical="center"/>
    </xf>
    <xf numFmtId="0" fontId="44" fillId="0" borderId="26" xfId="0" applyFont="1" applyBorder="1"/>
    <xf numFmtId="0" fontId="44" fillId="0" borderId="0" xfId="0" applyFont="1"/>
    <xf numFmtId="0" fontId="45" fillId="0" borderId="0" xfId="0" applyFont="1"/>
    <xf numFmtId="0" fontId="44" fillId="0" borderId="0" xfId="0" applyFont="1" applyAlignment="1">
      <alignment vertical="center" wrapText="1"/>
    </xf>
    <xf numFmtId="0" fontId="44" fillId="0" borderId="5" xfId="0" applyFont="1" applyBorder="1" applyAlignment="1">
      <alignment horizontal="centerContinuous" vertical="center" wrapText="1"/>
    </xf>
    <xf numFmtId="0" fontId="46" fillId="11" borderId="5" xfId="0" applyFont="1" applyFill="1" applyBorder="1" applyAlignment="1">
      <alignment horizontal="centerContinuous" vertical="center" wrapText="1"/>
    </xf>
    <xf numFmtId="0" fontId="44" fillId="11" borderId="5" xfId="0" applyFont="1" applyFill="1" applyBorder="1" applyAlignment="1">
      <alignment horizontal="centerContinuous" vertical="center" wrapText="1"/>
    </xf>
    <xf numFmtId="0" fontId="47" fillId="0" borderId="0" xfId="0" applyFont="1" applyAlignment="1">
      <alignment vertical="center" wrapText="1"/>
    </xf>
    <xf numFmtId="0" fontId="48" fillId="0" borderId="0" xfId="0" applyFont="1" applyAlignment="1">
      <alignment horizontal="center" vertical="center" wrapText="1"/>
    </xf>
    <xf numFmtId="0" fontId="48" fillId="0" borderId="5" xfId="0" applyFont="1" applyBorder="1" applyAlignment="1">
      <alignment horizontal="center" wrapText="1"/>
    </xf>
    <xf numFmtId="0" fontId="48" fillId="0" borderId="0" xfId="0" applyFont="1" applyAlignment="1">
      <alignment vertical="center" wrapText="1"/>
    </xf>
    <xf numFmtId="0" fontId="48" fillId="0" borderId="0" xfId="0" applyFont="1" applyAlignment="1">
      <alignment horizontal="center" wrapText="1"/>
    </xf>
    <xf numFmtId="0" fontId="44" fillId="0" borderId="0" xfId="0" applyFont="1" applyAlignment="1">
      <alignment horizontal="left" vertical="center"/>
    </xf>
    <xf numFmtId="169" fontId="44" fillId="0" borderId="0" xfId="0" applyNumberFormat="1" applyFont="1" applyAlignment="1">
      <alignment horizontal="right" vertical="center" wrapText="1"/>
    </xf>
    <xf numFmtId="175" fontId="44" fillId="0" borderId="0" xfId="16" applyNumberFormat="1" applyFont="1" applyFill="1" applyBorder="1"/>
    <xf numFmtId="179" fontId="44" fillId="0" borderId="0" xfId="16" applyNumberFormat="1" applyFont="1" applyFill="1" applyBorder="1"/>
    <xf numFmtId="0" fontId="44" fillId="0" borderId="0" xfId="0" applyFont="1" applyAlignment="1">
      <alignment horizontal="right" vertical="center" wrapText="1"/>
    </xf>
    <xf numFmtId="175" fontId="44" fillId="0" borderId="5" xfId="16" applyNumberFormat="1" applyFont="1" applyFill="1" applyBorder="1"/>
    <xf numFmtId="0" fontId="46" fillId="0" borderId="0" xfId="0" applyFont="1" applyAlignment="1">
      <alignment horizontal="left" vertical="center"/>
    </xf>
    <xf numFmtId="3" fontId="44" fillId="0" borderId="0" xfId="0" applyNumberFormat="1" applyFont="1" applyAlignment="1">
      <alignment horizontal="right" vertical="center" wrapText="1"/>
    </xf>
    <xf numFmtId="175" fontId="46" fillId="0" borderId="0" xfId="16" applyNumberFormat="1" applyFont="1" applyFill="1" applyBorder="1"/>
    <xf numFmtId="37" fontId="44" fillId="0" borderId="0" xfId="0" applyNumberFormat="1" applyFont="1" applyAlignment="1">
      <alignment horizontal="right" vertical="center" wrapText="1"/>
    </xf>
    <xf numFmtId="5" fontId="44" fillId="0" borderId="0" xfId="0" applyNumberFormat="1" applyFont="1" applyAlignment="1">
      <alignment horizontal="right" vertical="center" wrapText="1"/>
    </xf>
    <xf numFmtId="0" fontId="44" fillId="0" borderId="0" xfId="0" applyFont="1" applyAlignment="1">
      <alignment wrapText="1"/>
    </xf>
    <xf numFmtId="0" fontId="44" fillId="0" borderId="0" xfId="0" applyFont="1" applyAlignment="1">
      <alignment horizontal="left" vertical="center" wrapText="1" indent="1"/>
    </xf>
    <xf numFmtId="7" fontId="44" fillId="0" borderId="0" xfId="0" applyNumberFormat="1" applyFont="1" applyAlignment="1">
      <alignment horizontal="right" vertical="center" wrapText="1"/>
    </xf>
    <xf numFmtId="178" fontId="44" fillId="0" borderId="0" xfId="16" applyNumberFormat="1" applyFont="1" applyFill="1" applyBorder="1" applyAlignment="1">
      <alignment horizontal="right" vertical="center" wrapText="1"/>
    </xf>
    <xf numFmtId="7" fontId="44" fillId="0" borderId="0" xfId="0" applyNumberFormat="1" applyFont="1" applyAlignment="1">
      <alignment vertical="center" wrapText="1"/>
    </xf>
    <xf numFmtId="174" fontId="44" fillId="0" borderId="0" xfId="16" applyNumberFormat="1" applyFont="1" applyFill="1" applyBorder="1"/>
    <xf numFmtId="174" fontId="49" fillId="0" borderId="0" xfId="16" applyNumberFormat="1" applyFont="1" applyFill="1" applyBorder="1"/>
    <xf numFmtId="0" fontId="50" fillId="0" borderId="0" xfId="0" applyFont="1" applyAlignment="1">
      <alignment horizontal="left" vertical="center"/>
    </xf>
    <xf numFmtId="0" fontId="51" fillId="0" borderId="0" xfId="0" applyFont="1" applyAlignment="1">
      <alignment horizontal="left" vertical="center"/>
    </xf>
    <xf numFmtId="175" fontId="44" fillId="12" borderId="0" xfId="16" applyNumberFormat="1" applyFont="1" applyFill="1" applyBorder="1"/>
    <xf numFmtId="175" fontId="44" fillId="0" borderId="5" xfId="0" applyNumberFormat="1" applyFont="1" applyBorder="1"/>
    <xf numFmtId="175" fontId="49" fillId="0" borderId="5" xfId="16" applyNumberFormat="1" applyFont="1" applyFill="1" applyBorder="1"/>
    <xf numFmtId="175" fontId="49" fillId="0" borderId="0" xfId="16" applyNumberFormat="1" applyFont="1" applyFill="1" applyBorder="1"/>
    <xf numFmtId="0" fontId="52" fillId="0" borderId="0" xfId="0" applyFont="1" applyAlignment="1">
      <alignment horizontal="left" vertical="center" wrapText="1" indent="1"/>
    </xf>
    <xf numFmtId="43" fontId="53" fillId="0" borderId="0" xfId="16" applyFont="1" applyFill="1" applyBorder="1"/>
    <xf numFmtId="0" fontId="50" fillId="0" borderId="0" xfId="0" applyFont="1"/>
    <xf numFmtId="175" fontId="44" fillId="0" borderId="0" xfId="0" applyNumberFormat="1" applyFont="1"/>
    <xf numFmtId="0" fontId="53" fillId="0" borderId="0" xfId="0" applyFont="1"/>
    <xf numFmtId="175" fontId="53" fillId="0" borderId="0" xfId="0" applyNumberFormat="1" applyFont="1"/>
    <xf numFmtId="175" fontId="49" fillId="0" borderId="0" xfId="0" applyNumberFormat="1" applyFont="1"/>
    <xf numFmtId="0" fontId="46" fillId="0" borderId="0" xfId="0" applyFont="1"/>
    <xf numFmtId="175" fontId="46" fillId="0" borderId="0" xfId="0" applyNumberFormat="1" applyFont="1"/>
    <xf numFmtId="175" fontId="44" fillId="12" borderId="5" xfId="0" applyNumberFormat="1" applyFont="1" applyFill="1" applyBorder="1"/>
    <xf numFmtId="175" fontId="44" fillId="12" borderId="0" xfId="0" applyNumberFormat="1" applyFont="1" applyFill="1"/>
    <xf numFmtId="175" fontId="53" fillId="0" borderId="5" xfId="0" applyNumberFormat="1" applyFont="1" applyBorder="1"/>
    <xf numFmtId="0" fontId="44" fillId="12" borderId="5" xfId="0" applyFont="1" applyFill="1" applyBorder="1"/>
    <xf numFmtId="175" fontId="46" fillId="0" borderId="5" xfId="0" applyNumberFormat="1" applyFont="1" applyBorder="1"/>
    <xf numFmtId="0" fontId="54" fillId="0" borderId="0" xfId="0" applyFont="1"/>
    <xf numFmtId="43" fontId="55" fillId="0" borderId="0" xfId="16" applyFont="1"/>
    <xf numFmtId="0" fontId="38" fillId="0" borderId="0" xfId="0" applyFont="1" applyAlignment="1">
      <alignment horizontal="left" vertical="center"/>
    </xf>
    <xf numFmtId="0" fontId="56" fillId="0" borderId="0" xfId="0" applyFont="1" applyAlignment="1">
      <alignment horizontal="left" vertical="center"/>
    </xf>
    <xf numFmtId="0" fontId="57" fillId="0" borderId="0" xfId="0" applyFont="1"/>
    <xf numFmtId="0" fontId="52" fillId="0" borderId="0" xfId="0" applyFont="1"/>
    <xf numFmtId="0" fontId="58" fillId="0" borderId="0" xfId="0" applyFont="1"/>
    <xf numFmtId="178" fontId="44" fillId="0" borderId="0" xfId="16" applyNumberFormat="1" applyFont="1"/>
    <xf numFmtId="178" fontId="49" fillId="0" borderId="0" xfId="16" applyNumberFormat="1" applyFont="1"/>
    <xf numFmtId="43" fontId="44" fillId="0" borderId="0" xfId="0" applyNumberFormat="1" applyFont="1"/>
    <xf numFmtId="168" fontId="44" fillId="0" borderId="0" xfId="16" applyNumberFormat="1" applyFont="1"/>
    <xf numFmtId="0" fontId="53" fillId="0" borderId="0" xfId="0" applyFont="1" applyAlignment="1">
      <alignment horizontal="left" indent="2"/>
    </xf>
    <xf numFmtId="9" fontId="53" fillId="0" borderId="0" xfId="15" applyFont="1"/>
    <xf numFmtId="9" fontId="59" fillId="12" borderId="0" xfId="15" applyFont="1" applyFill="1"/>
    <xf numFmtId="0" fontId="51" fillId="0" borderId="0" xfId="0" applyFont="1"/>
    <xf numFmtId="0" fontId="51" fillId="0" borderId="0" xfId="0" applyFont="1" applyAlignment="1">
      <alignment horizontal="center"/>
    </xf>
    <xf numFmtId="168" fontId="49" fillId="0" borderId="0" xfId="0" applyNumberFormat="1" applyFont="1"/>
    <xf numFmtId="0" fontId="44" fillId="0" borderId="5" xfId="0" applyFont="1" applyBorder="1"/>
    <xf numFmtId="175" fontId="46" fillId="0" borderId="7" xfId="0" applyNumberFormat="1" applyFont="1" applyBorder="1"/>
    <xf numFmtId="175" fontId="60" fillId="0" borderId="0" xfId="0" applyNumberFormat="1" applyFont="1"/>
    <xf numFmtId="175" fontId="46" fillId="0" borderId="0" xfId="0" applyNumberFormat="1" applyFont="1" applyAlignment="1">
      <alignment horizontal="right"/>
    </xf>
    <xf numFmtId="175" fontId="44" fillId="0" borderId="0" xfId="0" applyNumberFormat="1" applyFont="1" applyAlignment="1">
      <alignment horizontal="right"/>
    </xf>
    <xf numFmtId="9" fontId="59" fillId="0" borderId="0" xfId="15" applyFont="1"/>
    <xf numFmtId="165" fontId="49" fillId="12" borderId="0" xfId="15" applyNumberFormat="1" applyFont="1" applyFill="1"/>
    <xf numFmtId="0" fontId="59" fillId="0" borderId="5" xfId="0" applyFont="1" applyBorder="1" applyAlignment="1">
      <alignment horizontal="centerContinuous"/>
    </xf>
    <xf numFmtId="0" fontId="44" fillId="0" borderId="5" xfId="0" applyFont="1" applyBorder="1" applyAlignment="1">
      <alignment horizontal="centerContinuous"/>
    </xf>
    <xf numFmtId="0" fontId="61" fillId="0" borderId="0" xfId="0" applyFont="1"/>
    <xf numFmtId="0" fontId="51" fillId="0" borderId="0" xfId="0" applyFont="1" applyAlignment="1">
      <alignment horizontal="right"/>
    </xf>
    <xf numFmtId="175" fontId="59" fillId="0" borderId="0" xfId="0" applyNumberFormat="1" applyFont="1"/>
    <xf numFmtId="175" fontId="62" fillId="0" borderId="0" xfId="0" applyNumberFormat="1" applyFont="1"/>
    <xf numFmtId="175" fontId="63" fillId="0" borderId="0" xfId="0" applyNumberFormat="1" applyFont="1"/>
    <xf numFmtId="175" fontId="51" fillId="0" borderId="0" xfId="0" applyNumberFormat="1" applyFont="1"/>
    <xf numFmtId="5" fontId="44" fillId="0" borderId="0" xfId="0" applyNumberFormat="1" applyFont="1"/>
    <xf numFmtId="5" fontId="49" fillId="0" borderId="0" xfId="0" applyNumberFormat="1" applyFont="1"/>
    <xf numFmtId="9" fontId="44" fillId="0" borderId="0" xfId="15" applyFont="1"/>
    <xf numFmtId="9" fontId="49" fillId="12" borderId="0" xfId="15" applyFont="1" applyFill="1"/>
    <xf numFmtId="165" fontId="44" fillId="12" borderId="0" xfId="15" applyNumberFormat="1" applyFont="1" applyFill="1"/>
    <xf numFmtId="165" fontId="44" fillId="0" borderId="0" xfId="15" applyNumberFormat="1" applyFont="1" applyFill="1"/>
    <xf numFmtId="165" fontId="44" fillId="0" borderId="0" xfId="15" applyNumberFormat="1" applyFont="1"/>
    <xf numFmtId="165" fontId="59" fillId="12" borderId="0" xfId="15" applyNumberFormat="1" applyFont="1" applyFill="1"/>
    <xf numFmtId="175" fontId="49" fillId="12" borderId="0" xfId="0" applyNumberFormat="1" applyFont="1" applyFill="1"/>
    <xf numFmtId="0" fontId="44" fillId="12" borderId="0" xfId="0" applyFont="1" applyFill="1"/>
    <xf numFmtId="178" fontId="44" fillId="12" borderId="0" xfId="16" applyNumberFormat="1" applyFont="1" applyFill="1"/>
    <xf numFmtId="178" fontId="49" fillId="12" borderId="0" xfId="16" applyNumberFormat="1" applyFont="1" applyFill="1"/>
    <xf numFmtId="175" fontId="46" fillId="12" borderId="0" xfId="0" applyNumberFormat="1" applyFont="1" applyFill="1" applyAlignment="1">
      <alignment horizontal="right"/>
    </xf>
    <xf numFmtId="43" fontId="44" fillId="12" borderId="0" xfId="16" applyFont="1" applyFill="1"/>
    <xf numFmtId="0" fontId="64" fillId="0" borderId="0" xfId="0" applyFont="1" applyAlignment="1">
      <alignment horizontal="left" vertical="center"/>
    </xf>
    <xf numFmtId="0" fontId="62" fillId="0" borderId="0" xfId="0" applyFont="1" applyAlignment="1">
      <alignment horizontal="center"/>
    </xf>
    <xf numFmtId="0" fontId="58" fillId="0" borderId="0" xfId="0" applyFont="1" applyAlignment="1">
      <alignment horizontal="left" vertical="center"/>
    </xf>
    <xf numFmtId="9" fontId="49" fillId="0" borderId="0" xfId="15" applyFont="1"/>
    <xf numFmtId="43" fontId="49" fillId="12" borderId="0" xfId="16" applyFont="1" applyFill="1"/>
    <xf numFmtId="165" fontId="49" fillId="0" borderId="0" xfId="15" applyNumberFormat="1" applyFont="1"/>
    <xf numFmtId="9" fontId="49" fillId="0" borderId="27" xfId="15" applyFont="1" applyBorder="1"/>
    <xf numFmtId="0" fontId="65" fillId="0" borderId="0" xfId="0" applyFont="1" applyAlignment="1">
      <alignment horizontal="left" vertical="center"/>
    </xf>
  </cellXfs>
  <cellStyles count="17">
    <cellStyle name="Comma 2" xfId="1" xr:uid="{00000000-0005-0000-0000-000000000000}"/>
    <cellStyle name="Comma 3" xfId="2" xr:uid="{00000000-0005-0000-0000-000001000000}"/>
    <cellStyle name="Currency 2" xfId="3" xr:uid="{00000000-0005-0000-0000-000002000000}"/>
    <cellStyle name="Hipervínculo" xfId="4" builtinId="8"/>
    <cellStyle name="Millares" xfId="5" builtinId="3"/>
    <cellStyle name="Millares 2" xfId="16" xr:uid="{5675FC4A-C58F-41BD-882E-674B49FE5309}"/>
    <cellStyle name="Moneda" xfId="6" builtinId="4"/>
    <cellStyle name="Neutral" xfId="7" builtinId="28" customBuiltin="1"/>
    <cellStyle name="Normal" xfId="0" builtinId="0"/>
    <cellStyle name="Normal 2" xfId="8" xr:uid="{00000000-0005-0000-0000-000008000000}"/>
    <cellStyle name="Normal 3" xfId="9" xr:uid="{00000000-0005-0000-0000-000009000000}"/>
    <cellStyle name="Normal 4" xfId="10" xr:uid="{00000000-0005-0000-0000-00000A000000}"/>
    <cellStyle name="Percent 2" xfId="11" xr:uid="{00000000-0005-0000-0000-00000B000000}"/>
    <cellStyle name="Percent 3" xfId="12" xr:uid="{00000000-0005-0000-0000-00000C000000}"/>
    <cellStyle name="Porcentaje" xfId="13" builtinId="5"/>
    <cellStyle name="Porcentaje 2" xfId="15" xr:uid="{D97F7E96-CD9F-4D31-8652-389207B56594}"/>
    <cellStyle name="Total" xfId="14"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ARPUs by User Geography</a:t>
            </a:r>
          </a:p>
        </c:rich>
      </c:tx>
      <c:layout>
        <c:manualLayout>
          <c:xMode val="edge"/>
          <c:yMode val="edge"/>
          <c:x val="0.37772108020308931"/>
          <c:y val="2.8571428571428571E-2"/>
        </c:manualLayout>
      </c:layout>
      <c:overlay val="0"/>
      <c:spPr>
        <a:noFill/>
        <a:ln w="25400">
          <a:noFill/>
        </a:ln>
      </c:spPr>
    </c:title>
    <c:autoTitleDeleted val="0"/>
    <c:plotArea>
      <c:layout>
        <c:manualLayout>
          <c:layoutTarget val="inner"/>
          <c:xMode val="edge"/>
          <c:yMode val="edge"/>
          <c:x val="9.9872021466882815E-2"/>
          <c:y val="0.1357142857142857"/>
          <c:w val="0.88988531948055849"/>
          <c:h val="0.62857142857142856"/>
        </c:manualLayout>
      </c:layout>
      <c:barChart>
        <c:barDir val="col"/>
        <c:grouping val="stacked"/>
        <c:varyColors val="0"/>
        <c:ser>
          <c:idx val="0"/>
          <c:order val="0"/>
          <c:tx>
            <c:strRef>
              <c:f>'Ex3 '!$B$26</c:f>
              <c:strCache>
                <c:ptCount val="1"/>
                <c:pt idx="0">
                  <c:v>US &amp; Canada</c:v>
                </c:pt>
              </c:strCache>
            </c:strRef>
          </c:tx>
          <c:spPr>
            <a:solidFill>
              <a:srgbClr val="9999FF"/>
            </a:solidFill>
            <a:ln w="12700">
              <a:solidFill>
                <a:srgbClr val="000000"/>
              </a:solidFill>
              <a:prstDash val="solid"/>
            </a:ln>
          </c:spPr>
          <c:invertIfNegative val="0"/>
          <c:val>
            <c:numRef>
              <c:f>'Ex3 '!$G$26:$O$26</c:f>
              <c:numCache>
                <c:formatCode>General</c:formatCode>
                <c:ptCount val="9"/>
                <c:pt idx="0">
                  <c:v>1.77</c:v>
                </c:pt>
                <c:pt idx="1">
                  <c:v>1.87</c:v>
                </c:pt>
                <c:pt idx="2" formatCode="0.00">
                  <c:v>1.93</c:v>
                </c:pt>
                <c:pt idx="3" formatCode="0.00">
                  <c:v>2.77</c:v>
                </c:pt>
                <c:pt idx="4" formatCode="0.00">
                  <c:v>2.4900000000000002</c:v>
                </c:pt>
                <c:pt idx="5" formatCode="0.00">
                  <c:v>2.84</c:v>
                </c:pt>
                <c:pt idx="6" formatCode="0.00">
                  <c:v>2.8</c:v>
                </c:pt>
                <c:pt idx="7" formatCode="0.00">
                  <c:v>3.2</c:v>
                </c:pt>
                <c:pt idx="8" formatCode="0.00">
                  <c:v>2.86</c:v>
                </c:pt>
              </c:numCache>
            </c:numRef>
          </c:val>
          <c:extLst>
            <c:ext xmlns:c15="http://schemas.microsoft.com/office/drawing/2012/chart" uri="{02D57815-91ED-43cb-92C2-25804820EDAC}">
              <c15:filteredCategoryTitle>
                <c15:cat>
                  <c:numRef>
                    <c:extLst>
                      <c:ext uri="{02D57815-91ED-43cb-92C2-25804820EDAC}">
                        <c15:formulaRef>
                          <c15:sqref>'Ex3 '!#REF!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B8EE-4A99-ABBE-3516C8D087F0}"/>
            </c:ext>
          </c:extLst>
        </c:ser>
        <c:ser>
          <c:idx val="1"/>
          <c:order val="1"/>
          <c:tx>
            <c:strRef>
              <c:f>'Ex3 '!$B$27</c:f>
              <c:strCache>
                <c:ptCount val="1"/>
                <c:pt idx="0">
                  <c:v>Europe</c:v>
                </c:pt>
              </c:strCache>
            </c:strRef>
          </c:tx>
          <c:spPr>
            <a:solidFill>
              <a:srgbClr val="993366"/>
            </a:solidFill>
            <a:ln w="12700">
              <a:solidFill>
                <a:srgbClr val="000000"/>
              </a:solidFill>
              <a:prstDash val="solid"/>
            </a:ln>
          </c:spPr>
          <c:invertIfNegative val="0"/>
          <c:val>
            <c:numRef>
              <c:f>'Ex3 '!$G$27:$O$27</c:f>
              <c:numCache>
                <c:formatCode>General</c:formatCode>
                <c:ptCount val="9"/>
                <c:pt idx="0">
                  <c:v>0.76</c:v>
                </c:pt>
                <c:pt idx="1">
                  <c:v>0.9</c:v>
                </c:pt>
                <c:pt idx="2" formatCode="0.00">
                  <c:v>0.84</c:v>
                </c:pt>
                <c:pt idx="3" formatCode="0.00">
                  <c:v>1.25</c:v>
                </c:pt>
                <c:pt idx="4" formatCode="0.00">
                  <c:v>1.19</c:v>
                </c:pt>
                <c:pt idx="5" formatCode="0.00">
                  <c:v>1.33</c:v>
                </c:pt>
                <c:pt idx="6" formatCode="0.00">
                  <c:v>1.34</c:v>
                </c:pt>
                <c:pt idx="7" formatCode="0.00">
                  <c:v>1.6</c:v>
                </c:pt>
                <c:pt idx="8" formatCode="0.00">
                  <c:v>1.4</c:v>
                </c:pt>
              </c:numCache>
            </c:numRef>
          </c:val>
          <c:extLst>
            <c:ext xmlns:c15="http://schemas.microsoft.com/office/drawing/2012/chart" uri="{02D57815-91ED-43cb-92C2-25804820EDAC}">
              <c15:filteredCategoryTitle>
                <c15:cat>
                  <c:numRef>
                    <c:extLst>
                      <c:ext uri="{02D57815-91ED-43cb-92C2-25804820EDAC}">
                        <c15:formulaRef>
                          <c15:sqref>'Ex3 '!#REF!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B8EE-4A99-ABBE-3516C8D087F0}"/>
            </c:ext>
          </c:extLst>
        </c:ser>
        <c:ser>
          <c:idx val="2"/>
          <c:order val="2"/>
          <c:tx>
            <c:strRef>
              <c:f>'Ex3 '!$B$28</c:f>
              <c:strCache>
                <c:ptCount val="1"/>
                <c:pt idx="0">
                  <c:v>Asia</c:v>
                </c:pt>
              </c:strCache>
            </c:strRef>
          </c:tx>
          <c:spPr>
            <a:solidFill>
              <a:srgbClr val="FFFFCC"/>
            </a:solidFill>
            <a:ln w="12700">
              <a:solidFill>
                <a:srgbClr val="000000"/>
              </a:solidFill>
              <a:prstDash val="solid"/>
            </a:ln>
          </c:spPr>
          <c:invertIfNegative val="0"/>
          <c:val>
            <c:numRef>
              <c:f>'Ex3 '!$G$28:$O$28</c:f>
              <c:numCache>
                <c:formatCode>General</c:formatCode>
                <c:ptCount val="9"/>
                <c:pt idx="0">
                  <c:v>0.31</c:v>
                </c:pt>
                <c:pt idx="1">
                  <c:v>0.36</c:v>
                </c:pt>
                <c:pt idx="2" formatCode="0.00">
                  <c:v>0.36</c:v>
                </c:pt>
                <c:pt idx="3" formatCode="0.00">
                  <c:v>0.46</c:v>
                </c:pt>
                <c:pt idx="4" formatCode="0.00">
                  <c:v>0.43</c:v>
                </c:pt>
                <c:pt idx="5" formatCode="0.00">
                  <c:v>0.5</c:v>
                </c:pt>
                <c:pt idx="6" formatCode="0.00">
                  <c:v>0.56000000000000005</c:v>
                </c:pt>
                <c:pt idx="7" formatCode="0.00">
                  <c:v>0.56000000000000005</c:v>
                </c:pt>
                <c:pt idx="8" formatCode="0.00">
                  <c:v>0.53</c:v>
                </c:pt>
              </c:numCache>
            </c:numRef>
          </c:val>
          <c:extLst>
            <c:ext xmlns:c15="http://schemas.microsoft.com/office/drawing/2012/chart" uri="{02D57815-91ED-43cb-92C2-25804820EDAC}">
              <c15:filteredCategoryTitle>
                <c15:cat>
                  <c:numRef>
                    <c:extLst>
                      <c:ext uri="{02D57815-91ED-43cb-92C2-25804820EDAC}">
                        <c15:formulaRef>
                          <c15:sqref>'Ex3 '!#REF!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B8EE-4A99-ABBE-3516C8D087F0}"/>
            </c:ext>
          </c:extLst>
        </c:ser>
        <c:ser>
          <c:idx val="3"/>
          <c:order val="3"/>
          <c:tx>
            <c:strRef>
              <c:f>'Ex3 '!$B$29</c:f>
              <c:strCache>
                <c:ptCount val="1"/>
                <c:pt idx="0">
                  <c:v>Rest of World</c:v>
                </c:pt>
              </c:strCache>
            </c:strRef>
          </c:tx>
          <c:spPr>
            <a:solidFill>
              <a:srgbClr val="CCFFFF"/>
            </a:solidFill>
            <a:ln w="12700">
              <a:solidFill>
                <a:srgbClr val="000000"/>
              </a:solidFill>
              <a:prstDash val="solid"/>
            </a:ln>
          </c:spPr>
          <c:invertIfNegative val="0"/>
          <c:val>
            <c:numRef>
              <c:f>'Ex3 '!$G$29:$O$29</c:f>
              <c:numCache>
                <c:formatCode>General</c:formatCode>
                <c:ptCount val="9"/>
                <c:pt idx="0">
                  <c:v>0.16</c:v>
                </c:pt>
                <c:pt idx="1">
                  <c:v>0.23</c:v>
                </c:pt>
                <c:pt idx="2" formatCode="0.00">
                  <c:v>0.22</c:v>
                </c:pt>
                <c:pt idx="3" formatCode="0.00">
                  <c:v>0.33</c:v>
                </c:pt>
                <c:pt idx="4" formatCode="0.00">
                  <c:v>0.31</c:v>
                </c:pt>
                <c:pt idx="5" formatCode="0.00">
                  <c:v>0.38</c:v>
                </c:pt>
                <c:pt idx="6" formatCode="0.00">
                  <c:v>0.4</c:v>
                </c:pt>
                <c:pt idx="7" formatCode="0.00">
                  <c:v>0.41</c:v>
                </c:pt>
                <c:pt idx="8" formatCode="0.00">
                  <c:v>0.37</c:v>
                </c:pt>
              </c:numCache>
            </c:numRef>
          </c:val>
          <c:extLst>
            <c:ext xmlns:c15="http://schemas.microsoft.com/office/drawing/2012/chart" uri="{02D57815-91ED-43cb-92C2-25804820EDAC}">
              <c15:filteredCategoryTitle>
                <c15:cat>
                  <c:numRef>
                    <c:extLst>
                      <c:ext uri="{02D57815-91ED-43cb-92C2-25804820EDAC}">
                        <c15:formulaRef>
                          <c15:sqref>'Ex3 '!#REF!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3-B8EE-4A99-ABBE-3516C8D087F0}"/>
            </c:ext>
          </c:extLst>
        </c:ser>
        <c:ser>
          <c:idx val="4"/>
          <c:order val="4"/>
          <c:tx>
            <c:strRef>
              <c:f>'Ex3 '!$B$30</c:f>
              <c:strCache>
                <c:ptCount val="1"/>
                <c:pt idx="0">
                  <c:v>Worldwide</c:v>
                </c:pt>
              </c:strCache>
            </c:strRef>
          </c:tx>
          <c:spPr>
            <a:solidFill>
              <a:srgbClr val="660066"/>
            </a:solidFill>
            <a:ln w="12700">
              <a:solidFill>
                <a:srgbClr val="000000"/>
              </a:solidFill>
              <a:prstDash val="solid"/>
            </a:ln>
          </c:spPr>
          <c:invertIfNegative val="0"/>
          <c:val>
            <c:numRef>
              <c:f>'Ex3 '!$G$30:$O$30</c:f>
              <c:numCache>
                <c:formatCode>General</c:formatCode>
                <c:ptCount val="9"/>
                <c:pt idx="0">
                  <c:v>0.87</c:v>
                </c:pt>
                <c:pt idx="1">
                  <c:v>0.94</c:v>
                </c:pt>
                <c:pt idx="2" formatCode="0.00">
                  <c:v>0.9</c:v>
                </c:pt>
                <c:pt idx="3" formatCode="0.00">
                  <c:v>1.26</c:v>
                </c:pt>
                <c:pt idx="4" formatCode="0.00">
                  <c:v>1.1399999999999999</c:v>
                </c:pt>
                <c:pt idx="5" formatCode="0.00">
                  <c:v>1.26</c:v>
                </c:pt>
                <c:pt idx="6" formatCode="0.00">
                  <c:v>1.24</c:v>
                </c:pt>
                <c:pt idx="7" formatCode="0.00">
                  <c:v>1.38</c:v>
                </c:pt>
                <c:pt idx="8" formatCode="0.00">
                  <c:v>1.21</c:v>
                </c:pt>
              </c:numCache>
            </c:numRef>
          </c:val>
          <c:extLst>
            <c:ext xmlns:c15="http://schemas.microsoft.com/office/drawing/2012/chart" uri="{02D57815-91ED-43cb-92C2-25804820EDAC}">
              <c15:filteredCategoryTitle>
                <c15:cat>
                  <c:numRef>
                    <c:extLst>
                      <c:ext uri="{02D57815-91ED-43cb-92C2-25804820EDAC}">
                        <c15:formulaRef>
                          <c15:sqref>'Ex3 '!#REF!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4-B8EE-4A99-ABBE-3516C8D087F0}"/>
            </c:ext>
          </c:extLst>
        </c:ser>
        <c:dLbls>
          <c:showLegendKey val="0"/>
          <c:showVal val="0"/>
          <c:showCatName val="0"/>
          <c:showSerName val="0"/>
          <c:showPercent val="0"/>
          <c:showBubbleSize val="0"/>
        </c:dLbls>
        <c:gapWidth val="150"/>
        <c:overlap val="100"/>
        <c:axId val="1301366159"/>
        <c:axId val="1"/>
      </c:barChart>
      <c:catAx>
        <c:axId val="1301366159"/>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2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301366159"/>
        <c:crosses val="autoZero"/>
        <c:crossBetween val="between"/>
      </c:valAx>
      <c:spPr>
        <a:solidFill>
          <a:srgbClr val="C0C0C0"/>
        </a:solidFill>
        <a:ln w="12700">
          <a:solidFill>
            <a:srgbClr val="808080"/>
          </a:solidFill>
          <a:prstDash val="solid"/>
        </a:ln>
      </c:spPr>
    </c:plotArea>
    <c:legend>
      <c:legendPos val="b"/>
      <c:layout>
        <c:manualLayout>
          <c:xMode val="edge"/>
          <c:yMode val="edge"/>
          <c:wMode val="edge"/>
          <c:hMode val="edge"/>
          <c:x val="0.11834379437201498"/>
          <c:y val="0.94377548661339616"/>
          <c:w val="0.95187344025644327"/>
          <c:h val="0.98892858599928901"/>
        </c:manualLayout>
      </c:layout>
      <c:overlay val="0"/>
      <c:spPr>
        <a:solidFill>
          <a:srgbClr val="FFFFFF"/>
        </a:solidFill>
        <a:ln w="3175">
          <a:solidFill>
            <a:srgbClr val="000000"/>
          </a:solidFill>
          <a:prstDash val="solid"/>
        </a:ln>
      </c:spPr>
      <c:txPr>
        <a:bodyPr/>
        <a:lstStyle/>
        <a:p>
          <a:pPr>
            <a:defRPr sz="8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9173687120253207E-2"/>
          <c:y val="3.9047769028871387E-2"/>
          <c:w val="0.86639234998110093"/>
          <c:h val="0.79238140232470944"/>
        </c:manualLayout>
      </c:layout>
      <c:lineChart>
        <c:grouping val="standard"/>
        <c:varyColors val="0"/>
        <c:ser>
          <c:idx val="1"/>
          <c:order val="0"/>
          <c:tx>
            <c:v>NASDAQ 100</c:v>
          </c:tx>
          <c:spPr>
            <a:ln w="25400">
              <a:solidFill>
                <a:srgbClr val="000000"/>
              </a:solidFill>
              <a:prstDash val="solid"/>
            </a:ln>
          </c:spPr>
          <c:marker>
            <c:symbol val="none"/>
          </c:marker>
          <c:cat>
            <c:numRef>
              <c:f>'Ex4'!$G$4:$G$1264</c:f>
              <c:numCache>
                <c:formatCode>m/d/yyyy</c:formatCode>
                <c:ptCount val="1261"/>
                <c:pt idx="0">
                  <c:v>39218</c:v>
                </c:pt>
                <c:pt idx="1">
                  <c:v>39219</c:v>
                </c:pt>
                <c:pt idx="2">
                  <c:v>39220</c:v>
                </c:pt>
                <c:pt idx="3">
                  <c:v>39223</c:v>
                </c:pt>
                <c:pt idx="4">
                  <c:v>39224</c:v>
                </c:pt>
                <c:pt idx="5">
                  <c:v>39225</c:v>
                </c:pt>
                <c:pt idx="6">
                  <c:v>39226</c:v>
                </c:pt>
                <c:pt idx="7">
                  <c:v>39227</c:v>
                </c:pt>
                <c:pt idx="8">
                  <c:v>39231</c:v>
                </c:pt>
                <c:pt idx="9">
                  <c:v>39232</c:v>
                </c:pt>
                <c:pt idx="10">
                  <c:v>39233</c:v>
                </c:pt>
                <c:pt idx="11">
                  <c:v>39234</c:v>
                </c:pt>
                <c:pt idx="12">
                  <c:v>39237</c:v>
                </c:pt>
                <c:pt idx="13">
                  <c:v>39238</c:v>
                </c:pt>
                <c:pt idx="14">
                  <c:v>39239</c:v>
                </c:pt>
                <c:pt idx="15">
                  <c:v>39240</c:v>
                </c:pt>
                <c:pt idx="16">
                  <c:v>39241</c:v>
                </c:pt>
                <c:pt idx="17">
                  <c:v>39244</c:v>
                </c:pt>
                <c:pt idx="18">
                  <c:v>39245</c:v>
                </c:pt>
                <c:pt idx="19">
                  <c:v>39246</c:v>
                </c:pt>
                <c:pt idx="20">
                  <c:v>39247</c:v>
                </c:pt>
                <c:pt idx="21">
                  <c:v>39248</c:v>
                </c:pt>
                <c:pt idx="22">
                  <c:v>39251</c:v>
                </c:pt>
                <c:pt idx="23">
                  <c:v>39252</c:v>
                </c:pt>
                <c:pt idx="24">
                  <c:v>39253</c:v>
                </c:pt>
                <c:pt idx="25">
                  <c:v>39254</c:v>
                </c:pt>
                <c:pt idx="26">
                  <c:v>39255</c:v>
                </c:pt>
                <c:pt idx="27">
                  <c:v>39258</c:v>
                </c:pt>
                <c:pt idx="28">
                  <c:v>39259</c:v>
                </c:pt>
                <c:pt idx="29">
                  <c:v>39260</c:v>
                </c:pt>
                <c:pt idx="30">
                  <c:v>39261</c:v>
                </c:pt>
                <c:pt idx="31">
                  <c:v>39262</c:v>
                </c:pt>
                <c:pt idx="32">
                  <c:v>39265</c:v>
                </c:pt>
                <c:pt idx="33">
                  <c:v>39266</c:v>
                </c:pt>
                <c:pt idx="34">
                  <c:v>39268</c:v>
                </c:pt>
                <c:pt idx="35">
                  <c:v>39269</c:v>
                </c:pt>
                <c:pt idx="36">
                  <c:v>39272</c:v>
                </c:pt>
                <c:pt idx="37">
                  <c:v>39273</c:v>
                </c:pt>
                <c:pt idx="38">
                  <c:v>39274</c:v>
                </c:pt>
                <c:pt idx="39">
                  <c:v>39275</c:v>
                </c:pt>
                <c:pt idx="40">
                  <c:v>39276</c:v>
                </c:pt>
                <c:pt idx="41">
                  <c:v>39279</c:v>
                </c:pt>
                <c:pt idx="42">
                  <c:v>39280</c:v>
                </c:pt>
                <c:pt idx="43">
                  <c:v>39281</c:v>
                </c:pt>
                <c:pt idx="44">
                  <c:v>39282</c:v>
                </c:pt>
                <c:pt idx="45">
                  <c:v>39283</c:v>
                </c:pt>
                <c:pt idx="46">
                  <c:v>39286</c:v>
                </c:pt>
                <c:pt idx="47">
                  <c:v>39287</c:v>
                </c:pt>
                <c:pt idx="48">
                  <c:v>39288</c:v>
                </c:pt>
                <c:pt idx="49">
                  <c:v>39289</c:v>
                </c:pt>
                <c:pt idx="50">
                  <c:v>39290</c:v>
                </c:pt>
                <c:pt idx="51">
                  <c:v>39293</c:v>
                </c:pt>
                <c:pt idx="52">
                  <c:v>39294</c:v>
                </c:pt>
                <c:pt idx="53">
                  <c:v>39295</c:v>
                </c:pt>
                <c:pt idx="54">
                  <c:v>39296</c:v>
                </c:pt>
                <c:pt idx="55">
                  <c:v>39297</c:v>
                </c:pt>
                <c:pt idx="56">
                  <c:v>39300</c:v>
                </c:pt>
                <c:pt idx="57">
                  <c:v>39301</c:v>
                </c:pt>
                <c:pt idx="58">
                  <c:v>39302</c:v>
                </c:pt>
                <c:pt idx="59">
                  <c:v>39303</c:v>
                </c:pt>
                <c:pt idx="60">
                  <c:v>39304</c:v>
                </c:pt>
                <c:pt idx="61">
                  <c:v>39307</c:v>
                </c:pt>
                <c:pt idx="62">
                  <c:v>39308</c:v>
                </c:pt>
                <c:pt idx="63">
                  <c:v>39309</c:v>
                </c:pt>
                <c:pt idx="64">
                  <c:v>39310</c:v>
                </c:pt>
                <c:pt idx="65">
                  <c:v>39311</c:v>
                </c:pt>
                <c:pt idx="66">
                  <c:v>39314</c:v>
                </c:pt>
                <c:pt idx="67">
                  <c:v>39315</c:v>
                </c:pt>
                <c:pt idx="68">
                  <c:v>39316</c:v>
                </c:pt>
                <c:pt idx="69">
                  <c:v>39317</c:v>
                </c:pt>
                <c:pt idx="70">
                  <c:v>39318</c:v>
                </c:pt>
                <c:pt idx="71">
                  <c:v>39321</c:v>
                </c:pt>
                <c:pt idx="72">
                  <c:v>39322</c:v>
                </c:pt>
                <c:pt idx="73">
                  <c:v>39323</c:v>
                </c:pt>
                <c:pt idx="74">
                  <c:v>39324</c:v>
                </c:pt>
                <c:pt idx="75">
                  <c:v>39325</c:v>
                </c:pt>
                <c:pt idx="76">
                  <c:v>39329</c:v>
                </c:pt>
                <c:pt idx="77">
                  <c:v>39330</c:v>
                </c:pt>
                <c:pt idx="78">
                  <c:v>39331</c:v>
                </c:pt>
                <c:pt idx="79">
                  <c:v>39332</c:v>
                </c:pt>
                <c:pt idx="80">
                  <c:v>39335</c:v>
                </c:pt>
                <c:pt idx="81">
                  <c:v>39336</c:v>
                </c:pt>
                <c:pt idx="82">
                  <c:v>39337</c:v>
                </c:pt>
                <c:pt idx="83">
                  <c:v>39338</c:v>
                </c:pt>
                <c:pt idx="84">
                  <c:v>39339</c:v>
                </c:pt>
                <c:pt idx="85">
                  <c:v>39342</c:v>
                </c:pt>
                <c:pt idx="86">
                  <c:v>39343</c:v>
                </c:pt>
                <c:pt idx="87">
                  <c:v>39344</c:v>
                </c:pt>
                <c:pt idx="88">
                  <c:v>39345</c:v>
                </c:pt>
                <c:pt idx="89">
                  <c:v>39346</c:v>
                </c:pt>
                <c:pt idx="90">
                  <c:v>39349</c:v>
                </c:pt>
                <c:pt idx="91">
                  <c:v>39350</c:v>
                </c:pt>
                <c:pt idx="92">
                  <c:v>39351</c:v>
                </c:pt>
                <c:pt idx="93">
                  <c:v>39352</c:v>
                </c:pt>
                <c:pt idx="94">
                  <c:v>39353</c:v>
                </c:pt>
                <c:pt idx="95">
                  <c:v>39356</c:v>
                </c:pt>
                <c:pt idx="96">
                  <c:v>39357</c:v>
                </c:pt>
                <c:pt idx="97">
                  <c:v>39358</c:v>
                </c:pt>
                <c:pt idx="98">
                  <c:v>39359</c:v>
                </c:pt>
                <c:pt idx="99">
                  <c:v>39360</c:v>
                </c:pt>
                <c:pt idx="100">
                  <c:v>39363</c:v>
                </c:pt>
                <c:pt idx="101">
                  <c:v>39364</c:v>
                </c:pt>
                <c:pt idx="102">
                  <c:v>39365</c:v>
                </c:pt>
                <c:pt idx="103">
                  <c:v>39366</c:v>
                </c:pt>
                <c:pt idx="104">
                  <c:v>39367</c:v>
                </c:pt>
                <c:pt idx="105">
                  <c:v>39370</c:v>
                </c:pt>
                <c:pt idx="106">
                  <c:v>39371</c:v>
                </c:pt>
                <c:pt idx="107">
                  <c:v>39372</c:v>
                </c:pt>
                <c:pt idx="108">
                  <c:v>39373</c:v>
                </c:pt>
                <c:pt idx="109">
                  <c:v>39374</c:v>
                </c:pt>
                <c:pt idx="110">
                  <c:v>39377</c:v>
                </c:pt>
                <c:pt idx="111">
                  <c:v>39378</c:v>
                </c:pt>
                <c:pt idx="112">
                  <c:v>39379</c:v>
                </c:pt>
                <c:pt idx="113">
                  <c:v>39380</c:v>
                </c:pt>
                <c:pt idx="114">
                  <c:v>39381</c:v>
                </c:pt>
                <c:pt idx="115">
                  <c:v>39384</c:v>
                </c:pt>
                <c:pt idx="116">
                  <c:v>39385</c:v>
                </c:pt>
                <c:pt idx="117">
                  <c:v>39386</c:v>
                </c:pt>
                <c:pt idx="118">
                  <c:v>39387</c:v>
                </c:pt>
                <c:pt idx="119">
                  <c:v>39388</c:v>
                </c:pt>
                <c:pt idx="120">
                  <c:v>39391</c:v>
                </c:pt>
                <c:pt idx="121">
                  <c:v>39392</c:v>
                </c:pt>
                <c:pt idx="122">
                  <c:v>39393</c:v>
                </c:pt>
                <c:pt idx="123">
                  <c:v>39394</c:v>
                </c:pt>
                <c:pt idx="124">
                  <c:v>39395</c:v>
                </c:pt>
                <c:pt idx="125">
                  <c:v>39398</c:v>
                </c:pt>
                <c:pt idx="126">
                  <c:v>39399</c:v>
                </c:pt>
                <c:pt idx="127">
                  <c:v>39400</c:v>
                </c:pt>
                <c:pt idx="128">
                  <c:v>39401</c:v>
                </c:pt>
                <c:pt idx="129">
                  <c:v>39402</c:v>
                </c:pt>
                <c:pt idx="130">
                  <c:v>39405</c:v>
                </c:pt>
                <c:pt idx="131">
                  <c:v>39406</c:v>
                </c:pt>
                <c:pt idx="132">
                  <c:v>39407</c:v>
                </c:pt>
                <c:pt idx="133">
                  <c:v>39409</c:v>
                </c:pt>
                <c:pt idx="134">
                  <c:v>39412</c:v>
                </c:pt>
                <c:pt idx="135">
                  <c:v>39413</c:v>
                </c:pt>
                <c:pt idx="136">
                  <c:v>39414</c:v>
                </c:pt>
                <c:pt idx="137">
                  <c:v>39415</c:v>
                </c:pt>
                <c:pt idx="138">
                  <c:v>39416</c:v>
                </c:pt>
                <c:pt idx="139">
                  <c:v>39419</c:v>
                </c:pt>
                <c:pt idx="140">
                  <c:v>39420</c:v>
                </c:pt>
                <c:pt idx="141">
                  <c:v>39421</c:v>
                </c:pt>
                <c:pt idx="142">
                  <c:v>39422</c:v>
                </c:pt>
                <c:pt idx="143">
                  <c:v>39423</c:v>
                </c:pt>
                <c:pt idx="144">
                  <c:v>39426</c:v>
                </c:pt>
                <c:pt idx="145">
                  <c:v>39427</c:v>
                </c:pt>
                <c:pt idx="146">
                  <c:v>39428</c:v>
                </c:pt>
                <c:pt idx="147">
                  <c:v>39429</c:v>
                </c:pt>
                <c:pt idx="148">
                  <c:v>39430</c:v>
                </c:pt>
                <c:pt idx="149">
                  <c:v>39433</c:v>
                </c:pt>
                <c:pt idx="150">
                  <c:v>39434</c:v>
                </c:pt>
                <c:pt idx="151">
                  <c:v>39435</c:v>
                </c:pt>
                <c:pt idx="152">
                  <c:v>39436</c:v>
                </c:pt>
                <c:pt idx="153">
                  <c:v>39437</c:v>
                </c:pt>
                <c:pt idx="154">
                  <c:v>39440</c:v>
                </c:pt>
                <c:pt idx="155">
                  <c:v>39442</c:v>
                </c:pt>
                <c:pt idx="156">
                  <c:v>39443</c:v>
                </c:pt>
                <c:pt idx="157">
                  <c:v>39444</c:v>
                </c:pt>
                <c:pt idx="158">
                  <c:v>39447</c:v>
                </c:pt>
                <c:pt idx="159">
                  <c:v>39449</c:v>
                </c:pt>
                <c:pt idx="160">
                  <c:v>39450</c:v>
                </c:pt>
                <c:pt idx="161">
                  <c:v>39451</c:v>
                </c:pt>
                <c:pt idx="162">
                  <c:v>39454</c:v>
                </c:pt>
                <c:pt idx="163">
                  <c:v>39455</c:v>
                </c:pt>
                <c:pt idx="164">
                  <c:v>39456</c:v>
                </c:pt>
                <c:pt idx="165">
                  <c:v>39457</c:v>
                </c:pt>
                <c:pt idx="166">
                  <c:v>39458</c:v>
                </c:pt>
                <c:pt idx="167">
                  <c:v>39461</c:v>
                </c:pt>
                <c:pt idx="168">
                  <c:v>39462</c:v>
                </c:pt>
                <c:pt idx="169">
                  <c:v>39463</c:v>
                </c:pt>
                <c:pt idx="170">
                  <c:v>39464</c:v>
                </c:pt>
                <c:pt idx="171">
                  <c:v>39465</c:v>
                </c:pt>
                <c:pt idx="172">
                  <c:v>39469</c:v>
                </c:pt>
                <c:pt idx="173">
                  <c:v>39470</c:v>
                </c:pt>
                <c:pt idx="174">
                  <c:v>39471</c:v>
                </c:pt>
                <c:pt idx="175">
                  <c:v>39472</c:v>
                </c:pt>
                <c:pt idx="176">
                  <c:v>39475</c:v>
                </c:pt>
                <c:pt idx="177">
                  <c:v>39476</c:v>
                </c:pt>
                <c:pt idx="178">
                  <c:v>39477</c:v>
                </c:pt>
                <c:pt idx="179">
                  <c:v>39478</c:v>
                </c:pt>
                <c:pt idx="180">
                  <c:v>39479</c:v>
                </c:pt>
                <c:pt idx="181">
                  <c:v>39482</c:v>
                </c:pt>
                <c:pt idx="182">
                  <c:v>39483</c:v>
                </c:pt>
                <c:pt idx="183">
                  <c:v>39484</c:v>
                </c:pt>
                <c:pt idx="184">
                  <c:v>39485</c:v>
                </c:pt>
                <c:pt idx="185">
                  <c:v>39486</c:v>
                </c:pt>
                <c:pt idx="186">
                  <c:v>39489</c:v>
                </c:pt>
                <c:pt idx="187">
                  <c:v>39490</c:v>
                </c:pt>
                <c:pt idx="188">
                  <c:v>39491</c:v>
                </c:pt>
                <c:pt idx="189">
                  <c:v>39492</c:v>
                </c:pt>
                <c:pt idx="190">
                  <c:v>39493</c:v>
                </c:pt>
                <c:pt idx="191">
                  <c:v>39497</c:v>
                </c:pt>
                <c:pt idx="192">
                  <c:v>39498</c:v>
                </c:pt>
                <c:pt idx="193">
                  <c:v>39499</c:v>
                </c:pt>
                <c:pt idx="194">
                  <c:v>39500</c:v>
                </c:pt>
                <c:pt idx="195">
                  <c:v>39503</c:v>
                </c:pt>
                <c:pt idx="196">
                  <c:v>39504</c:v>
                </c:pt>
                <c:pt idx="197">
                  <c:v>39505</c:v>
                </c:pt>
                <c:pt idx="198">
                  <c:v>39506</c:v>
                </c:pt>
                <c:pt idx="199">
                  <c:v>39507</c:v>
                </c:pt>
                <c:pt idx="200">
                  <c:v>39510</c:v>
                </c:pt>
                <c:pt idx="201">
                  <c:v>39511</c:v>
                </c:pt>
                <c:pt idx="202">
                  <c:v>39512</c:v>
                </c:pt>
                <c:pt idx="203">
                  <c:v>39513</c:v>
                </c:pt>
                <c:pt idx="204">
                  <c:v>39514</c:v>
                </c:pt>
                <c:pt idx="205">
                  <c:v>39517</c:v>
                </c:pt>
                <c:pt idx="206">
                  <c:v>39518</c:v>
                </c:pt>
                <c:pt idx="207">
                  <c:v>39519</c:v>
                </c:pt>
                <c:pt idx="208">
                  <c:v>39520</c:v>
                </c:pt>
                <c:pt idx="209">
                  <c:v>39521</c:v>
                </c:pt>
                <c:pt idx="210">
                  <c:v>39524</c:v>
                </c:pt>
                <c:pt idx="211">
                  <c:v>39525</c:v>
                </c:pt>
                <c:pt idx="212">
                  <c:v>39526</c:v>
                </c:pt>
                <c:pt idx="213">
                  <c:v>39527</c:v>
                </c:pt>
                <c:pt idx="214">
                  <c:v>39531</c:v>
                </c:pt>
                <c:pt idx="215">
                  <c:v>39532</c:v>
                </c:pt>
                <c:pt idx="216">
                  <c:v>39533</c:v>
                </c:pt>
                <c:pt idx="217">
                  <c:v>39534</c:v>
                </c:pt>
                <c:pt idx="218">
                  <c:v>39535</c:v>
                </c:pt>
                <c:pt idx="219">
                  <c:v>39538</c:v>
                </c:pt>
                <c:pt idx="220">
                  <c:v>39539</c:v>
                </c:pt>
                <c:pt idx="221">
                  <c:v>39540</c:v>
                </c:pt>
                <c:pt idx="222">
                  <c:v>39541</c:v>
                </c:pt>
                <c:pt idx="223">
                  <c:v>39542</c:v>
                </c:pt>
                <c:pt idx="224">
                  <c:v>39545</c:v>
                </c:pt>
                <c:pt idx="225">
                  <c:v>39546</c:v>
                </c:pt>
                <c:pt idx="226">
                  <c:v>39547</c:v>
                </c:pt>
                <c:pt idx="227">
                  <c:v>39548</c:v>
                </c:pt>
                <c:pt idx="228">
                  <c:v>39549</c:v>
                </c:pt>
                <c:pt idx="229">
                  <c:v>39552</c:v>
                </c:pt>
                <c:pt idx="230">
                  <c:v>39553</c:v>
                </c:pt>
                <c:pt idx="231">
                  <c:v>39554</c:v>
                </c:pt>
                <c:pt idx="232">
                  <c:v>39555</c:v>
                </c:pt>
                <c:pt idx="233">
                  <c:v>39556</c:v>
                </c:pt>
                <c:pt idx="234">
                  <c:v>39559</c:v>
                </c:pt>
                <c:pt idx="235">
                  <c:v>39560</c:v>
                </c:pt>
                <c:pt idx="236">
                  <c:v>39561</c:v>
                </c:pt>
                <c:pt idx="237">
                  <c:v>39562</c:v>
                </c:pt>
                <c:pt idx="238">
                  <c:v>39563</c:v>
                </c:pt>
                <c:pt idx="239">
                  <c:v>39566</c:v>
                </c:pt>
                <c:pt idx="240">
                  <c:v>39567</c:v>
                </c:pt>
                <c:pt idx="241">
                  <c:v>39568</c:v>
                </c:pt>
                <c:pt idx="242">
                  <c:v>39569</c:v>
                </c:pt>
                <c:pt idx="243">
                  <c:v>39570</c:v>
                </c:pt>
                <c:pt idx="244">
                  <c:v>39573</c:v>
                </c:pt>
                <c:pt idx="245">
                  <c:v>39574</c:v>
                </c:pt>
                <c:pt idx="246">
                  <c:v>39575</c:v>
                </c:pt>
                <c:pt idx="247">
                  <c:v>39576</c:v>
                </c:pt>
                <c:pt idx="248">
                  <c:v>39577</c:v>
                </c:pt>
                <c:pt idx="249">
                  <c:v>39580</c:v>
                </c:pt>
                <c:pt idx="250">
                  <c:v>39581</c:v>
                </c:pt>
                <c:pt idx="251">
                  <c:v>39582</c:v>
                </c:pt>
                <c:pt idx="252">
                  <c:v>39583</c:v>
                </c:pt>
                <c:pt idx="253">
                  <c:v>39584</c:v>
                </c:pt>
                <c:pt idx="254">
                  <c:v>39587</c:v>
                </c:pt>
                <c:pt idx="255">
                  <c:v>39588</c:v>
                </c:pt>
                <c:pt idx="256">
                  <c:v>39589</c:v>
                </c:pt>
                <c:pt idx="257">
                  <c:v>39590</c:v>
                </c:pt>
                <c:pt idx="258">
                  <c:v>39591</c:v>
                </c:pt>
                <c:pt idx="259">
                  <c:v>39595</c:v>
                </c:pt>
                <c:pt idx="260">
                  <c:v>39596</c:v>
                </c:pt>
                <c:pt idx="261">
                  <c:v>39597</c:v>
                </c:pt>
                <c:pt idx="262">
                  <c:v>39598</c:v>
                </c:pt>
                <c:pt idx="263">
                  <c:v>39601</c:v>
                </c:pt>
                <c:pt idx="264">
                  <c:v>39602</c:v>
                </c:pt>
                <c:pt idx="265">
                  <c:v>39603</c:v>
                </c:pt>
                <c:pt idx="266">
                  <c:v>39604</c:v>
                </c:pt>
                <c:pt idx="267">
                  <c:v>39605</c:v>
                </c:pt>
                <c:pt idx="268">
                  <c:v>39608</c:v>
                </c:pt>
                <c:pt idx="269">
                  <c:v>39609</c:v>
                </c:pt>
                <c:pt idx="270">
                  <c:v>39610</c:v>
                </c:pt>
                <c:pt idx="271">
                  <c:v>39611</c:v>
                </c:pt>
                <c:pt idx="272">
                  <c:v>39612</c:v>
                </c:pt>
                <c:pt idx="273">
                  <c:v>39615</c:v>
                </c:pt>
                <c:pt idx="274">
                  <c:v>39616</c:v>
                </c:pt>
                <c:pt idx="275">
                  <c:v>39617</c:v>
                </c:pt>
                <c:pt idx="276">
                  <c:v>39618</c:v>
                </c:pt>
                <c:pt idx="277">
                  <c:v>39619</c:v>
                </c:pt>
                <c:pt idx="278">
                  <c:v>39622</c:v>
                </c:pt>
                <c:pt idx="279">
                  <c:v>39623</c:v>
                </c:pt>
                <c:pt idx="280">
                  <c:v>39624</c:v>
                </c:pt>
                <c:pt idx="281">
                  <c:v>39625</c:v>
                </c:pt>
                <c:pt idx="282">
                  <c:v>39626</c:v>
                </c:pt>
                <c:pt idx="283">
                  <c:v>39629</c:v>
                </c:pt>
                <c:pt idx="284">
                  <c:v>39630</c:v>
                </c:pt>
                <c:pt idx="285">
                  <c:v>39631</c:v>
                </c:pt>
                <c:pt idx="286">
                  <c:v>39632</c:v>
                </c:pt>
                <c:pt idx="287">
                  <c:v>39636</c:v>
                </c:pt>
                <c:pt idx="288">
                  <c:v>39637</c:v>
                </c:pt>
                <c:pt idx="289">
                  <c:v>39638</c:v>
                </c:pt>
                <c:pt idx="290">
                  <c:v>39639</c:v>
                </c:pt>
                <c:pt idx="291">
                  <c:v>39640</c:v>
                </c:pt>
                <c:pt idx="292">
                  <c:v>39643</c:v>
                </c:pt>
                <c:pt idx="293">
                  <c:v>39644</c:v>
                </c:pt>
                <c:pt idx="294">
                  <c:v>39645</c:v>
                </c:pt>
                <c:pt idx="295">
                  <c:v>39646</c:v>
                </c:pt>
                <c:pt idx="296">
                  <c:v>39647</c:v>
                </c:pt>
                <c:pt idx="297">
                  <c:v>39650</c:v>
                </c:pt>
                <c:pt idx="298">
                  <c:v>39651</c:v>
                </c:pt>
                <c:pt idx="299">
                  <c:v>39652</c:v>
                </c:pt>
                <c:pt idx="300">
                  <c:v>39653</c:v>
                </c:pt>
                <c:pt idx="301">
                  <c:v>39654</c:v>
                </c:pt>
                <c:pt idx="302">
                  <c:v>39657</c:v>
                </c:pt>
                <c:pt idx="303">
                  <c:v>39658</c:v>
                </c:pt>
                <c:pt idx="304">
                  <c:v>39659</c:v>
                </c:pt>
                <c:pt idx="305">
                  <c:v>39660</c:v>
                </c:pt>
                <c:pt idx="306">
                  <c:v>39661</c:v>
                </c:pt>
                <c:pt idx="307">
                  <c:v>39664</c:v>
                </c:pt>
                <c:pt idx="308">
                  <c:v>39665</c:v>
                </c:pt>
                <c:pt idx="309">
                  <c:v>39666</c:v>
                </c:pt>
                <c:pt idx="310">
                  <c:v>39667</c:v>
                </c:pt>
                <c:pt idx="311">
                  <c:v>39668</c:v>
                </c:pt>
                <c:pt idx="312">
                  <c:v>39671</c:v>
                </c:pt>
                <c:pt idx="313">
                  <c:v>39672</c:v>
                </c:pt>
                <c:pt idx="314">
                  <c:v>39673</c:v>
                </c:pt>
                <c:pt idx="315">
                  <c:v>39674</c:v>
                </c:pt>
                <c:pt idx="316">
                  <c:v>39675</c:v>
                </c:pt>
                <c:pt idx="317">
                  <c:v>39678</c:v>
                </c:pt>
                <c:pt idx="318">
                  <c:v>39679</c:v>
                </c:pt>
                <c:pt idx="319">
                  <c:v>39680</c:v>
                </c:pt>
                <c:pt idx="320">
                  <c:v>39681</c:v>
                </c:pt>
                <c:pt idx="321">
                  <c:v>39682</c:v>
                </c:pt>
                <c:pt idx="322">
                  <c:v>39685</c:v>
                </c:pt>
                <c:pt idx="323">
                  <c:v>39686</c:v>
                </c:pt>
                <c:pt idx="324">
                  <c:v>39687</c:v>
                </c:pt>
                <c:pt idx="325">
                  <c:v>39688</c:v>
                </c:pt>
                <c:pt idx="326">
                  <c:v>39689</c:v>
                </c:pt>
                <c:pt idx="327">
                  <c:v>39693</c:v>
                </c:pt>
                <c:pt idx="328">
                  <c:v>39694</c:v>
                </c:pt>
                <c:pt idx="329">
                  <c:v>39695</c:v>
                </c:pt>
                <c:pt idx="330">
                  <c:v>39696</c:v>
                </c:pt>
                <c:pt idx="331">
                  <c:v>39699</c:v>
                </c:pt>
                <c:pt idx="332">
                  <c:v>39700</c:v>
                </c:pt>
                <c:pt idx="333">
                  <c:v>39701</c:v>
                </c:pt>
                <c:pt idx="334">
                  <c:v>39702</c:v>
                </c:pt>
                <c:pt idx="335">
                  <c:v>39703</c:v>
                </c:pt>
                <c:pt idx="336">
                  <c:v>39706</c:v>
                </c:pt>
                <c:pt idx="337">
                  <c:v>39707</c:v>
                </c:pt>
                <c:pt idx="338">
                  <c:v>39708</c:v>
                </c:pt>
                <c:pt idx="339">
                  <c:v>39709</c:v>
                </c:pt>
                <c:pt idx="340">
                  <c:v>39710</c:v>
                </c:pt>
                <c:pt idx="341">
                  <c:v>39713</c:v>
                </c:pt>
                <c:pt idx="342">
                  <c:v>39714</c:v>
                </c:pt>
                <c:pt idx="343">
                  <c:v>39715</c:v>
                </c:pt>
                <c:pt idx="344">
                  <c:v>39716</c:v>
                </c:pt>
                <c:pt idx="345">
                  <c:v>39717</c:v>
                </c:pt>
                <c:pt idx="346">
                  <c:v>39720</c:v>
                </c:pt>
                <c:pt idx="347">
                  <c:v>39721</c:v>
                </c:pt>
                <c:pt idx="348">
                  <c:v>39722</c:v>
                </c:pt>
                <c:pt idx="349">
                  <c:v>39723</c:v>
                </c:pt>
                <c:pt idx="350">
                  <c:v>39724</c:v>
                </c:pt>
                <c:pt idx="351">
                  <c:v>39727</c:v>
                </c:pt>
                <c:pt idx="352">
                  <c:v>39728</c:v>
                </c:pt>
                <c:pt idx="353">
                  <c:v>39729</c:v>
                </c:pt>
                <c:pt idx="354">
                  <c:v>39730</c:v>
                </c:pt>
                <c:pt idx="355">
                  <c:v>39731</c:v>
                </c:pt>
                <c:pt idx="356">
                  <c:v>39734</c:v>
                </c:pt>
                <c:pt idx="357">
                  <c:v>39735</c:v>
                </c:pt>
                <c:pt idx="358">
                  <c:v>39736</c:v>
                </c:pt>
                <c:pt idx="359">
                  <c:v>39737</c:v>
                </c:pt>
                <c:pt idx="360">
                  <c:v>39738</c:v>
                </c:pt>
                <c:pt idx="361">
                  <c:v>39741</c:v>
                </c:pt>
                <c:pt idx="362">
                  <c:v>39742</c:v>
                </c:pt>
                <c:pt idx="363">
                  <c:v>39743</c:v>
                </c:pt>
                <c:pt idx="364">
                  <c:v>39744</c:v>
                </c:pt>
                <c:pt idx="365">
                  <c:v>39745</c:v>
                </c:pt>
                <c:pt idx="366">
                  <c:v>39748</c:v>
                </c:pt>
                <c:pt idx="367">
                  <c:v>39749</c:v>
                </c:pt>
                <c:pt idx="368">
                  <c:v>39750</c:v>
                </c:pt>
                <c:pt idx="369">
                  <c:v>39751</c:v>
                </c:pt>
                <c:pt idx="370">
                  <c:v>39752</c:v>
                </c:pt>
                <c:pt idx="371">
                  <c:v>39755</c:v>
                </c:pt>
                <c:pt idx="372">
                  <c:v>39756</c:v>
                </c:pt>
                <c:pt idx="373">
                  <c:v>39757</c:v>
                </c:pt>
                <c:pt idx="374">
                  <c:v>39758</c:v>
                </c:pt>
                <c:pt idx="375">
                  <c:v>39759</c:v>
                </c:pt>
                <c:pt idx="376">
                  <c:v>39762</c:v>
                </c:pt>
                <c:pt idx="377">
                  <c:v>39763</c:v>
                </c:pt>
                <c:pt idx="378">
                  <c:v>39764</c:v>
                </c:pt>
                <c:pt idx="379">
                  <c:v>39765</c:v>
                </c:pt>
                <c:pt idx="380">
                  <c:v>39766</c:v>
                </c:pt>
                <c:pt idx="381">
                  <c:v>39769</c:v>
                </c:pt>
                <c:pt idx="382">
                  <c:v>39770</c:v>
                </c:pt>
                <c:pt idx="383">
                  <c:v>39771</c:v>
                </c:pt>
                <c:pt idx="384">
                  <c:v>39772</c:v>
                </c:pt>
                <c:pt idx="385">
                  <c:v>39773</c:v>
                </c:pt>
                <c:pt idx="386">
                  <c:v>39776</c:v>
                </c:pt>
                <c:pt idx="387">
                  <c:v>39777</c:v>
                </c:pt>
                <c:pt idx="388">
                  <c:v>39778</c:v>
                </c:pt>
                <c:pt idx="389">
                  <c:v>39780</c:v>
                </c:pt>
                <c:pt idx="390">
                  <c:v>39783</c:v>
                </c:pt>
                <c:pt idx="391">
                  <c:v>39784</c:v>
                </c:pt>
                <c:pt idx="392">
                  <c:v>39785</c:v>
                </c:pt>
                <c:pt idx="393">
                  <c:v>39786</c:v>
                </c:pt>
                <c:pt idx="394">
                  <c:v>39787</c:v>
                </c:pt>
                <c:pt idx="395">
                  <c:v>39790</c:v>
                </c:pt>
                <c:pt idx="396">
                  <c:v>39791</c:v>
                </c:pt>
                <c:pt idx="397">
                  <c:v>39792</c:v>
                </c:pt>
                <c:pt idx="398">
                  <c:v>39793</c:v>
                </c:pt>
                <c:pt idx="399">
                  <c:v>39794</c:v>
                </c:pt>
                <c:pt idx="400">
                  <c:v>39797</c:v>
                </c:pt>
                <c:pt idx="401">
                  <c:v>39798</c:v>
                </c:pt>
                <c:pt idx="402">
                  <c:v>39799</c:v>
                </c:pt>
                <c:pt idx="403">
                  <c:v>39800</c:v>
                </c:pt>
                <c:pt idx="404">
                  <c:v>39801</c:v>
                </c:pt>
                <c:pt idx="405">
                  <c:v>39804</c:v>
                </c:pt>
                <c:pt idx="406">
                  <c:v>39805</c:v>
                </c:pt>
                <c:pt idx="407">
                  <c:v>39806</c:v>
                </c:pt>
                <c:pt idx="408">
                  <c:v>39808</c:v>
                </c:pt>
                <c:pt idx="409">
                  <c:v>39811</c:v>
                </c:pt>
                <c:pt idx="410">
                  <c:v>39812</c:v>
                </c:pt>
                <c:pt idx="411">
                  <c:v>39813</c:v>
                </c:pt>
                <c:pt idx="412">
                  <c:v>39815</c:v>
                </c:pt>
                <c:pt idx="413">
                  <c:v>39818</c:v>
                </c:pt>
                <c:pt idx="414">
                  <c:v>39819</c:v>
                </c:pt>
                <c:pt idx="415">
                  <c:v>39820</c:v>
                </c:pt>
                <c:pt idx="416">
                  <c:v>39821</c:v>
                </c:pt>
                <c:pt idx="417">
                  <c:v>39822</c:v>
                </c:pt>
                <c:pt idx="418">
                  <c:v>39825</c:v>
                </c:pt>
                <c:pt idx="419">
                  <c:v>39826</c:v>
                </c:pt>
                <c:pt idx="420">
                  <c:v>39827</c:v>
                </c:pt>
                <c:pt idx="421">
                  <c:v>39828</c:v>
                </c:pt>
                <c:pt idx="422">
                  <c:v>39829</c:v>
                </c:pt>
                <c:pt idx="423">
                  <c:v>39833</c:v>
                </c:pt>
                <c:pt idx="424">
                  <c:v>39834</c:v>
                </c:pt>
                <c:pt idx="425">
                  <c:v>39835</c:v>
                </c:pt>
                <c:pt idx="426">
                  <c:v>39836</c:v>
                </c:pt>
                <c:pt idx="427">
                  <c:v>39839</c:v>
                </c:pt>
                <c:pt idx="428">
                  <c:v>39840</c:v>
                </c:pt>
                <c:pt idx="429">
                  <c:v>39841</c:v>
                </c:pt>
                <c:pt idx="430">
                  <c:v>39842</c:v>
                </c:pt>
                <c:pt idx="431">
                  <c:v>39843</c:v>
                </c:pt>
                <c:pt idx="432">
                  <c:v>39846</c:v>
                </c:pt>
                <c:pt idx="433">
                  <c:v>39847</c:v>
                </c:pt>
                <c:pt idx="434">
                  <c:v>39848</c:v>
                </c:pt>
                <c:pt idx="435">
                  <c:v>39849</c:v>
                </c:pt>
                <c:pt idx="436">
                  <c:v>39850</c:v>
                </c:pt>
                <c:pt idx="437">
                  <c:v>39853</c:v>
                </c:pt>
                <c:pt idx="438">
                  <c:v>39854</c:v>
                </c:pt>
                <c:pt idx="439">
                  <c:v>39855</c:v>
                </c:pt>
                <c:pt idx="440">
                  <c:v>39856</c:v>
                </c:pt>
                <c:pt idx="441">
                  <c:v>39857</c:v>
                </c:pt>
                <c:pt idx="442">
                  <c:v>39861</c:v>
                </c:pt>
                <c:pt idx="443">
                  <c:v>39862</c:v>
                </c:pt>
                <c:pt idx="444">
                  <c:v>39863</c:v>
                </c:pt>
                <c:pt idx="445">
                  <c:v>39864</c:v>
                </c:pt>
                <c:pt idx="446">
                  <c:v>39867</c:v>
                </c:pt>
                <c:pt idx="447">
                  <c:v>39868</c:v>
                </c:pt>
                <c:pt idx="448">
                  <c:v>39869</c:v>
                </c:pt>
                <c:pt idx="449">
                  <c:v>39870</c:v>
                </c:pt>
                <c:pt idx="450">
                  <c:v>39871</c:v>
                </c:pt>
                <c:pt idx="451">
                  <c:v>39874</c:v>
                </c:pt>
                <c:pt idx="452">
                  <c:v>39875</c:v>
                </c:pt>
                <c:pt idx="453">
                  <c:v>39876</c:v>
                </c:pt>
                <c:pt idx="454">
                  <c:v>39877</c:v>
                </c:pt>
                <c:pt idx="455">
                  <c:v>39878</c:v>
                </c:pt>
                <c:pt idx="456">
                  <c:v>39881</c:v>
                </c:pt>
                <c:pt idx="457">
                  <c:v>39882</c:v>
                </c:pt>
                <c:pt idx="458">
                  <c:v>39883</c:v>
                </c:pt>
                <c:pt idx="459">
                  <c:v>39884</c:v>
                </c:pt>
                <c:pt idx="460">
                  <c:v>39885</c:v>
                </c:pt>
                <c:pt idx="461">
                  <c:v>39888</c:v>
                </c:pt>
                <c:pt idx="462">
                  <c:v>39889</c:v>
                </c:pt>
                <c:pt idx="463">
                  <c:v>39890</c:v>
                </c:pt>
                <c:pt idx="464">
                  <c:v>39891</c:v>
                </c:pt>
                <c:pt idx="465">
                  <c:v>39892</c:v>
                </c:pt>
                <c:pt idx="466">
                  <c:v>39895</c:v>
                </c:pt>
                <c:pt idx="467">
                  <c:v>39896</c:v>
                </c:pt>
                <c:pt idx="468">
                  <c:v>39897</c:v>
                </c:pt>
                <c:pt idx="469">
                  <c:v>39898</c:v>
                </c:pt>
                <c:pt idx="470">
                  <c:v>39899</c:v>
                </c:pt>
                <c:pt idx="471">
                  <c:v>39902</c:v>
                </c:pt>
                <c:pt idx="472">
                  <c:v>39903</c:v>
                </c:pt>
                <c:pt idx="473">
                  <c:v>39904</c:v>
                </c:pt>
                <c:pt idx="474">
                  <c:v>39905</c:v>
                </c:pt>
                <c:pt idx="475">
                  <c:v>39906</c:v>
                </c:pt>
                <c:pt idx="476">
                  <c:v>39909</c:v>
                </c:pt>
                <c:pt idx="477">
                  <c:v>39910</c:v>
                </c:pt>
                <c:pt idx="478">
                  <c:v>39911</c:v>
                </c:pt>
                <c:pt idx="479">
                  <c:v>39912</c:v>
                </c:pt>
                <c:pt idx="480">
                  <c:v>39916</c:v>
                </c:pt>
                <c:pt idx="481">
                  <c:v>39917</c:v>
                </c:pt>
                <c:pt idx="482">
                  <c:v>39918</c:v>
                </c:pt>
                <c:pt idx="483">
                  <c:v>39919</c:v>
                </c:pt>
                <c:pt idx="484">
                  <c:v>39920</c:v>
                </c:pt>
                <c:pt idx="485">
                  <c:v>39923</c:v>
                </c:pt>
                <c:pt idx="486">
                  <c:v>39924</c:v>
                </c:pt>
                <c:pt idx="487">
                  <c:v>39925</c:v>
                </c:pt>
                <c:pt idx="488">
                  <c:v>39926</c:v>
                </c:pt>
                <c:pt idx="489">
                  <c:v>39927</c:v>
                </c:pt>
                <c:pt idx="490">
                  <c:v>39930</c:v>
                </c:pt>
                <c:pt idx="491">
                  <c:v>39931</c:v>
                </c:pt>
                <c:pt idx="492">
                  <c:v>39932</c:v>
                </c:pt>
                <c:pt idx="493">
                  <c:v>39933</c:v>
                </c:pt>
                <c:pt idx="494">
                  <c:v>39934</c:v>
                </c:pt>
                <c:pt idx="495">
                  <c:v>39937</c:v>
                </c:pt>
                <c:pt idx="496">
                  <c:v>39938</c:v>
                </c:pt>
                <c:pt idx="497">
                  <c:v>39939</c:v>
                </c:pt>
                <c:pt idx="498">
                  <c:v>39940</c:v>
                </c:pt>
                <c:pt idx="499">
                  <c:v>39941</c:v>
                </c:pt>
                <c:pt idx="500">
                  <c:v>39944</c:v>
                </c:pt>
                <c:pt idx="501">
                  <c:v>39945</c:v>
                </c:pt>
                <c:pt idx="502">
                  <c:v>39946</c:v>
                </c:pt>
                <c:pt idx="503">
                  <c:v>39947</c:v>
                </c:pt>
                <c:pt idx="504">
                  <c:v>39948</c:v>
                </c:pt>
                <c:pt idx="505">
                  <c:v>39951</c:v>
                </c:pt>
                <c:pt idx="506">
                  <c:v>39952</c:v>
                </c:pt>
                <c:pt idx="507">
                  <c:v>39953</c:v>
                </c:pt>
                <c:pt idx="508">
                  <c:v>39954</c:v>
                </c:pt>
                <c:pt idx="509">
                  <c:v>39955</c:v>
                </c:pt>
                <c:pt idx="510">
                  <c:v>39959</c:v>
                </c:pt>
                <c:pt idx="511">
                  <c:v>39960</c:v>
                </c:pt>
                <c:pt idx="512">
                  <c:v>39961</c:v>
                </c:pt>
                <c:pt idx="513">
                  <c:v>39962</c:v>
                </c:pt>
                <c:pt idx="514">
                  <c:v>39965</c:v>
                </c:pt>
                <c:pt idx="515">
                  <c:v>39966</c:v>
                </c:pt>
                <c:pt idx="516">
                  <c:v>39967</c:v>
                </c:pt>
                <c:pt idx="517">
                  <c:v>39968</c:v>
                </c:pt>
                <c:pt idx="518">
                  <c:v>39969</c:v>
                </c:pt>
                <c:pt idx="519">
                  <c:v>39972</c:v>
                </c:pt>
                <c:pt idx="520">
                  <c:v>39973</c:v>
                </c:pt>
                <c:pt idx="521">
                  <c:v>39974</c:v>
                </c:pt>
                <c:pt idx="522">
                  <c:v>39975</c:v>
                </c:pt>
                <c:pt idx="523">
                  <c:v>39976</c:v>
                </c:pt>
                <c:pt idx="524">
                  <c:v>39979</c:v>
                </c:pt>
                <c:pt idx="525">
                  <c:v>39980</c:v>
                </c:pt>
                <c:pt idx="526">
                  <c:v>39981</c:v>
                </c:pt>
                <c:pt idx="527">
                  <c:v>39982</c:v>
                </c:pt>
                <c:pt idx="528">
                  <c:v>39983</c:v>
                </c:pt>
                <c:pt idx="529">
                  <c:v>39986</c:v>
                </c:pt>
                <c:pt idx="530">
                  <c:v>39987</c:v>
                </c:pt>
                <c:pt idx="531">
                  <c:v>39988</c:v>
                </c:pt>
                <c:pt idx="532">
                  <c:v>39989</c:v>
                </c:pt>
                <c:pt idx="533">
                  <c:v>39990</c:v>
                </c:pt>
                <c:pt idx="534">
                  <c:v>39993</c:v>
                </c:pt>
                <c:pt idx="535">
                  <c:v>39994</c:v>
                </c:pt>
                <c:pt idx="536">
                  <c:v>39995</c:v>
                </c:pt>
                <c:pt idx="537">
                  <c:v>39996</c:v>
                </c:pt>
                <c:pt idx="538">
                  <c:v>40000</c:v>
                </c:pt>
                <c:pt idx="539">
                  <c:v>40001</c:v>
                </c:pt>
                <c:pt idx="540">
                  <c:v>40002</c:v>
                </c:pt>
                <c:pt idx="541">
                  <c:v>40003</c:v>
                </c:pt>
                <c:pt idx="542">
                  <c:v>40004</c:v>
                </c:pt>
                <c:pt idx="543">
                  <c:v>40007</c:v>
                </c:pt>
                <c:pt idx="544">
                  <c:v>40008</c:v>
                </c:pt>
                <c:pt idx="545">
                  <c:v>40009</c:v>
                </c:pt>
                <c:pt idx="546">
                  <c:v>40010</c:v>
                </c:pt>
                <c:pt idx="547">
                  <c:v>40011</c:v>
                </c:pt>
                <c:pt idx="548">
                  <c:v>40014</c:v>
                </c:pt>
                <c:pt idx="549">
                  <c:v>40015</c:v>
                </c:pt>
                <c:pt idx="550">
                  <c:v>40016</c:v>
                </c:pt>
                <c:pt idx="551">
                  <c:v>40017</c:v>
                </c:pt>
                <c:pt idx="552">
                  <c:v>40018</c:v>
                </c:pt>
                <c:pt idx="553">
                  <c:v>40021</c:v>
                </c:pt>
                <c:pt idx="554">
                  <c:v>40022</c:v>
                </c:pt>
                <c:pt idx="555">
                  <c:v>40023</c:v>
                </c:pt>
                <c:pt idx="556">
                  <c:v>40024</c:v>
                </c:pt>
                <c:pt idx="557">
                  <c:v>40025</c:v>
                </c:pt>
                <c:pt idx="558">
                  <c:v>40028</c:v>
                </c:pt>
                <c:pt idx="559">
                  <c:v>40029</c:v>
                </c:pt>
                <c:pt idx="560">
                  <c:v>40030</c:v>
                </c:pt>
                <c:pt idx="561">
                  <c:v>40031</c:v>
                </c:pt>
                <c:pt idx="562">
                  <c:v>40032</c:v>
                </c:pt>
                <c:pt idx="563">
                  <c:v>40035</c:v>
                </c:pt>
                <c:pt idx="564">
                  <c:v>40036</c:v>
                </c:pt>
                <c:pt idx="565">
                  <c:v>40037</c:v>
                </c:pt>
                <c:pt idx="566">
                  <c:v>40038</c:v>
                </c:pt>
                <c:pt idx="567">
                  <c:v>40039</c:v>
                </c:pt>
                <c:pt idx="568">
                  <c:v>40042</c:v>
                </c:pt>
                <c:pt idx="569">
                  <c:v>40043</c:v>
                </c:pt>
                <c:pt idx="570">
                  <c:v>40044</c:v>
                </c:pt>
                <c:pt idx="571">
                  <c:v>40045</c:v>
                </c:pt>
                <c:pt idx="572">
                  <c:v>40046</c:v>
                </c:pt>
                <c:pt idx="573">
                  <c:v>40049</c:v>
                </c:pt>
                <c:pt idx="574">
                  <c:v>40050</c:v>
                </c:pt>
                <c:pt idx="575">
                  <c:v>40051</c:v>
                </c:pt>
                <c:pt idx="576">
                  <c:v>40052</c:v>
                </c:pt>
                <c:pt idx="577">
                  <c:v>40053</c:v>
                </c:pt>
                <c:pt idx="578">
                  <c:v>40056</c:v>
                </c:pt>
                <c:pt idx="579">
                  <c:v>40057</c:v>
                </c:pt>
                <c:pt idx="580">
                  <c:v>40058</c:v>
                </c:pt>
                <c:pt idx="581">
                  <c:v>40059</c:v>
                </c:pt>
                <c:pt idx="582">
                  <c:v>40060</c:v>
                </c:pt>
                <c:pt idx="583">
                  <c:v>40064</c:v>
                </c:pt>
                <c:pt idx="584">
                  <c:v>40065</c:v>
                </c:pt>
                <c:pt idx="585">
                  <c:v>40066</c:v>
                </c:pt>
                <c:pt idx="586">
                  <c:v>40067</c:v>
                </c:pt>
                <c:pt idx="587">
                  <c:v>40070</c:v>
                </c:pt>
                <c:pt idx="588">
                  <c:v>40071</c:v>
                </c:pt>
                <c:pt idx="589">
                  <c:v>40072</c:v>
                </c:pt>
                <c:pt idx="590">
                  <c:v>40073</c:v>
                </c:pt>
                <c:pt idx="591">
                  <c:v>40074</c:v>
                </c:pt>
                <c:pt idx="592">
                  <c:v>40077</c:v>
                </c:pt>
                <c:pt idx="593">
                  <c:v>40078</c:v>
                </c:pt>
                <c:pt idx="594">
                  <c:v>40079</c:v>
                </c:pt>
                <c:pt idx="595">
                  <c:v>40080</c:v>
                </c:pt>
                <c:pt idx="596">
                  <c:v>40081</c:v>
                </c:pt>
                <c:pt idx="597">
                  <c:v>40084</c:v>
                </c:pt>
                <c:pt idx="598">
                  <c:v>40085</c:v>
                </c:pt>
                <c:pt idx="599">
                  <c:v>40086</c:v>
                </c:pt>
                <c:pt idx="600">
                  <c:v>40087</c:v>
                </c:pt>
                <c:pt idx="601">
                  <c:v>40088</c:v>
                </c:pt>
                <c:pt idx="602">
                  <c:v>40091</c:v>
                </c:pt>
                <c:pt idx="603">
                  <c:v>40092</c:v>
                </c:pt>
                <c:pt idx="604">
                  <c:v>40093</c:v>
                </c:pt>
                <c:pt idx="605">
                  <c:v>40094</c:v>
                </c:pt>
                <c:pt idx="606">
                  <c:v>40095</c:v>
                </c:pt>
                <c:pt idx="607">
                  <c:v>40098</c:v>
                </c:pt>
                <c:pt idx="608">
                  <c:v>40099</c:v>
                </c:pt>
                <c:pt idx="609">
                  <c:v>40100</c:v>
                </c:pt>
                <c:pt idx="610">
                  <c:v>40101</c:v>
                </c:pt>
                <c:pt idx="611">
                  <c:v>40102</c:v>
                </c:pt>
                <c:pt idx="612">
                  <c:v>40105</c:v>
                </c:pt>
                <c:pt idx="613">
                  <c:v>40106</c:v>
                </c:pt>
                <c:pt idx="614">
                  <c:v>40107</c:v>
                </c:pt>
                <c:pt idx="615">
                  <c:v>40108</c:v>
                </c:pt>
                <c:pt idx="616">
                  <c:v>40109</c:v>
                </c:pt>
                <c:pt idx="617">
                  <c:v>40112</c:v>
                </c:pt>
                <c:pt idx="618">
                  <c:v>40113</c:v>
                </c:pt>
                <c:pt idx="619">
                  <c:v>40114</c:v>
                </c:pt>
                <c:pt idx="620">
                  <c:v>40115</c:v>
                </c:pt>
                <c:pt idx="621">
                  <c:v>40116</c:v>
                </c:pt>
                <c:pt idx="622">
                  <c:v>40119</c:v>
                </c:pt>
                <c:pt idx="623">
                  <c:v>40120</c:v>
                </c:pt>
                <c:pt idx="624">
                  <c:v>40121</c:v>
                </c:pt>
                <c:pt idx="625">
                  <c:v>40122</c:v>
                </c:pt>
                <c:pt idx="626">
                  <c:v>40123</c:v>
                </c:pt>
                <c:pt idx="627">
                  <c:v>40126</c:v>
                </c:pt>
                <c:pt idx="628">
                  <c:v>40127</c:v>
                </c:pt>
                <c:pt idx="629">
                  <c:v>40128</c:v>
                </c:pt>
                <c:pt idx="630">
                  <c:v>40129</c:v>
                </c:pt>
                <c:pt idx="631">
                  <c:v>40130</c:v>
                </c:pt>
                <c:pt idx="632">
                  <c:v>40133</c:v>
                </c:pt>
                <c:pt idx="633">
                  <c:v>40134</c:v>
                </c:pt>
                <c:pt idx="634">
                  <c:v>40135</c:v>
                </c:pt>
                <c:pt idx="635">
                  <c:v>40136</c:v>
                </c:pt>
                <c:pt idx="636">
                  <c:v>40137</c:v>
                </c:pt>
                <c:pt idx="637">
                  <c:v>40140</c:v>
                </c:pt>
                <c:pt idx="638">
                  <c:v>40141</c:v>
                </c:pt>
                <c:pt idx="639">
                  <c:v>40142</c:v>
                </c:pt>
                <c:pt idx="640">
                  <c:v>40144</c:v>
                </c:pt>
                <c:pt idx="641">
                  <c:v>40147</c:v>
                </c:pt>
                <c:pt idx="642">
                  <c:v>40148</c:v>
                </c:pt>
                <c:pt idx="643">
                  <c:v>40149</c:v>
                </c:pt>
                <c:pt idx="644">
                  <c:v>40150</c:v>
                </c:pt>
                <c:pt idx="645">
                  <c:v>40151</c:v>
                </c:pt>
                <c:pt idx="646">
                  <c:v>40154</c:v>
                </c:pt>
                <c:pt idx="647">
                  <c:v>40155</c:v>
                </c:pt>
                <c:pt idx="648">
                  <c:v>40156</c:v>
                </c:pt>
                <c:pt idx="649">
                  <c:v>40157</c:v>
                </c:pt>
                <c:pt idx="650">
                  <c:v>40158</c:v>
                </c:pt>
                <c:pt idx="651">
                  <c:v>40161</c:v>
                </c:pt>
                <c:pt idx="652">
                  <c:v>40162</c:v>
                </c:pt>
                <c:pt idx="653">
                  <c:v>40163</c:v>
                </c:pt>
                <c:pt idx="654">
                  <c:v>40164</c:v>
                </c:pt>
                <c:pt idx="655">
                  <c:v>40165</c:v>
                </c:pt>
                <c:pt idx="656">
                  <c:v>40168</c:v>
                </c:pt>
                <c:pt idx="657">
                  <c:v>40169</c:v>
                </c:pt>
                <c:pt idx="658">
                  <c:v>40170</c:v>
                </c:pt>
                <c:pt idx="659">
                  <c:v>40171</c:v>
                </c:pt>
                <c:pt idx="660">
                  <c:v>40175</c:v>
                </c:pt>
                <c:pt idx="661">
                  <c:v>40176</c:v>
                </c:pt>
                <c:pt idx="662">
                  <c:v>40177</c:v>
                </c:pt>
                <c:pt idx="663">
                  <c:v>40178</c:v>
                </c:pt>
                <c:pt idx="664">
                  <c:v>40182</c:v>
                </c:pt>
                <c:pt idx="665">
                  <c:v>40183</c:v>
                </c:pt>
                <c:pt idx="666">
                  <c:v>40184</c:v>
                </c:pt>
                <c:pt idx="667">
                  <c:v>40185</c:v>
                </c:pt>
                <c:pt idx="668">
                  <c:v>40186</c:v>
                </c:pt>
                <c:pt idx="669">
                  <c:v>40189</c:v>
                </c:pt>
                <c:pt idx="670">
                  <c:v>40190</c:v>
                </c:pt>
                <c:pt idx="671">
                  <c:v>40191</c:v>
                </c:pt>
                <c:pt idx="672">
                  <c:v>40192</c:v>
                </c:pt>
                <c:pt idx="673">
                  <c:v>40193</c:v>
                </c:pt>
                <c:pt idx="674">
                  <c:v>40197</c:v>
                </c:pt>
                <c:pt idx="675">
                  <c:v>40198</c:v>
                </c:pt>
                <c:pt idx="676">
                  <c:v>40199</c:v>
                </c:pt>
                <c:pt idx="677">
                  <c:v>40200</c:v>
                </c:pt>
                <c:pt idx="678">
                  <c:v>40203</c:v>
                </c:pt>
                <c:pt idx="679">
                  <c:v>40204</c:v>
                </c:pt>
                <c:pt idx="680">
                  <c:v>40205</c:v>
                </c:pt>
                <c:pt idx="681">
                  <c:v>40206</c:v>
                </c:pt>
                <c:pt idx="682">
                  <c:v>40207</c:v>
                </c:pt>
                <c:pt idx="683">
                  <c:v>40210</c:v>
                </c:pt>
                <c:pt idx="684">
                  <c:v>40211</c:v>
                </c:pt>
                <c:pt idx="685">
                  <c:v>40212</c:v>
                </c:pt>
                <c:pt idx="686">
                  <c:v>40213</c:v>
                </c:pt>
                <c:pt idx="687">
                  <c:v>40214</c:v>
                </c:pt>
                <c:pt idx="688">
                  <c:v>40217</c:v>
                </c:pt>
                <c:pt idx="689">
                  <c:v>40218</c:v>
                </c:pt>
                <c:pt idx="690">
                  <c:v>40219</c:v>
                </c:pt>
                <c:pt idx="691">
                  <c:v>40220</c:v>
                </c:pt>
                <c:pt idx="692">
                  <c:v>40221</c:v>
                </c:pt>
                <c:pt idx="693">
                  <c:v>40225</c:v>
                </c:pt>
                <c:pt idx="694">
                  <c:v>40226</c:v>
                </c:pt>
                <c:pt idx="695">
                  <c:v>40227</c:v>
                </c:pt>
                <c:pt idx="696">
                  <c:v>40228</c:v>
                </c:pt>
                <c:pt idx="697">
                  <c:v>40231</c:v>
                </c:pt>
                <c:pt idx="698">
                  <c:v>40232</c:v>
                </c:pt>
                <c:pt idx="699">
                  <c:v>40233</c:v>
                </c:pt>
                <c:pt idx="700">
                  <c:v>40234</c:v>
                </c:pt>
                <c:pt idx="701">
                  <c:v>40235</c:v>
                </c:pt>
                <c:pt idx="702">
                  <c:v>40238</c:v>
                </c:pt>
                <c:pt idx="703">
                  <c:v>40239</c:v>
                </c:pt>
                <c:pt idx="704">
                  <c:v>40240</c:v>
                </c:pt>
                <c:pt idx="705">
                  <c:v>40241</c:v>
                </c:pt>
                <c:pt idx="706">
                  <c:v>40242</c:v>
                </c:pt>
                <c:pt idx="707">
                  <c:v>40245</c:v>
                </c:pt>
                <c:pt idx="708">
                  <c:v>40246</c:v>
                </c:pt>
                <c:pt idx="709">
                  <c:v>40247</c:v>
                </c:pt>
                <c:pt idx="710">
                  <c:v>40248</c:v>
                </c:pt>
                <c:pt idx="711">
                  <c:v>40249</c:v>
                </c:pt>
                <c:pt idx="712">
                  <c:v>40252</c:v>
                </c:pt>
                <c:pt idx="713">
                  <c:v>40253</c:v>
                </c:pt>
                <c:pt idx="714">
                  <c:v>40254</c:v>
                </c:pt>
                <c:pt idx="715">
                  <c:v>40255</c:v>
                </c:pt>
                <c:pt idx="716">
                  <c:v>40256</c:v>
                </c:pt>
                <c:pt idx="717">
                  <c:v>40259</c:v>
                </c:pt>
                <c:pt idx="718">
                  <c:v>40260</c:v>
                </c:pt>
                <c:pt idx="719">
                  <c:v>40261</c:v>
                </c:pt>
                <c:pt idx="720">
                  <c:v>40262</c:v>
                </c:pt>
                <c:pt idx="721">
                  <c:v>40263</c:v>
                </c:pt>
                <c:pt idx="722">
                  <c:v>40266</c:v>
                </c:pt>
                <c:pt idx="723">
                  <c:v>40267</c:v>
                </c:pt>
                <c:pt idx="724">
                  <c:v>40268</c:v>
                </c:pt>
                <c:pt idx="725">
                  <c:v>40269</c:v>
                </c:pt>
                <c:pt idx="726">
                  <c:v>40273</c:v>
                </c:pt>
                <c:pt idx="727">
                  <c:v>40274</c:v>
                </c:pt>
                <c:pt idx="728">
                  <c:v>40275</c:v>
                </c:pt>
                <c:pt idx="729">
                  <c:v>40276</c:v>
                </c:pt>
                <c:pt idx="730">
                  <c:v>40277</c:v>
                </c:pt>
                <c:pt idx="731">
                  <c:v>40280</c:v>
                </c:pt>
                <c:pt idx="732">
                  <c:v>40281</c:v>
                </c:pt>
                <c:pt idx="733">
                  <c:v>40282</c:v>
                </c:pt>
                <c:pt idx="734">
                  <c:v>40283</c:v>
                </c:pt>
                <c:pt idx="735">
                  <c:v>40284</c:v>
                </c:pt>
                <c:pt idx="736">
                  <c:v>40287</c:v>
                </c:pt>
                <c:pt idx="737">
                  <c:v>40288</c:v>
                </c:pt>
                <c:pt idx="738">
                  <c:v>40289</c:v>
                </c:pt>
                <c:pt idx="739">
                  <c:v>40290</c:v>
                </c:pt>
                <c:pt idx="740">
                  <c:v>40291</c:v>
                </c:pt>
                <c:pt idx="741">
                  <c:v>40294</c:v>
                </c:pt>
                <c:pt idx="742">
                  <c:v>40295</c:v>
                </c:pt>
                <c:pt idx="743">
                  <c:v>40296</c:v>
                </c:pt>
                <c:pt idx="744">
                  <c:v>40297</c:v>
                </c:pt>
                <c:pt idx="745">
                  <c:v>40298</c:v>
                </c:pt>
                <c:pt idx="746">
                  <c:v>40301</c:v>
                </c:pt>
                <c:pt idx="747">
                  <c:v>40302</c:v>
                </c:pt>
                <c:pt idx="748">
                  <c:v>40303</c:v>
                </c:pt>
                <c:pt idx="749">
                  <c:v>40304</c:v>
                </c:pt>
                <c:pt idx="750">
                  <c:v>40305</c:v>
                </c:pt>
                <c:pt idx="751">
                  <c:v>40308</c:v>
                </c:pt>
                <c:pt idx="752">
                  <c:v>40309</c:v>
                </c:pt>
                <c:pt idx="753">
                  <c:v>40310</c:v>
                </c:pt>
                <c:pt idx="754">
                  <c:v>40311</c:v>
                </c:pt>
                <c:pt idx="755">
                  <c:v>40312</c:v>
                </c:pt>
                <c:pt idx="756">
                  <c:v>40315</c:v>
                </c:pt>
                <c:pt idx="757">
                  <c:v>40316</c:v>
                </c:pt>
                <c:pt idx="758">
                  <c:v>40317</c:v>
                </c:pt>
                <c:pt idx="759">
                  <c:v>40318</c:v>
                </c:pt>
                <c:pt idx="760">
                  <c:v>40319</c:v>
                </c:pt>
                <c:pt idx="761">
                  <c:v>40322</c:v>
                </c:pt>
                <c:pt idx="762">
                  <c:v>40323</c:v>
                </c:pt>
                <c:pt idx="763">
                  <c:v>40324</c:v>
                </c:pt>
                <c:pt idx="764">
                  <c:v>40325</c:v>
                </c:pt>
                <c:pt idx="765">
                  <c:v>40326</c:v>
                </c:pt>
                <c:pt idx="766">
                  <c:v>40330</c:v>
                </c:pt>
                <c:pt idx="767">
                  <c:v>40331</c:v>
                </c:pt>
                <c:pt idx="768">
                  <c:v>40332</c:v>
                </c:pt>
                <c:pt idx="769">
                  <c:v>40333</c:v>
                </c:pt>
                <c:pt idx="770">
                  <c:v>40336</c:v>
                </c:pt>
                <c:pt idx="771">
                  <c:v>40337</c:v>
                </c:pt>
                <c:pt idx="772">
                  <c:v>40338</c:v>
                </c:pt>
                <c:pt idx="773">
                  <c:v>40339</c:v>
                </c:pt>
                <c:pt idx="774">
                  <c:v>40340</c:v>
                </c:pt>
                <c:pt idx="775">
                  <c:v>40343</c:v>
                </c:pt>
                <c:pt idx="776">
                  <c:v>40344</c:v>
                </c:pt>
                <c:pt idx="777">
                  <c:v>40345</c:v>
                </c:pt>
                <c:pt idx="778">
                  <c:v>40346</c:v>
                </c:pt>
                <c:pt idx="779">
                  <c:v>40347</c:v>
                </c:pt>
                <c:pt idx="780">
                  <c:v>40350</c:v>
                </c:pt>
                <c:pt idx="781">
                  <c:v>40351</c:v>
                </c:pt>
                <c:pt idx="782">
                  <c:v>40352</c:v>
                </c:pt>
                <c:pt idx="783">
                  <c:v>40353</c:v>
                </c:pt>
                <c:pt idx="784">
                  <c:v>40354</c:v>
                </c:pt>
                <c:pt idx="785">
                  <c:v>40357</c:v>
                </c:pt>
                <c:pt idx="786">
                  <c:v>40358</c:v>
                </c:pt>
                <c:pt idx="787">
                  <c:v>40359</c:v>
                </c:pt>
                <c:pt idx="788">
                  <c:v>40360</c:v>
                </c:pt>
                <c:pt idx="789">
                  <c:v>40361</c:v>
                </c:pt>
                <c:pt idx="790">
                  <c:v>40365</c:v>
                </c:pt>
                <c:pt idx="791">
                  <c:v>40366</c:v>
                </c:pt>
                <c:pt idx="792">
                  <c:v>40367</c:v>
                </c:pt>
                <c:pt idx="793">
                  <c:v>40368</c:v>
                </c:pt>
                <c:pt idx="794">
                  <c:v>40371</c:v>
                </c:pt>
                <c:pt idx="795">
                  <c:v>40372</c:v>
                </c:pt>
                <c:pt idx="796">
                  <c:v>40373</c:v>
                </c:pt>
                <c:pt idx="797">
                  <c:v>40374</c:v>
                </c:pt>
                <c:pt idx="798">
                  <c:v>40375</c:v>
                </c:pt>
                <c:pt idx="799">
                  <c:v>40378</c:v>
                </c:pt>
                <c:pt idx="800">
                  <c:v>40379</c:v>
                </c:pt>
                <c:pt idx="801">
                  <c:v>40380</c:v>
                </c:pt>
                <c:pt idx="802">
                  <c:v>40381</c:v>
                </c:pt>
                <c:pt idx="803">
                  <c:v>40382</c:v>
                </c:pt>
                <c:pt idx="804">
                  <c:v>40385</c:v>
                </c:pt>
                <c:pt idx="805">
                  <c:v>40386</c:v>
                </c:pt>
                <c:pt idx="806">
                  <c:v>40387</c:v>
                </c:pt>
                <c:pt idx="807">
                  <c:v>40388</c:v>
                </c:pt>
                <c:pt idx="808">
                  <c:v>40389</c:v>
                </c:pt>
                <c:pt idx="809">
                  <c:v>40392</c:v>
                </c:pt>
                <c:pt idx="810">
                  <c:v>40393</c:v>
                </c:pt>
                <c:pt idx="811">
                  <c:v>40394</c:v>
                </c:pt>
                <c:pt idx="812">
                  <c:v>40395</c:v>
                </c:pt>
                <c:pt idx="813">
                  <c:v>40396</c:v>
                </c:pt>
                <c:pt idx="814">
                  <c:v>40399</c:v>
                </c:pt>
                <c:pt idx="815">
                  <c:v>40400</c:v>
                </c:pt>
                <c:pt idx="816">
                  <c:v>40401</c:v>
                </c:pt>
                <c:pt idx="817">
                  <c:v>40402</c:v>
                </c:pt>
                <c:pt idx="818">
                  <c:v>40403</c:v>
                </c:pt>
                <c:pt idx="819">
                  <c:v>40406</c:v>
                </c:pt>
                <c:pt idx="820">
                  <c:v>40407</c:v>
                </c:pt>
                <c:pt idx="821">
                  <c:v>40408</c:v>
                </c:pt>
                <c:pt idx="822">
                  <c:v>40409</c:v>
                </c:pt>
                <c:pt idx="823">
                  <c:v>40410</c:v>
                </c:pt>
                <c:pt idx="824">
                  <c:v>40413</c:v>
                </c:pt>
                <c:pt idx="825">
                  <c:v>40414</c:v>
                </c:pt>
                <c:pt idx="826">
                  <c:v>40415</c:v>
                </c:pt>
                <c:pt idx="827">
                  <c:v>40416</c:v>
                </c:pt>
                <c:pt idx="828">
                  <c:v>40417</c:v>
                </c:pt>
                <c:pt idx="829">
                  <c:v>40420</c:v>
                </c:pt>
                <c:pt idx="830">
                  <c:v>40421</c:v>
                </c:pt>
                <c:pt idx="831">
                  <c:v>40422</c:v>
                </c:pt>
                <c:pt idx="832">
                  <c:v>40423</c:v>
                </c:pt>
                <c:pt idx="833">
                  <c:v>40424</c:v>
                </c:pt>
                <c:pt idx="834">
                  <c:v>40428</c:v>
                </c:pt>
                <c:pt idx="835">
                  <c:v>40429</c:v>
                </c:pt>
                <c:pt idx="836">
                  <c:v>40430</c:v>
                </c:pt>
                <c:pt idx="837">
                  <c:v>40431</c:v>
                </c:pt>
                <c:pt idx="838">
                  <c:v>40434</c:v>
                </c:pt>
                <c:pt idx="839">
                  <c:v>40435</c:v>
                </c:pt>
                <c:pt idx="840">
                  <c:v>40436</c:v>
                </c:pt>
                <c:pt idx="841">
                  <c:v>40437</c:v>
                </c:pt>
                <c:pt idx="842">
                  <c:v>40438</c:v>
                </c:pt>
                <c:pt idx="843">
                  <c:v>40441</c:v>
                </c:pt>
                <c:pt idx="844">
                  <c:v>40442</c:v>
                </c:pt>
                <c:pt idx="845">
                  <c:v>40443</c:v>
                </c:pt>
                <c:pt idx="846">
                  <c:v>40444</c:v>
                </c:pt>
                <c:pt idx="847">
                  <c:v>40445</c:v>
                </c:pt>
                <c:pt idx="848">
                  <c:v>40448</c:v>
                </c:pt>
                <c:pt idx="849">
                  <c:v>40449</c:v>
                </c:pt>
                <c:pt idx="850">
                  <c:v>40450</c:v>
                </c:pt>
                <c:pt idx="851">
                  <c:v>40451</c:v>
                </c:pt>
                <c:pt idx="852">
                  <c:v>40452</c:v>
                </c:pt>
                <c:pt idx="853">
                  <c:v>40455</c:v>
                </c:pt>
                <c:pt idx="854">
                  <c:v>40456</c:v>
                </c:pt>
                <c:pt idx="855">
                  <c:v>40457</c:v>
                </c:pt>
                <c:pt idx="856">
                  <c:v>40458</c:v>
                </c:pt>
                <c:pt idx="857">
                  <c:v>40459</c:v>
                </c:pt>
                <c:pt idx="858">
                  <c:v>40462</c:v>
                </c:pt>
                <c:pt idx="859">
                  <c:v>40463</c:v>
                </c:pt>
                <c:pt idx="860">
                  <c:v>40464</c:v>
                </c:pt>
                <c:pt idx="861">
                  <c:v>40465</c:v>
                </c:pt>
                <c:pt idx="862">
                  <c:v>40466</c:v>
                </c:pt>
                <c:pt idx="863">
                  <c:v>40469</c:v>
                </c:pt>
                <c:pt idx="864">
                  <c:v>40470</c:v>
                </c:pt>
                <c:pt idx="865">
                  <c:v>40471</c:v>
                </c:pt>
                <c:pt idx="866">
                  <c:v>40472</c:v>
                </c:pt>
                <c:pt idx="867">
                  <c:v>40473</c:v>
                </c:pt>
                <c:pt idx="868">
                  <c:v>40476</c:v>
                </c:pt>
                <c:pt idx="869">
                  <c:v>40477</c:v>
                </c:pt>
                <c:pt idx="870">
                  <c:v>40478</c:v>
                </c:pt>
                <c:pt idx="871">
                  <c:v>40479</c:v>
                </c:pt>
                <c:pt idx="872">
                  <c:v>40480</c:v>
                </c:pt>
                <c:pt idx="873">
                  <c:v>40483</c:v>
                </c:pt>
                <c:pt idx="874">
                  <c:v>40484</c:v>
                </c:pt>
                <c:pt idx="875">
                  <c:v>40485</c:v>
                </c:pt>
                <c:pt idx="876">
                  <c:v>40486</c:v>
                </c:pt>
                <c:pt idx="877">
                  <c:v>40487</c:v>
                </c:pt>
                <c:pt idx="878">
                  <c:v>40490</c:v>
                </c:pt>
                <c:pt idx="879">
                  <c:v>40491</c:v>
                </c:pt>
                <c:pt idx="880">
                  <c:v>40492</c:v>
                </c:pt>
                <c:pt idx="881">
                  <c:v>40493</c:v>
                </c:pt>
                <c:pt idx="882">
                  <c:v>40494</c:v>
                </c:pt>
                <c:pt idx="883">
                  <c:v>40497</c:v>
                </c:pt>
                <c:pt idx="884">
                  <c:v>40498</c:v>
                </c:pt>
                <c:pt idx="885">
                  <c:v>40499</c:v>
                </c:pt>
                <c:pt idx="886">
                  <c:v>40500</c:v>
                </c:pt>
                <c:pt idx="887">
                  <c:v>40501</c:v>
                </c:pt>
                <c:pt idx="888">
                  <c:v>40504</c:v>
                </c:pt>
                <c:pt idx="889">
                  <c:v>40505</c:v>
                </c:pt>
                <c:pt idx="890">
                  <c:v>40506</c:v>
                </c:pt>
                <c:pt idx="891">
                  <c:v>40508</c:v>
                </c:pt>
                <c:pt idx="892">
                  <c:v>40511</c:v>
                </c:pt>
                <c:pt idx="893">
                  <c:v>40512</c:v>
                </c:pt>
                <c:pt idx="894">
                  <c:v>40513</c:v>
                </c:pt>
                <c:pt idx="895">
                  <c:v>40514</c:v>
                </c:pt>
                <c:pt idx="896">
                  <c:v>40515</c:v>
                </c:pt>
                <c:pt idx="897">
                  <c:v>40518</c:v>
                </c:pt>
                <c:pt idx="898">
                  <c:v>40519</c:v>
                </c:pt>
                <c:pt idx="899">
                  <c:v>40520</c:v>
                </c:pt>
                <c:pt idx="900">
                  <c:v>40521</c:v>
                </c:pt>
                <c:pt idx="901">
                  <c:v>40522</c:v>
                </c:pt>
                <c:pt idx="902">
                  <c:v>40525</c:v>
                </c:pt>
                <c:pt idx="903">
                  <c:v>40526</c:v>
                </c:pt>
                <c:pt idx="904">
                  <c:v>40527</c:v>
                </c:pt>
                <c:pt idx="905">
                  <c:v>40528</c:v>
                </c:pt>
                <c:pt idx="906">
                  <c:v>40529</c:v>
                </c:pt>
                <c:pt idx="907">
                  <c:v>40532</c:v>
                </c:pt>
                <c:pt idx="908">
                  <c:v>40533</c:v>
                </c:pt>
                <c:pt idx="909">
                  <c:v>40534</c:v>
                </c:pt>
                <c:pt idx="910">
                  <c:v>40535</c:v>
                </c:pt>
                <c:pt idx="911">
                  <c:v>40539</c:v>
                </c:pt>
                <c:pt idx="912">
                  <c:v>40540</c:v>
                </c:pt>
                <c:pt idx="913">
                  <c:v>40541</c:v>
                </c:pt>
                <c:pt idx="914">
                  <c:v>40542</c:v>
                </c:pt>
                <c:pt idx="915">
                  <c:v>40543</c:v>
                </c:pt>
                <c:pt idx="916">
                  <c:v>40546</c:v>
                </c:pt>
                <c:pt idx="917">
                  <c:v>40547</c:v>
                </c:pt>
                <c:pt idx="918">
                  <c:v>40548</c:v>
                </c:pt>
                <c:pt idx="919">
                  <c:v>40549</c:v>
                </c:pt>
                <c:pt idx="920">
                  <c:v>40550</c:v>
                </c:pt>
                <c:pt idx="921">
                  <c:v>40553</c:v>
                </c:pt>
                <c:pt idx="922">
                  <c:v>40554</c:v>
                </c:pt>
                <c:pt idx="923">
                  <c:v>40555</c:v>
                </c:pt>
                <c:pt idx="924">
                  <c:v>40556</c:v>
                </c:pt>
                <c:pt idx="925">
                  <c:v>40557</c:v>
                </c:pt>
                <c:pt idx="926">
                  <c:v>40561</c:v>
                </c:pt>
                <c:pt idx="927">
                  <c:v>40562</c:v>
                </c:pt>
                <c:pt idx="928">
                  <c:v>40563</c:v>
                </c:pt>
                <c:pt idx="929">
                  <c:v>40564</c:v>
                </c:pt>
                <c:pt idx="930">
                  <c:v>40567</c:v>
                </c:pt>
                <c:pt idx="931">
                  <c:v>40568</c:v>
                </c:pt>
                <c:pt idx="932">
                  <c:v>40569</c:v>
                </c:pt>
                <c:pt idx="933">
                  <c:v>40570</c:v>
                </c:pt>
                <c:pt idx="934">
                  <c:v>40571</c:v>
                </c:pt>
                <c:pt idx="935">
                  <c:v>40574</c:v>
                </c:pt>
                <c:pt idx="936">
                  <c:v>40575</c:v>
                </c:pt>
                <c:pt idx="937">
                  <c:v>40576</c:v>
                </c:pt>
                <c:pt idx="938">
                  <c:v>40577</c:v>
                </c:pt>
                <c:pt idx="939">
                  <c:v>40578</c:v>
                </c:pt>
                <c:pt idx="940">
                  <c:v>40581</c:v>
                </c:pt>
                <c:pt idx="941">
                  <c:v>40582</c:v>
                </c:pt>
                <c:pt idx="942">
                  <c:v>40583</c:v>
                </c:pt>
                <c:pt idx="943">
                  <c:v>40584</c:v>
                </c:pt>
                <c:pt idx="944">
                  <c:v>40585</c:v>
                </c:pt>
                <c:pt idx="945">
                  <c:v>40588</c:v>
                </c:pt>
                <c:pt idx="946">
                  <c:v>40589</c:v>
                </c:pt>
                <c:pt idx="947">
                  <c:v>40590</c:v>
                </c:pt>
                <c:pt idx="948">
                  <c:v>40591</c:v>
                </c:pt>
                <c:pt idx="949">
                  <c:v>40592</c:v>
                </c:pt>
                <c:pt idx="950">
                  <c:v>40596</c:v>
                </c:pt>
                <c:pt idx="951">
                  <c:v>40597</c:v>
                </c:pt>
                <c:pt idx="952">
                  <c:v>40598</c:v>
                </c:pt>
                <c:pt idx="953">
                  <c:v>40599</c:v>
                </c:pt>
                <c:pt idx="954">
                  <c:v>40602</c:v>
                </c:pt>
                <c:pt idx="955">
                  <c:v>40603</c:v>
                </c:pt>
                <c:pt idx="956">
                  <c:v>40604</c:v>
                </c:pt>
                <c:pt idx="957">
                  <c:v>40605</c:v>
                </c:pt>
                <c:pt idx="958">
                  <c:v>40606</c:v>
                </c:pt>
                <c:pt idx="959">
                  <c:v>40609</c:v>
                </c:pt>
                <c:pt idx="960">
                  <c:v>40610</c:v>
                </c:pt>
                <c:pt idx="961">
                  <c:v>40611</c:v>
                </c:pt>
                <c:pt idx="962">
                  <c:v>40612</c:v>
                </c:pt>
                <c:pt idx="963">
                  <c:v>40613</c:v>
                </c:pt>
                <c:pt idx="964">
                  <c:v>40616</c:v>
                </c:pt>
                <c:pt idx="965">
                  <c:v>40617</c:v>
                </c:pt>
                <c:pt idx="966">
                  <c:v>40618</c:v>
                </c:pt>
                <c:pt idx="967">
                  <c:v>40619</c:v>
                </c:pt>
                <c:pt idx="968">
                  <c:v>40620</c:v>
                </c:pt>
                <c:pt idx="969">
                  <c:v>40623</c:v>
                </c:pt>
                <c:pt idx="970">
                  <c:v>40624</c:v>
                </c:pt>
                <c:pt idx="971">
                  <c:v>40625</c:v>
                </c:pt>
                <c:pt idx="972">
                  <c:v>40626</c:v>
                </c:pt>
                <c:pt idx="973">
                  <c:v>40627</c:v>
                </c:pt>
                <c:pt idx="974">
                  <c:v>40630</c:v>
                </c:pt>
                <c:pt idx="975">
                  <c:v>40631</c:v>
                </c:pt>
                <c:pt idx="976">
                  <c:v>40632</c:v>
                </c:pt>
                <c:pt idx="977">
                  <c:v>40633</c:v>
                </c:pt>
                <c:pt idx="978">
                  <c:v>40634</c:v>
                </c:pt>
                <c:pt idx="979">
                  <c:v>40637</c:v>
                </c:pt>
                <c:pt idx="980">
                  <c:v>40638</c:v>
                </c:pt>
                <c:pt idx="981">
                  <c:v>40639</c:v>
                </c:pt>
                <c:pt idx="982">
                  <c:v>40640</c:v>
                </c:pt>
                <c:pt idx="983">
                  <c:v>40641</c:v>
                </c:pt>
                <c:pt idx="984">
                  <c:v>40644</c:v>
                </c:pt>
                <c:pt idx="985">
                  <c:v>40645</c:v>
                </c:pt>
                <c:pt idx="986">
                  <c:v>40646</c:v>
                </c:pt>
                <c:pt idx="987">
                  <c:v>40647</c:v>
                </c:pt>
                <c:pt idx="988">
                  <c:v>40648</c:v>
                </c:pt>
                <c:pt idx="989">
                  <c:v>40651</c:v>
                </c:pt>
                <c:pt idx="990">
                  <c:v>40652</c:v>
                </c:pt>
                <c:pt idx="991">
                  <c:v>40653</c:v>
                </c:pt>
                <c:pt idx="992">
                  <c:v>40654</c:v>
                </c:pt>
                <c:pt idx="993">
                  <c:v>40658</c:v>
                </c:pt>
                <c:pt idx="994">
                  <c:v>40659</c:v>
                </c:pt>
                <c:pt idx="995">
                  <c:v>40660</c:v>
                </c:pt>
                <c:pt idx="996">
                  <c:v>40661</c:v>
                </c:pt>
                <c:pt idx="997">
                  <c:v>40662</c:v>
                </c:pt>
                <c:pt idx="998">
                  <c:v>40665</c:v>
                </c:pt>
                <c:pt idx="999">
                  <c:v>40666</c:v>
                </c:pt>
                <c:pt idx="1000">
                  <c:v>40667</c:v>
                </c:pt>
                <c:pt idx="1001">
                  <c:v>40668</c:v>
                </c:pt>
                <c:pt idx="1002">
                  <c:v>40669</c:v>
                </c:pt>
                <c:pt idx="1003">
                  <c:v>40672</c:v>
                </c:pt>
                <c:pt idx="1004">
                  <c:v>40673</c:v>
                </c:pt>
                <c:pt idx="1005">
                  <c:v>40674</c:v>
                </c:pt>
                <c:pt idx="1006">
                  <c:v>40675</c:v>
                </c:pt>
                <c:pt idx="1007">
                  <c:v>40676</c:v>
                </c:pt>
                <c:pt idx="1008">
                  <c:v>40679</c:v>
                </c:pt>
                <c:pt idx="1009">
                  <c:v>40680</c:v>
                </c:pt>
                <c:pt idx="1010">
                  <c:v>40681</c:v>
                </c:pt>
                <c:pt idx="1011">
                  <c:v>40682</c:v>
                </c:pt>
                <c:pt idx="1012">
                  <c:v>40683</c:v>
                </c:pt>
                <c:pt idx="1013">
                  <c:v>40686</c:v>
                </c:pt>
                <c:pt idx="1014">
                  <c:v>40687</c:v>
                </c:pt>
                <c:pt idx="1015">
                  <c:v>40688</c:v>
                </c:pt>
                <c:pt idx="1016">
                  <c:v>40689</c:v>
                </c:pt>
                <c:pt idx="1017">
                  <c:v>40690</c:v>
                </c:pt>
                <c:pt idx="1018">
                  <c:v>40694</c:v>
                </c:pt>
                <c:pt idx="1019">
                  <c:v>40695</c:v>
                </c:pt>
                <c:pt idx="1020">
                  <c:v>40696</c:v>
                </c:pt>
                <c:pt idx="1021">
                  <c:v>40697</c:v>
                </c:pt>
                <c:pt idx="1022">
                  <c:v>40700</c:v>
                </c:pt>
                <c:pt idx="1023">
                  <c:v>40701</c:v>
                </c:pt>
                <c:pt idx="1024">
                  <c:v>40702</c:v>
                </c:pt>
                <c:pt idx="1025">
                  <c:v>40703</c:v>
                </c:pt>
                <c:pt idx="1026">
                  <c:v>40704</c:v>
                </c:pt>
                <c:pt idx="1027">
                  <c:v>40707</c:v>
                </c:pt>
                <c:pt idx="1028">
                  <c:v>40708</c:v>
                </c:pt>
                <c:pt idx="1029">
                  <c:v>40709</c:v>
                </c:pt>
                <c:pt idx="1030">
                  <c:v>40710</c:v>
                </c:pt>
                <c:pt idx="1031">
                  <c:v>40711</c:v>
                </c:pt>
                <c:pt idx="1032">
                  <c:v>40714</c:v>
                </c:pt>
                <c:pt idx="1033">
                  <c:v>40715</c:v>
                </c:pt>
                <c:pt idx="1034">
                  <c:v>40716</c:v>
                </c:pt>
                <c:pt idx="1035">
                  <c:v>40717</c:v>
                </c:pt>
                <c:pt idx="1036">
                  <c:v>40718</c:v>
                </c:pt>
                <c:pt idx="1037">
                  <c:v>40721</c:v>
                </c:pt>
                <c:pt idx="1038">
                  <c:v>40722</c:v>
                </c:pt>
                <c:pt idx="1039">
                  <c:v>40723</c:v>
                </c:pt>
                <c:pt idx="1040">
                  <c:v>40724</c:v>
                </c:pt>
                <c:pt idx="1041">
                  <c:v>40725</c:v>
                </c:pt>
                <c:pt idx="1042">
                  <c:v>40729</c:v>
                </c:pt>
                <c:pt idx="1043">
                  <c:v>40730</c:v>
                </c:pt>
                <c:pt idx="1044">
                  <c:v>40731</c:v>
                </c:pt>
                <c:pt idx="1045">
                  <c:v>40732</c:v>
                </c:pt>
                <c:pt idx="1046">
                  <c:v>40735</c:v>
                </c:pt>
                <c:pt idx="1047">
                  <c:v>40736</c:v>
                </c:pt>
                <c:pt idx="1048">
                  <c:v>40737</c:v>
                </c:pt>
                <c:pt idx="1049">
                  <c:v>40738</c:v>
                </c:pt>
                <c:pt idx="1050">
                  <c:v>40739</c:v>
                </c:pt>
                <c:pt idx="1051">
                  <c:v>40742</c:v>
                </c:pt>
                <c:pt idx="1052">
                  <c:v>40743</c:v>
                </c:pt>
                <c:pt idx="1053">
                  <c:v>40744</c:v>
                </c:pt>
                <c:pt idx="1054">
                  <c:v>40745</c:v>
                </c:pt>
                <c:pt idx="1055">
                  <c:v>40746</c:v>
                </c:pt>
                <c:pt idx="1056">
                  <c:v>40749</c:v>
                </c:pt>
                <c:pt idx="1057">
                  <c:v>40750</c:v>
                </c:pt>
                <c:pt idx="1058">
                  <c:v>40751</c:v>
                </c:pt>
                <c:pt idx="1059">
                  <c:v>40752</c:v>
                </c:pt>
                <c:pt idx="1060">
                  <c:v>40753</c:v>
                </c:pt>
                <c:pt idx="1061">
                  <c:v>40756</c:v>
                </c:pt>
                <c:pt idx="1062">
                  <c:v>40757</c:v>
                </c:pt>
                <c:pt idx="1063">
                  <c:v>40758</c:v>
                </c:pt>
                <c:pt idx="1064">
                  <c:v>40759</c:v>
                </c:pt>
                <c:pt idx="1065">
                  <c:v>40760</c:v>
                </c:pt>
                <c:pt idx="1066">
                  <c:v>40763</c:v>
                </c:pt>
                <c:pt idx="1067">
                  <c:v>40764</c:v>
                </c:pt>
                <c:pt idx="1068">
                  <c:v>40765</c:v>
                </c:pt>
                <c:pt idx="1069">
                  <c:v>40766</c:v>
                </c:pt>
                <c:pt idx="1070">
                  <c:v>40767</c:v>
                </c:pt>
                <c:pt idx="1071">
                  <c:v>40770</c:v>
                </c:pt>
                <c:pt idx="1072">
                  <c:v>40771</c:v>
                </c:pt>
                <c:pt idx="1073">
                  <c:v>40772</c:v>
                </c:pt>
                <c:pt idx="1074">
                  <c:v>40773</c:v>
                </c:pt>
                <c:pt idx="1075">
                  <c:v>40774</c:v>
                </c:pt>
                <c:pt idx="1076">
                  <c:v>40777</c:v>
                </c:pt>
                <c:pt idx="1077">
                  <c:v>40778</c:v>
                </c:pt>
                <c:pt idx="1078">
                  <c:v>40779</c:v>
                </c:pt>
                <c:pt idx="1079">
                  <c:v>40780</c:v>
                </c:pt>
                <c:pt idx="1080">
                  <c:v>40781</c:v>
                </c:pt>
                <c:pt idx="1081">
                  <c:v>40784</c:v>
                </c:pt>
                <c:pt idx="1082">
                  <c:v>40785</c:v>
                </c:pt>
                <c:pt idx="1083">
                  <c:v>40786</c:v>
                </c:pt>
                <c:pt idx="1084">
                  <c:v>40787</c:v>
                </c:pt>
                <c:pt idx="1085">
                  <c:v>40788</c:v>
                </c:pt>
                <c:pt idx="1086">
                  <c:v>40792</c:v>
                </c:pt>
                <c:pt idx="1087">
                  <c:v>40793</c:v>
                </c:pt>
                <c:pt idx="1088">
                  <c:v>40794</c:v>
                </c:pt>
                <c:pt idx="1089">
                  <c:v>40795</c:v>
                </c:pt>
                <c:pt idx="1090">
                  <c:v>40798</c:v>
                </c:pt>
                <c:pt idx="1091">
                  <c:v>40799</c:v>
                </c:pt>
                <c:pt idx="1092">
                  <c:v>40800</c:v>
                </c:pt>
                <c:pt idx="1093">
                  <c:v>40801</c:v>
                </c:pt>
                <c:pt idx="1094">
                  <c:v>40802</c:v>
                </c:pt>
                <c:pt idx="1095">
                  <c:v>40805</c:v>
                </c:pt>
                <c:pt idx="1096">
                  <c:v>40806</c:v>
                </c:pt>
                <c:pt idx="1097">
                  <c:v>40807</c:v>
                </c:pt>
                <c:pt idx="1098">
                  <c:v>40808</c:v>
                </c:pt>
                <c:pt idx="1099">
                  <c:v>40809</c:v>
                </c:pt>
                <c:pt idx="1100">
                  <c:v>40812</c:v>
                </c:pt>
                <c:pt idx="1101">
                  <c:v>40813</c:v>
                </c:pt>
                <c:pt idx="1102">
                  <c:v>40814</c:v>
                </c:pt>
                <c:pt idx="1103">
                  <c:v>40815</c:v>
                </c:pt>
                <c:pt idx="1104">
                  <c:v>40816</c:v>
                </c:pt>
                <c:pt idx="1105">
                  <c:v>40819</c:v>
                </c:pt>
                <c:pt idx="1106">
                  <c:v>40820</c:v>
                </c:pt>
                <c:pt idx="1107">
                  <c:v>40821</c:v>
                </c:pt>
                <c:pt idx="1108">
                  <c:v>40822</c:v>
                </c:pt>
                <c:pt idx="1109">
                  <c:v>40823</c:v>
                </c:pt>
                <c:pt idx="1110">
                  <c:v>40826</c:v>
                </c:pt>
                <c:pt idx="1111">
                  <c:v>40827</c:v>
                </c:pt>
                <c:pt idx="1112">
                  <c:v>40828</c:v>
                </c:pt>
                <c:pt idx="1113">
                  <c:v>40829</c:v>
                </c:pt>
                <c:pt idx="1114">
                  <c:v>40830</c:v>
                </c:pt>
                <c:pt idx="1115">
                  <c:v>40833</c:v>
                </c:pt>
                <c:pt idx="1116">
                  <c:v>40834</c:v>
                </c:pt>
                <c:pt idx="1117">
                  <c:v>40835</c:v>
                </c:pt>
                <c:pt idx="1118">
                  <c:v>40836</c:v>
                </c:pt>
                <c:pt idx="1119">
                  <c:v>40837</c:v>
                </c:pt>
                <c:pt idx="1120">
                  <c:v>40840</c:v>
                </c:pt>
                <c:pt idx="1121">
                  <c:v>40841</c:v>
                </c:pt>
                <c:pt idx="1122">
                  <c:v>40842</c:v>
                </c:pt>
                <c:pt idx="1123">
                  <c:v>40843</c:v>
                </c:pt>
                <c:pt idx="1124">
                  <c:v>40844</c:v>
                </c:pt>
                <c:pt idx="1125">
                  <c:v>40847</c:v>
                </c:pt>
                <c:pt idx="1126">
                  <c:v>40848</c:v>
                </c:pt>
                <c:pt idx="1127">
                  <c:v>40849</c:v>
                </c:pt>
                <c:pt idx="1128">
                  <c:v>40850</c:v>
                </c:pt>
                <c:pt idx="1129">
                  <c:v>40851</c:v>
                </c:pt>
                <c:pt idx="1130">
                  <c:v>40854</c:v>
                </c:pt>
                <c:pt idx="1131">
                  <c:v>40855</c:v>
                </c:pt>
                <c:pt idx="1132">
                  <c:v>40856</c:v>
                </c:pt>
                <c:pt idx="1133">
                  <c:v>40857</c:v>
                </c:pt>
                <c:pt idx="1134">
                  <c:v>40858</c:v>
                </c:pt>
                <c:pt idx="1135">
                  <c:v>40861</c:v>
                </c:pt>
                <c:pt idx="1136">
                  <c:v>40862</c:v>
                </c:pt>
                <c:pt idx="1137">
                  <c:v>40863</c:v>
                </c:pt>
                <c:pt idx="1138">
                  <c:v>40864</c:v>
                </c:pt>
                <c:pt idx="1139">
                  <c:v>40865</c:v>
                </c:pt>
                <c:pt idx="1140">
                  <c:v>40868</c:v>
                </c:pt>
                <c:pt idx="1141">
                  <c:v>40869</c:v>
                </c:pt>
                <c:pt idx="1142">
                  <c:v>40870</c:v>
                </c:pt>
                <c:pt idx="1143">
                  <c:v>40872</c:v>
                </c:pt>
                <c:pt idx="1144">
                  <c:v>40875</c:v>
                </c:pt>
                <c:pt idx="1145">
                  <c:v>40876</c:v>
                </c:pt>
                <c:pt idx="1146">
                  <c:v>40877</c:v>
                </c:pt>
                <c:pt idx="1147">
                  <c:v>40878</c:v>
                </c:pt>
                <c:pt idx="1148">
                  <c:v>40879</c:v>
                </c:pt>
                <c:pt idx="1149">
                  <c:v>40882</c:v>
                </c:pt>
                <c:pt idx="1150">
                  <c:v>40883</c:v>
                </c:pt>
                <c:pt idx="1151">
                  <c:v>40884</c:v>
                </c:pt>
                <c:pt idx="1152">
                  <c:v>40885</c:v>
                </c:pt>
                <c:pt idx="1153">
                  <c:v>40886</c:v>
                </c:pt>
                <c:pt idx="1154">
                  <c:v>40889</c:v>
                </c:pt>
                <c:pt idx="1155">
                  <c:v>40890</c:v>
                </c:pt>
                <c:pt idx="1156">
                  <c:v>40891</c:v>
                </c:pt>
                <c:pt idx="1157">
                  <c:v>40892</c:v>
                </c:pt>
                <c:pt idx="1158">
                  <c:v>40893</c:v>
                </c:pt>
                <c:pt idx="1159">
                  <c:v>40896</c:v>
                </c:pt>
                <c:pt idx="1160">
                  <c:v>40897</c:v>
                </c:pt>
                <c:pt idx="1161">
                  <c:v>40898</c:v>
                </c:pt>
                <c:pt idx="1162">
                  <c:v>40899</c:v>
                </c:pt>
                <c:pt idx="1163">
                  <c:v>40900</c:v>
                </c:pt>
                <c:pt idx="1164">
                  <c:v>40904</c:v>
                </c:pt>
                <c:pt idx="1165">
                  <c:v>40905</c:v>
                </c:pt>
                <c:pt idx="1166">
                  <c:v>40906</c:v>
                </c:pt>
                <c:pt idx="1167">
                  <c:v>40907</c:v>
                </c:pt>
                <c:pt idx="1168">
                  <c:v>40911</c:v>
                </c:pt>
                <c:pt idx="1169">
                  <c:v>40912</c:v>
                </c:pt>
                <c:pt idx="1170">
                  <c:v>40913</c:v>
                </c:pt>
                <c:pt idx="1171">
                  <c:v>40914</c:v>
                </c:pt>
                <c:pt idx="1172">
                  <c:v>40917</c:v>
                </c:pt>
                <c:pt idx="1173">
                  <c:v>40918</c:v>
                </c:pt>
                <c:pt idx="1174">
                  <c:v>40919</c:v>
                </c:pt>
                <c:pt idx="1175">
                  <c:v>40920</c:v>
                </c:pt>
                <c:pt idx="1176">
                  <c:v>40921</c:v>
                </c:pt>
                <c:pt idx="1177">
                  <c:v>40925</c:v>
                </c:pt>
                <c:pt idx="1178">
                  <c:v>40926</c:v>
                </c:pt>
                <c:pt idx="1179">
                  <c:v>40927</c:v>
                </c:pt>
                <c:pt idx="1180">
                  <c:v>40928</c:v>
                </c:pt>
                <c:pt idx="1181">
                  <c:v>40931</c:v>
                </c:pt>
                <c:pt idx="1182">
                  <c:v>40932</c:v>
                </c:pt>
                <c:pt idx="1183">
                  <c:v>40933</c:v>
                </c:pt>
                <c:pt idx="1184">
                  <c:v>40934</c:v>
                </c:pt>
                <c:pt idx="1185">
                  <c:v>40935</c:v>
                </c:pt>
                <c:pt idx="1186">
                  <c:v>40938</c:v>
                </c:pt>
                <c:pt idx="1187">
                  <c:v>40939</c:v>
                </c:pt>
                <c:pt idx="1188">
                  <c:v>40940</c:v>
                </c:pt>
                <c:pt idx="1189">
                  <c:v>40941</c:v>
                </c:pt>
                <c:pt idx="1190">
                  <c:v>40942</c:v>
                </c:pt>
                <c:pt idx="1191">
                  <c:v>40945</c:v>
                </c:pt>
                <c:pt idx="1192">
                  <c:v>40946</c:v>
                </c:pt>
                <c:pt idx="1193">
                  <c:v>40947</c:v>
                </c:pt>
                <c:pt idx="1194">
                  <c:v>40948</c:v>
                </c:pt>
                <c:pt idx="1195">
                  <c:v>40949</c:v>
                </c:pt>
                <c:pt idx="1196">
                  <c:v>40952</c:v>
                </c:pt>
                <c:pt idx="1197">
                  <c:v>40953</c:v>
                </c:pt>
                <c:pt idx="1198">
                  <c:v>40954</c:v>
                </c:pt>
                <c:pt idx="1199">
                  <c:v>40955</c:v>
                </c:pt>
                <c:pt idx="1200">
                  <c:v>40956</c:v>
                </c:pt>
                <c:pt idx="1201">
                  <c:v>40960</c:v>
                </c:pt>
                <c:pt idx="1202">
                  <c:v>40961</c:v>
                </c:pt>
                <c:pt idx="1203">
                  <c:v>40962</c:v>
                </c:pt>
                <c:pt idx="1204">
                  <c:v>40963</c:v>
                </c:pt>
                <c:pt idx="1205">
                  <c:v>40966</c:v>
                </c:pt>
                <c:pt idx="1206">
                  <c:v>40967</c:v>
                </c:pt>
                <c:pt idx="1207">
                  <c:v>40968</c:v>
                </c:pt>
                <c:pt idx="1208">
                  <c:v>40969</c:v>
                </c:pt>
                <c:pt idx="1209">
                  <c:v>40970</c:v>
                </c:pt>
                <c:pt idx="1210">
                  <c:v>40973</c:v>
                </c:pt>
                <c:pt idx="1211">
                  <c:v>40974</c:v>
                </c:pt>
                <c:pt idx="1212">
                  <c:v>40975</c:v>
                </c:pt>
                <c:pt idx="1213">
                  <c:v>40976</c:v>
                </c:pt>
                <c:pt idx="1214">
                  <c:v>40977</c:v>
                </c:pt>
                <c:pt idx="1215">
                  <c:v>40980</c:v>
                </c:pt>
                <c:pt idx="1216">
                  <c:v>40981</c:v>
                </c:pt>
                <c:pt idx="1217">
                  <c:v>40982</c:v>
                </c:pt>
                <c:pt idx="1218">
                  <c:v>40983</c:v>
                </c:pt>
                <c:pt idx="1219">
                  <c:v>40984</c:v>
                </c:pt>
                <c:pt idx="1220">
                  <c:v>40987</c:v>
                </c:pt>
                <c:pt idx="1221">
                  <c:v>40988</c:v>
                </c:pt>
                <c:pt idx="1222">
                  <c:v>40989</c:v>
                </c:pt>
                <c:pt idx="1223">
                  <c:v>40990</c:v>
                </c:pt>
                <c:pt idx="1224">
                  <c:v>40991</c:v>
                </c:pt>
                <c:pt idx="1225">
                  <c:v>40994</c:v>
                </c:pt>
                <c:pt idx="1226">
                  <c:v>40995</c:v>
                </c:pt>
                <c:pt idx="1227">
                  <c:v>40996</c:v>
                </c:pt>
                <c:pt idx="1228">
                  <c:v>40997</c:v>
                </c:pt>
                <c:pt idx="1229">
                  <c:v>40998</c:v>
                </c:pt>
                <c:pt idx="1230">
                  <c:v>41001</c:v>
                </c:pt>
                <c:pt idx="1231">
                  <c:v>41002</c:v>
                </c:pt>
                <c:pt idx="1232">
                  <c:v>41003</c:v>
                </c:pt>
                <c:pt idx="1233">
                  <c:v>41004</c:v>
                </c:pt>
                <c:pt idx="1234">
                  <c:v>41008</c:v>
                </c:pt>
                <c:pt idx="1235">
                  <c:v>41009</c:v>
                </c:pt>
                <c:pt idx="1236">
                  <c:v>41010</c:v>
                </c:pt>
                <c:pt idx="1237">
                  <c:v>41011</c:v>
                </c:pt>
                <c:pt idx="1238">
                  <c:v>41012</c:v>
                </c:pt>
                <c:pt idx="1239">
                  <c:v>41015</c:v>
                </c:pt>
                <c:pt idx="1240">
                  <c:v>41016</c:v>
                </c:pt>
                <c:pt idx="1241">
                  <c:v>41017</c:v>
                </c:pt>
                <c:pt idx="1242">
                  <c:v>41018</c:v>
                </c:pt>
                <c:pt idx="1243">
                  <c:v>41019</c:v>
                </c:pt>
                <c:pt idx="1244">
                  <c:v>41022</c:v>
                </c:pt>
                <c:pt idx="1245">
                  <c:v>41023</c:v>
                </c:pt>
                <c:pt idx="1246">
                  <c:v>41024</c:v>
                </c:pt>
                <c:pt idx="1247">
                  <c:v>41025</c:v>
                </c:pt>
                <c:pt idx="1248">
                  <c:v>41026</c:v>
                </c:pt>
                <c:pt idx="1249">
                  <c:v>41029</c:v>
                </c:pt>
                <c:pt idx="1250">
                  <c:v>41030</c:v>
                </c:pt>
                <c:pt idx="1251">
                  <c:v>41031</c:v>
                </c:pt>
                <c:pt idx="1252">
                  <c:v>41032</c:v>
                </c:pt>
                <c:pt idx="1253">
                  <c:v>41033</c:v>
                </c:pt>
                <c:pt idx="1254">
                  <c:v>41036</c:v>
                </c:pt>
                <c:pt idx="1255">
                  <c:v>41037</c:v>
                </c:pt>
                <c:pt idx="1256">
                  <c:v>41038</c:v>
                </c:pt>
                <c:pt idx="1257">
                  <c:v>41039</c:v>
                </c:pt>
                <c:pt idx="1258">
                  <c:v>41040</c:v>
                </c:pt>
                <c:pt idx="1259">
                  <c:v>41043</c:v>
                </c:pt>
                <c:pt idx="1260">
                  <c:v>41044</c:v>
                </c:pt>
              </c:numCache>
            </c:numRef>
          </c:cat>
          <c:val>
            <c:numRef>
              <c:f>'Ex4'!$I$4:$I$1264</c:f>
              <c:numCache>
                <c:formatCode>0</c:formatCode>
                <c:ptCount val="1261"/>
                <c:pt idx="0">
                  <c:v>100</c:v>
                </c:pt>
                <c:pt idx="1">
                  <c:v>99.527389903329748</c:v>
                </c:pt>
                <c:pt idx="2">
                  <c:v>100.34371643394199</c:v>
                </c:pt>
                <c:pt idx="3">
                  <c:v>100.98818474758325</c:v>
                </c:pt>
                <c:pt idx="4">
                  <c:v>101.07411385606875</c:v>
                </c:pt>
                <c:pt idx="5">
                  <c:v>100.6015037593985</c:v>
                </c:pt>
                <c:pt idx="6">
                  <c:v>99.162191192266377</c:v>
                </c:pt>
                <c:pt idx="7">
                  <c:v>99.785177228786253</c:v>
                </c:pt>
                <c:pt idx="8">
                  <c:v>100.55853920515577</c:v>
                </c:pt>
                <c:pt idx="9">
                  <c:v>101.374865735768</c:v>
                </c:pt>
                <c:pt idx="10">
                  <c:v>101.84747583243822</c:v>
                </c:pt>
                <c:pt idx="11">
                  <c:v>101.91192266380236</c:v>
                </c:pt>
                <c:pt idx="12">
                  <c:v>102.21267454350161</c:v>
                </c:pt>
                <c:pt idx="13">
                  <c:v>102.21267454350161</c:v>
                </c:pt>
                <c:pt idx="14">
                  <c:v>101.11707841031151</c:v>
                </c:pt>
                <c:pt idx="15">
                  <c:v>99.548872180451141</c:v>
                </c:pt>
                <c:pt idx="16">
                  <c:v>100.7733619763695</c:v>
                </c:pt>
                <c:pt idx="17">
                  <c:v>100.58002148227713</c:v>
                </c:pt>
                <c:pt idx="18">
                  <c:v>99.978517722878635</c:v>
                </c:pt>
                <c:pt idx="19">
                  <c:v>101.07411385606875</c:v>
                </c:pt>
                <c:pt idx="20">
                  <c:v>101.74006444683137</c:v>
                </c:pt>
                <c:pt idx="21">
                  <c:v>102.59935553168636</c:v>
                </c:pt>
                <c:pt idx="22">
                  <c:v>102.62083780880775</c:v>
                </c:pt>
                <c:pt idx="23">
                  <c:v>102.59935553168636</c:v>
                </c:pt>
                <c:pt idx="24">
                  <c:v>101.63265306122452</c:v>
                </c:pt>
                <c:pt idx="25">
                  <c:v>102.55639097744363</c:v>
                </c:pt>
                <c:pt idx="26">
                  <c:v>101.58968850698173</c:v>
                </c:pt>
                <c:pt idx="27">
                  <c:v>101.16004296455425</c:v>
                </c:pt>
                <c:pt idx="28">
                  <c:v>100.58002148227713</c:v>
                </c:pt>
                <c:pt idx="29">
                  <c:v>102.12674543501612</c:v>
                </c:pt>
                <c:pt idx="30">
                  <c:v>102.08378088077336</c:v>
                </c:pt>
                <c:pt idx="31">
                  <c:v>102.25563909774438</c:v>
                </c:pt>
                <c:pt idx="32">
                  <c:v>103.17937701396349</c:v>
                </c:pt>
                <c:pt idx="33">
                  <c:v>103.78088077336199</c:v>
                </c:pt>
                <c:pt idx="34">
                  <c:v>104.53276047261009</c:v>
                </c:pt>
                <c:pt idx="35">
                  <c:v>104.96240601503759</c:v>
                </c:pt>
                <c:pt idx="36">
                  <c:v>105.02685284640172</c:v>
                </c:pt>
                <c:pt idx="37">
                  <c:v>104.14607948442536</c:v>
                </c:pt>
                <c:pt idx="38">
                  <c:v>104.85499462943073</c:v>
                </c:pt>
                <c:pt idx="39">
                  <c:v>106.46616541353384</c:v>
                </c:pt>
                <c:pt idx="40">
                  <c:v>107.19656283566059</c:v>
                </c:pt>
                <c:pt idx="41">
                  <c:v>107.08915145005371</c:v>
                </c:pt>
                <c:pt idx="42">
                  <c:v>107.90547798066595</c:v>
                </c:pt>
                <c:pt idx="43">
                  <c:v>107.7765843179377</c:v>
                </c:pt>
                <c:pt idx="44">
                  <c:v>108.09881847475833</c:v>
                </c:pt>
                <c:pt idx="45">
                  <c:v>107.51879699248121</c:v>
                </c:pt>
                <c:pt idx="46">
                  <c:v>107.56176154672397</c:v>
                </c:pt>
                <c:pt idx="47">
                  <c:v>105.97207303974221</c:v>
                </c:pt>
                <c:pt idx="48">
                  <c:v>106.12244897959184</c:v>
                </c:pt>
                <c:pt idx="49">
                  <c:v>105.22019334049408</c:v>
                </c:pt>
                <c:pt idx="50">
                  <c:v>103.09344790547799</c:v>
                </c:pt>
                <c:pt idx="51">
                  <c:v>104.29645542427497</c:v>
                </c:pt>
                <c:pt idx="52">
                  <c:v>102.10526315789474</c:v>
                </c:pt>
                <c:pt idx="53">
                  <c:v>102.9001074113856</c:v>
                </c:pt>
                <c:pt idx="54">
                  <c:v>103.84532760472611</c:v>
                </c:pt>
                <c:pt idx="55">
                  <c:v>101.86895810955963</c:v>
                </c:pt>
                <c:pt idx="56">
                  <c:v>103.05048335123523</c:v>
                </c:pt>
                <c:pt idx="57">
                  <c:v>103.78088077336199</c:v>
                </c:pt>
                <c:pt idx="58">
                  <c:v>104.91944146079486</c:v>
                </c:pt>
                <c:pt idx="59">
                  <c:v>102.49194414607949</c:v>
                </c:pt>
                <c:pt idx="60">
                  <c:v>101.56820622986038</c:v>
                </c:pt>
                <c:pt idx="61">
                  <c:v>102.25563909774438</c:v>
                </c:pt>
                <c:pt idx="62">
                  <c:v>100.51557465091301</c:v>
                </c:pt>
                <c:pt idx="63">
                  <c:v>98.603651987110638</c:v>
                </c:pt>
                <c:pt idx="64">
                  <c:v>97.63694951664877</c:v>
                </c:pt>
                <c:pt idx="65">
                  <c:v>99.484425349087019</c:v>
                </c:pt>
                <c:pt idx="66">
                  <c:v>99.957035445757256</c:v>
                </c:pt>
                <c:pt idx="67">
                  <c:v>101.00966702470464</c:v>
                </c:pt>
                <c:pt idx="68">
                  <c:v>102.38453276047261</c:v>
                </c:pt>
                <c:pt idx="69">
                  <c:v>102.10526315789474</c:v>
                </c:pt>
                <c:pt idx="70">
                  <c:v>103.54457572502686</c:v>
                </c:pt>
                <c:pt idx="71">
                  <c:v>102.85714285714288</c:v>
                </c:pt>
                <c:pt idx="72">
                  <c:v>100.40816326530613</c:v>
                </c:pt>
                <c:pt idx="73">
                  <c:v>103.28678839957036</c:v>
                </c:pt>
                <c:pt idx="74">
                  <c:v>103.82384532760473</c:v>
                </c:pt>
                <c:pt idx="75">
                  <c:v>104.98388829215897</c:v>
                </c:pt>
                <c:pt idx="76">
                  <c:v>106.72395273899033</c:v>
                </c:pt>
                <c:pt idx="77">
                  <c:v>105.64983888292159</c:v>
                </c:pt>
                <c:pt idx="78">
                  <c:v>105.5639097744361</c:v>
                </c:pt>
                <c:pt idx="79">
                  <c:v>103.60902255639097</c:v>
                </c:pt>
                <c:pt idx="80">
                  <c:v>103.54457572502686</c:v>
                </c:pt>
                <c:pt idx="81">
                  <c:v>105.11278195488723</c:v>
                </c:pt>
                <c:pt idx="82">
                  <c:v>105.1342642320086</c:v>
                </c:pt>
                <c:pt idx="83">
                  <c:v>105.64983888292159</c:v>
                </c:pt>
                <c:pt idx="84">
                  <c:v>105.73576799140709</c:v>
                </c:pt>
                <c:pt idx="85">
                  <c:v>104.85499462943073</c:v>
                </c:pt>
                <c:pt idx="86">
                  <c:v>107.49731471535983</c:v>
                </c:pt>
                <c:pt idx="87">
                  <c:v>107.7765843179377</c:v>
                </c:pt>
                <c:pt idx="88">
                  <c:v>107.47583243823846</c:v>
                </c:pt>
                <c:pt idx="89">
                  <c:v>108.18474758324383</c:v>
                </c:pt>
                <c:pt idx="90">
                  <c:v>108.67883995703546</c:v>
                </c:pt>
                <c:pt idx="91">
                  <c:v>109.70998925886144</c:v>
                </c:pt>
                <c:pt idx="92">
                  <c:v>110.24704618689583</c:v>
                </c:pt>
                <c:pt idx="93">
                  <c:v>110.80558539205157</c:v>
                </c:pt>
                <c:pt idx="94">
                  <c:v>110.44038668098818</c:v>
                </c:pt>
                <c:pt idx="95">
                  <c:v>111.7078410311493</c:v>
                </c:pt>
                <c:pt idx="96">
                  <c:v>111.72932330827068</c:v>
                </c:pt>
                <c:pt idx="97">
                  <c:v>110.95596133190118</c:v>
                </c:pt>
                <c:pt idx="98">
                  <c:v>111.2137486573577</c:v>
                </c:pt>
                <c:pt idx="99">
                  <c:v>113.46938775510205</c:v>
                </c:pt>
                <c:pt idx="100">
                  <c:v>114.17830290010743</c:v>
                </c:pt>
                <c:pt idx="101">
                  <c:v>114.67239527389906</c:v>
                </c:pt>
                <c:pt idx="102">
                  <c:v>114.9516648764769</c:v>
                </c:pt>
                <c:pt idx="103">
                  <c:v>113.12567132116004</c:v>
                </c:pt>
                <c:pt idx="104">
                  <c:v>114.99462943071967</c:v>
                </c:pt>
                <c:pt idx="105">
                  <c:v>114.11385606874329</c:v>
                </c:pt>
                <c:pt idx="106">
                  <c:v>113.5767991407089</c:v>
                </c:pt>
                <c:pt idx="107">
                  <c:v>115.0375939849624</c:v>
                </c:pt>
                <c:pt idx="108">
                  <c:v>115.53168635875404</c:v>
                </c:pt>
                <c:pt idx="109">
                  <c:v>112.65306122448979</c:v>
                </c:pt>
                <c:pt idx="110">
                  <c:v>114.00644468313641</c:v>
                </c:pt>
                <c:pt idx="111">
                  <c:v>116.39097744360902</c:v>
                </c:pt>
                <c:pt idx="112">
                  <c:v>115.51020408163266</c:v>
                </c:pt>
                <c:pt idx="113">
                  <c:v>113.96348012889365</c:v>
                </c:pt>
                <c:pt idx="114">
                  <c:v>115.85392051557466</c:v>
                </c:pt>
                <c:pt idx="115">
                  <c:v>116.32653061224489</c:v>
                </c:pt>
                <c:pt idx="116">
                  <c:v>116.56283566058003</c:v>
                </c:pt>
                <c:pt idx="117">
                  <c:v>118.2169709989259</c:v>
                </c:pt>
                <c:pt idx="118">
                  <c:v>116.00429645542427</c:v>
                </c:pt>
                <c:pt idx="119">
                  <c:v>116.90655209452203</c:v>
                </c:pt>
                <c:pt idx="120">
                  <c:v>116.15467239527391</c:v>
                </c:pt>
                <c:pt idx="121">
                  <c:v>117.46509129967777</c:v>
                </c:pt>
                <c:pt idx="122">
                  <c:v>114.60794844253492</c:v>
                </c:pt>
                <c:pt idx="123">
                  <c:v>111.12781954887218</c:v>
                </c:pt>
                <c:pt idx="124">
                  <c:v>107.41138560687433</c:v>
                </c:pt>
                <c:pt idx="125">
                  <c:v>104.68313641245972</c:v>
                </c:pt>
                <c:pt idx="126">
                  <c:v>109.00107411385609</c:v>
                </c:pt>
                <c:pt idx="127">
                  <c:v>107.60472610096672</c:v>
                </c:pt>
                <c:pt idx="128">
                  <c:v>107.02470461868958</c:v>
                </c:pt>
                <c:pt idx="129">
                  <c:v>108.01288936627283</c:v>
                </c:pt>
                <c:pt idx="130">
                  <c:v>106.76691729323309</c:v>
                </c:pt>
                <c:pt idx="131">
                  <c:v>107.19656283566059</c:v>
                </c:pt>
                <c:pt idx="132">
                  <c:v>105.92910848549948</c:v>
                </c:pt>
                <c:pt idx="133">
                  <c:v>107.06766917293234</c:v>
                </c:pt>
                <c:pt idx="134">
                  <c:v>105.22019334049408</c:v>
                </c:pt>
                <c:pt idx="135">
                  <c:v>107.32545649838883</c:v>
                </c:pt>
                <c:pt idx="136">
                  <c:v>110.59076262083781</c:v>
                </c:pt>
                <c:pt idx="137">
                  <c:v>111.06337271750807</c:v>
                </c:pt>
                <c:pt idx="138">
                  <c:v>110.22556390977445</c:v>
                </c:pt>
                <c:pt idx="139">
                  <c:v>109.30182599355534</c:v>
                </c:pt>
                <c:pt idx="140">
                  <c:v>108.85069817400645</c:v>
                </c:pt>
                <c:pt idx="141">
                  <c:v>110.80558539205157</c:v>
                </c:pt>
                <c:pt idx="142">
                  <c:v>112.3952738990333</c:v>
                </c:pt>
                <c:pt idx="143">
                  <c:v>112.41675617615468</c:v>
                </c:pt>
                <c:pt idx="144">
                  <c:v>112.86788399570355</c:v>
                </c:pt>
                <c:pt idx="145">
                  <c:v>110.24704618689583</c:v>
                </c:pt>
                <c:pt idx="146">
                  <c:v>111.23523093447906</c:v>
                </c:pt>
                <c:pt idx="147">
                  <c:v>110.63372717508058</c:v>
                </c:pt>
                <c:pt idx="148">
                  <c:v>109.49516648764769</c:v>
                </c:pt>
                <c:pt idx="149">
                  <c:v>106.83136412459721</c:v>
                </c:pt>
                <c:pt idx="150">
                  <c:v>107.17508055853922</c:v>
                </c:pt>
                <c:pt idx="151">
                  <c:v>107.15359828141784</c:v>
                </c:pt>
                <c:pt idx="152">
                  <c:v>109.34479054779807</c:v>
                </c:pt>
                <c:pt idx="153">
                  <c:v>111.38560687432869</c:v>
                </c:pt>
                <c:pt idx="154">
                  <c:v>112.22341568206231</c:v>
                </c:pt>
                <c:pt idx="155">
                  <c:v>112.78195488721805</c:v>
                </c:pt>
                <c:pt idx="156">
                  <c:v>111.42857142857143</c:v>
                </c:pt>
                <c:pt idx="157">
                  <c:v>111.32116004296455</c:v>
                </c:pt>
                <c:pt idx="158">
                  <c:v>110.03222341568207</c:v>
                </c:pt>
                <c:pt idx="159">
                  <c:v>108.2921589688507</c:v>
                </c:pt>
                <c:pt idx="160">
                  <c:v>108.74328678839957</c:v>
                </c:pt>
                <c:pt idx="161">
                  <c:v>103.97422126745435</c:v>
                </c:pt>
                <c:pt idx="162">
                  <c:v>103.48012889366274</c:v>
                </c:pt>
                <c:pt idx="163">
                  <c:v>100.79484425349088</c:v>
                </c:pt>
                <c:pt idx="164">
                  <c:v>102.94307196562838</c:v>
                </c:pt>
                <c:pt idx="165">
                  <c:v>103.09344790547799</c:v>
                </c:pt>
                <c:pt idx="166">
                  <c:v>101.07411385606875</c:v>
                </c:pt>
                <c:pt idx="167">
                  <c:v>102.8356605800215</c:v>
                </c:pt>
                <c:pt idx="168">
                  <c:v>100</c:v>
                </c:pt>
                <c:pt idx="169">
                  <c:v>98.925886143931251</c:v>
                </c:pt>
                <c:pt idx="170">
                  <c:v>97.551020408163268</c:v>
                </c:pt>
                <c:pt idx="171">
                  <c:v>97.422126745435023</c:v>
                </c:pt>
                <c:pt idx="172">
                  <c:v>94.908700322234168</c:v>
                </c:pt>
                <c:pt idx="173">
                  <c:v>94.543501611170782</c:v>
                </c:pt>
                <c:pt idx="174">
                  <c:v>96.476906552094519</c:v>
                </c:pt>
                <c:pt idx="175">
                  <c:v>94.500537056928053</c:v>
                </c:pt>
                <c:pt idx="176">
                  <c:v>95.230934479054781</c:v>
                </c:pt>
                <c:pt idx="177">
                  <c:v>95.40279269602577</c:v>
                </c:pt>
                <c:pt idx="178">
                  <c:v>95.316863587540283</c:v>
                </c:pt>
                <c:pt idx="179">
                  <c:v>96.949516648764771</c:v>
                </c:pt>
                <c:pt idx="180">
                  <c:v>97.937701396348032</c:v>
                </c:pt>
                <c:pt idx="181">
                  <c:v>96.562835660580035</c:v>
                </c:pt>
                <c:pt idx="182">
                  <c:v>93.813104189044054</c:v>
                </c:pt>
                <c:pt idx="183">
                  <c:v>91.965628356605805</c:v>
                </c:pt>
                <c:pt idx="184">
                  <c:v>92.61009667024706</c:v>
                </c:pt>
                <c:pt idx="185">
                  <c:v>93.66272824919443</c:v>
                </c:pt>
                <c:pt idx="186">
                  <c:v>94.672395273899042</c:v>
                </c:pt>
                <c:pt idx="187">
                  <c:v>94.135338345864668</c:v>
                </c:pt>
                <c:pt idx="188">
                  <c:v>96.197636949516649</c:v>
                </c:pt>
                <c:pt idx="189">
                  <c:v>94.457572502685281</c:v>
                </c:pt>
                <c:pt idx="190">
                  <c:v>94.135338345864668</c:v>
                </c:pt>
                <c:pt idx="191">
                  <c:v>93.963480128893679</c:v>
                </c:pt>
                <c:pt idx="192">
                  <c:v>94.393125671321172</c:v>
                </c:pt>
                <c:pt idx="193">
                  <c:v>93.490870032223427</c:v>
                </c:pt>
                <c:pt idx="194">
                  <c:v>93.834586466165419</c:v>
                </c:pt>
                <c:pt idx="195">
                  <c:v>94.307196562835657</c:v>
                </c:pt>
                <c:pt idx="196">
                  <c:v>94.672395273899042</c:v>
                </c:pt>
                <c:pt idx="197">
                  <c:v>95.14500537056928</c:v>
                </c:pt>
                <c:pt idx="198">
                  <c:v>94.779806659505908</c:v>
                </c:pt>
                <c:pt idx="199">
                  <c:v>92.266380236305054</c:v>
                </c:pt>
                <c:pt idx="200">
                  <c:v>91.664876476906571</c:v>
                </c:pt>
                <c:pt idx="201">
                  <c:v>92.180451127819552</c:v>
                </c:pt>
                <c:pt idx="202">
                  <c:v>92.631578947368425</c:v>
                </c:pt>
                <c:pt idx="203">
                  <c:v>90.590762620837822</c:v>
                </c:pt>
                <c:pt idx="204">
                  <c:v>90.375939849624061</c:v>
                </c:pt>
                <c:pt idx="205">
                  <c:v>88.635875402792692</c:v>
                </c:pt>
                <c:pt idx="206">
                  <c:v>92.008592910848549</c:v>
                </c:pt>
                <c:pt idx="207">
                  <c:v>91.750805585392058</c:v>
                </c:pt>
                <c:pt idx="208">
                  <c:v>92.459720730397422</c:v>
                </c:pt>
                <c:pt idx="209">
                  <c:v>90.762620837808811</c:v>
                </c:pt>
                <c:pt idx="210">
                  <c:v>89.108485499462944</c:v>
                </c:pt>
                <c:pt idx="211">
                  <c:v>93.082706766917298</c:v>
                </c:pt>
                <c:pt idx="212">
                  <c:v>90.784103114930176</c:v>
                </c:pt>
                <c:pt idx="213">
                  <c:v>92.567132116004316</c:v>
                </c:pt>
                <c:pt idx="214">
                  <c:v>95.767991407089156</c:v>
                </c:pt>
                <c:pt idx="215">
                  <c:v>96.305048335123516</c:v>
                </c:pt>
                <c:pt idx="216">
                  <c:v>96.02577873254566</c:v>
                </c:pt>
                <c:pt idx="217">
                  <c:v>93.899033297529542</c:v>
                </c:pt>
                <c:pt idx="218">
                  <c:v>93.426423200859304</c:v>
                </c:pt>
                <c:pt idx="219">
                  <c:v>93.920515574650921</c:v>
                </c:pt>
                <c:pt idx="220">
                  <c:v>97.937701396348032</c:v>
                </c:pt>
                <c:pt idx="221">
                  <c:v>97.722878625134285</c:v>
                </c:pt>
                <c:pt idx="222">
                  <c:v>97.937701396348032</c:v>
                </c:pt>
                <c:pt idx="223">
                  <c:v>98.517722878625136</c:v>
                </c:pt>
                <c:pt idx="224">
                  <c:v>98.302900107411389</c:v>
                </c:pt>
                <c:pt idx="225">
                  <c:v>97.551020408163268</c:v>
                </c:pt>
                <c:pt idx="226">
                  <c:v>96.45542427497314</c:v>
                </c:pt>
                <c:pt idx="227">
                  <c:v>97.830290010741138</c:v>
                </c:pt>
                <c:pt idx="228">
                  <c:v>95.123523093447915</c:v>
                </c:pt>
                <c:pt idx="229">
                  <c:v>94.693877551020407</c:v>
                </c:pt>
                <c:pt idx="230">
                  <c:v>94.822771213748666</c:v>
                </c:pt>
                <c:pt idx="231">
                  <c:v>97.465091299677766</c:v>
                </c:pt>
                <c:pt idx="232">
                  <c:v>97.250268528464034</c:v>
                </c:pt>
                <c:pt idx="233">
                  <c:v>100.34371643394199</c:v>
                </c:pt>
                <c:pt idx="234">
                  <c:v>101.05263157894737</c:v>
                </c:pt>
                <c:pt idx="235">
                  <c:v>99.548872180451141</c:v>
                </c:pt>
                <c:pt idx="236">
                  <c:v>100.64446831364124</c:v>
                </c:pt>
                <c:pt idx="237">
                  <c:v>101.546723952739</c:v>
                </c:pt>
                <c:pt idx="238">
                  <c:v>101.28893662728248</c:v>
                </c:pt>
                <c:pt idx="239">
                  <c:v>101.48227712137488</c:v>
                </c:pt>
                <c:pt idx="240">
                  <c:v>102.25563909774438</c:v>
                </c:pt>
                <c:pt idx="241">
                  <c:v>101.41783029001074</c:v>
                </c:pt>
                <c:pt idx="242">
                  <c:v>104.61868958109561</c:v>
                </c:pt>
                <c:pt idx="243">
                  <c:v>104.76906552094522</c:v>
                </c:pt>
                <c:pt idx="244">
                  <c:v>104.46831364124598</c:v>
                </c:pt>
                <c:pt idx="245">
                  <c:v>105.11278195488723</c:v>
                </c:pt>
                <c:pt idx="246">
                  <c:v>103.20085929108487</c:v>
                </c:pt>
                <c:pt idx="247">
                  <c:v>103.97422126745435</c:v>
                </c:pt>
                <c:pt idx="248">
                  <c:v>103.56605800214824</c:v>
                </c:pt>
                <c:pt idx="249">
                  <c:v>105.45649838882922</c:v>
                </c:pt>
                <c:pt idx="250">
                  <c:v>105.73576799140709</c:v>
                </c:pt>
                <c:pt idx="251">
                  <c:v>105.49946294307198</c:v>
                </c:pt>
                <c:pt idx="252">
                  <c:v>107.34693877551021</c:v>
                </c:pt>
                <c:pt idx="253">
                  <c:v>107.43286788399571</c:v>
                </c:pt>
                <c:pt idx="254">
                  <c:v>106.65950590762621</c:v>
                </c:pt>
                <c:pt idx="255">
                  <c:v>105.84317937701397</c:v>
                </c:pt>
                <c:pt idx="256">
                  <c:v>103.50161117078412</c:v>
                </c:pt>
                <c:pt idx="257">
                  <c:v>103.86680988184749</c:v>
                </c:pt>
                <c:pt idx="258">
                  <c:v>103.54457572502686</c:v>
                </c:pt>
                <c:pt idx="259">
                  <c:v>105.37056928034372</c:v>
                </c:pt>
                <c:pt idx="260">
                  <c:v>105.80021482277122</c:v>
                </c:pt>
                <c:pt idx="261">
                  <c:v>106.74543501611171</c:v>
                </c:pt>
                <c:pt idx="262">
                  <c:v>107.43286788399571</c:v>
                </c:pt>
                <c:pt idx="263">
                  <c:v>106.12244897959184</c:v>
                </c:pt>
                <c:pt idx="264">
                  <c:v>105.54242749731473</c:v>
                </c:pt>
                <c:pt idx="265">
                  <c:v>106.89581095596132</c:v>
                </c:pt>
                <c:pt idx="266">
                  <c:v>108.59291084854993</c:v>
                </c:pt>
                <c:pt idx="267">
                  <c:v>105.32760472610096</c:v>
                </c:pt>
                <c:pt idx="268">
                  <c:v>104.76906552094522</c:v>
                </c:pt>
                <c:pt idx="269">
                  <c:v>104.27497314715359</c:v>
                </c:pt>
                <c:pt idx="270">
                  <c:v>101.76154672395275</c:v>
                </c:pt>
                <c:pt idx="271">
                  <c:v>101.86895810955963</c:v>
                </c:pt>
                <c:pt idx="272">
                  <c:v>103.90977443609022</c:v>
                </c:pt>
                <c:pt idx="273">
                  <c:v>104.83351235230936</c:v>
                </c:pt>
                <c:pt idx="274">
                  <c:v>104.27497314715359</c:v>
                </c:pt>
                <c:pt idx="275">
                  <c:v>103.15789473684211</c:v>
                </c:pt>
                <c:pt idx="276">
                  <c:v>104.76906552094522</c:v>
                </c:pt>
                <c:pt idx="277">
                  <c:v>101.86895810955963</c:v>
                </c:pt>
                <c:pt idx="278">
                  <c:v>101.07411385606875</c:v>
                </c:pt>
                <c:pt idx="279">
                  <c:v>100.55853920515577</c:v>
                </c:pt>
                <c:pt idx="280">
                  <c:v>102.19119226638026</c:v>
                </c:pt>
                <c:pt idx="281">
                  <c:v>98.066595059076263</c:v>
                </c:pt>
                <c:pt idx="282">
                  <c:v>98.066595059076263</c:v>
                </c:pt>
                <c:pt idx="283">
                  <c:v>97.035445757250287</c:v>
                </c:pt>
                <c:pt idx="284">
                  <c:v>98.41031149301827</c:v>
                </c:pt>
                <c:pt idx="285">
                  <c:v>96.047261009667025</c:v>
                </c:pt>
                <c:pt idx="286">
                  <c:v>95.875402792696036</c:v>
                </c:pt>
                <c:pt idx="287">
                  <c:v>96.45542427497314</c:v>
                </c:pt>
                <c:pt idx="288">
                  <c:v>98.754027926960262</c:v>
                </c:pt>
                <c:pt idx="289">
                  <c:v>96.133190118152527</c:v>
                </c:pt>
                <c:pt idx="290">
                  <c:v>97.271750805585398</c:v>
                </c:pt>
                <c:pt idx="291">
                  <c:v>95.725026852846412</c:v>
                </c:pt>
                <c:pt idx="292">
                  <c:v>95.016111707841034</c:v>
                </c:pt>
                <c:pt idx="293">
                  <c:v>95.037593984962427</c:v>
                </c:pt>
                <c:pt idx="294">
                  <c:v>97.400644468313658</c:v>
                </c:pt>
                <c:pt idx="295">
                  <c:v>98.045112781954884</c:v>
                </c:pt>
                <c:pt idx="296">
                  <c:v>95.789473684210535</c:v>
                </c:pt>
                <c:pt idx="297">
                  <c:v>96.197636949516649</c:v>
                </c:pt>
                <c:pt idx="298">
                  <c:v>96.197636949516649</c:v>
                </c:pt>
                <c:pt idx="299">
                  <c:v>97.465091299677766</c:v>
                </c:pt>
                <c:pt idx="300">
                  <c:v>96.004296455424281</c:v>
                </c:pt>
                <c:pt idx="301">
                  <c:v>97.250268528464034</c:v>
                </c:pt>
                <c:pt idx="302">
                  <c:v>95.424274973147163</c:v>
                </c:pt>
                <c:pt idx="303">
                  <c:v>97.400644468313658</c:v>
                </c:pt>
                <c:pt idx="304">
                  <c:v>97.894736842105274</c:v>
                </c:pt>
                <c:pt idx="305">
                  <c:v>97.658431793770148</c:v>
                </c:pt>
                <c:pt idx="306">
                  <c:v>96.412459720730396</c:v>
                </c:pt>
                <c:pt idx="307">
                  <c:v>95.445757250268542</c:v>
                </c:pt>
                <c:pt idx="308">
                  <c:v>98.66809881847476</c:v>
                </c:pt>
                <c:pt idx="309">
                  <c:v>100.171858216971</c:v>
                </c:pt>
                <c:pt idx="310">
                  <c:v>99.398496240601517</c:v>
                </c:pt>
                <c:pt idx="311">
                  <c:v>101.65413533834587</c:v>
                </c:pt>
                <c:pt idx="312">
                  <c:v>102.57787325456501</c:v>
                </c:pt>
                <c:pt idx="313">
                  <c:v>102.68528464017186</c:v>
                </c:pt>
                <c:pt idx="314">
                  <c:v>102.47046186895813</c:v>
                </c:pt>
                <c:pt idx="315">
                  <c:v>103.65198711063373</c:v>
                </c:pt>
                <c:pt idx="316">
                  <c:v>103.45864661654136</c:v>
                </c:pt>
                <c:pt idx="317">
                  <c:v>102.25563909774438</c:v>
                </c:pt>
                <c:pt idx="318">
                  <c:v>100.98818474758325</c:v>
                </c:pt>
                <c:pt idx="319">
                  <c:v>101.16004296455425</c:v>
                </c:pt>
                <c:pt idx="320">
                  <c:v>100.687432867884</c:v>
                </c:pt>
                <c:pt idx="321">
                  <c:v>102.01933404940924</c:v>
                </c:pt>
                <c:pt idx="322">
                  <c:v>99.871106337271769</c:v>
                </c:pt>
                <c:pt idx="323">
                  <c:v>99.742212674543509</c:v>
                </c:pt>
                <c:pt idx="324">
                  <c:v>100.38668098818475</c:v>
                </c:pt>
                <c:pt idx="325">
                  <c:v>101.20300751879701</c:v>
                </c:pt>
                <c:pt idx="326">
                  <c:v>99.07626208378089</c:v>
                </c:pt>
                <c:pt idx="327">
                  <c:v>97.851772287862516</c:v>
                </c:pt>
                <c:pt idx="328">
                  <c:v>96.928034371643392</c:v>
                </c:pt>
                <c:pt idx="329">
                  <c:v>93.791621911922661</c:v>
                </c:pt>
                <c:pt idx="330">
                  <c:v>93.340494092373802</c:v>
                </c:pt>
                <c:pt idx="331">
                  <c:v>93.168635875402799</c:v>
                </c:pt>
                <c:pt idx="332">
                  <c:v>91.192266380236319</c:v>
                </c:pt>
                <c:pt idx="333">
                  <c:v>91.944146079484426</c:v>
                </c:pt>
                <c:pt idx="334">
                  <c:v>93.66272824919443</c:v>
                </c:pt>
                <c:pt idx="335">
                  <c:v>93.297529538131059</c:v>
                </c:pt>
                <c:pt idx="336">
                  <c:v>90.39742212674544</c:v>
                </c:pt>
                <c:pt idx="337">
                  <c:v>91.106337271750803</c:v>
                </c:pt>
                <c:pt idx="338">
                  <c:v>86.380236305048342</c:v>
                </c:pt>
                <c:pt idx="339">
                  <c:v>89.301825993555326</c:v>
                </c:pt>
                <c:pt idx="340">
                  <c:v>92.158968850698173</c:v>
                </c:pt>
                <c:pt idx="341">
                  <c:v>87.819548872180462</c:v>
                </c:pt>
                <c:pt idx="342">
                  <c:v>87.153598281417828</c:v>
                </c:pt>
                <c:pt idx="343">
                  <c:v>87.75510204081634</c:v>
                </c:pt>
                <c:pt idx="344">
                  <c:v>89.151450053705688</c:v>
                </c:pt>
                <c:pt idx="345">
                  <c:v>88.249194414607942</c:v>
                </c:pt>
                <c:pt idx="346">
                  <c:v>81.245972073039752</c:v>
                </c:pt>
                <c:pt idx="347">
                  <c:v>83.587540279269604</c:v>
                </c:pt>
                <c:pt idx="348">
                  <c:v>82.706766917293237</c:v>
                </c:pt>
                <c:pt idx="349">
                  <c:v>78.94736842105263</c:v>
                </c:pt>
                <c:pt idx="350">
                  <c:v>77.722878625134271</c:v>
                </c:pt>
                <c:pt idx="351">
                  <c:v>74.887218045112775</c:v>
                </c:pt>
                <c:pt idx="352">
                  <c:v>70.139634801288935</c:v>
                </c:pt>
                <c:pt idx="353">
                  <c:v>69.581095596133196</c:v>
                </c:pt>
                <c:pt idx="354">
                  <c:v>67.712137486573582</c:v>
                </c:pt>
                <c:pt idx="355">
                  <c:v>67.282491944146088</c:v>
                </c:pt>
                <c:pt idx="356">
                  <c:v>75.467239527389921</c:v>
                </c:pt>
                <c:pt idx="357">
                  <c:v>72.201933404940931</c:v>
                </c:pt>
                <c:pt idx="358">
                  <c:v>65.735767991407101</c:v>
                </c:pt>
                <c:pt idx="359">
                  <c:v>69.301825993555326</c:v>
                </c:pt>
                <c:pt idx="360">
                  <c:v>69.387755102040813</c:v>
                </c:pt>
                <c:pt idx="361">
                  <c:v>71.321160042964564</c:v>
                </c:pt>
                <c:pt idx="362">
                  <c:v>67.62620837808808</c:v>
                </c:pt>
                <c:pt idx="363">
                  <c:v>65.757250268528466</c:v>
                </c:pt>
                <c:pt idx="364">
                  <c:v>65.499462943071961</c:v>
                </c:pt>
                <c:pt idx="365">
                  <c:v>63.394199785177243</c:v>
                </c:pt>
                <c:pt idx="366">
                  <c:v>61.632653061224495</c:v>
                </c:pt>
                <c:pt idx="367">
                  <c:v>68.442534908700324</c:v>
                </c:pt>
                <c:pt idx="368">
                  <c:v>68.270676691729321</c:v>
                </c:pt>
                <c:pt idx="369">
                  <c:v>70.547798066595064</c:v>
                </c:pt>
                <c:pt idx="370">
                  <c:v>70.655209452201944</c:v>
                </c:pt>
                <c:pt idx="371">
                  <c:v>70.50483351235232</c:v>
                </c:pt>
                <c:pt idx="372">
                  <c:v>72.502685284640179</c:v>
                </c:pt>
                <c:pt idx="373">
                  <c:v>68.721804511278194</c:v>
                </c:pt>
                <c:pt idx="374">
                  <c:v>65.6498388829216</c:v>
                </c:pt>
                <c:pt idx="375">
                  <c:v>67.003222341568218</c:v>
                </c:pt>
                <c:pt idx="376">
                  <c:v>66.100966702470458</c:v>
                </c:pt>
                <c:pt idx="377">
                  <c:v>64.661654135338352</c:v>
                </c:pt>
                <c:pt idx="378">
                  <c:v>61.675617615467246</c:v>
                </c:pt>
                <c:pt idx="379">
                  <c:v>65.435016111707839</c:v>
                </c:pt>
                <c:pt idx="380">
                  <c:v>62.255639097744364</c:v>
                </c:pt>
                <c:pt idx="381">
                  <c:v>60.945220193340496</c:v>
                </c:pt>
                <c:pt idx="382">
                  <c:v>60.880773361976367</c:v>
                </c:pt>
                <c:pt idx="383">
                  <c:v>57.701396348012892</c:v>
                </c:pt>
                <c:pt idx="384">
                  <c:v>54.908700322234161</c:v>
                </c:pt>
                <c:pt idx="385">
                  <c:v>57.293233082706777</c:v>
                </c:pt>
                <c:pt idx="386">
                  <c:v>60.794844253490879</c:v>
                </c:pt>
                <c:pt idx="387">
                  <c:v>60.51557465091301</c:v>
                </c:pt>
                <c:pt idx="388">
                  <c:v>63.050483351235243</c:v>
                </c:pt>
                <c:pt idx="389">
                  <c:v>62.556390977443613</c:v>
                </c:pt>
                <c:pt idx="390">
                  <c:v>57.851772287862516</c:v>
                </c:pt>
                <c:pt idx="391">
                  <c:v>59.785177228786246</c:v>
                </c:pt>
                <c:pt idx="392">
                  <c:v>61.482277121374871</c:v>
                </c:pt>
                <c:pt idx="393">
                  <c:v>59.742212674543502</c:v>
                </c:pt>
                <c:pt idx="394">
                  <c:v>62.16970998925887</c:v>
                </c:pt>
                <c:pt idx="395">
                  <c:v>64.618689581095595</c:v>
                </c:pt>
                <c:pt idx="396">
                  <c:v>64.468313641245985</c:v>
                </c:pt>
                <c:pt idx="397">
                  <c:v>64.253490870032223</c:v>
                </c:pt>
                <c:pt idx="398">
                  <c:v>62.49194414607949</c:v>
                </c:pt>
                <c:pt idx="399">
                  <c:v>63.759398496240607</c:v>
                </c:pt>
                <c:pt idx="400">
                  <c:v>62.642320085929114</c:v>
                </c:pt>
                <c:pt idx="401">
                  <c:v>65.6498388829216</c:v>
                </c:pt>
                <c:pt idx="402">
                  <c:v>64.854994629430735</c:v>
                </c:pt>
                <c:pt idx="403">
                  <c:v>63.716433941997849</c:v>
                </c:pt>
                <c:pt idx="404">
                  <c:v>64.146079484425357</c:v>
                </c:pt>
                <c:pt idx="405">
                  <c:v>62.749731471535988</c:v>
                </c:pt>
                <c:pt idx="406">
                  <c:v>62.42749731471536</c:v>
                </c:pt>
                <c:pt idx="407">
                  <c:v>62.599355531686363</c:v>
                </c:pt>
                <c:pt idx="408">
                  <c:v>62.577873254564985</c:v>
                </c:pt>
                <c:pt idx="409">
                  <c:v>62.062298603651989</c:v>
                </c:pt>
                <c:pt idx="410">
                  <c:v>63.351235230934478</c:v>
                </c:pt>
                <c:pt idx="411">
                  <c:v>63.888292158968852</c:v>
                </c:pt>
                <c:pt idx="412">
                  <c:v>66.659505907626212</c:v>
                </c:pt>
                <c:pt idx="413">
                  <c:v>66.638023630504833</c:v>
                </c:pt>
                <c:pt idx="414">
                  <c:v>67.303974221267453</c:v>
                </c:pt>
                <c:pt idx="415">
                  <c:v>65.392051557465109</c:v>
                </c:pt>
                <c:pt idx="416">
                  <c:v>66.079484425349094</c:v>
                </c:pt>
                <c:pt idx="417">
                  <c:v>64.59720730397423</c:v>
                </c:pt>
                <c:pt idx="418">
                  <c:v>63.415682062298607</c:v>
                </c:pt>
                <c:pt idx="419">
                  <c:v>63.437164339419979</c:v>
                </c:pt>
                <c:pt idx="420">
                  <c:v>61.503759398496236</c:v>
                </c:pt>
                <c:pt idx="421">
                  <c:v>62.513426423200869</c:v>
                </c:pt>
                <c:pt idx="422">
                  <c:v>63.200859291084868</c:v>
                </c:pt>
                <c:pt idx="423">
                  <c:v>60.06444683136413</c:v>
                </c:pt>
                <c:pt idx="424">
                  <c:v>62.620837808807735</c:v>
                </c:pt>
                <c:pt idx="425">
                  <c:v>61.783029001074119</c:v>
                </c:pt>
                <c:pt idx="426">
                  <c:v>62.083780880773368</c:v>
                </c:pt>
                <c:pt idx="427">
                  <c:v>62.534908700322234</c:v>
                </c:pt>
                <c:pt idx="428">
                  <c:v>62.986036519871114</c:v>
                </c:pt>
                <c:pt idx="429">
                  <c:v>65.198711063372727</c:v>
                </c:pt>
                <c:pt idx="430">
                  <c:v>63.544575725026853</c:v>
                </c:pt>
                <c:pt idx="431">
                  <c:v>62.42749731471536</c:v>
                </c:pt>
                <c:pt idx="432">
                  <c:v>63.179377013963489</c:v>
                </c:pt>
                <c:pt idx="433">
                  <c:v>64.167561761546736</c:v>
                </c:pt>
                <c:pt idx="434">
                  <c:v>64.253490870032223</c:v>
                </c:pt>
                <c:pt idx="435">
                  <c:v>65.671321160042979</c:v>
                </c:pt>
                <c:pt idx="436">
                  <c:v>67.389903329752968</c:v>
                </c:pt>
                <c:pt idx="437">
                  <c:v>67.669172932330838</c:v>
                </c:pt>
                <c:pt idx="438">
                  <c:v>65.177228786251348</c:v>
                </c:pt>
                <c:pt idx="439">
                  <c:v>64.876476906552099</c:v>
                </c:pt>
                <c:pt idx="440">
                  <c:v>65.671321160042979</c:v>
                </c:pt>
                <c:pt idx="441">
                  <c:v>65.370569280343716</c:v>
                </c:pt>
                <c:pt idx="442">
                  <c:v>62.77121374865736</c:v>
                </c:pt>
                <c:pt idx="443">
                  <c:v>62.814178302900103</c:v>
                </c:pt>
                <c:pt idx="444">
                  <c:v>61.847475832438235</c:v>
                </c:pt>
                <c:pt idx="445">
                  <c:v>62.019334049409245</c:v>
                </c:pt>
                <c:pt idx="446">
                  <c:v>59.849624060150376</c:v>
                </c:pt>
                <c:pt idx="447">
                  <c:v>61.82599355531687</c:v>
                </c:pt>
                <c:pt idx="448">
                  <c:v>61.417830290010741</c:v>
                </c:pt>
                <c:pt idx="449">
                  <c:v>59.699248120300751</c:v>
                </c:pt>
                <c:pt idx="450">
                  <c:v>59.140708915145012</c:v>
                </c:pt>
                <c:pt idx="451">
                  <c:v>57.228786251342648</c:v>
                </c:pt>
                <c:pt idx="452">
                  <c:v>57.185821697099904</c:v>
                </c:pt>
                <c:pt idx="453">
                  <c:v>58.711063372717511</c:v>
                </c:pt>
                <c:pt idx="454">
                  <c:v>56.949516648764778</c:v>
                </c:pt>
                <c:pt idx="455">
                  <c:v>56.498388829215905</c:v>
                </c:pt>
                <c:pt idx="456">
                  <c:v>55.295381310418904</c:v>
                </c:pt>
                <c:pt idx="457">
                  <c:v>58.711063372717511</c:v>
                </c:pt>
                <c:pt idx="458">
                  <c:v>59.613319011815257</c:v>
                </c:pt>
                <c:pt idx="459">
                  <c:v>61.589688506981744</c:v>
                </c:pt>
                <c:pt idx="460">
                  <c:v>61.740064446831369</c:v>
                </c:pt>
                <c:pt idx="461">
                  <c:v>60.708915145005385</c:v>
                </c:pt>
                <c:pt idx="462">
                  <c:v>63.007518796992478</c:v>
                </c:pt>
                <c:pt idx="463">
                  <c:v>63.802363050483358</c:v>
                </c:pt>
                <c:pt idx="464">
                  <c:v>63.759398496240607</c:v>
                </c:pt>
                <c:pt idx="465">
                  <c:v>62.685284640171858</c:v>
                </c:pt>
                <c:pt idx="466">
                  <c:v>66.380236305048328</c:v>
                </c:pt>
                <c:pt idx="467">
                  <c:v>65.155746509129969</c:v>
                </c:pt>
                <c:pt idx="468">
                  <c:v>65.456498388829218</c:v>
                </c:pt>
                <c:pt idx="469">
                  <c:v>67.475832438238456</c:v>
                </c:pt>
                <c:pt idx="470">
                  <c:v>66.208378088077339</c:v>
                </c:pt>
                <c:pt idx="471">
                  <c:v>64.575725026852851</c:v>
                </c:pt>
                <c:pt idx="472">
                  <c:v>65.134264232008604</c:v>
                </c:pt>
                <c:pt idx="473">
                  <c:v>66.100966702470458</c:v>
                </c:pt>
                <c:pt idx="474">
                  <c:v>68.227712137486591</c:v>
                </c:pt>
                <c:pt idx="475">
                  <c:v>69.495166487647694</c:v>
                </c:pt>
                <c:pt idx="476">
                  <c:v>69.323308270676705</c:v>
                </c:pt>
                <c:pt idx="477">
                  <c:v>67.497314715359835</c:v>
                </c:pt>
                <c:pt idx="478">
                  <c:v>68.635875402792706</c:v>
                </c:pt>
                <c:pt idx="479">
                  <c:v>70.762620837808811</c:v>
                </c:pt>
                <c:pt idx="480">
                  <c:v>70.655209452201944</c:v>
                </c:pt>
                <c:pt idx="481">
                  <c:v>69.795918367346943</c:v>
                </c:pt>
                <c:pt idx="482">
                  <c:v>69.602577873254575</c:v>
                </c:pt>
                <c:pt idx="483">
                  <c:v>71.407089151450066</c:v>
                </c:pt>
                <c:pt idx="484">
                  <c:v>71.55746509129969</c:v>
                </c:pt>
                <c:pt idx="485">
                  <c:v>69.258861439312582</c:v>
                </c:pt>
                <c:pt idx="486">
                  <c:v>70.225563909774436</c:v>
                </c:pt>
                <c:pt idx="487">
                  <c:v>70.440386680988183</c:v>
                </c:pt>
                <c:pt idx="488">
                  <c:v>71.127819548872182</c:v>
                </c:pt>
                <c:pt idx="489">
                  <c:v>72.37379162191192</c:v>
                </c:pt>
                <c:pt idx="490">
                  <c:v>72.459720730397407</c:v>
                </c:pt>
                <c:pt idx="491">
                  <c:v>71.922663802363047</c:v>
                </c:pt>
                <c:pt idx="492">
                  <c:v>72.910848549946294</c:v>
                </c:pt>
                <c:pt idx="493">
                  <c:v>73.641245972073051</c:v>
                </c:pt>
                <c:pt idx="494">
                  <c:v>73.834586466165405</c:v>
                </c:pt>
                <c:pt idx="495">
                  <c:v>75.295381310418904</c:v>
                </c:pt>
                <c:pt idx="496">
                  <c:v>75.230934479054795</c:v>
                </c:pt>
                <c:pt idx="497">
                  <c:v>75.25241675617616</c:v>
                </c:pt>
                <c:pt idx="498">
                  <c:v>73.490870032223427</c:v>
                </c:pt>
                <c:pt idx="499">
                  <c:v>73.533834586466156</c:v>
                </c:pt>
                <c:pt idx="500">
                  <c:v>73.791621911922661</c:v>
                </c:pt>
                <c:pt idx="501">
                  <c:v>72.889366272824915</c:v>
                </c:pt>
                <c:pt idx="502">
                  <c:v>70.934479054779814</c:v>
                </c:pt>
                <c:pt idx="503">
                  <c:v>71.729323308270693</c:v>
                </c:pt>
                <c:pt idx="504">
                  <c:v>71.686358754027921</c:v>
                </c:pt>
                <c:pt idx="505">
                  <c:v>73.555316863587549</c:v>
                </c:pt>
                <c:pt idx="506">
                  <c:v>73.899033297529542</c:v>
                </c:pt>
                <c:pt idx="507">
                  <c:v>73.641245972073051</c:v>
                </c:pt>
                <c:pt idx="508">
                  <c:v>72.287862513426433</c:v>
                </c:pt>
                <c:pt idx="509">
                  <c:v>72.051557465091292</c:v>
                </c:pt>
                <c:pt idx="510">
                  <c:v>74.73684210526315</c:v>
                </c:pt>
                <c:pt idx="511">
                  <c:v>74.221267454350155</c:v>
                </c:pt>
                <c:pt idx="512">
                  <c:v>75.080558539205171</c:v>
                </c:pt>
                <c:pt idx="513">
                  <c:v>76.004296455424281</c:v>
                </c:pt>
                <c:pt idx="514">
                  <c:v>78.174006444683144</c:v>
                </c:pt>
                <c:pt idx="515">
                  <c:v>78.28141783029001</c:v>
                </c:pt>
                <c:pt idx="516">
                  <c:v>78.045112781954884</c:v>
                </c:pt>
                <c:pt idx="517">
                  <c:v>78.925886143931265</c:v>
                </c:pt>
                <c:pt idx="518">
                  <c:v>79.011815252416767</c:v>
                </c:pt>
                <c:pt idx="519">
                  <c:v>78.775510204081641</c:v>
                </c:pt>
                <c:pt idx="520">
                  <c:v>79.377013963480138</c:v>
                </c:pt>
                <c:pt idx="521">
                  <c:v>79.097744360902254</c:v>
                </c:pt>
                <c:pt idx="522">
                  <c:v>79.097744360902254</c:v>
                </c:pt>
                <c:pt idx="523">
                  <c:v>78.732545649838883</c:v>
                </c:pt>
                <c:pt idx="524">
                  <c:v>77.121374865735774</c:v>
                </c:pt>
                <c:pt idx="525">
                  <c:v>76.369495166487638</c:v>
                </c:pt>
                <c:pt idx="526">
                  <c:v>77.099892588614395</c:v>
                </c:pt>
                <c:pt idx="527">
                  <c:v>76.949516648764771</c:v>
                </c:pt>
                <c:pt idx="528">
                  <c:v>77.679914070891513</c:v>
                </c:pt>
                <c:pt idx="529">
                  <c:v>75.359828141783026</c:v>
                </c:pt>
                <c:pt idx="530">
                  <c:v>75.187969924812037</c:v>
                </c:pt>
                <c:pt idx="531">
                  <c:v>76.455424274973154</c:v>
                </c:pt>
                <c:pt idx="532">
                  <c:v>77.959183673469397</c:v>
                </c:pt>
                <c:pt idx="533">
                  <c:v>78.131041890440386</c:v>
                </c:pt>
                <c:pt idx="534">
                  <c:v>78.302900107411403</c:v>
                </c:pt>
                <c:pt idx="535">
                  <c:v>78.152524167561779</c:v>
                </c:pt>
                <c:pt idx="536">
                  <c:v>78.195488721804523</c:v>
                </c:pt>
                <c:pt idx="537">
                  <c:v>76.476906552094519</c:v>
                </c:pt>
                <c:pt idx="538">
                  <c:v>76.068743286788404</c:v>
                </c:pt>
                <c:pt idx="539">
                  <c:v>74.178302900107411</c:v>
                </c:pt>
                <c:pt idx="540">
                  <c:v>74.564983888292176</c:v>
                </c:pt>
                <c:pt idx="541">
                  <c:v>74.693877551020421</c:v>
                </c:pt>
                <c:pt idx="542">
                  <c:v>75.016111707841034</c:v>
                </c:pt>
                <c:pt idx="543">
                  <c:v>76.455424274973154</c:v>
                </c:pt>
                <c:pt idx="544">
                  <c:v>76.734693877551024</c:v>
                </c:pt>
                <c:pt idx="545">
                  <c:v>79.312567132116001</c:v>
                </c:pt>
                <c:pt idx="546">
                  <c:v>80.257787325456491</c:v>
                </c:pt>
                <c:pt idx="547">
                  <c:v>80.687432867883999</c:v>
                </c:pt>
                <c:pt idx="548">
                  <c:v>81.460794844253499</c:v>
                </c:pt>
                <c:pt idx="549">
                  <c:v>82.019334049409238</c:v>
                </c:pt>
                <c:pt idx="550">
                  <c:v>82.706766917293237</c:v>
                </c:pt>
                <c:pt idx="551">
                  <c:v>84.532760472610107</c:v>
                </c:pt>
                <c:pt idx="552">
                  <c:v>84.532760472610107</c:v>
                </c:pt>
                <c:pt idx="553">
                  <c:v>84.532760472610107</c:v>
                </c:pt>
                <c:pt idx="554">
                  <c:v>84.790547798066598</c:v>
                </c:pt>
                <c:pt idx="555">
                  <c:v>84.511278195488742</c:v>
                </c:pt>
                <c:pt idx="556">
                  <c:v>85.005370569280345</c:v>
                </c:pt>
                <c:pt idx="557">
                  <c:v>84.747583243823854</c:v>
                </c:pt>
                <c:pt idx="558">
                  <c:v>86.015037593984971</c:v>
                </c:pt>
                <c:pt idx="559">
                  <c:v>86.015037593984971</c:v>
                </c:pt>
                <c:pt idx="560">
                  <c:v>85.349087003222337</c:v>
                </c:pt>
                <c:pt idx="561">
                  <c:v>84.59720730397423</c:v>
                </c:pt>
                <c:pt idx="562">
                  <c:v>85.671321160042979</c:v>
                </c:pt>
                <c:pt idx="563">
                  <c:v>85.069817400644482</c:v>
                </c:pt>
                <c:pt idx="564">
                  <c:v>84.339419978517725</c:v>
                </c:pt>
                <c:pt idx="565">
                  <c:v>85.649838882921586</c:v>
                </c:pt>
                <c:pt idx="566">
                  <c:v>86.122448979591852</c:v>
                </c:pt>
                <c:pt idx="567">
                  <c:v>85.134264232008604</c:v>
                </c:pt>
                <c:pt idx="568">
                  <c:v>82.663802363050493</c:v>
                </c:pt>
                <c:pt idx="569">
                  <c:v>83.845327604726108</c:v>
                </c:pt>
                <c:pt idx="570">
                  <c:v>84.425349087003227</c:v>
                </c:pt>
                <c:pt idx="571">
                  <c:v>85.41353383458646</c:v>
                </c:pt>
                <c:pt idx="572">
                  <c:v>86.552094522019345</c:v>
                </c:pt>
                <c:pt idx="573">
                  <c:v>86.46616541353383</c:v>
                </c:pt>
                <c:pt idx="574">
                  <c:v>86.723952738990334</c:v>
                </c:pt>
                <c:pt idx="575">
                  <c:v>86.57357679914071</c:v>
                </c:pt>
                <c:pt idx="576">
                  <c:v>86.788399570354457</c:v>
                </c:pt>
                <c:pt idx="577">
                  <c:v>86.874328678839959</c:v>
                </c:pt>
                <c:pt idx="578">
                  <c:v>85.993555316863592</c:v>
                </c:pt>
                <c:pt idx="579">
                  <c:v>84.382384532760483</c:v>
                </c:pt>
                <c:pt idx="580">
                  <c:v>84.317937701396346</c:v>
                </c:pt>
                <c:pt idx="581">
                  <c:v>84.876476906552099</c:v>
                </c:pt>
                <c:pt idx="582">
                  <c:v>86.70247046186897</c:v>
                </c:pt>
                <c:pt idx="583">
                  <c:v>87.518796992481214</c:v>
                </c:pt>
                <c:pt idx="584">
                  <c:v>88.270676691729335</c:v>
                </c:pt>
                <c:pt idx="585">
                  <c:v>89.108485499462944</c:v>
                </c:pt>
                <c:pt idx="586">
                  <c:v>89.19441460794846</c:v>
                </c:pt>
                <c:pt idx="587">
                  <c:v>89.538131041890452</c:v>
                </c:pt>
                <c:pt idx="588">
                  <c:v>89.817400644468322</c:v>
                </c:pt>
                <c:pt idx="589">
                  <c:v>91.127819548872196</c:v>
                </c:pt>
                <c:pt idx="590">
                  <c:v>91.106337271750803</c:v>
                </c:pt>
                <c:pt idx="591">
                  <c:v>91.170784103114926</c:v>
                </c:pt>
                <c:pt idx="592">
                  <c:v>91.45005370569281</c:v>
                </c:pt>
                <c:pt idx="593">
                  <c:v>91.621911922663799</c:v>
                </c:pt>
                <c:pt idx="594">
                  <c:v>91.192266380236319</c:v>
                </c:pt>
                <c:pt idx="595">
                  <c:v>90.375939849624061</c:v>
                </c:pt>
                <c:pt idx="596">
                  <c:v>89.581095596133196</c:v>
                </c:pt>
                <c:pt idx="597">
                  <c:v>91.106337271750803</c:v>
                </c:pt>
                <c:pt idx="598">
                  <c:v>90.698174006444688</c:v>
                </c:pt>
                <c:pt idx="599">
                  <c:v>90.762620837808811</c:v>
                </c:pt>
                <c:pt idx="600">
                  <c:v>88.077336197636953</c:v>
                </c:pt>
                <c:pt idx="601">
                  <c:v>87.819548872180462</c:v>
                </c:pt>
                <c:pt idx="602">
                  <c:v>88.528464017185826</c:v>
                </c:pt>
                <c:pt idx="603">
                  <c:v>90.096670247046191</c:v>
                </c:pt>
                <c:pt idx="604">
                  <c:v>90.354457572502696</c:v>
                </c:pt>
                <c:pt idx="605">
                  <c:v>90.741138560687446</c:v>
                </c:pt>
                <c:pt idx="606">
                  <c:v>91.256713211600427</c:v>
                </c:pt>
                <c:pt idx="607">
                  <c:v>91.45005370569281</c:v>
                </c:pt>
                <c:pt idx="608">
                  <c:v>91.471535982814174</c:v>
                </c:pt>
                <c:pt idx="609">
                  <c:v>92.717508055853912</c:v>
                </c:pt>
                <c:pt idx="610">
                  <c:v>92.502685284640179</c:v>
                </c:pt>
                <c:pt idx="611">
                  <c:v>91.901181525241682</c:v>
                </c:pt>
                <c:pt idx="612">
                  <c:v>92.824919441460807</c:v>
                </c:pt>
                <c:pt idx="613">
                  <c:v>92.846401718582172</c:v>
                </c:pt>
                <c:pt idx="614">
                  <c:v>92.674543501611168</c:v>
                </c:pt>
                <c:pt idx="615">
                  <c:v>93.039742212674554</c:v>
                </c:pt>
                <c:pt idx="616">
                  <c:v>92.653061224489804</c:v>
                </c:pt>
                <c:pt idx="617">
                  <c:v>92.352309344790555</c:v>
                </c:pt>
                <c:pt idx="618">
                  <c:v>90.955961331901193</c:v>
                </c:pt>
                <c:pt idx="619">
                  <c:v>88.915145005370576</c:v>
                </c:pt>
                <c:pt idx="620">
                  <c:v>90.418904403866819</c:v>
                </c:pt>
                <c:pt idx="621">
                  <c:v>87.991407089151451</c:v>
                </c:pt>
                <c:pt idx="622">
                  <c:v>88.356605800214837</c:v>
                </c:pt>
                <c:pt idx="623">
                  <c:v>88.635875402792692</c:v>
                </c:pt>
                <c:pt idx="624">
                  <c:v>88.786251342642316</c:v>
                </c:pt>
                <c:pt idx="625">
                  <c:v>90.977443609022572</c:v>
                </c:pt>
                <c:pt idx="626">
                  <c:v>91.514500537056946</c:v>
                </c:pt>
                <c:pt idx="627">
                  <c:v>93.469387755102034</c:v>
                </c:pt>
                <c:pt idx="628">
                  <c:v>93.705692803437174</c:v>
                </c:pt>
                <c:pt idx="629">
                  <c:v>94.307196562835657</c:v>
                </c:pt>
                <c:pt idx="630">
                  <c:v>93.770139634801282</c:v>
                </c:pt>
                <c:pt idx="631">
                  <c:v>94.543501611170782</c:v>
                </c:pt>
                <c:pt idx="632">
                  <c:v>95.510204081632665</c:v>
                </c:pt>
                <c:pt idx="633">
                  <c:v>95.810955961331913</c:v>
                </c:pt>
                <c:pt idx="634">
                  <c:v>95.273899033297539</c:v>
                </c:pt>
                <c:pt idx="635">
                  <c:v>93.791621911922661</c:v>
                </c:pt>
                <c:pt idx="636">
                  <c:v>93.319011815252424</c:v>
                </c:pt>
                <c:pt idx="637">
                  <c:v>94.822771213748666</c:v>
                </c:pt>
                <c:pt idx="638">
                  <c:v>94.500537056928053</c:v>
                </c:pt>
                <c:pt idx="639">
                  <c:v>94.908700322234168</c:v>
                </c:pt>
                <c:pt idx="640">
                  <c:v>93.469387755102034</c:v>
                </c:pt>
                <c:pt idx="641">
                  <c:v>93.576799140708928</c:v>
                </c:pt>
                <c:pt idx="642">
                  <c:v>94.543501611170782</c:v>
                </c:pt>
                <c:pt idx="643">
                  <c:v>94.672395273899042</c:v>
                </c:pt>
                <c:pt idx="644">
                  <c:v>94.285714285714292</c:v>
                </c:pt>
                <c:pt idx="645">
                  <c:v>94.779806659505908</c:v>
                </c:pt>
                <c:pt idx="646">
                  <c:v>94.328678839957036</c:v>
                </c:pt>
                <c:pt idx="647">
                  <c:v>93.748657357679917</c:v>
                </c:pt>
                <c:pt idx="648">
                  <c:v>94.693877551020407</c:v>
                </c:pt>
                <c:pt idx="649">
                  <c:v>95.166487647690658</c:v>
                </c:pt>
                <c:pt idx="650">
                  <c:v>94.801288936627287</c:v>
                </c:pt>
                <c:pt idx="651">
                  <c:v>95.703544575725033</c:v>
                </c:pt>
                <c:pt idx="652">
                  <c:v>95.166487647690658</c:v>
                </c:pt>
                <c:pt idx="653">
                  <c:v>95.295381310418918</c:v>
                </c:pt>
                <c:pt idx="654">
                  <c:v>94.135338345864668</c:v>
                </c:pt>
                <c:pt idx="655">
                  <c:v>95.510204081632665</c:v>
                </c:pt>
                <c:pt idx="656">
                  <c:v>96.5843179377014</c:v>
                </c:pt>
                <c:pt idx="657">
                  <c:v>97.164339419978518</c:v>
                </c:pt>
                <c:pt idx="658">
                  <c:v>97.87325456498391</c:v>
                </c:pt>
                <c:pt idx="659">
                  <c:v>98.775510204081627</c:v>
                </c:pt>
                <c:pt idx="660">
                  <c:v>99.291084854994637</c:v>
                </c:pt>
                <c:pt idx="661">
                  <c:v>98.882921589688507</c:v>
                </c:pt>
                <c:pt idx="662">
                  <c:v>99.18367346938777</c:v>
                </c:pt>
                <c:pt idx="663">
                  <c:v>98.281417830290025</c:v>
                </c:pt>
                <c:pt idx="664">
                  <c:v>99.720730397422145</c:v>
                </c:pt>
                <c:pt idx="665">
                  <c:v>99.720730397422145</c:v>
                </c:pt>
                <c:pt idx="666">
                  <c:v>99.119226638023633</c:v>
                </c:pt>
                <c:pt idx="667">
                  <c:v>99.18367346938777</c:v>
                </c:pt>
                <c:pt idx="668">
                  <c:v>100</c:v>
                </c:pt>
                <c:pt idx="669">
                  <c:v>99.591836734693885</c:v>
                </c:pt>
                <c:pt idx="670">
                  <c:v>98.345864661654147</c:v>
                </c:pt>
                <c:pt idx="671">
                  <c:v>99.570354457572506</c:v>
                </c:pt>
                <c:pt idx="672">
                  <c:v>99.656283566058008</c:v>
                </c:pt>
                <c:pt idx="673">
                  <c:v>98.496240601503771</c:v>
                </c:pt>
                <c:pt idx="674">
                  <c:v>100.0859291084855</c:v>
                </c:pt>
                <c:pt idx="675">
                  <c:v>98.646616541353396</c:v>
                </c:pt>
                <c:pt idx="676">
                  <c:v>97.722878625134285</c:v>
                </c:pt>
                <c:pt idx="677">
                  <c:v>94.86573576799141</c:v>
                </c:pt>
                <c:pt idx="678">
                  <c:v>95.187969924812037</c:v>
                </c:pt>
                <c:pt idx="679">
                  <c:v>95.273899033297539</c:v>
                </c:pt>
                <c:pt idx="680">
                  <c:v>96.02577873254566</c:v>
                </c:pt>
                <c:pt idx="681">
                  <c:v>93.555316863587549</c:v>
                </c:pt>
                <c:pt idx="682">
                  <c:v>91.922663802363061</c:v>
                </c:pt>
                <c:pt idx="683">
                  <c:v>92.932330827067659</c:v>
                </c:pt>
                <c:pt idx="684">
                  <c:v>93.770139634801282</c:v>
                </c:pt>
                <c:pt idx="685">
                  <c:v>94.285714285714292</c:v>
                </c:pt>
                <c:pt idx="686">
                  <c:v>91.557465091299676</c:v>
                </c:pt>
                <c:pt idx="687">
                  <c:v>92.330827067669176</c:v>
                </c:pt>
                <c:pt idx="688">
                  <c:v>91.664876476906571</c:v>
                </c:pt>
                <c:pt idx="689">
                  <c:v>92.61009667024706</c:v>
                </c:pt>
                <c:pt idx="690">
                  <c:v>92.416756176154678</c:v>
                </c:pt>
                <c:pt idx="691">
                  <c:v>93.813104189044054</c:v>
                </c:pt>
                <c:pt idx="692">
                  <c:v>94.006444683136408</c:v>
                </c:pt>
                <c:pt idx="693">
                  <c:v>95.209452201933402</c:v>
                </c:pt>
                <c:pt idx="694">
                  <c:v>95.746509129967777</c:v>
                </c:pt>
                <c:pt idx="695">
                  <c:v>96.348012889366288</c:v>
                </c:pt>
                <c:pt idx="696">
                  <c:v>96.305048335123516</c:v>
                </c:pt>
                <c:pt idx="697">
                  <c:v>96.111707841031162</c:v>
                </c:pt>
                <c:pt idx="698">
                  <c:v>94.86573576799141</c:v>
                </c:pt>
                <c:pt idx="699">
                  <c:v>95.832438238453278</c:v>
                </c:pt>
                <c:pt idx="700">
                  <c:v>95.810955961331913</c:v>
                </c:pt>
                <c:pt idx="701">
                  <c:v>96.154672395273906</c:v>
                </c:pt>
                <c:pt idx="702">
                  <c:v>97.551020408163268</c:v>
                </c:pt>
                <c:pt idx="703">
                  <c:v>97.851772287862516</c:v>
                </c:pt>
                <c:pt idx="704">
                  <c:v>97.959183673469397</c:v>
                </c:pt>
                <c:pt idx="705">
                  <c:v>98.281417830290025</c:v>
                </c:pt>
                <c:pt idx="706">
                  <c:v>99.763694951664888</c:v>
                </c:pt>
                <c:pt idx="707">
                  <c:v>99.957035445757256</c:v>
                </c:pt>
                <c:pt idx="708">
                  <c:v>100.51557465091301</c:v>
                </c:pt>
                <c:pt idx="709">
                  <c:v>101.33190118152524</c:v>
                </c:pt>
                <c:pt idx="710">
                  <c:v>101.71858216970999</c:v>
                </c:pt>
                <c:pt idx="711">
                  <c:v>101.74006444683137</c:v>
                </c:pt>
                <c:pt idx="712">
                  <c:v>101.48227712137488</c:v>
                </c:pt>
                <c:pt idx="713">
                  <c:v>102.12674543501612</c:v>
                </c:pt>
                <c:pt idx="714">
                  <c:v>102.40601503759399</c:v>
                </c:pt>
                <c:pt idx="715">
                  <c:v>102.74973147153599</c:v>
                </c:pt>
                <c:pt idx="716">
                  <c:v>102.01933404940924</c:v>
                </c:pt>
                <c:pt idx="717">
                  <c:v>102.94307196562838</c:v>
                </c:pt>
                <c:pt idx="718">
                  <c:v>103.65198711063373</c:v>
                </c:pt>
                <c:pt idx="719">
                  <c:v>103.15789473684211</c:v>
                </c:pt>
                <c:pt idx="720">
                  <c:v>103.0075187969925</c:v>
                </c:pt>
                <c:pt idx="721">
                  <c:v>103.11493018259937</c:v>
                </c:pt>
                <c:pt idx="722">
                  <c:v>103.60902255639097</c:v>
                </c:pt>
                <c:pt idx="723">
                  <c:v>103.95273899033299</c:v>
                </c:pt>
                <c:pt idx="724">
                  <c:v>103.45864661654136</c:v>
                </c:pt>
                <c:pt idx="725">
                  <c:v>103.45864661654136</c:v>
                </c:pt>
                <c:pt idx="726">
                  <c:v>104.42534908700323</c:v>
                </c:pt>
                <c:pt idx="727">
                  <c:v>104.72610096670248</c:v>
                </c:pt>
                <c:pt idx="728">
                  <c:v>104.46831364124598</c:v>
                </c:pt>
                <c:pt idx="729">
                  <c:v>104.7046186895811</c:v>
                </c:pt>
                <c:pt idx="730">
                  <c:v>105.32760472610096</c:v>
                </c:pt>
                <c:pt idx="731">
                  <c:v>105.41353383458647</c:v>
                </c:pt>
                <c:pt idx="732">
                  <c:v>105.95059076262086</c:v>
                </c:pt>
                <c:pt idx="733">
                  <c:v>107.21804511278195</c:v>
                </c:pt>
                <c:pt idx="734">
                  <c:v>107.69065520945222</c:v>
                </c:pt>
                <c:pt idx="735">
                  <c:v>106.40171858216971</c:v>
                </c:pt>
                <c:pt idx="736">
                  <c:v>106.33727175080558</c:v>
                </c:pt>
                <c:pt idx="737">
                  <c:v>106.87432867883997</c:v>
                </c:pt>
                <c:pt idx="738">
                  <c:v>107.47583243823846</c:v>
                </c:pt>
                <c:pt idx="739">
                  <c:v>108.07733619763695</c:v>
                </c:pt>
                <c:pt idx="740">
                  <c:v>108.52846401718583</c:v>
                </c:pt>
                <c:pt idx="741">
                  <c:v>108.2921589688507</c:v>
                </c:pt>
                <c:pt idx="742">
                  <c:v>105.99355531686361</c:v>
                </c:pt>
                <c:pt idx="743">
                  <c:v>106.05800214822771</c:v>
                </c:pt>
                <c:pt idx="744">
                  <c:v>107.90547798066595</c:v>
                </c:pt>
                <c:pt idx="745">
                  <c:v>105.77873254564985</c:v>
                </c:pt>
                <c:pt idx="746">
                  <c:v>107.26100966702472</c:v>
                </c:pt>
                <c:pt idx="747">
                  <c:v>104.03866809881848</c:v>
                </c:pt>
                <c:pt idx="748">
                  <c:v>103.50161117078412</c:v>
                </c:pt>
                <c:pt idx="749">
                  <c:v>100.04296455424276</c:v>
                </c:pt>
                <c:pt idx="750">
                  <c:v>97.551020408163268</c:v>
                </c:pt>
                <c:pt idx="751">
                  <c:v>102.62083780880775</c:v>
                </c:pt>
                <c:pt idx="752">
                  <c:v>102.51342642320087</c:v>
                </c:pt>
                <c:pt idx="753">
                  <c:v>104.44683136412461</c:v>
                </c:pt>
                <c:pt idx="754">
                  <c:v>102.79269602577874</c:v>
                </c:pt>
                <c:pt idx="755">
                  <c:v>100.81632653061226</c:v>
                </c:pt>
                <c:pt idx="756">
                  <c:v>101.13856068743287</c:v>
                </c:pt>
                <c:pt idx="757">
                  <c:v>99.742212674543509</c:v>
                </c:pt>
                <c:pt idx="758">
                  <c:v>98.947368421052644</c:v>
                </c:pt>
                <c:pt idx="759">
                  <c:v>95.273899033297539</c:v>
                </c:pt>
                <c:pt idx="760">
                  <c:v>96.326530612244909</c:v>
                </c:pt>
                <c:pt idx="761">
                  <c:v>95.939849624060145</c:v>
                </c:pt>
                <c:pt idx="762">
                  <c:v>96.02577873254566</c:v>
                </c:pt>
                <c:pt idx="763">
                  <c:v>94.951664876476912</c:v>
                </c:pt>
                <c:pt idx="764">
                  <c:v>98.539205155746515</c:v>
                </c:pt>
                <c:pt idx="765">
                  <c:v>97.959183673469397</c:v>
                </c:pt>
                <c:pt idx="766">
                  <c:v>97.056928034371651</c:v>
                </c:pt>
                <c:pt idx="767">
                  <c:v>99.355531686358759</c:v>
                </c:pt>
                <c:pt idx="768">
                  <c:v>100.30075187969925</c:v>
                </c:pt>
                <c:pt idx="769">
                  <c:v>96.863587540279283</c:v>
                </c:pt>
                <c:pt idx="770">
                  <c:v>95.102040816326536</c:v>
                </c:pt>
                <c:pt idx="771">
                  <c:v>94.930182599355533</c:v>
                </c:pt>
                <c:pt idx="772">
                  <c:v>94.135338345864668</c:v>
                </c:pt>
                <c:pt idx="773">
                  <c:v>96.820622986036526</c:v>
                </c:pt>
                <c:pt idx="774">
                  <c:v>97.74436090225565</c:v>
                </c:pt>
                <c:pt idx="775">
                  <c:v>97.722878625134285</c:v>
                </c:pt>
                <c:pt idx="776">
                  <c:v>100.34371643394199</c:v>
                </c:pt>
                <c:pt idx="777">
                  <c:v>100.75187969924812</c:v>
                </c:pt>
                <c:pt idx="778">
                  <c:v>101.07411385606875</c:v>
                </c:pt>
                <c:pt idx="779">
                  <c:v>100.96670247046187</c:v>
                </c:pt>
                <c:pt idx="780">
                  <c:v>100.10741138560688</c:v>
                </c:pt>
                <c:pt idx="781">
                  <c:v>99.334049409237394</c:v>
                </c:pt>
                <c:pt idx="782">
                  <c:v>98.925886143931251</c:v>
                </c:pt>
                <c:pt idx="783">
                  <c:v>97.422126745435023</c:v>
                </c:pt>
                <c:pt idx="784">
                  <c:v>97.250268528464034</c:v>
                </c:pt>
                <c:pt idx="785">
                  <c:v>96.906552094522027</c:v>
                </c:pt>
                <c:pt idx="786">
                  <c:v>93.168635875402799</c:v>
                </c:pt>
                <c:pt idx="787">
                  <c:v>91.750805585392058</c:v>
                </c:pt>
                <c:pt idx="788">
                  <c:v>91.493018259935567</c:v>
                </c:pt>
                <c:pt idx="789">
                  <c:v>91.235230934479063</c:v>
                </c:pt>
                <c:pt idx="790">
                  <c:v>91.514500537056946</c:v>
                </c:pt>
                <c:pt idx="791">
                  <c:v>94.436090225563916</c:v>
                </c:pt>
                <c:pt idx="792">
                  <c:v>94.951664876476912</c:v>
                </c:pt>
                <c:pt idx="793">
                  <c:v>95.853920515574657</c:v>
                </c:pt>
                <c:pt idx="794">
                  <c:v>96.133190118152527</c:v>
                </c:pt>
                <c:pt idx="795">
                  <c:v>97.379162191192265</c:v>
                </c:pt>
                <c:pt idx="796">
                  <c:v>97.87325456498391</c:v>
                </c:pt>
                <c:pt idx="797">
                  <c:v>97.959183673469397</c:v>
                </c:pt>
                <c:pt idx="798">
                  <c:v>95.252416756176174</c:v>
                </c:pt>
                <c:pt idx="799">
                  <c:v>96.068743286788404</c:v>
                </c:pt>
                <c:pt idx="800">
                  <c:v>97.22878625134264</c:v>
                </c:pt>
                <c:pt idx="801">
                  <c:v>95.896885069817401</c:v>
                </c:pt>
                <c:pt idx="802">
                  <c:v>98.324382384532768</c:v>
                </c:pt>
                <c:pt idx="803">
                  <c:v>98.947368421052644</c:v>
                </c:pt>
                <c:pt idx="804">
                  <c:v>99.763694951664888</c:v>
                </c:pt>
                <c:pt idx="805">
                  <c:v>99.720730397422145</c:v>
                </c:pt>
                <c:pt idx="806">
                  <c:v>98.925886143931251</c:v>
                </c:pt>
                <c:pt idx="807">
                  <c:v>98.195488721804509</c:v>
                </c:pt>
                <c:pt idx="808">
                  <c:v>98.41031149301827</c:v>
                </c:pt>
                <c:pt idx="809">
                  <c:v>100.25778732545652</c:v>
                </c:pt>
                <c:pt idx="810">
                  <c:v>99.828141783028997</c:v>
                </c:pt>
                <c:pt idx="811">
                  <c:v>100.83780880773364</c:v>
                </c:pt>
                <c:pt idx="812">
                  <c:v>100.6015037593985</c:v>
                </c:pt>
                <c:pt idx="813">
                  <c:v>100.45112781954887</c:v>
                </c:pt>
                <c:pt idx="814">
                  <c:v>101.13856068743287</c:v>
                </c:pt>
                <c:pt idx="815">
                  <c:v>100.25778732545652</c:v>
                </c:pt>
                <c:pt idx="816">
                  <c:v>97.529538131041889</c:v>
                </c:pt>
                <c:pt idx="817">
                  <c:v>96.756176154672403</c:v>
                </c:pt>
                <c:pt idx="818">
                  <c:v>96.068743286788404</c:v>
                </c:pt>
                <c:pt idx="819">
                  <c:v>96.240601503759393</c:v>
                </c:pt>
                <c:pt idx="820">
                  <c:v>97.465091299677766</c:v>
                </c:pt>
                <c:pt idx="821">
                  <c:v>97.851772287862516</c:v>
                </c:pt>
                <c:pt idx="822">
                  <c:v>96.369495166487653</c:v>
                </c:pt>
                <c:pt idx="823">
                  <c:v>96.498388829215912</c:v>
                </c:pt>
                <c:pt idx="824">
                  <c:v>95.553168635875409</c:v>
                </c:pt>
                <c:pt idx="825">
                  <c:v>93.770139634801282</c:v>
                </c:pt>
                <c:pt idx="826">
                  <c:v>94.672395273899042</c:v>
                </c:pt>
                <c:pt idx="827">
                  <c:v>93.53383458646617</c:v>
                </c:pt>
                <c:pt idx="828">
                  <c:v>94.672395273899042</c:v>
                </c:pt>
                <c:pt idx="829">
                  <c:v>93.684210526315795</c:v>
                </c:pt>
                <c:pt idx="830">
                  <c:v>93.361976369495167</c:v>
                </c:pt>
                <c:pt idx="831">
                  <c:v>96.154672395273906</c:v>
                </c:pt>
                <c:pt idx="832">
                  <c:v>97.22878625134264</c:v>
                </c:pt>
                <c:pt idx="833">
                  <c:v>98.839957035445764</c:v>
                </c:pt>
                <c:pt idx="834">
                  <c:v>98.174006444683144</c:v>
                </c:pt>
                <c:pt idx="835">
                  <c:v>99.355531686358759</c:v>
                </c:pt>
                <c:pt idx="836">
                  <c:v>99.742212674543509</c:v>
                </c:pt>
                <c:pt idx="837">
                  <c:v>100.10741138560688</c:v>
                </c:pt>
                <c:pt idx="838">
                  <c:v>101.50375939849626</c:v>
                </c:pt>
                <c:pt idx="839">
                  <c:v>101.93340494092375</c:v>
                </c:pt>
                <c:pt idx="840">
                  <c:v>102.57787325456501</c:v>
                </c:pt>
                <c:pt idx="841">
                  <c:v>102.98603651987111</c:v>
                </c:pt>
                <c:pt idx="842">
                  <c:v>103.09344790547799</c:v>
                </c:pt>
                <c:pt idx="843">
                  <c:v>104.89795918367346</c:v>
                </c:pt>
                <c:pt idx="844">
                  <c:v>104.87647690655211</c:v>
                </c:pt>
                <c:pt idx="845">
                  <c:v>104.59720730397422</c:v>
                </c:pt>
                <c:pt idx="846">
                  <c:v>104.55424274973149</c:v>
                </c:pt>
                <c:pt idx="847">
                  <c:v>106.68098818474758</c:v>
                </c:pt>
                <c:pt idx="848">
                  <c:v>106.10096670247047</c:v>
                </c:pt>
                <c:pt idx="849">
                  <c:v>106.05800214822771</c:v>
                </c:pt>
                <c:pt idx="850">
                  <c:v>105.88614393125673</c:v>
                </c:pt>
                <c:pt idx="851">
                  <c:v>105.41353383458647</c:v>
                </c:pt>
                <c:pt idx="852">
                  <c:v>105.28464017185821</c:v>
                </c:pt>
                <c:pt idx="853">
                  <c:v>104.14607948442536</c:v>
                </c:pt>
                <c:pt idx="854">
                  <c:v>106.68098818474758</c:v>
                </c:pt>
                <c:pt idx="855">
                  <c:v>105.75725026852847</c:v>
                </c:pt>
                <c:pt idx="856">
                  <c:v>106.14393125671322</c:v>
                </c:pt>
                <c:pt idx="857">
                  <c:v>106.87432867883997</c:v>
                </c:pt>
                <c:pt idx="858">
                  <c:v>106.91729323308272</c:v>
                </c:pt>
                <c:pt idx="859">
                  <c:v>107.64769065520944</c:v>
                </c:pt>
                <c:pt idx="860">
                  <c:v>108.52846401718583</c:v>
                </c:pt>
                <c:pt idx="861">
                  <c:v>108.31364124597209</c:v>
                </c:pt>
                <c:pt idx="862">
                  <c:v>110.6122448979592</c:v>
                </c:pt>
                <c:pt idx="863">
                  <c:v>110.20408163265307</c:v>
                </c:pt>
                <c:pt idx="864">
                  <c:v>109.17293233082708</c:v>
                </c:pt>
                <c:pt idx="865">
                  <c:v>109.96777658431793</c:v>
                </c:pt>
                <c:pt idx="866">
                  <c:v>110.18259935553169</c:v>
                </c:pt>
                <c:pt idx="867">
                  <c:v>110.93447905477983</c:v>
                </c:pt>
                <c:pt idx="868">
                  <c:v>111.47153598281419</c:v>
                </c:pt>
                <c:pt idx="869">
                  <c:v>111.77228786251344</c:v>
                </c:pt>
                <c:pt idx="870">
                  <c:v>112.11600429645543</c:v>
                </c:pt>
                <c:pt idx="871">
                  <c:v>112.35230934479054</c:v>
                </c:pt>
                <c:pt idx="872">
                  <c:v>112.09452201933405</c:v>
                </c:pt>
                <c:pt idx="873">
                  <c:v>112.18045112781955</c:v>
                </c:pt>
                <c:pt idx="874">
                  <c:v>113.38345864661655</c:v>
                </c:pt>
                <c:pt idx="875">
                  <c:v>113.89903329752956</c:v>
                </c:pt>
                <c:pt idx="876">
                  <c:v>115.29538131041892</c:v>
                </c:pt>
                <c:pt idx="877">
                  <c:v>115.29538131041892</c:v>
                </c:pt>
                <c:pt idx="878">
                  <c:v>115.44575725026853</c:v>
                </c:pt>
                <c:pt idx="879">
                  <c:v>114.82277121374867</c:v>
                </c:pt>
                <c:pt idx="880">
                  <c:v>115.40279269602578</c:v>
                </c:pt>
                <c:pt idx="881">
                  <c:v>114.67239527389906</c:v>
                </c:pt>
                <c:pt idx="882">
                  <c:v>112.80343716433943</c:v>
                </c:pt>
                <c:pt idx="883">
                  <c:v>112.37379162191195</c:v>
                </c:pt>
                <c:pt idx="884">
                  <c:v>110.5263157894737</c:v>
                </c:pt>
                <c:pt idx="885">
                  <c:v>110.84854994629431</c:v>
                </c:pt>
                <c:pt idx="886">
                  <c:v>112.63157894736844</c:v>
                </c:pt>
                <c:pt idx="887">
                  <c:v>112.71750805585393</c:v>
                </c:pt>
                <c:pt idx="888">
                  <c:v>113.66272824919442</c:v>
                </c:pt>
                <c:pt idx="889">
                  <c:v>111.85821697099894</c:v>
                </c:pt>
                <c:pt idx="890">
                  <c:v>114.11385606874329</c:v>
                </c:pt>
                <c:pt idx="891">
                  <c:v>113.36197636949518</c:v>
                </c:pt>
                <c:pt idx="892">
                  <c:v>113.27604726100967</c:v>
                </c:pt>
                <c:pt idx="893">
                  <c:v>111.90118152524168</c:v>
                </c:pt>
                <c:pt idx="894">
                  <c:v>114.2642320085929</c:v>
                </c:pt>
                <c:pt idx="895">
                  <c:v>115.42427497314716</c:v>
                </c:pt>
                <c:pt idx="896">
                  <c:v>115.7250268528464</c:v>
                </c:pt>
                <c:pt idx="897">
                  <c:v>115.68206229860367</c:v>
                </c:pt>
                <c:pt idx="898">
                  <c:v>115.74650912996778</c:v>
                </c:pt>
                <c:pt idx="899">
                  <c:v>116.17615467239528</c:v>
                </c:pt>
                <c:pt idx="900">
                  <c:v>116.28356605800217</c:v>
                </c:pt>
                <c:pt idx="901">
                  <c:v>117.05692803437167</c:v>
                </c:pt>
                <c:pt idx="902">
                  <c:v>116.64876476906552</c:v>
                </c:pt>
                <c:pt idx="903">
                  <c:v>116.86358754027928</c:v>
                </c:pt>
                <c:pt idx="904">
                  <c:v>116.34801288936627</c:v>
                </c:pt>
                <c:pt idx="905">
                  <c:v>117.25026852846403</c:v>
                </c:pt>
                <c:pt idx="906">
                  <c:v>117.12137486573577</c:v>
                </c:pt>
                <c:pt idx="907">
                  <c:v>117.20730397422128</c:v>
                </c:pt>
                <c:pt idx="908">
                  <c:v>117.91621911922665</c:v>
                </c:pt>
                <c:pt idx="909">
                  <c:v>117.89473684210527</c:v>
                </c:pt>
                <c:pt idx="910">
                  <c:v>117.59398496240603</c:v>
                </c:pt>
                <c:pt idx="911">
                  <c:v>117.65843179377016</c:v>
                </c:pt>
                <c:pt idx="912">
                  <c:v>117.44360902255639</c:v>
                </c:pt>
                <c:pt idx="913">
                  <c:v>117.70139634801289</c:v>
                </c:pt>
                <c:pt idx="914">
                  <c:v>117.42212674543502</c:v>
                </c:pt>
                <c:pt idx="915">
                  <c:v>116.99248120300754</c:v>
                </c:pt>
                <c:pt idx="916">
                  <c:v>118.81847475832438</c:v>
                </c:pt>
                <c:pt idx="917">
                  <c:v>118.73254564983891</c:v>
                </c:pt>
                <c:pt idx="918">
                  <c:v>119.74221267454351</c:v>
                </c:pt>
                <c:pt idx="919">
                  <c:v>120.12889366272826</c:v>
                </c:pt>
                <c:pt idx="920">
                  <c:v>120.02148227712138</c:v>
                </c:pt>
                <c:pt idx="921">
                  <c:v>120.47261009667025</c:v>
                </c:pt>
                <c:pt idx="922">
                  <c:v>120.64446831364124</c:v>
                </c:pt>
                <c:pt idx="923">
                  <c:v>121.50375939849624</c:v>
                </c:pt>
                <c:pt idx="924">
                  <c:v>121.546723952739</c:v>
                </c:pt>
                <c:pt idx="925">
                  <c:v>122.44897959183673</c:v>
                </c:pt>
                <c:pt idx="926">
                  <c:v>122.79269602577874</c:v>
                </c:pt>
                <c:pt idx="927">
                  <c:v>121.39634801288936</c:v>
                </c:pt>
                <c:pt idx="928">
                  <c:v>120.53705692803437</c:v>
                </c:pt>
                <c:pt idx="929">
                  <c:v>119.61331901181526</c:v>
                </c:pt>
                <c:pt idx="930">
                  <c:v>121.26745435016113</c:v>
                </c:pt>
                <c:pt idx="931">
                  <c:v>121.43931256713212</c:v>
                </c:pt>
                <c:pt idx="932">
                  <c:v>122.08378088077336</c:v>
                </c:pt>
                <c:pt idx="933">
                  <c:v>122.83566058002148</c:v>
                </c:pt>
                <c:pt idx="934">
                  <c:v>119.72073039742213</c:v>
                </c:pt>
                <c:pt idx="935">
                  <c:v>120.30075187969926</c:v>
                </c:pt>
                <c:pt idx="936">
                  <c:v>122.55639097744361</c:v>
                </c:pt>
                <c:pt idx="937">
                  <c:v>122.36305048335126</c:v>
                </c:pt>
                <c:pt idx="938">
                  <c:v>122.57787325456499</c:v>
                </c:pt>
                <c:pt idx="939">
                  <c:v>123.26530612244899</c:v>
                </c:pt>
                <c:pt idx="940">
                  <c:v>123.84532760472611</c:v>
                </c:pt>
                <c:pt idx="941">
                  <c:v>124.66165413533837</c:v>
                </c:pt>
                <c:pt idx="942">
                  <c:v>124.44683136412461</c:v>
                </c:pt>
                <c:pt idx="943">
                  <c:v>124.64017185821699</c:v>
                </c:pt>
                <c:pt idx="944">
                  <c:v>125.54242749731472</c:v>
                </c:pt>
                <c:pt idx="945">
                  <c:v>125.84317937701397</c:v>
                </c:pt>
                <c:pt idx="946">
                  <c:v>125.67132116004298</c:v>
                </c:pt>
                <c:pt idx="947">
                  <c:v>126.48764769065521</c:v>
                </c:pt>
                <c:pt idx="948">
                  <c:v>126.44468313641246</c:v>
                </c:pt>
                <c:pt idx="949">
                  <c:v>126.1654135338346</c:v>
                </c:pt>
                <c:pt idx="950">
                  <c:v>122.51342642320087</c:v>
                </c:pt>
                <c:pt idx="951">
                  <c:v>121.50375939849624</c:v>
                </c:pt>
                <c:pt idx="952">
                  <c:v>122.1482277121375</c:v>
                </c:pt>
                <c:pt idx="953">
                  <c:v>123.84532760472611</c:v>
                </c:pt>
                <c:pt idx="954">
                  <c:v>124.10311493018263</c:v>
                </c:pt>
                <c:pt idx="955">
                  <c:v>122.10526315789477</c:v>
                </c:pt>
                <c:pt idx="956">
                  <c:v>122.74973147153598</c:v>
                </c:pt>
                <c:pt idx="957">
                  <c:v>125.17722878625135</c:v>
                </c:pt>
                <c:pt idx="958">
                  <c:v>124.53276047261011</c:v>
                </c:pt>
                <c:pt idx="959">
                  <c:v>122.85714285714286</c:v>
                </c:pt>
                <c:pt idx="960">
                  <c:v>123.35123523093449</c:v>
                </c:pt>
                <c:pt idx="961">
                  <c:v>122.51342642320087</c:v>
                </c:pt>
                <c:pt idx="962">
                  <c:v>120.60150375939851</c:v>
                </c:pt>
                <c:pt idx="963">
                  <c:v>121.35338345864663</c:v>
                </c:pt>
                <c:pt idx="964">
                  <c:v>120.92373791621912</c:v>
                </c:pt>
                <c:pt idx="965">
                  <c:v>119.20515574650913</c:v>
                </c:pt>
                <c:pt idx="966">
                  <c:v>116.32653061224489</c:v>
                </c:pt>
                <c:pt idx="967">
                  <c:v>117.40064446831364</c:v>
                </c:pt>
                <c:pt idx="968">
                  <c:v>116.97099892588616</c:v>
                </c:pt>
                <c:pt idx="969">
                  <c:v>119.22663802363051</c:v>
                </c:pt>
                <c:pt idx="970">
                  <c:v>119.01181525241675</c:v>
                </c:pt>
                <c:pt idx="971">
                  <c:v>119.6777658431794</c:v>
                </c:pt>
                <c:pt idx="972">
                  <c:v>121.80451127819549</c:v>
                </c:pt>
                <c:pt idx="973">
                  <c:v>122.10526315789477</c:v>
                </c:pt>
                <c:pt idx="974">
                  <c:v>121.43931256713212</c:v>
                </c:pt>
                <c:pt idx="975">
                  <c:v>122.62083780880775</c:v>
                </c:pt>
                <c:pt idx="976">
                  <c:v>123.20085929108487</c:v>
                </c:pt>
                <c:pt idx="977">
                  <c:v>123.37271750805586</c:v>
                </c:pt>
                <c:pt idx="978">
                  <c:v>123.43716433941998</c:v>
                </c:pt>
                <c:pt idx="979">
                  <c:v>123.02900107411388</c:v>
                </c:pt>
                <c:pt idx="980">
                  <c:v>122.70676691729324</c:v>
                </c:pt>
                <c:pt idx="981">
                  <c:v>123.00751879699247</c:v>
                </c:pt>
                <c:pt idx="982">
                  <c:v>122.921589688507</c:v>
                </c:pt>
                <c:pt idx="983">
                  <c:v>122.34156820622988</c:v>
                </c:pt>
                <c:pt idx="984">
                  <c:v>121.93340494092375</c:v>
                </c:pt>
                <c:pt idx="985">
                  <c:v>121.09559613319011</c:v>
                </c:pt>
                <c:pt idx="986">
                  <c:v>122.12674543501612</c:v>
                </c:pt>
                <c:pt idx="987">
                  <c:v>121.91192266380237</c:v>
                </c:pt>
                <c:pt idx="988">
                  <c:v>121.69709989258861</c:v>
                </c:pt>
                <c:pt idx="989">
                  <c:v>120.83780880773362</c:v>
                </c:pt>
                <c:pt idx="990">
                  <c:v>121.58968850698176</c:v>
                </c:pt>
                <c:pt idx="991">
                  <c:v>124.33941997851774</c:v>
                </c:pt>
                <c:pt idx="992">
                  <c:v>125.32760472610099</c:v>
                </c:pt>
                <c:pt idx="993">
                  <c:v>125.6498388829216</c:v>
                </c:pt>
                <c:pt idx="994">
                  <c:v>126.35875402792698</c:v>
                </c:pt>
                <c:pt idx="995">
                  <c:v>127.21804511278197</c:v>
                </c:pt>
                <c:pt idx="996">
                  <c:v>127.0247046186896</c:v>
                </c:pt>
                <c:pt idx="997">
                  <c:v>126.91729323308272</c:v>
                </c:pt>
                <c:pt idx="998">
                  <c:v>126.68098818474758</c:v>
                </c:pt>
                <c:pt idx="999">
                  <c:v>126.07948442534908</c:v>
                </c:pt>
                <c:pt idx="1000">
                  <c:v>125.88614393125673</c:v>
                </c:pt>
                <c:pt idx="1001">
                  <c:v>125.19871106337273</c:v>
                </c:pt>
                <c:pt idx="1002">
                  <c:v>125.60687432867886</c:v>
                </c:pt>
                <c:pt idx="1003">
                  <c:v>126.07948442534908</c:v>
                </c:pt>
                <c:pt idx="1004">
                  <c:v>127.15359828141783</c:v>
                </c:pt>
                <c:pt idx="1005">
                  <c:v>126.22986036519872</c:v>
                </c:pt>
                <c:pt idx="1006">
                  <c:v>126.98174006444685</c:v>
                </c:pt>
                <c:pt idx="1007">
                  <c:v>125.4779806659506</c:v>
                </c:pt>
                <c:pt idx="1008">
                  <c:v>123.30827067669175</c:v>
                </c:pt>
                <c:pt idx="1009">
                  <c:v>123.65198711063374</c:v>
                </c:pt>
                <c:pt idx="1010">
                  <c:v>124.68313641245972</c:v>
                </c:pt>
                <c:pt idx="1011">
                  <c:v>125.04833512352312</c:v>
                </c:pt>
                <c:pt idx="1012">
                  <c:v>124.10311493018263</c:v>
                </c:pt>
                <c:pt idx="1013">
                  <c:v>122.27712137486574</c:v>
                </c:pt>
                <c:pt idx="1014">
                  <c:v>121.52524167561762</c:v>
                </c:pt>
                <c:pt idx="1015">
                  <c:v>121.99785177228786</c:v>
                </c:pt>
                <c:pt idx="1016">
                  <c:v>122.74973147153598</c:v>
                </c:pt>
                <c:pt idx="1017">
                  <c:v>123.37271750805586</c:v>
                </c:pt>
                <c:pt idx="1018">
                  <c:v>125.37056928034372</c:v>
                </c:pt>
                <c:pt idx="1019">
                  <c:v>122.64232008592913</c:v>
                </c:pt>
                <c:pt idx="1020">
                  <c:v>122.90010741138562</c:v>
                </c:pt>
                <c:pt idx="1021">
                  <c:v>121.05263157894738</c:v>
                </c:pt>
                <c:pt idx="1022">
                  <c:v>120.06444683136412</c:v>
                </c:pt>
                <c:pt idx="1023">
                  <c:v>119.84962406015039</c:v>
                </c:pt>
                <c:pt idx="1024">
                  <c:v>118.9903329752954</c:v>
                </c:pt>
                <c:pt idx="1025">
                  <c:v>119.20515574650913</c:v>
                </c:pt>
                <c:pt idx="1026">
                  <c:v>117.37916219119226</c:v>
                </c:pt>
                <c:pt idx="1027">
                  <c:v>117.37916219119226</c:v>
                </c:pt>
                <c:pt idx="1028">
                  <c:v>118.88292158968852</c:v>
                </c:pt>
                <c:pt idx="1029">
                  <c:v>116.62728249194416</c:v>
                </c:pt>
                <c:pt idx="1030">
                  <c:v>116.17615467239528</c:v>
                </c:pt>
                <c:pt idx="1031">
                  <c:v>115.55316863587541</c:v>
                </c:pt>
                <c:pt idx="1032">
                  <c:v>116.15467239527391</c:v>
                </c:pt>
                <c:pt idx="1033">
                  <c:v>118.64661654135338</c:v>
                </c:pt>
                <c:pt idx="1034">
                  <c:v>117.78732545649839</c:v>
                </c:pt>
                <c:pt idx="1035">
                  <c:v>118.88292158968852</c:v>
                </c:pt>
                <c:pt idx="1036">
                  <c:v>116.82062298603653</c:v>
                </c:pt>
                <c:pt idx="1037">
                  <c:v>118.68958109559613</c:v>
                </c:pt>
                <c:pt idx="1038">
                  <c:v>120.45112781954887</c:v>
                </c:pt>
                <c:pt idx="1039">
                  <c:v>120.94522019334049</c:v>
                </c:pt>
                <c:pt idx="1040">
                  <c:v>122.55639097744361</c:v>
                </c:pt>
                <c:pt idx="1041">
                  <c:v>124.40386680988185</c:v>
                </c:pt>
                <c:pt idx="1042">
                  <c:v>125.02685284640174</c:v>
                </c:pt>
                <c:pt idx="1043">
                  <c:v>125.43501611170784</c:v>
                </c:pt>
                <c:pt idx="1044">
                  <c:v>127.15359828141783</c:v>
                </c:pt>
                <c:pt idx="1045">
                  <c:v>126.80988184747584</c:v>
                </c:pt>
                <c:pt idx="1046">
                  <c:v>124.51127819548873</c:v>
                </c:pt>
                <c:pt idx="1047">
                  <c:v>123.56605800214824</c:v>
                </c:pt>
                <c:pt idx="1048">
                  <c:v>124.08163265306122</c:v>
                </c:pt>
                <c:pt idx="1049">
                  <c:v>122.64232008592913</c:v>
                </c:pt>
                <c:pt idx="1050">
                  <c:v>124.27497314715362</c:v>
                </c:pt>
                <c:pt idx="1051">
                  <c:v>123.609022556391</c:v>
                </c:pt>
                <c:pt idx="1052">
                  <c:v>126.42320085929109</c:v>
                </c:pt>
                <c:pt idx="1053">
                  <c:v>125.88614393125673</c:v>
                </c:pt>
                <c:pt idx="1054">
                  <c:v>126.72395273899035</c:v>
                </c:pt>
                <c:pt idx="1055">
                  <c:v>128.03437164339422</c:v>
                </c:pt>
                <c:pt idx="1056">
                  <c:v>127.7765843179377</c:v>
                </c:pt>
                <c:pt idx="1057">
                  <c:v>128.09881847475836</c:v>
                </c:pt>
                <c:pt idx="1058">
                  <c:v>124.79054779806663</c:v>
                </c:pt>
                <c:pt idx="1059">
                  <c:v>125.00537056928034</c:v>
                </c:pt>
                <c:pt idx="1060">
                  <c:v>124.59720730397423</c:v>
                </c:pt>
                <c:pt idx="1061">
                  <c:v>124.0171858216971</c:v>
                </c:pt>
                <c:pt idx="1062">
                  <c:v>120.88077336197638</c:v>
                </c:pt>
                <c:pt idx="1063">
                  <c:v>122.04081632653063</c:v>
                </c:pt>
                <c:pt idx="1064">
                  <c:v>116.36949516648767</c:v>
                </c:pt>
                <c:pt idx="1065">
                  <c:v>115.6390977443609</c:v>
                </c:pt>
                <c:pt idx="1066">
                  <c:v>108.67883995703546</c:v>
                </c:pt>
                <c:pt idx="1067">
                  <c:v>113.92051557465092</c:v>
                </c:pt>
                <c:pt idx="1068">
                  <c:v>109.25886143931258</c:v>
                </c:pt>
                <c:pt idx="1069">
                  <c:v>114.07089151450054</c:v>
                </c:pt>
                <c:pt idx="1070">
                  <c:v>115.08055853920516</c:v>
                </c:pt>
                <c:pt idx="1071">
                  <c:v>116.77765843179377</c:v>
                </c:pt>
                <c:pt idx="1072">
                  <c:v>115.78947368421053</c:v>
                </c:pt>
                <c:pt idx="1073">
                  <c:v>115.10204081632654</c:v>
                </c:pt>
                <c:pt idx="1074">
                  <c:v>109.45220193340495</c:v>
                </c:pt>
                <c:pt idx="1075">
                  <c:v>107.47583243823846</c:v>
                </c:pt>
                <c:pt idx="1076">
                  <c:v>107.86251342642321</c:v>
                </c:pt>
                <c:pt idx="1077">
                  <c:v>112.30934479054781</c:v>
                </c:pt>
                <c:pt idx="1078">
                  <c:v>113.19011815252418</c:v>
                </c:pt>
                <c:pt idx="1079">
                  <c:v>111.34264232008593</c:v>
                </c:pt>
                <c:pt idx="1080">
                  <c:v>114.13533834586467</c:v>
                </c:pt>
                <c:pt idx="1081">
                  <c:v>117.31471535982814</c:v>
                </c:pt>
                <c:pt idx="1082">
                  <c:v>118.08807733619764</c:v>
                </c:pt>
                <c:pt idx="1083">
                  <c:v>118.28141783029002</c:v>
                </c:pt>
                <c:pt idx="1084">
                  <c:v>117.20730397422128</c:v>
                </c:pt>
                <c:pt idx="1085">
                  <c:v>114.4575725026853</c:v>
                </c:pt>
                <c:pt idx="1086">
                  <c:v>114.47905477980666</c:v>
                </c:pt>
                <c:pt idx="1087">
                  <c:v>117.37916219119226</c:v>
                </c:pt>
                <c:pt idx="1088">
                  <c:v>116.8421052631579</c:v>
                </c:pt>
                <c:pt idx="1089">
                  <c:v>114.24274973147155</c:v>
                </c:pt>
                <c:pt idx="1090">
                  <c:v>115.70354457572503</c:v>
                </c:pt>
                <c:pt idx="1091">
                  <c:v>117.25026852846403</c:v>
                </c:pt>
                <c:pt idx="1092">
                  <c:v>118.92588614393127</c:v>
                </c:pt>
                <c:pt idx="1093">
                  <c:v>120.687432867884</c:v>
                </c:pt>
                <c:pt idx="1094">
                  <c:v>121.56820622986038</c:v>
                </c:pt>
                <c:pt idx="1095">
                  <c:v>121.61117078410312</c:v>
                </c:pt>
                <c:pt idx="1096">
                  <c:v>121.07411385606875</c:v>
                </c:pt>
                <c:pt idx="1097">
                  <c:v>118.96885069817402</c:v>
                </c:pt>
                <c:pt idx="1098">
                  <c:v>115.10204081632654</c:v>
                </c:pt>
                <c:pt idx="1099">
                  <c:v>116.32653061224489</c:v>
                </c:pt>
                <c:pt idx="1100">
                  <c:v>117.67991407089153</c:v>
                </c:pt>
                <c:pt idx="1101">
                  <c:v>118.9044038668099</c:v>
                </c:pt>
                <c:pt idx="1102">
                  <c:v>117.14285714285715</c:v>
                </c:pt>
                <c:pt idx="1103">
                  <c:v>115.74650912996778</c:v>
                </c:pt>
                <c:pt idx="1104">
                  <c:v>112.76047261009667</c:v>
                </c:pt>
                <c:pt idx="1105">
                  <c:v>109.86036519871108</c:v>
                </c:pt>
                <c:pt idx="1106">
                  <c:v>112.11600429645543</c:v>
                </c:pt>
                <c:pt idx="1107">
                  <c:v>114.99462943071967</c:v>
                </c:pt>
                <c:pt idx="1108">
                  <c:v>116.92803437164341</c:v>
                </c:pt>
                <c:pt idx="1109">
                  <c:v>116.15467239527391</c:v>
                </c:pt>
                <c:pt idx="1110">
                  <c:v>120.171858216971</c:v>
                </c:pt>
                <c:pt idx="1111">
                  <c:v>120.98818474758326</c:v>
                </c:pt>
                <c:pt idx="1112">
                  <c:v>121.58968850698176</c:v>
                </c:pt>
                <c:pt idx="1113">
                  <c:v>122.70676691729324</c:v>
                </c:pt>
                <c:pt idx="1114">
                  <c:v>124.98388829215898</c:v>
                </c:pt>
                <c:pt idx="1115">
                  <c:v>123.05048335123526</c:v>
                </c:pt>
                <c:pt idx="1116">
                  <c:v>124.57572502685285</c:v>
                </c:pt>
                <c:pt idx="1117">
                  <c:v>122.16970998925886</c:v>
                </c:pt>
                <c:pt idx="1118">
                  <c:v>121.56820622986038</c:v>
                </c:pt>
                <c:pt idx="1119">
                  <c:v>123.09344790547799</c:v>
                </c:pt>
                <c:pt idx="1120">
                  <c:v>125.6498388829216</c:v>
                </c:pt>
                <c:pt idx="1121">
                  <c:v>123.17937701396349</c:v>
                </c:pt>
                <c:pt idx="1122">
                  <c:v>123.02900107411388</c:v>
                </c:pt>
                <c:pt idx="1123">
                  <c:v>126.42320085929109</c:v>
                </c:pt>
                <c:pt idx="1124">
                  <c:v>126.61654135338347</c:v>
                </c:pt>
                <c:pt idx="1125">
                  <c:v>124.48979591836735</c:v>
                </c:pt>
                <c:pt idx="1126">
                  <c:v>121.24597207303975</c:v>
                </c:pt>
                <c:pt idx="1127">
                  <c:v>122.27712137486574</c:v>
                </c:pt>
                <c:pt idx="1128">
                  <c:v>124.81203007518798</c:v>
                </c:pt>
                <c:pt idx="1129">
                  <c:v>124.16756176154674</c:v>
                </c:pt>
                <c:pt idx="1130">
                  <c:v>125.04833512352312</c:v>
                </c:pt>
                <c:pt idx="1131">
                  <c:v>126.48764769065521</c:v>
                </c:pt>
                <c:pt idx="1132">
                  <c:v>122.04081632653063</c:v>
                </c:pt>
                <c:pt idx="1133">
                  <c:v>121.97636949516651</c:v>
                </c:pt>
                <c:pt idx="1134">
                  <c:v>124.27497314715362</c:v>
                </c:pt>
                <c:pt idx="1135">
                  <c:v>123.50161117078412</c:v>
                </c:pt>
                <c:pt idx="1136">
                  <c:v>124.8764769065521</c:v>
                </c:pt>
                <c:pt idx="1137">
                  <c:v>122.81417830290012</c:v>
                </c:pt>
                <c:pt idx="1138">
                  <c:v>119.93555316863589</c:v>
                </c:pt>
                <c:pt idx="1139">
                  <c:v>119.01181525241675</c:v>
                </c:pt>
                <c:pt idx="1140">
                  <c:v>116.73469387755104</c:v>
                </c:pt>
                <c:pt idx="1141">
                  <c:v>117.12137486573577</c:v>
                </c:pt>
                <c:pt idx="1142">
                  <c:v>114.47905477980666</c:v>
                </c:pt>
                <c:pt idx="1143">
                  <c:v>113.59828141783031</c:v>
                </c:pt>
                <c:pt idx="1144">
                  <c:v>117.55102040816328</c:v>
                </c:pt>
                <c:pt idx="1145">
                  <c:v>116.82062298603653</c:v>
                </c:pt>
                <c:pt idx="1146">
                  <c:v>121.13856068743287</c:v>
                </c:pt>
                <c:pt idx="1147">
                  <c:v>121.97636949516651</c:v>
                </c:pt>
                <c:pt idx="1148">
                  <c:v>121.63265306122449</c:v>
                </c:pt>
                <c:pt idx="1149">
                  <c:v>122.96455424274974</c:v>
                </c:pt>
                <c:pt idx="1150">
                  <c:v>122.62083780880775</c:v>
                </c:pt>
                <c:pt idx="1151">
                  <c:v>122.62083780880775</c:v>
                </c:pt>
                <c:pt idx="1152">
                  <c:v>120.55853920515575</c:v>
                </c:pt>
                <c:pt idx="1153">
                  <c:v>122.49194414607949</c:v>
                </c:pt>
                <c:pt idx="1154">
                  <c:v>121.11707841031149</c:v>
                </c:pt>
                <c:pt idx="1155">
                  <c:v>119.78517722878625</c:v>
                </c:pt>
                <c:pt idx="1156">
                  <c:v>117.91621911922665</c:v>
                </c:pt>
                <c:pt idx="1157">
                  <c:v>117.59398496240603</c:v>
                </c:pt>
                <c:pt idx="1158">
                  <c:v>117.85177228786252</c:v>
                </c:pt>
                <c:pt idx="1159">
                  <c:v>116.69172932330827</c:v>
                </c:pt>
                <c:pt idx="1160">
                  <c:v>120.15037593984962</c:v>
                </c:pt>
                <c:pt idx="1161">
                  <c:v>118.43179377013963</c:v>
                </c:pt>
                <c:pt idx="1162">
                  <c:v>119.44146079484426</c:v>
                </c:pt>
                <c:pt idx="1163">
                  <c:v>120.47261009667025</c:v>
                </c:pt>
                <c:pt idx="1164">
                  <c:v>120.81632653061224</c:v>
                </c:pt>
                <c:pt idx="1165">
                  <c:v>119.4199785177229</c:v>
                </c:pt>
                <c:pt idx="1166">
                  <c:v>120.27926960257788</c:v>
                </c:pt>
                <c:pt idx="1167">
                  <c:v>119.93555316863589</c:v>
                </c:pt>
                <c:pt idx="1168">
                  <c:v>122.234156820623</c:v>
                </c:pt>
                <c:pt idx="1169">
                  <c:v>122.74973147153598</c:v>
                </c:pt>
                <c:pt idx="1170">
                  <c:v>123.75939849624061</c:v>
                </c:pt>
                <c:pt idx="1171">
                  <c:v>124.1890440386681</c:v>
                </c:pt>
                <c:pt idx="1172">
                  <c:v>123.78088077336199</c:v>
                </c:pt>
                <c:pt idx="1173">
                  <c:v>124.68313641245972</c:v>
                </c:pt>
                <c:pt idx="1174">
                  <c:v>124.94092373791621</c:v>
                </c:pt>
                <c:pt idx="1175">
                  <c:v>125.43501611170784</c:v>
                </c:pt>
                <c:pt idx="1176">
                  <c:v>124.98388829215898</c:v>
                </c:pt>
                <c:pt idx="1177">
                  <c:v>126.12244897959184</c:v>
                </c:pt>
                <c:pt idx="1178">
                  <c:v>127.79806659505908</c:v>
                </c:pt>
                <c:pt idx="1179">
                  <c:v>128.59291084854996</c:v>
                </c:pt>
                <c:pt idx="1180">
                  <c:v>128.39957035445758</c:v>
                </c:pt>
                <c:pt idx="1181">
                  <c:v>128.44253490870031</c:v>
                </c:pt>
                <c:pt idx="1182">
                  <c:v>128.2062298603652</c:v>
                </c:pt>
                <c:pt idx="1183">
                  <c:v>129.81740064446831</c:v>
                </c:pt>
                <c:pt idx="1184">
                  <c:v>129.36627282491943</c:v>
                </c:pt>
                <c:pt idx="1185">
                  <c:v>129.7529538131042</c:v>
                </c:pt>
                <c:pt idx="1186">
                  <c:v>129.86036519871107</c:v>
                </c:pt>
                <c:pt idx="1187">
                  <c:v>130.03222341568207</c:v>
                </c:pt>
                <c:pt idx="1188">
                  <c:v>131.08485499462944</c:v>
                </c:pt>
                <c:pt idx="1189">
                  <c:v>131.49301825993555</c:v>
                </c:pt>
                <c:pt idx="1190">
                  <c:v>133.29752953813104</c:v>
                </c:pt>
                <c:pt idx="1191">
                  <c:v>133.19011815252418</c:v>
                </c:pt>
                <c:pt idx="1192">
                  <c:v>133.46938775510208</c:v>
                </c:pt>
                <c:pt idx="1193">
                  <c:v>134.17830290010741</c:v>
                </c:pt>
                <c:pt idx="1194">
                  <c:v>135.14500537056929</c:v>
                </c:pt>
                <c:pt idx="1195">
                  <c:v>134.19978517722879</c:v>
                </c:pt>
                <c:pt idx="1196">
                  <c:v>135.44575725026851</c:v>
                </c:pt>
                <c:pt idx="1197">
                  <c:v>135.78947368421052</c:v>
                </c:pt>
                <c:pt idx="1198">
                  <c:v>134.84425349087005</c:v>
                </c:pt>
                <c:pt idx="1199">
                  <c:v>136.69172932330829</c:v>
                </c:pt>
                <c:pt idx="1200">
                  <c:v>136.26208378088077</c:v>
                </c:pt>
                <c:pt idx="1201">
                  <c:v>136.64876476906554</c:v>
                </c:pt>
                <c:pt idx="1202">
                  <c:v>136.02577873254566</c:v>
                </c:pt>
                <c:pt idx="1203">
                  <c:v>136.92803437164341</c:v>
                </c:pt>
                <c:pt idx="1204">
                  <c:v>137.40064446831366</c:v>
                </c:pt>
                <c:pt idx="1205">
                  <c:v>137.59398496240601</c:v>
                </c:pt>
                <c:pt idx="1206">
                  <c:v>138.99033297529539</c:v>
                </c:pt>
                <c:pt idx="1207">
                  <c:v>138.36734693877551</c:v>
                </c:pt>
                <c:pt idx="1208">
                  <c:v>139.46294307196564</c:v>
                </c:pt>
                <c:pt idx="1209">
                  <c:v>139.35553168635877</c:v>
                </c:pt>
                <c:pt idx="1210">
                  <c:v>137.91621911922664</c:v>
                </c:pt>
                <c:pt idx="1211">
                  <c:v>136.56283566058002</c:v>
                </c:pt>
                <c:pt idx="1212">
                  <c:v>137.61546723952739</c:v>
                </c:pt>
                <c:pt idx="1213">
                  <c:v>139.09774436090225</c:v>
                </c:pt>
                <c:pt idx="1214">
                  <c:v>139.67776584317937</c:v>
                </c:pt>
                <c:pt idx="1215">
                  <c:v>139.74221267454351</c:v>
                </c:pt>
                <c:pt idx="1216">
                  <c:v>142.34156820622988</c:v>
                </c:pt>
                <c:pt idx="1217">
                  <c:v>142.83566058002148</c:v>
                </c:pt>
                <c:pt idx="1218">
                  <c:v>143.24382384532763</c:v>
                </c:pt>
                <c:pt idx="1219">
                  <c:v>142.90010741138562</c:v>
                </c:pt>
                <c:pt idx="1220">
                  <c:v>143.90977443609023</c:v>
                </c:pt>
                <c:pt idx="1221">
                  <c:v>144.16756176154672</c:v>
                </c:pt>
                <c:pt idx="1222">
                  <c:v>144.18904403866813</c:v>
                </c:pt>
                <c:pt idx="1223">
                  <c:v>143.88829215896888</c:v>
                </c:pt>
                <c:pt idx="1224">
                  <c:v>143.80236305048334</c:v>
                </c:pt>
                <c:pt idx="1225">
                  <c:v>146.31578947368422</c:v>
                </c:pt>
                <c:pt idx="1226">
                  <c:v>146.53061224489795</c:v>
                </c:pt>
                <c:pt idx="1227">
                  <c:v>145.95059076262083</c:v>
                </c:pt>
                <c:pt idx="1228">
                  <c:v>145.39205155746509</c:v>
                </c:pt>
                <c:pt idx="1229">
                  <c:v>145.11278195488723</c:v>
                </c:pt>
                <c:pt idx="1230">
                  <c:v>146.61654135338347</c:v>
                </c:pt>
                <c:pt idx="1231">
                  <c:v>146.57357679914074</c:v>
                </c:pt>
                <c:pt idx="1232">
                  <c:v>144.57572502685287</c:v>
                </c:pt>
                <c:pt idx="1233">
                  <c:v>145.47798066595058</c:v>
                </c:pt>
                <c:pt idx="1234">
                  <c:v>144.38238453276045</c:v>
                </c:pt>
                <c:pt idx="1235">
                  <c:v>142.06229860365198</c:v>
                </c:pt>
                <c:pt idx="1236">
                  <c:v>142.74973147153599</c:v>
                </c:pt>
                <c:pt idx="1237">
                  <c:v>144.38238453276045</c:v>
                </c:pt>
                <c:pt idx="1238">
                  <c:v>142.19119226638023</c:v>
                </c:pt>
                <c:pt idx="1239">
                  <c:v>140.6015037593985</c:v>
                </c:pt>
                <c:pt idx="1240">
                  <c:v>143.45864661654139</c:v>
                </c:pt>
                <c:pt idx="1241">
                  <c:v>143.09344790547797</c:v>
                </c:pt>
                <c:pt idx="1242">
                  <c:v>141.48227712137486</c:v>
                </c:pt>
                <c:pt idx="1243">
                  <c:v>141.09559613319013</c:v>
                </c:pt>
                <c:pt idx="1244">
                  <c:v>139.80665950590762</c:v>
                </c:pt>
                <c:pt idx="1245">
                  <c:v>139.05477980665952</c:v>
                </c:pt>
                <c:pt idx="1246">
                  <c:v>142.74973147153599</c:v>
                </c:pt>
                <c:pt idx="1247">
                  <c:v>143.5875402792696</c:v>
                </c:pt>
                <c:pt idx="1248">
                  <c:v>144.44683136412459</c:v>
                </c:pt>
                <c:pt idx="1249">
                  <c:v>143.41568206229863</c:v>
                </c:pt>
                <c:pt idx="1250">
                  <c:v>143.65198711063374</c:v>
                </c:pt>
                <c:pt idx="1251">
                  <c:v>144.06015037593986</c:v>
                </c:pt>
                <c:pt idx="1252">
                  <c:v>142.53490870032223</c:v>
                </c:pt>
                <c:pt idx="1253">
                  <c:v>138.99033297529539</c:v>
                </c:pt>
                <c:pt idx="1254">
                  <c:v>139.11922663802366</c:v>
                </c:pt>
                <c:pt idx="1255">
                  <c:v>138.60365198711065</c:v>
                </c:pt>
                <c:pt idx="1256">
                  <c:v>138.17400644468313</c:v>
                </c:pt>
                <c:pt idx="1257">
                  <c:v>137.89473684210526</c:v>
                </c:pt>
                <c:pt idx="1258">
                  <c:v>137.87325456498391</c:v>
                </c:pt>
                <c:pt idx="1259">
                  <c:v>136.5843179377014</c:v>
                </c:pt>
                <c:pt idx="1260">
                  <c:v>136.13319011815253</c:v>
                </c:pt>
              </c:numCache>
            </c:numRef>
          </c:val>
          <c:smooth val="0"/>
          <c:extLst>
            <c:ext xmlns:c16="http://schemas.microsoft.com/office/drawing/2014/chart" uri="{C3380CC4-5D6E-409C-BE32-E72D297353CC}">
              <c16:uniqueId val="{00000000-E74C-4F4E-B25C-9882524DC5B1}"/>
            </c:ext>
          </c:extLst>
        </c:ser>
        <c:ser>
          <c:idx val="2"/>
          <c:order val="1"/>
          <c:tx>
            <c:v>Internet software &amp; services</c:v>
          </c:tx>
          <c:spPr>
            <a:ln w="25400">
              <a:solidFill>
                <a:schemeClr val="tx1"/>
              </a:solidFill>
              <a:prstDash val="sysDot"/>
            </a:ln>
          </c:spPr>
          <c:marker>
            <c:symbol val="none"/>
          </c:marker>
          <c:dPt>
            <c:idx val="585"/>
            <c:bubble3D val="0"/>
            <c:extLst>
              <c:ext xmlns:c16="http://schemas.microsoft.com/office/drawing/2014/chart" uri="{C3380CC4-5D6E-409C-BE32-E72D297353CC}">
                <c16:uniqueId val="{00000002-E74C-4F4E-B25C-9882524DC5B1}"/>
              </c:ext>
            </c:extLst>
          </c:dPt>
          <c:cat>
            <c:numRef>
              <c:f>'Ex4'!$G$4:$G$1264</c:f>
              <c:numCache>
                <c:formatCode>m/d/yyyy</c:formatCode>
                <c:ptCount val="1261"/>
                <c:pt idx="0">
                  <c:v>39218</c:v>
                </c:pt>
                <c:pt idx="1">
                  <c:v>39219</c:v>
                </c:pt>
                <c:pt idx="2">
                  <c:v>39220</c:v>
                </c:pt>
                <c:pt idx="3">
                  <c:v>39223</c:v>
                </c:pt>
                <c:pt idx="4">
                  <c:v>39224</c:v>
                </c:pt>
                <c:pt idx="5">
                  <c:v>39225</c:v>
                </c:pt>
                <c:pt idx="6">
                  <c:v>39226</c:v>
                </c:pt>
                <c:pt idx="7">
                  <c:v>39227</c:v>
                </c:pt>
                <c:pt idx="8">
                  <c:v>39231</c:v>
                </c:pt>
                <c:pt idx="9">
                  <c:v>39232</c:v>
                </c:pt>
                <c:pt idx="10">
                  <c:v>39233</c:v>
                </c:pt>
                <c:pt idx="11">
                  <c:v>39234</c:v>
                </c:pt>
                <c:pt idx="12">
                  <c:v>39237</c:v>
                </c:pt>
                <c:pt idx="13">
                  <c:v>39238</c:v>
                </c:pt>
                <c:pt idx="14">
                  <c:v>39239</c:v>
                </c:pt>
                <c:pt idx="15">
                  <c:v>39240</c:v>
                </c:pt>
                <c:pt idx="16">
                  <c:v>39241</c:v>
                </c:pt>
                <c:pt idx="17">
                  <c:v>39244</c:v>
                </c:pt>
                <c:pt idx="18">
                  <c:v>39245</c:v>
                </c:pt>
                <c:pt idx="19">
                  <c:v>39246</c:v>
                </c:pt>
                <c:pt idx="20">
                  <c:v>39247</c:v>
                </c:pt>
                <c:pt idx="21">
                  <c:v>39248</c:v>
                </c:pt>
                <c:pt idx="22">
                  <c:v>39251</c:v>
                </c:pt>
                <c:pt idx="23">
                  <c:v>39252</c:v>
                </c:pt>
                <c:pt idx="24">
                  <c:v>39253</c:v>
                </c:pt>
                <c:pt idx="25">
                  <c:v>39254</c:v>
                </c:pt>
                <c:pt idx="26">
                  <c:v>39255</c:v>
                </c:pt>
                <c:pt idx="27">
                  <c:v>39258</c:v>
                </c:pt>
                <c:pt idx="28">
                  <c:v>39259</c:v>
                </c:pt>
                <c:pt idx="29">
                  <c:v>39260</c:v>
                </c:pt>
                <c:pt idx="30">
                  <c:v>39261</c:v>
                </c:pt>
                <c:pt idx="31">
                  <c:v>39262</c:v>
                </c:pt>
                <c:pt idx="32">
                  <c:v>39265</c:v>
                </c:pt>
                <c:pt idx="33">
                  <c:v>39266</c:v>
                </c:pt>
                <c:pt idx="34">
                  <c:v>39268</c:v>
                </c:pt>
                <c:pt idx="35">
                  <c:v>39269</c:v>
                </c:pt>
                <c:pt idx="36">
                  <c:v>39272</c:v>
                </c:pt>
                <c:pt idx="37">
                  <c:v>39273</c:v>
                </c:pt>
                <c:pt idx="38">
                  <c:v>39274</c:v>
                </c:pt>
                <c:pt idx="39">
                  <c:v>39275</c:v>
                </c:pt>
                <c:pt idx="40">
                  <c:v>39276</c:v>
                </c:pt>
                <c:pt idx="41">
                  <c:v>39279</c:v>
                </c:pt>
                <c:pt idx="42">
                  <c:v>39280</c:v>
                </c:pt>
                <c:pt idx="43">
                  <c:v>39281</c:v>
                </c:pt>
                <c:pt idx="44">
                  <c:v>39282</c:v>
                </c:pt>
                <c:pt idx="45">
                  <c:v>39283</c:v>
                </c:pt>
                <c:pt idx="46">
                  <c:v>39286</c:v>
                </c:pt>
                <c:pt idx="47">
                  <c:v>39287</c:v>
                </c:pt>
                <c:pt idx="48">
                  <c:v>39288</c:v>
                </c:pt>
                <c:pt idx="49">
                  <c:v>39289</c:v>
                </c:pt>
                <c:pt idx="50">
                  <c:v>39290</c:v>
                </c:pt>
                <c:pt idx="51">
                  <c:v>39293</c:v>
                </c:pt>
                <c:pt idx="52">
                  <c:v>39294</c:v>
                </c:pt>
                <c:pt idx="53">
                  <c:v>39295</c:v>
                </c:pt>
                <c:pt idx="54">
                  <c:v>39296</c:v>
                </c:pt>
                <c:pt idx="55">
                  <c:v>39297</c:v>
                </c:pt>
                <c:pt idx="56">
                  <c:v>39300</c:v>
                </c:pt>
                <c:pt idx="57">
                  <c:v>39301</c:v>
                </c:pt>
                <c:pt idx="58">
                  <c:v>39302</c:v>
                </c:pt>
                <c:pt idx="59">
                  <c:v>39303</c:v>
                </c:pt>
                <c:pt idx="60">
                  <c:v>39304</c:v>
                </c:pt>
                <c:pt idx="61">
                  <c:v>39307</c:v>
                </c:pt>
                <c:pt idx="62">
                  <c:v>39308</c:v>
                </c:pt>
                <c:pt idx="63">
                  <c:v>39309</c:v>
                </c:pt>
                <c:pt idx="64">
                  <c:v>39310</c:v>
                </c:pt>
                <c:pt idx="65">
                  <c:v>39311</c:v>
                </c:pt>
                <c:pt idx="66">
                  <c:v>39314</c:v>
                </c:pt>
                <c:pt idx="67">
                  <c:v>39315</c:v>
                </c:pt>
                <c:pt idx="68">
                  <c:v>39316</c:v>
                </c:pt>
                <c:pt idx="69">
                  <c:v>39317</c:v>
                </c:pt>
                <c:pt idx="70">
                  <c:v>39318</c:v>
                </c:pt>
                <c:pt idx="71">
                  <c:v>39321</c:v>
                </c:pt>
                <c:pt idx="72">
                  <c:v>39322</c:v>
                </c:pt>
                <c:pt idx="73">
                  <c:v>39323</c:v>
                </c:pt>
                <c:pt idx="74">
                  <c:v>39324</c:v>
                </c:pt>
                <c:pt idx="75">
                  <c:v>39325</c:v>
                </c:pt>
                <c:pt idx="76">
                  <c:v>39329</c:v>
                </c:pt>
                <c:pt idx="77">
                  <c:v>39330</c:v>
                </c:pt>
                <c:pt idx="78">
                  <c:v>39331</c:v>
                </c:pt>
                <c:pt idx="79">
                  <c:v>39332</c:v>
                </c:pt>
                <c:pt idx="80">
                  <c:v>39335</c:v>
                </c:pt>
                <c:pt idx="81">
                  <c:v>39336</c:v>
                </c:pt>
                <c:pt idx="82">
                  <c:v>39337</c:v>
                </c:pt>
                <c:pt idx="83">
                  <c:v>39338</c:v>
                </c:pt>
                <c:pt idx="84">
                  <c:v>39339</c:v>
                </c:pt>
                <c:pt idx="85">
                  <c:v>39342</c:v>
                </c:pt>
                <c:pt idx="86">
                  <c:v>39343</c:v>
                </c:pt>
                <c:pt idx="87">
                  <c:v>39344</c:v>
                </c:pt>
                <c:pt idx="88">
                  <c:v>39345</c:v>
                </c:pt>
                <c:pt idx="89">
                  <c:v>39346</c:v>
                </c:pt>
                <c:pt idx="90">
                  <c:v>39349</c:v>
                </c:pt>
                <c:pt idx="91">
                  <c:v>39350</c:v>
                </c:pt>
                <c:pt idx="92">
                  <c:v>39351</c:v>
                </c:pt>
                <c:pt idx="93">
                  <c:v>39352</c:v>
                </c:pt>
                <c:pt idx="94">
                  <c:v>39353</c:v>
                </c:pt>
                <c:pt idx="95">
                  <c:v>39356</c:v>
                </c:pt>
                <c:pt idx="96">
                  <c:v>39357</c:v>
                </c:pt>
                <c:pt idx="97">
                  <c:v>39358</c:v>
                </c:pt>
                <c:pt idx="98">
                  <c:v>39359</c:v>
                </c:pt>
                <c:pt idx="99">
                  <c:v>39360</c:v>
                </c:pt>
                <c:pt idx="100">
                  <c:v>39363</c:v>
                </c:pt>
                <c:pt idx="101">
                  <c:v>39364</c:v>
                </c:pt>
                <c:pt idx="102">
                  <c:v>39365</c:v>
                </c:pt>
                <c:pt idx="103">
                  <c:v>39366</c:v>
                </c:pt>
                <c:pt idx="104">
                  <c:v>39367</c:v>
                </c:pt>
                <c:pt idx="105">
                  <c:v>39370</c:v>
                </c:pt>
                <c:pt idx="106">
                  <c:v>39371</c:v>
                </c:pt>
                <c:pt idx="107">
                  <c:v>39372</c:v>
                </c:pt>
                <c:pt idx="108">
                  <c:v>39373</c:v>
                </c:pt>
                <c:pt idx="109">
                  <c:v>39374</c:v>
                </c:pt>
                <c:pt idx="110">
                  <c:v>39377</c:v>
                </c:pt>
                <c:pt idx="111">
                  <c:v>39378</c:v>
                </c:pt>
                <c:pt idx="112">
                  <c:v>39379</c:v>
                </c:pt>
                <c:pt idx="113">
                  <c:v>39380</c:v>
                </c:pt>
                <c:pt idx="114">
                  <c:v>39381</c:v>
                </c:pt>
                <c:pt idx="115">
                  <c:v>39384</c:v>
                </c:pt>
                <c:pt idx="116">
                  <c:v>39385</c:v>
                </c:pt>
                <c:pt idx="117">
                  <c:v>39386</c:v>
                </c:pt>
                <c:pt idx="118">
                  <c:v>39387</c:v>
                </c:pt>
                <c:pt idx="119">
                  <c:v>39388</c:v>
                </c:pt>
                <c:pt idx="120">
                  <c:v>39391</c:v>
                </c:pt>
                <c:pt idx="121">
                  <c:v>39392</c:v>
                </c:pt>
                <c:pt idx="122">
                  <c:v>39393</c:v>
                </c:pt>
                <c:pt idx="123">
                  <c:v>39394</c:v>
                </c:pt>
                <c:pt idx="124">
                  <c:v>39395</c:v>
                </c:pt>
                <c:pt idx="125">
                  <c:v>39398</c:v>
                </c:pt>
                <c:pt idx="126">
                  <c:v>39399</c:v>
                </c:pt>
                <c:pt idx="127">
                  <c:v>39400</c:v>
                </c:pt>
                <c:pt idx="128">
                  <c:v>39401</c:v>
                </c:pt>
                <c:pt idx="129">
                  <c:v>39402</c:v>
                </c:pt>
                <c:pt idx="130">
                  <c:v>39405</c:v>
                </c:pt>
                <c:pt idx="131">
                  <c:v>39406</c:v>
                </c:pt>
                <c:pt idx="132">
                  <c:v>39407</c:v>
                </c:pt>
                <c:pt idx="133">
                  <c:v>39409</c:v>
                </c:pt>
                <c:pt idx="134">
                  <c:v>39412</c:v>
                </c:pt>
                <c:pt idx="135">
                  <c:v>39413</c:v>
                </c:pt>
                <c:pt idx="136">
                  <c:v>39414</c:v>
                </c:pt>
                <c:pt idx="137">
                  <c:v>39415</c:v>
                </c:pt>
                <c:pt idx="138">
                  <c:v>39416</c:v>
                </c:pt>
                <c:pt idx="139">
                  <c:v>39419</c:v>
                </c:pt>
                <c:pt idx="140">
                  <c:v>39420</c:v>
                </c:pt>
                <c:pt idx="141">
                  <c:v>39421</c:v>
                </c:pt>
                <c:pt idx="142">
                  <c:v>39422</c:v>
                </c:pt>
                <c:pt idx="143">
                  <c:v>39423</c:v>
                </c:pt>
                <c:pt idx="144">
                  <c:v>39426</c:v>
                </c:pt>
                <c:pt idx="145">
                  <c:v>39427</c:v>
                </c:pt>
                <c:pt idx="146">
                  <c:v>39428</c:v>
                </c:pt>
                <c:pt idx="147">
                  <c:v>39429</c:v>
                </c:pt>
                <c:pt idx="148">
                  <c:v>39430</c:v>
                </c:pt>
                <c:pt idx="149">
                  <c:v>39433</c:v>
                </c:pt>
                <c:pt idx="150">
                  <c:v>39434</c:v>
                </c:pt>
                <c:pt idx="151">
                  <c:v>39435</c:v>
                </c:pt>
                <c:pt idx="152">
                  <c:v>39436</c:v>
                </c:pt>
                <c:pt idx="153">
                  <c:v>39437</c:v>
                </c:pt>
                <c:pt idx="154">
                  <c:v>39440</c:v>
                </c:pt>
                <c:pt idx="155">
                  <c:v>39442</c:v>
                </c:pt>
                <c:pt idx="156">
                  <c:v>39443</c:v>
                </c:pt>
                <c:pt idx="157">
                  <c:v>39444</c:v>
                </c:pt>
                <c:pt idx="158">
                  <c:v>39447</c:v>
                </c:pt>
                <c:pt idx="159">
                  <c:v>39449</c:v>
                </c:pt>
                <c:pt idx="160">
                  <c:v>39450</c:v>
                </c:pt>
                <c:pt idx="161">
                  <c:v>39451</c:v>
                </c:pt>
                <c:pt idx="162">
                  <c:v>39454</c:v>
                </c:pt>
                <c:pt idx="163">
                  <c:v>39455</c:v>
                </c:pt>
                <c:pt idx="164">
                  <c:v>39456</c:v>
                </c:pt>
                <c:pt idx="165">
                  <c:v>39457</c:v>
                </c:pt>
                <c:pt idx="166">
                  <c:v>39458</c:v>
                </c:pt>
                <c:pt idx="167">
                  <c:v>39461</c:v>
                </c:pt>
                <c:pt idx="168">
                  <c:v>39462</c:v>
                </c:pt>
                <c:pt idx="169">
                  <c:v>39463</c:v>
                </c:pt>
                <c:pt idx="170">
                  <c:v>39464</c:v>
                </c:pt>
                <c:pt idx="171">
                  <c:v>39465</c:v>
                </c:pt>
                <c:pt idx="172">
                  <c:v>39469</c:v>
                </c:pt>
                <c:pt idx="173">
                  <c:v>39470</c:v>
                </c:pt>
                <c:pt idx="174">
                  <c:v>39471</c:v>
                </c:pt>
                <c:pt idx="175">
                  <c:v>39472</c:v>
                </c:pt>
                <c:pt idx="176">
                  <c:v>39475</c:v>
                </c:pt>
                <c:pt idx="177">
                  <c:v>39476</c:v>
                </c:pt>
                <c:pt idx="178">
                  <c:v>39477</c:v>
                </c:pt>
                <c:pt idx="179">
                  <c:v>39478</c:v>
                </c:pt>
                <c:pt idx="180">
                  <c:v>39479</c:v>
                </c:pt>
                <c:pt idx="181">
                  <c:v>39482</c:v>
                </c:pt>
                <c:pt idx="182">
                  <c:v>39483</c:v>
                </c:pt>
                <c:pt idx="183">
                  <c:v>39484</c:v>
                </c:pt>
                <c:pt idx="184">
                  <c:v>39485</c:v>
                </c:pt>
                <c:pt idx="185">
                  <c:v>39486</c:v>
                </c:pt>
                <c:pt idx="186">
                  <c:v>39489</c:v>
                </c:pt>
                <c:pt idx="187">
                  <c:v>39490</c:v>
                </c:pt>
                <c:pt idx="188">
                  <c:v>39491</c:v>
                </c:pt>
                <c:pt idx="189">
                  <c:v>39492</c:v>
                </c:pt>
                <c:pt idx="190">
                  <c:v>39493</c:v>
                </c:pt>
                <c:pt idx="191">
                  <c:v>39497</c:v>
                </c:pt>
                <c:pt idx="192">
                  <c:v>39498</c:v>
                </c:pt>
                <c:pt idx="193">
                  <c:v>39499</c:v>
                </c:pt>
                <c:pt idx="194">
                  <c:v>39500</c:v>
                </c:pt>
                <c:pt idx="195">
                  <c:v>39503</c:v>
                </c:pt>
                <c:pt idx="196">
                  <c:v>39504</c:v>
                </c:pt>
                <c:pt idx="197">
                  <c:v>39505</c:v>
                </c:pt>
                <c:pt idx="198">
                  <c:v>39506</c:v>
                </c:pt>
                <c:pt idx="199">
                  <c:v>39507</c:v>
                </c:pt>
                <c:pt idx="200">
                  <c:v>39510</c:v>
                </c:pt>
                <c:pt idx="201">
                  <c:v>39511</c:v>
                </c:pt>
                <c:pt idx="202">
                  <c:v>39512</c:v>
                </c:pt>
                <c:pt idx="203">
                  <c:v>39513</c:v>
                </c:pt>
                <c:pt idx="204">
                  <c:v>39514</c:v>
                </c:pt>
                <c:pt idx="205">
                  <c:v>39517</c:v>
                </c:pt>
                <c:pt idx="206">
                  <c:v>39518</c:v>
                </c:pt>
                <c:pt idx="207">
                  <c:v>39519</c:v>
                </c:pt>
                <c:pt idx="208">
                  <c:v>39520</c:v>
                </c:pt>
                <c:pt idx="209">
                  <c:v>39521</c:v>
                </c:pt>
                <c:pt idx="210">
                  <c:v>39524</c:v>
                </c:pt>
                <c:pt idx="211">
                  <c:v>39525</c:v>
                </c:pt>
                <c:pt idx="212">
                  <c:v>39526</c:v>
                </c:pt>
                <c:pt idx="213">
                  <c:v>39527</c:v>
                </c:pt>
                <c:pt idx="214">
                  <c:v>39531</c:v>
                </c:pt>
                <c:pt idx="215">
                  <c:v>39532</c:v>
                </c:pt>
                <c:pt idx="216">
                  <c:v>39533</c:v>
                </c:pt>
                <c:pt idx="217">
                  <c:v>39534</c:v>
                </c:pt>
                <c:pt idx="218">
                  <c:v>39535</c:v>
                </c:pt>
                <c:pt idx="219">
                  <c:v>39538</c:v>
                </c:pt>
                <c:pt idx="220">
                  <c:v>39539</c:v>
                </c:pt>
                <c:pt idx="221">
                  <c:v>39540</c:v>
                </c:pt>
                <c:pt idx="222">
                  <c:v>39541</c:v>
                </c:pt>
                <c:pt idx="223">
                  <c:v>39542</c:v>
                </c:pt>
                <c:pt idx="224">
                  <c:v>39545</c:v>
                </c:pt>
                <c:pt idx="225">
                  <c:v>39546</c:v>
                </c:pt>
                <c:pt idx="226">
                  <c:v>39547</c:v>
                </c:pt>
                <c:pt idx="227">
                  <c:v>39548</c:v>
                </c:pt>
                <c:pt idx="228">
                  <c:v>39549</c:v>
                </c:pt>
                <c:pt idx="229">
                  <c:v>39552</c:v>
                </c:pt>
                <c:pt idx="230">
                  <c:v>39553</c:v>
                </c:pt>
                <c:pt idx="231">
                  <c:v>39554</c:v>
                </c:pt>
                <c:pt idx="232">
                  <c:v>39555</c:v>
                </c:pt>
                <c:pt idx="233">
                  <c:v>39556</c:v>
                </c:pt>
                <c:pt idx="234">
                  <c:v>39559</c:v>
                </c:pt>
                <c:pt idx="235">
                  <c:v>39560</c:v>
                </c:pt>
                <c:pt idx="236">
                  <c:v>39561</c:v>
                </c:pt>
                <c:pt idx="237">
                  <c:v>39562</c:v>
                </c:pt>
                <c:pt idx="238">
                  <c:v>39563</c:v>
                </c:pt>
                <c:pt idx="239">
                  <c:v>39566</c:v>
                </c:pt>
                <c:pt idx="240">
                  <c:v>39567</c:v>
                </c:pt>
                <c:pt idx="241">
                  <c:v>39568</c:v>
                </c:pt>
                <c:pt idx="242">
                  <c:v>39569</c:v>
                </c:pt>
                <c:pt idx="243">
                  <c:v>39570</c:v>
                </c:pt>
                <c:pt idx="244">
                  <c:v>39573</c:v>
                </c:pt>
                <c:pt idx="245">
                  <c:v>39574</c:v>
                </c:pt>
                <c:pt idx="246">
                  <c:v>39575</c:v>
                </c:pt>
                <c:pt idx="247">
                  <c:v>39576</c:v>
                </c:pt>
                <c:pt idx="248">
                  <c:v>39577</c:v>
                </c:pt>
                <c:pt idx="249">
                  <c:v>39580</c:v>
                </c:pt>
                <c:pt idx="250">
                  <c:v>39581</c:v>
                </c:pt>
                <c:pt idx="251">
                  <c:v>39582</c:v>
                </c:pt>
                <c:pt idx="252">
                  <c:v>39583</c:v>
                </c:pt>
                <c:pt idx="253">
                  <c:v>39584</c:v>
                </c:pt>
                <c:pt idx="254">
                  <c:v>39587</c:v>
                </c:pt>
                <c:pt idx="255">
                  <c:v>39588</c:v>
                </c:pt>
                <c:pt idx="256">
                  <c:v>39589</c:v>
                </c:pt>
                <c:pt idx="257">
                  <c:v>39590</c:v>
                </c:pt>
                <c:pt idx="258">
                  <c:v>39591</c:v>
                </c:pt>
                <c:pt idx="259">
                  <c:v>39595</c:v>
                </c:pt>
                <c:pt idx="260">
                  <c:v>39596</c:v>
                </c:pt>
                <c:pt idx="261">
                  <c:v>39597</c:v>
                </c:pt>
                <c:pt idx="262">
                  <c:v>39598</c:v>
                </c:pt>
                <c:pt idx="263">
                  <c:v>39601</c:v>
                </c:pt>
                <c:pt idx="264">
                  <c:v>39602</c:v>
                </c:pt>
                <c:pt idx="265">
                  <c:v>39603</c:v>
                </c:pt>
                <c:pt idx="266">
                  <c:v>39604</c:v>
                </c:pt>
                <c:pt idx="267">
                  <c:v>39605</c:v>
                </c:pt>
                <c:pt idx="268">
                  <c:v>39608</c:v>
                </c:pt>
                <c:pt idx="269">
                  <c:v>39609</c:v>
                </c:pt>
                <c:pt idx="270">
                  <c:v>39610</c:v>
                </c:pt>
                <c:pt idx="271">
                  <c:v>39611</c:v>
                </c:pt>
                <c:pt idx="272">
                  <c:v>39612</c:v>
                </c:pt>
                <c:pt idx="273">
                  <c:v>39615</c:v>
                </c:pt>
                <c:pt idx="274">
                  <c:v>39616</c:v>
                </c:pt>
                <c:pt idx="275">
                  <c:v>39617</c:v>
                </c:pt>
                <c:pt idx="276">
                  <c:v>39618</c:v>
                </c:pt>
                <c:pt idx="277">
                  <c:v>39619</c:v>
                </c:pt>
                <c:pt idx="278">
                  <c:v>39622</c:v>
                </c:pt>
                <c:pt idx="279">
                  <c:v>39623</c:v>
                </c:pt>
                <c:pt idx="280">
                  <c:v>39624</c:v>
                </c:pt>
                <c:pt idx="281">
                  <c:v>39625</c:v>
                </c:pt>
                <c:pt idx="282">
                  <c:v>39626</c:v>
                </c:pt>
                <c:pt idx="283">
                  <c:v>39629</c:v>
                </c:pt>
                <c:pt idx="284">
                  <c:v>39630</c:v>
                </c:pt>
                <c:pt idx="285">
                  <c:v>39631</c:v>
                </c:pt>
                <c:pt idx="286">
                  <c:v>39632</c:v>
                </c:pt>
                <c:pt idx="287">
                  <c:v>39636</c:v>
                </c:pt>
                <c:pt idx="288">
                  <c:v>39637</c:v>
                </c:pt>
                <c:pt idx="289">
                  <c:v>39638</c:v>
                </c:pt>
                <c:pt idx="290">
                  <c:v>39639</c:v>
                </c:pt>
                <c:pt idx="291">
                  <c:v>39640</c:v>
                </c:pt>
                <c:pt idx="292">
                  <c:v>39643</c:v>
                </c:pt>
                <c:pt idx="293">
                  <c:v>39644</c:v>
                </c:pt>
                <c:pt idx="294">
                  <c:v>39645</c:v>
                </c:pt>
                <c:pt idx="295">
                  <c:v>39646</c:v>
                </c:pt>
                <c:pt idx="296">
                  <c:v>39647</c:v>
                </c:pt>
                <c:pt idx="297">
                  <c:v>39650</c:v>
                </c:pt>
                <c:pt idx="298">
                  <c:v>39651</c:v>
                </c:pt>
                <c:pt idx="299">
                  <c:v>39652</c:v>
                </c:pt>
                <c:pt idx="300">
                  <c:v>39653</c:v>
                </c:pt>
                <c:pt idx="301">
                  <c:v>39654</c:v>
                </c:pt>
                <c:pt idx="302">
                  <c:v>39657</c:v>
                </c:pt>
                <c:pt idx="303">
                  <c:v>39658</c:v>
                </c:pt>
                <c:pt idx="304">
                  <c:v>39659</c:v>
                </c:pt>
                <c:pt idx="305">
                  <c:v>39660</c:v>
                </c:pt>
                <c:pt idx="306">
                  <c:v>39661</c:v>
                </c:pt>
                <c:pt idx="307">
                  <c:v>39664</c:v>
                </c:pt>
                <c:pt idx="308">
                  <c:v>39665</c:v>
                </c:pt>
                <c:pt idx="309">
                  <c:v>39666</c:v>
                </c:pt>
                <c:pt idx="310">
                  <c:v>39667</c:v>
                </c:pt>
                <c:pt idx="311">
                  <c:v>39668</c:v>
                </c:pt>
                <c:pt idx="312">
                  <c:v>39671</c:v>
                </c:pt>
                <c:pt idx="313">
                  <c:v>39672</c:v>
                </c:pt>
                <c:pt idx="314">
                  <c:v>39673</c:v>
                </c:pt>
                <c:pt idx="315">
                  <c:v>39674</c:v>
                </c:pt>
                <c:pt idx="316">
                  <c:v>39675</c:v>
                </c:pt>
                <c:pt idx="317">
                  <c:v>39678</c:v>
                </c:pt>
                <c:pt idx="318">
                  <c:v>39679</c:v>
                </c:pt>
                <c:pt idx="319">
                  <c:v>39680</c:v>
                </c:pt>
                <c:pt idx="320">
                  <c:v>39681</c:v>
                </c:pt>
                <c:pt idx="321">
                  <c:v>39682</c:v>
                </c:pt>
                <c:pt idx="322">
                  <c:v>39685</c:v>
                </c:pt>
                <c:pt idx="323">
                  <c:v>39686</c:v>
                </c:pt>
                <c:pt idx="324">
                  <c:v>39687</c:v>
                </c:pt>
                <c:pt idx="325">
                  <c:v>39688</c:v>
                </c:pt>
                <c:pt idx="326">
                  <c:v>39689</c:v>
                </c:pt>
                <c:pt idx="327">
                  <c:v>39693</c:v>
                </c:pt>
                <c:pt idx="328">
                  <c:v>39694</c:v>
                </c:pt>
                <c:pt idx="329">
                  <c:v>39695</c:v>
                </c:pt>
                <c:pt idx="330">
                  <c:v>39696</c:v>
                </c:pt>
                <c:pt idx="331">
                  <c:v>39699</c:v>
                </c:pt>
                <c:pt idx="332">
                  <c:v>39700</c:v>
                </c:pt>
                <c:pt idx="333">
                  <c:v>39701</c:v>
                </c:pt>
                <c:pt idx="334">
                  <c:v>39702</c:v>
                </c:pt>
                <c:pt idx="335">
                  <c:v>39703</c:v>
                </c:pt>
                <c:pt idx="336">
                  <c:v>39706</c:v>
                </c:pt>
                <c:pt idx="337">
                  <c:v>39707</c:v>
                </c:pt>
                <c:pt idx="338">
                  <c:v>39708</c:v>
                </c:pt>
                <c:pt idx="339">
                  <c:v>39709</c:v>
                </c:pt>
                <c:pt idx="340">
                  <c:v>39710</c:v>
                </c:pt>
                <c:pt idx="341">
                  <c:v>39713</c:v>
                </c:pt>
                <c:pt idx="342">
                  <c:v>39714</c:v>
                </c:pt>
                <c:pt idx="343">
                  <c:v>39715</c:v>
                </c:pt>
                <c:pt idx="344">
                  <c:v>39716</c:v>
                </c:pt>
                <c:pt idx="345">
                  <c:v>39717</c:v>
                </c:pt>
                <c:pt idx="346">
                  <c:v>39720</c:v>
                </c:pt>
                <c:pt idx="347">
                  <c:v>39721</c:v>
                </c:pt>
                <c:pt idx="348">
                  <c:v>39722</c:v>
                </c:pt>
                <c:pt idx="349">
                  <c:v>39723</c:v>
                </c:pt>
                <c:pt idx="350">
                  <c:v>39724</c:v>
                </c:pt>
                <c:pt idx="351">
                  <c:v>39727</c:v>
                </c:pt>
                <c:pt idx="352">
                  <c:v>39728</c:v>
                </c:pt>
                <c:pt idx="353">
                  <c:v>39729</c:v>
                </c:pt>
                <c:pt idx="354">
                  <c:v>39730</c:v>
                </c:pt>
                <c:pt idx="355">
                  <c:v>39731</c:v>
                </c:pt>
                <c:pt idx="356">
                  <c:v>39734</c:v>
                </c:pt>
                <c:pt idx="357">
                  <c:v>39735</c:v>
                </c:pt>
                <c:pt idx="358">
                  <c:v>39736</c:v>
                </c:pt>
                <c:pt idx="359">
                  <c:v>39737</c:v>
                </c:pt>
                <c:pt idx="360">
                  <c:v>39738</c:v>
                </c:pt>
                <c:pt idx="361">
                  <c:v>39741</c:v>
                </c:pt>
                <c:pt idx="362">
                  <c:v>39742</c:v>
                </c:pt>
                <c:pt idx="363">
                  <c:v>39743</c:v>
                </c:pt>
                <c:pt idx="364">
                  <c:v>39744</c:v>
                </c:pt>
                <c:pt idx="365">
                  <c:v>39745</c:v>
                </c:pt>
                <c:pt idx="366">
                  <c:v>39748</c:v>
                </c:pt>
                <c:pt idx="367">
                  <c:v>39749</c:v>
                </c:pt>
                <c:pt idx="368">
                  <c:v>39750</c:v>
                </c:pt>
                <c:pt idx="369">
                  <c:v>39751</c:v>
                </c:pt>
                <c:pt idx="370">
                  <c:v>39752</c:v>
                </c:pt>
                <c:pt idx="371">
                  <c:v>39755</c:v>
                </c:pt>
                <c:pt idx="372">
                  <c:v>39756</c:v>
                </c:pt>
                <c:pt idx="373">
                  <c:v>39757</c:v>
                </c:pt>
                <c:pt idx="374">
                  <c:v>39758</c:v>
                </c:pt>
                <c:pt idx="375">
                  <c:v>39759</c:v>
                </c:pt>
                <c:pt idx="376">
                  <c:v>39762</c:v>
                </c:pt>
                <c:pt idx="377">
                  <c:v>39763</c:v>
                </c:pt>
                <c:pt idx="378">
                  <c:v>39764</c:v>
                </c:pt>
                <c:pt idx="379">
                  <c:v>39765</c:v>
                </c:pt>
                <c:pt idx="380">
                  <c:v>39766</c:v>
                </c:pt>
                <c:pt idx="381">
                  <c:v>39769</c:v>
                </c:pt>
                <c:pt idx="382">
                  <c:v>39770</c:v>
                </c:pt>
                <c:pt idx="383">
                  <c:v>39771</c:v>
                </c:pt>
                <c:pt idx="384">
                  <c:v>39772</c:v>
                </c:pt>
                <c:pt idx="385">
                  <c:v>39773</c:v>
                </c:pt>
                <c:pt idx="386">
                  <c:v>39776</c:v>
                </c:pt>
                <c:pt idx="387">
                  <c:v>39777</c:v>
                </c:pt>
                <c:pt idx="388">
                  <c:v>39778</c:v>
                </c:pt>
                <c:pt idx="389">
                  <c:v>39780</c:v>
                </c:pt>
                <c:pt idx="390">
                  <c:v>39783</c:v>
                </c:pt>
                <c:pt idx="391">
                  <c:v>39784</c:v>
                </c:pt>
                <c:pt idx="392">
                  <c:v>39785</c:v>
                </c:pt>
                <c:pt idx="393">
                  <c:v>39786</c:v>
                </c:pt>
                <c:pt idx="394">
                  <c:v>39787</c:v>
                </c:pt>
                <c:pt idx="395">
                  <c:v>39790</c:v>
                </c:pt>
                <c:pt idx="396">
                  <c:v>39791</c:v>
                </c:pt>
                <c:pt idx="397">
                  <c:v>39792</c:v>
                </c:pt>
                <c:pt idx="398">
                  <c:v>39793</c:v>
                </c:pt>
                <c:pt idx="399">
                  <c:v>39794</c:v>
                </c:pt>
                <c:pt idx="400">
                  <c:v>39797</c:v>
                </c:pt>
                <c:pt idx="401">
                  <c:v>39798</c:v>
                </c:pt>
                <c:pt idx="402">
                  <c:v>39799</c:v>
                </c:pt>
                <c:pt idx="403">
                  <c:v>39800</c:v>
                </c:pt>
                <c:pt idx="404">
                  <c:v>39801</c:v>
                </c:pt>
                <c:pt idx="405">
                  <c:v>39804</c:v>
                </c:pt>
                <c:pt idx="406">
                  <c:v>39805</c:v>
                </c:pt>
                <c:pt idx="407">
                  <c:v>39806</c:v>
                </c:pt>
                <c:pt idx="408">
                  <c:v>39808</c:v>
                </c:pt>
                <c:pt idx="409">
                  <c:v>39811</c:v>
                </c:pt>
                <c:pt idx="410">
                  <c:v>39812</c:v>
                </c:pt>
                <c:pt idx="411">
                  <c:v>39813</c:v>
                </c:pt>
                <c:pt idx="412">
                  <c:v>39815</c:v>
                </c:pt>
                <c:pt idx="413">
                  <c:v>39818</c:v>
                </c:pt>
                <c:pt idx="414">
                  <c:v>39819</c:v>
                </c:pt>
                <c:pt idx="415">
                  <c:v>39820</c:v>
                </c:pt>
                <c:pt idx="416">
                  <c:v>39821</c:v>
                </c:pt>
                <c:pt idx="417">
                  <c:v>39822</c:v>
                </c:pt>
                <c:pt idx="418">
                  <c:v>39825</c:v>
                </c:pt>
                <c:pt idx="419">
                  <c:v>39826</c:v>
                </c:pt>
                <c:pt idx="420">
                  <c:v>39827</c:v>
                </c:pt>
                <c:pt idx="421">
                  <c:v>39828</c:v>
                </c:pt>
                <c:pt idx="422">
                  <c:v>39829</c:v>
                </c:pt>
                <c:pt idx="423">
                  <c:v>39833</c:v>
                </c:pt>
                <c:pt idx="424">
                  <c:v>39834</c:v>
                </c:pt>
                <c:pt idx="425">
                  <c:v>39835</c:v>
                </c:pt>
                <c:pt idx="426">
                  <c:v>39836</c:v>
                </c:pt>
                <c:pt idx="427">
                  <c:v>39839</c:v>
                </c:pt>
                <c:pt idx="428">
                  <c:v>39840</c:v>
                </c:pt>
                <c:pt idx="429">
                  <c:v>39841</c:v>
                </c:pt>
                <c:pt idx="430">
                  <c:v>39842</c:v>
                </c:pt>
                <c:pt idx="431">
                  <c:v>39843</c:v>
                </c:pt>
                <c:pt idx="432">
                  <c:v>39846</c:v>
                </c:pt>
                <c:pt idx="433">
                  <c:v>39847</c:v>
                </c:pt>
                <c:pt idx="434">
                  <c:v>39848</c:v>
                </c:pt>
                <c:pt idx="435">
                  <c:v>39849</c:v>
                </c:pt>
                <c:pt idx="436">
                  <c:v>39850</c:v>
                </c:pt>
                <c:pt idx="437">
                  <c:v>39853</c:v>
                </c:pt>
                <c:pt idx="438">
                  <c:v>39854</c:v>
                </c:pt>
                <c:pt idx="439">
                  <c:v>39855</c:v>
                </c:pt>
                <c:pt idx="440">
                  <c:v>39856</c:v>
                </c:pt>
                <c:pt idx="441">
                  <c:v>39857</c:v>
                </c:pt>
                <c:pt idx="442">
                  <c:v>39861</c:v>
                </c:pt>
                <c:pt idx="443">
                  <c:v>39862</c:v>
                </c:pt>
                <c:pt idx="444">
                  <c:v>39863</c:v>
                </c:pt>
                <c:pt idx="445">
                  <c:v>39864</c:v>
                </c:pt>
                <c:pt idx="446">
                  <c:v>39867</c:v>
                </c:pt>
                <c:pt idx="447">
                  <c:v>39868</c:v>
                </c:pt>
                <c:pt idx="448">
                  <c:v>39869</c:v>
                </c:pt>
                <c:pt idx="449">
                  <c:v>39870</c:v>
                </c:pt>
                <c:pt idx="450">
                  <c:v>39871</c:v>
                </c:pt>
                <c:pt idx="451">
                  <c:v>39874</c:v>
                </c:pt>
                <c:pt idx="452">
                  <c:v>39875</c:v>
                </c:pt>
                <c:pt idx="453">
                  <c:v>39876</c:v>
                </c:pt>
                <c:pt idx="454">
                  <c:v>39877</c:v>
                </c:pt>
                <c:pt idx="455">
                  <c:v>39878</c:v>
                </c:pt>
                <c:pt idx="456">
                  <c:v>39881</c:v>
                </c:pt>
                <c:pt idx="457">
                  <c:v>39882</c:v>
                </c:pt>
                <c:pt idx="458">
                  <c:v>39883</c:v>
                </c:pt>
                <c:pt idx="459">
                  <c:v>39884</c:v>
                </c:pt>
                <c:pt idx="460">
                  <c:v>39885</c:v>
                </c:pt>
                <c:pt idx="461">
                  <c:v>39888</c:v>
                </c:pt>
                <c:pt idx="462">
                  <c:v>39889</c:v>
                </c:pt>
                <c:pt idx="463">
                  <c:v>39890</c:v>
                </c:pt>
                <c:pt idx="464">
                  <c:v>39891</c:v>
                </c:pt>
                <c:pt idx="465">
                  <c:v>39892</c:v>
                </c:pt>
                <c:pt idx="466">
                  <c:v>39895</c:v>
                </c:pt>
                <c:pt idx="467">
                  <c:v>39896</c:v>
                </c:pt>
                <c:pt idx="468">
                  <c:v>39897</c:v>
                </c:pt>
                <c:pt idx="469">
                  <c:v>39898</c:v>
                </c:pt>
                <c:pt idx="470">
                  <c:v>39899</c:v>
                </c:pt>
                <c:pt idx="471">
                  <c:v>39902</c:v>
                </c:pt>
                <c:pt idx="472">
                  <c:v>39903</c:v>
                </c:pt>
                <c:pt idx="473">
                  <c:v>39904</c:v>
                </c:pt>
                <c:pt idx="474">
                  <c:v>39905</c:v>
                </c:pt>
                <c:pt idx="475">
                  <c:v>39906</c:v>
                </c:pt>
                <c:pt idx="476">
                  <c:v>39909</c:v>
                </c:pt>
                <c:pt idx="477">
                  <c:v>39910</c:v>
                </c:pt>
                <c:pt idx="478">
                  <c:v>39911</c:v>
                </c:pt>
                <c:pt idx="479">
                  <c:v>39912</c:v>
                </c:pt>
                <c:pt idx="480">
                  <c:v>39916</c:v>
                </c:pt>
                <c:pt idx="481">
                  <c:v>39917</c:v>
                </c:pt>
                <c:pt idx="482">
                  <c:v>39918</c:v>
                </c:pt>
                <c:pt idx="483">
                  <c:v>39919</c:v>
                </c:pt>
                <c:pt idx="484">
                  <c:v>39920</c:v>
                </c:pt>
                <c:pt idx="485">
                  <c:v>39923</c:v>
                </c:pt>
                <c:pt idx="486">
                  <c:v>39924</c:v>
                </c:pt>
                <c:pt idx="487">
                  <c:v>39925</c:v>
                </c:pt>
                <c:pt idx="488">
                  <c:v>39926</c:v>
                </c:pt>
                <c:pt idx="489">
                  <c:v>39927</c:v>
                </c:pt>
                <c:pt idx="490">
                  <c:v>39930</c:v>
                </c:pt>
                <c:pt idx="491">
                  <c:v>39931</c:v>
                </c:pt>
                <c:pt idx="492">
                  <c:v>39932</c:v>
                </c:pt>
                <c:pt idx="493">
                  <c:v>39933</c:v>
                </c:pt>
                <c:pt idx="494">
                  <c:v>39934</c:v>
                </c:pt>
                <c:pt idx="495">
                  <c:v>39937</c:v>
                </c:pt>
                <c:pt idx="496">
                  <c:v>39938</c:v>
                </c:pt>
                <c:pt idx="497">
                  <c:v>39939</c:v>
                </c:pt>
                <c:pt idx="498">
                  <c:v>39940</c:v>
                </c:pt>
                <c:pt idx="499">
                  <c:v>39941</c:v>
                </c:pt>
                <c:pt idx="500">
                  <c:v>39944</c:v>
                </c:pt>
                <c:pt idx="501">
                  <c:v>39945</c:v>
                </c:pt>
                <c:pt idx="502">
                  <c:v>39946</c:v>
                </c:pt>
                <c:pt idx="503">
                  <c:v>39947</c:v>
                </c:pt>
                <c:pt idx="504">
                  <c:v>39948</c:v>
                </c:pt>
                <c:pt idx="505">
                  <c:v>39951</c:v>
                </c:pt>
                <c:pt idx="506">
                  <c:v>39952</c:v>
                </c:pt>
                <c:pt idx="507">
                  <c:v>39953</c:v>
                </c:pt>
                <c:pt idx="508">
                  <c:v>39954</c:v>
                </c:pt>
                <c:pt idx="509">
                  <c:v>39955</c:v>
                </c:pt>
                <c:pt idx="510">
                  <c:v>39959</c:v>
                </c:pt>
                <c:pt idx="511">
                  <c:v>39960</c:v>
                </c:pt>
                <c:pt idx="512">
                  <c:v>39961</c:v>
                </c:pt>
                <c:pt idx="513">
                  <c:v>39962</c:v>
                </c:pt>
                <c:pt idx="514">
                  <c:v>39965</c:v>
                </c:pt>
                <c:pt idx="515">
                  <c:v>39966</c:v>
                </c:pt>
                <c:pt idx="516">
                  <c:v>39967</c:v>
                </c:pt>
                <c:pt idx="517">
                  <c:v>39968</c:v>
                </c:pt>
                <c:pt idx="518">
                  <c:v>39969</c:v>
                </c:pt>
                <c:pt idx="519">
                  <c:v>39972</c:v>
                </c:pt>
                <c:pt idx="520">
                  <c:v>39973</c:v>
                </c:pt>
                <c:pt idx="521">
                  <c:v>39974</c:v>
                </c:pt>
                <c:pt idx="522">
                  <c:v>39975</c:v>
                </c:pt>
                <c:pt idx="523">
                  <c:v>39976</c:v>
                </c:pt>
                <c:pt idx="524">
                  <c:v>39979</c:v>
                </c:pt>
                <c:pt idx="525">
                  <c:v>39980</c:v>
                </c:pt>
                <c:pt idx="526">
                  <c:v>39981</c:v>
                </c:pt>
                <c:pt idx="527">
                  <c:v>39982</c:v>
                </c:pt>
                <c:pt idx="528">
                  <c:v>39983</c:v>
                </c:pt>
                <c:pt idx="529">
                  <c:v>39986</c:v>
                </c:pt>
                <c:pt idx="530">
                  <c:v>39987</c:v>
                </c:pt>
                <c:pt idx="531">
                  <c:v>39988</c:v>
                </c:pt>
                <c:pt idx="532">
                  <c:v>39989</c:v>
                </c:pt>
                <c:pt idx="533">
                  <c:v>39990</c:v>
                </c:pt>
                <c:pt idx="534">
                  <c:v>39993</c:v>
                </c:pt>
                <c:pt idx="535">
                  <c:v>39994</c:v>
                </c:pt>
                <c:pt idx="536">
                  <c:v>39995</c:v>
                </c:pt>
                <c:pt idx="537">
                  <c:v>39996</c:v>
                </c:pt>
                <c:pt idx="538">
                  <c:v>40000</c:v>
                </c:pt>
                <c:pt idx="539">
                  <c:v>40001</c:v>
                </c:pt>
                <c:pt idx="540">
                  <c:v>40002</c:v>
                </c:pt>
                <c:pt idx="541">
                  <c:v>40003</c:v>
                </c:pt>
                <c:pt idx="542">
                  <c:v>40004</c:v>
                </c:pt>
                <c:pt idx="543">
                  <c:v>40007</c:v>
                </c:pt>
                <c:pt idx="544">
                  <c:v>40008</c:v>
                </c:pt>
                <c:pt idx="545">
                  <c:v>40009</c:v>
                </c:pt>
                <c:pt idx="546">
                  <c:v>40010</c:v>
                </c:pt>
                <c:pt idx="547">
                  <c:v>40011</c:v>
                </c:pt>
                <c:pt idx="548">
                  <c:v>40014</c:v>
                </c:pt>
                <c:pt idx="549">
                  <c:v>40015</c:v>
                </c:pt>
                <c:pt idx="550">
                  <c:v>40016</c:v>
                </c:pt>
                <c:pt idx="551">
                  <c:v>40017</c:v>
                </c:pt>
                <c:pt idx="552">
                  <c:v>40018</c:v>
                </c:pt>
                <c:pt idx="553">
                  <c:v>40021</c:v>
                </c:pt>
                <c:pt idx="554">
                  <c:v>40022</c:v>
                </c:pt>
                <c:pt idx="555">
                  <c:v>40023</c:v>
                </c:pt>
                <c:pt idx="556">
                  <c:v>40024</c:v>
                </c:pt>
                <c:pt idx="557">
                  <c:v>40025</c:v>
                </c:pt>
                <c:pt idx="558">
                  <c:v>40028</c:v>
                </c:pt>
                <c:pt idx="559">
                  <c:v>40029</c:v>
                </c:pt>
                <c:pt idx="560">
                  <c:v>40030</c:v>
                </c:pt>
                <c:pt idx="561">
                  <c:v>40031</c:v>
                </c:pt>
                <c:pt idx="562">
                  <c:v>40032</c:v>
                </c:pt>
                <c:pt idx="563">
                  <c:v>40035</c:v>
                </c:pt>
                <c:pt idx="564">
                  <c:v>40036</c:v>
                </c:pt>
                <c:pt idx="565">
                  <c:v>40037</c:v>
                </c:pt>
                <c:pt idx="566">
                  <c:v>40038</c:v>
                </c:pt>
                <c:pt idx="567">
                  <c:v>40039</c:v>
                </c:pt>
                <c:pt idx="568">
                  <c:v>40042</c:v>
                </c:pt>
                <c:pt idx="569">
                  <c:v>40043</c:v>
                </c:pt>
                <c:pt idx="570">
                  <c:v>40044</c:v>
                </c:pt>
                <c:pt idx="571">
                  <c:v>40045</c:v>
                </c:pt>
                <c:pt idx="572">
                  <c:v>40046</c:v>
                </c:pt>
                <c:pt idx="573">
                  <c:v>40049</c:v>
                </c:pt>
                <c:pt idx="574">
                  <c:v>40050</c:v>
                </c:pt>
                <c:pt idx="575">
                  <c:v>40051</c:v>
                </c:pt>
                <c:pt idx="576">
                  <c:v>40052</c:v>
                </c:pt>
                <c:pt idx="577">
                  <c:v>40053</c:v>
                </c:pt>
                <c:pt idx="578">
                  <c:v>40056</c:v>
                </c:pt>
                <c:pt idx="579">
                  <c:v>40057</c:v>
                </c:pt>
                <c:pt idx="580">
                  <c:v>40058</c:v>
                </c:pt>
                <c:pt idx="581">
                  <c:v>40059</c:v>
                </c:pt>
                <c:pt idx="582">
                  <c:v>40060</c:v>
                </c:pt>
                <c:pt idx="583">
                  <c:v>40064</c:v>
                </c:pt>
                <c:pt idx="584">
                  <c:v>40065</c:v>
                </c:pt>
                <c:pt idx="585">
                  <c:v>40066</c:v>
                </c:pt>
                <c:pt idx="586">
                  <c:v>40067</c:v>
                </c:pt>
                <c:pt idx="587">
                  <c:v>40070</c:v>
                </c:pt>
                <c:pt idx="588">
                  <c:v>40071</c:v>
                </c:pt>
                <c:pt idx="589">
                  <c:v>40072</c:v>
                </c:pt>
                <c:pt idx="590">
                  <c:v>40073</c:v>
                </c:pt>
                <c:pt idx="591">
                  <c:v>40074</c:v>
                </c:pt>
                <c:pt idx="592">
                  <c:v>40077</c:v>
                </c:pt>
                <c:pt idx="593">
                  <c:v>40078</c:v>
                </c:pt>
                <c:pt idx="594">
                  <c:v>40079</c:v>
                </c:pt>
                <c:pt idx="595">
                  <c:v>40080</c:v>
                </c:pt>
                <c:pt idx="596">
                  <c:v>40081</c:v>
                </c:pt>
                <c:pt idx="597">
                  <c:v>40084</c:v>
                </c:pt>
                <c:pt idx="598">
                  <c:v>40085</c:v>
                </c:pt>
                <c:pt idx="599">
                  <c:v>40086</c:v>
                </c:pt>
                <c:pt idx="600">
                  <c:v>40087</c:v>
                </c:pt>
                <c:pt idx="601">
                  <c:v>40088</c:v>
                </c:pt>
                <c:pt idx="602">
                  <c:v>40091</c:v>
                </c:pt>
                <c:pt idx="603">
                  <c:v>40092</c:v>
                </c:pt>
                <c:pt idx="604">
                  <c:v>40093</c:v>
                </c:pt>
                <c:pt idx="605">
                  <c:v>40094</c:v>
                </c:pt>
                <c:pt idx="606">
                  <c:v>40095</c:v>
                </c:pt>
                <c:pt idx="607">
                  <c:v>40098</c:v>
                </c:pt>
                <c:pt idx="608">
                  <c:v>40099</c:v>
                </c:pt>
                <c:pt idx="609">
                  <c:v>40100</c:v>
                </c:pt>
                <c:pt idx="610">
                  <c:v>40101</c:v>
                </c:pt>
                <c:pt idx="611">
                  <c:v>40102</c:v>
                </c:pt>
                <c:pt idx="612">
                  <c:v>40105</c:v>
                </c:pt>
                <c:pt idx="613">
                  <c:v>40106</c:v>
                </c:pt>
                <c:pt idx="614">
                  <c:v>40107</c:v>
                </c:pt>
                <c:pt idx="615">
                  <c:v>40108</c:v>
                </c:pt>
                <c:pt idx="616">
                  <c:v>40109</c:v>
                </c:pt>
                <c:pt idx="617">
                  <c:v>40112</c:v>
                </c:pt>
                <c:pt idx="618">
                  <c:v>40113</c:v>
                </c:pt>
                <c:pt idx="619">
                  <c:v>40114</c:v>
                </c:pt>
                <c:pt idx="620">
                  <c:v>40115</c:v>
                </c:pt>
                <c:pt idx="621">
                  <c:v>40116</c:v>
                </c:pt>
                <c:pt idx="622">
                  <c:v>40119</c:v>
                </c:pt>
                <c:pt idx="623">
                  <c:v>40120</c:v>
                </c:pt>
                <c:pt idx="624">
                  <c:v>40121</c:v>
                </c:pt>
                <c:pt idx="625">
                  <c:v>40122</c:v>
                </c:pt>
                <c:pt idx="626">
                  <c:v>40123</c:v>
                </c:pt>
                <c:pt idx="627">
                  <c:v>40126</c:v>
                </c:pt>
                <c:pt idx="628">
                  <c:v>40127</c:v>
                </c:pt>
                <c:pt idx="629">
                  <c:v>40128</c:v>
                </c:pt>
                <c:pt idx="630">
                  <c:v>40129</c:v>
                </c:pt>
                <c:pt idx="631">
                  <c:v>40130</c:v>
                </c:pt>
                <c:pt idx="632">
                  <c:v>40133</c:v>
                </c:pt>
                <c:pt idx="633">
                  <c:v>40134</c:v>
                </c:pt>
                <c:pt idx="634">
                  <c:v>40135</c:v>
                </c:pt>
                <c:pt idx="635">
                  <c:v>40136</c:v>
                </c:pt>
                <c:pt idx="636">
                  <c:v>40137</c:v>
                </c:pt>
                <c:pt idx="637">
                  <c:v>40140</c:v>
                </c:pt>
                <c:pt idx="638">
                  <c:v>40141</c:v>
                </c:pt>
                <c:pt idx="639">
                  <c:v>40142</c:v>
                </c:pt>
                <c:pt idx="640">
                  <c:v>40144</c:v>
                </c:pt>
                <c:pt idx="641">
                  <c:v>40147</c:v>
                </c:pt>
                <c:pt idx="642">
                  <c:v>40148</c:v>
                </c:pt>
                <c:pt idx="643">
                  <c:v>40149</c:v>
                </c:pt>
                <c:pt idx="644">
                  <c:v>40150</c:v>
                </c:pt>
                <c:pt idx="645">
                  <c:v>40151</c:v>
                </c:pt>
                <c:pt idx="646">
                  <c:v>40154</c:v>
                </c:pt>
                <c:pt idx="647">
                  <c:v>40155</c:v>
                </c:pt>
                <c:pt idx="648">
                  <c:v>40156</c:v>
                </c:pt>
                <c:pt idx="649">
                  <c:v>40157</c:v>
                </c:pt>
                <c:pt idx="650">
                  <c:v>40158</c:v>
                </c:pt>
                <c:pt idx="651">
                  <c:v>40161</c:v>
                </c:pt>
                <c:pt idx="652">
                  <c:v>40162</c:v>
                </c:pt>
                <c:pt idx="653">
                  <c:v>40163</c:v>
                </c:pt>
                <c:pt idx="654">
                  <c:v>40164</c:v>
                </c:pt>
                <c:pt idx="655">
                  <c:v>40165</c:v>
                </c:pt>
                <c:pt idx="656">
                  <c:v>40168</c:v>
                </c:pt>
                <c:pt idx="657">
                  <c:v>40169</c:v>
                </c:pt>
                <c:pt idx="658">
                  <c:v>40170</c:v>
                </c:pt>
                <c:pt idx="659">
                  <c:v>40171</c:v>
                </c:pt>
                <c:pt idx="660">
                  <c:v>40175</c:v>
                </c:pt>
                <c:pt idx="661">
                  <c:v>40176</c:v>
                </c:pt>
                <c:pt idx="662">
                  <c:v>40177</c:v>
                </c:pt>
                <c:pt idx="663">
                  <c:v>40178</c:v>
                </c:pt>
                <c:pt idx="664">
                  <c:v>40182</c:v>
                </c:pt>
                <c:pt idx="665">
                  <c:v>40183</c:v>
                </c:pt>
                <c:pt idx="666">
                  <c:v>40184</c:v>
                </c:pt>
                <c:pt idx="667">
                  <c:v>40185</c:v>
                </c:pt>
                <c:pt idx="668">
                  <c:v>40186</c:v>
                </c:pt>
                <c:pt idx="669">
                  <c:v>40189</c:v>
                </c:pt>
                <c:pt idx="670">
                  <c:v>40190</c:v>
                </c:pt>
                <c:pt idx="671">
                  <c:v>40191</c:v>
                </c:pt>
                <c:pt idx="672">
                  <c:v>40192</c:v>
                </c:pt>
                <c:pt idx="673">
                  <c:v>40193</c:v>
                </c:pt>
                <c:pt idx="674">
                  <c:v>40197</c:v>
                </c:pt>
                <c:pt idx="675">
                  <c:v>40198</c:v>
                </c:pt>
                <c:pt idx="676">
                  <c:v>40199</c:v>
                </c:pt>
                <c:pt idx="677">
                  <c:v>40200</c:v>
                </c:pt>
                <c:pt idx="678">
                  <c:v>40203</c:v>
                </c:pt>
                <c:pt idx="679">
                  <c:v>40204</c:v>
                </c:pt>
                <c:pt idx="680">
                  <c:v>40205</c:v>
                </c:pt>
                <c:pt idx="681">
                  <c:v>40206</c:v>
                </c:pt>
                <c:pt idx="682">
                  <c:v>40207</c:v>
                </c:pt>
                <c:pt idx="683">
                  <c:v>40210</c:v>
                </c:pt>
                <c:pt idx="684">
                  <c:v>40211</c:v>
                </c:pt>
                <c:pt idx="685">
                  <c:v>40212</c:v>
                </c:pt>
                <c:pt idx="686">
                  <c:v>40213</c:v>
                </c:pt>
                <c:pt idx="687">
                  <c:v>40214</c:v>
                </c:pt>
                <c:pt idx="688">
                  <c:v>40217</c:v>
                </c:pt>
                <c:pt idx="689">
                  <c:v>40218</c:v>
                </c:pt>
                <c:pt idx="690">
                  <c:v>40219</c:v>
                </c:pt>
                <c:pt idx="691">
                  <c:v>40220</c:v>
                </c:pt>
                <c:pt idx="692">
                  <c:v>40221</c:v>
                </c:pt>
                <c:pt idx="693">
                  <c:v>40225</c:v>
                </c:pt>
                <c:pt idx="694">
                  <c:v>40226</c:v>
                </c:pt>
                <c:pt idx="695">
                  <c:v>40227</c:v>
                </c:pt>
                <c:pt idx="696">
                  <c:v>40228</c:v>
                </c:pt>
                <c:pt idx="697">
                  <c:v>40231</c:v>
                </c:pt>
                <c:pt idx="698">
                  <c:v>40232</c:v>
                </c:pt>
                <c:pt idx="699">
                  <c:v>40233</c:v>
                </c:pt>
                <c:pt idx="700">
                  <c:v>40234</c:v>
                </c:pt>
                <c:pt idx="701">
                  <c:v>40235</c:v>
                </c:pt>
                <c:pt idx="702">
                  <c:v>40238</c:v>
                </c:pt>
                <c:pt idx="703">
                  <c:v>40239</c:v>
                </c:pt>
                <c:pt idx="704">
                  <c:v>40240</c:v>
                </c:pt>
                <c:pt idx="705">
                  <c:v>40241</c:v>
                </c:pt>
                <c:pt idx="706">
                  <c:v>40242</c:v>
                </c:pt>
                <c:pt idx="707">
                  <c:v>40245</c:v>
                </c:pt>
                <c:pt idx="708">
                  <c:v>40246</c:v>
                </c:pt>
                <c:pt idx="709">
                  <c:v>40247</c:v>
                </c:pt>
                <c:pt idx="710">
                  <c:v>40248</c:v>
                </c:pt>
                <c:pt idx="711">
                  <c:v>40249</c:v>
                </c:pt>
                <c:pt idx="712">
                  <c:v>40252</c:v>
                </c:pt>
                <c:pt idx="713">
                  <c:v>40253</c:v>
                </c:pt>
                <c:pt idx="714">
                  <c:v>40254</c:v>
                </c:pt>
                <c:pt idx="715">
                  <c:v>40255</c:v>
                </c:pt>
                <c:pt idx="716">
                  <c:v>40256</c:v>
                </c:pt>
                <c:pt idx="717">
                  <c:v>40259</c:v>
                </c:pt>
                <c:pt idx="718">
                  <c:v>40260</c:v>
                </c:pt>
                <c:pt idx="719">
                  <c:v>40261</c:v>
                </c:pt>
                <c:pt idx="720">
                  <c:v>40262</c:v>
                </c:pt>
                <c:pt idx="721">
                  <c:v>40263</c:v>
                </c:pt>
                <c:pt idx="722">
                  <c:v>40266</c:v>
                </c:pt>
                <c:pt idx="723">
                  <c:v>40267</c:v>
                </c:pt>
                <c:pt idx="724">
                  <c:v>40268</c:v>
                </c:pt>
                <c:pt idx="725">
                  <c:v>40269</c:v>
                </c:pt>
                <c:pt idx="726">
                  <c:v>40273</c:v>
                </c:pt>
                <c:pt idx="727">
                  <c:v>40274</c:v>
                </c:pt>
                <c:pt idx="728">
                  <c:v>40275</c:v>
                </c:pt>
                <c:pt idx="729">
                  <c:v>40276</c:v>
                </c:pt>
                <c:pt idx="730">
                  <c:v>40277</c:v>
                </c:pt>
                <c:pt idx="731">
                  <c:v>40280</c:v>
                </c:pt>
                <c:pt idx="732">
                  <c:v>40281</c:v>
                </c:pt>
                <c:pt idx="733">
                  <c:v>40282</c:v>
                </c:pt>
                <c:pt idx="734">
                  <c:v>40283</c:v>
                </c:pt>
                <c:pt idx="735">
                  <c:v>40284</c:v>
                </c:pt>
                <c:pt idx="736">
                  <c:v>40287</c:v>
                </c:pt>
                <c:pt idx="737">
                  <c:v>40288</c:v>
                </c:pt>
                <c:pt idx="738">
                  <c:v>40289</c:v>
                </c:pt>
                <c:pt idx="739">
                  <c:v>40290</c:v>
                </c:pt>
                <c:pt idx="740">
                  <c:v>40291</c:v>
                </c:pt>
                <c:pt idx="741">
                  <c:v>40294</c:v>
                </c:pt>
                <c:pt idx="742">
                  <c:v>40295</c:v>
                </c:pt>
                <c:pt idx="743">
                  <c:v>40296</c:v>
                </c:pt>
                <c:pt idx="744">
                  <c:v>40297</c:v>
                </c:pt>
                <c:pt idx="745">
                  <c:v>40298</c:v>
                </c:pt>
                <c:pt idx="746">
                  <c:v>40301</c:v>
                </c:pt>
                <c:pt idx="747">
                  <c:v>40302</c:v>
                </c:pt>
                <c:pt idx="748">
                  <c:v>40303</c:v>
                </c:pt>
                <c:pt idx="749">
                  <c:v>40304</c:v>
                </c:pt>
                <c:pt idx="750">
                  <c:v>40305</c:v>
                </c:pt>
                <c:pt idx="751">
                  <c:v>40308</c:v>
                </c:pt>
                <c:pt idx="752">
                  <c:v>40309</c:v>
                </c:pt>
                <c:pt idx="753">
                  <c:v>40310</c:v>
                </c:pt>
                <c:pt idx="754">
                  <c:v>40311</c:v>
                </c:pt>
                <c:pt idx="755">
                  <c:v>40312</c:v>
                </c:pt>
                <c:pt idx="756">
                  <c:v>40315</c:v>
                </c:pt>
                <c:pt idx="757">
                  <c:v>40316</c:v>
                </c:pt>
                <c:pt idx="758">
                  <c:v>40317</c:v>
                </c:pt>
                <c:pt idx="759">
                  <c:v>40318</c:v>
                </c:pt>
                <c:pt idx="760">
                  <c:v>40319</c:v>
                </c:pt>
                <c:pt idx="761">
                  <c:v>40322</c:v>
                </c:pt>
                <c:pt idx="762">
                  <c:v>40323</c:v>
                </c:pt>
                <c:pt idx="763">
                  <c:v>40324</c:v>
                </c:pt>
                <c:pt idx="764">
                  <c:v>40325</c:v>
                </c:pt>
                <c:pt idx="765">
                  <c:v>40326</c:v>
                </c:pt>
                <c:pt idx="766">
                  <c:v>40330</c:v>
                </c:pt>
                <c:pt idx="767">
                  <c:v>40331</c:v>
                </c:pt>
                <c:pt idx="768">
                  <c:v>40332</c:v>
                </c:pt>
                <c:pt idx="769">
                  <c:v>40333</c:v>
                </c:pt>
                <c:pt idx="770">
                  <c:v>40336</c:v>
                </c:pt>
                <c:pt idx="771">
                  <c:v>40337</c:v>
                </c:pt>
                <c:pt idx="772">
                  <c:v>40338</c:v>
                </c:pt>
                <c:pt idx="773">
                  <c:v>40339</c:v>
                </c:pt>
                <c:pt idx="774">
                  <c:v>40340</c:v>
                </c:pt>
                <c:pt idx="775">
                  <c:v>40343</c:v>
                </c:pt>
                <c:pt idx="776">
                  <c:v>40344</c:v>
                </c:pt>
                <c:pt idx="777">
                  <c:v>40345</c:v>
                </c:pt>
                <c:pt idx="778">
                  <c:v>40346</c:v>
                </c:pt>
                <c:pt idx="779">
                  <c:v>40347</c:v>
                </c:pt>
                <c:pt idx="780">
                  <c:v>40350</c:v>
                </c:pt>
                <c:pt idx="781">
                  <c:v>40351</c:v>
                </c:pt>
                <c:pt idx="782">
                  <c:v>40352</c:v>
                </c:pt>
                <c:pt idx="783">
                  <c:v>40353</c:v>
                </c:pt>
                <c:pt idx="784">
                  <c:v>40354</c:v>
                </c:pt>
                <c:pt idx="785">
                  <c:v>40357</c:v>
                </c:pt>
                <c:pt idx="786">
                  <c:v>40358</c:v>
                </c:pt>
                <c:pt idx="787">
                  <c:v>40359</c:v>
                </c:pt>
                <c:pt idx="788">
                  <c:v>40360</c:v>
                </c:pt>
                <c:pt idx="789">
                  <c:v>40361</c:v>
                </c:pt>
                <c:pt idx="790">
                  <c:v>40365</c:v>
                </c:pt>
                <c:pt idx="791">
                  <c:v>40366</c:v>
                </c:pt>
                <c:pt idx="792">
                  <c:v>40367</c:v>
                </c:pt>
                <c:pt idx="793">
                  <c:v>40368</c:v>
                </c:pt>
                <c:pt idx="794">
                  <c:v>40371</c:v>
                </c:pt>
                <c:pt idx="795">
                  <c:v>40372</c:v>
                </c:pt>
                <c:pt idx="796">
                  <c:v>40373</c:v>
                </c:pt>
                <c:pt idx="797">
                  <c:v>40374</c:v>
                </c:pt>
                <c:pt idx="798">
                  <c:v>40375</c:v>
                </c:pt>
                <c:pt idx="799">
                  <c:v>40378</c:v>
                </c:pt>
                <c:pt idx="800">
                  <c:v>40379</c:v>
                </c:pt>
                <c:pt idx="801">
                  <c:v>40380</c:v>
                </c:pt>
                <c:pt idx="802">
                  <c:v>40381</c:v>
                </c:pt>
                <c:pt idx="803">
                  <c:v>40382</c:v>
                </c:pt>
                <c:pt idx="804">
                  <c:v>40385</c:v>
                </c:pt>
                <c:pt idx="805">
                  <c:v>40386</c:v>
                </c:pt>
                <c:pt idx="806">
                  <c:v>40387</c:v>
                </c:pt>
                <c:pt idx="807">
                  <c:v>40388</c:v>
                </c:pt>
                <c:pt idx="808">
                  <c:v>40389</c:v>
                </c:pt>
                <c:pt idx="809">
                  <c:v>40392</c:v>
                </c:pt>
                <c:pt idx="810">
                  <c:v>40393</c:v>
                </c:pt>
                <c:pt idx="811">
                  <c:v>40394</c:v>
                </c:pt>
                <c:pt idx="812">
                  <c:v>40395</c:v>
                </c:pt>
                <c:pt idx="813">
                  <c:v>40396</c:v>
                </c:pt>
                <c:pt idx="814">
                  <c:v>40399</c:v>
                </c:pt>
                <c:pt idx="815">
                  <c:v>40400</c:v>
                </c:pt>
                <c:pt idx="816">
                  <c:v>40401</c:v>
                </c:pt>
                <c:pt idx="817">
                  <c:v>40402</c:v>
                </c:pt>
                <c:pt idx="818">
                  <c:v>40403</c:v>
                </c:pt>
                <c:pt idx="819">
                  <c:v>40406</c:v>
                </c:pt>
                <c:pt idx="820">
                  <c:v>40407</c:v>
                </c:pt>
                <c:pt idx="821">
                  <c:v>40408</c:v>
                </c:pt>
                <c:pt idx="822">
                  <c:v>40409</c:v>
                </c:pt>
                <c:pt idx="823">
                  <c:v>40410</c:v>
                </c:pt>
                <c:pt idx="824">
                  <c:v>40413</c:v>
                </c:pt>
                <c:pt idx="825">
                  <c:v>40414</c:v>
                </c:pt>
                <c:pt idx="826">
                  <c:v>40415</c:v>
                </c:pt>
                <c:pt idx="827">
                  <c:v>40416</c:v>
                </c:pt>
                <c:pt idx="828">
                  <c:v>40417</c:v>
                </c:pt>
                <c:pt idx="829">
                  <c:v>40420</c:v>
                </c:pt>
                <c:pt idx="830">
                  <c:v>40421</c:v>
                </c:pt>
                <c:pt idx="831">
                  <c:v>40422</c:v>
                </c:pt>
                <c:pt idx="832">
                  <c:v>40423</c:v>
                </c:pt>
                <c:pt idx="833">
                  <c:v>40424</c:v>
                </c:pt>
                <c:pt idx="834">
                  <c:v>40428</c:v>
                </c:pt>
                <c:pt idx="835">
                  <c:v>40429</c:v>
                </c:pt>
                <c:pt idx="836">
                  <c:v>40430</c:v>
                </c:pt>
                <c:pt idx="837">
                  <c:v>40431</c:v>
                </c:pt>
                <c:pt idx="838">
                  <c:v>40434</c:v>
                </c:pt>
                <c:pt idx="839">
                  <c:v>40435</c:v>
                </c:pt>
                <c:pt idx="840">
                  <c:v>40436</c:v>
                </c:pt>
                <c:pt idx="841">
                  <c:v>40437</c:v>
                </c:pt>
                <c:pt idx="842">
                  <c:v>40438</c:v>
                </c:pt>
                <c:pt idx="843">
                  <c:v>40441</c:v>
                </c:pt>
                <c:pt idx="844">
                  <c:v>40442</c:v>
                </c:pt>
                <c:pt idx="845">
                  <c:v>40443</c:v>
                </c:pt>
                <c:pt idx="846">
                  <c:v>40444</c:v>
                </c:pt>
                <c:pt idx="847">
                  <c:v>40445</c:v>
                </c:pt>
                <c:pt idx="848">
                  <c:v>40448</c:v>
                </c:pt>
                <c:pt idx="849">
                  <c:v>40449</c:v>
                </c:pt>
                <c:pt idx="850">
                  <c:v>40450</c:v>
                </c:pt>
                <c:pt idx="851">
                  <c:v>40451</c:v>
                </c:pt>
                <c:pt idx="852">
                  <c:v>40452</c:v>
                </c:pt>
                <c:pt idx="853">
                  <c:v>40455</c:v>
                </c:pt>
                <c:pt idx="854">
                  <c:v>40456</c:v>
                </c:pt>
                <c:pt idx="855">
                  <c:v>40457</c:v>
                </c:pt>
                <c:pt idx="856">
                  <c:v>40458</c:v>
                </c:pt>
                <c:pt idx="857">
                  <c:v>40459</c:v>
                </c:pt>
                <c:pt idx="858">
                  <c:v>40462</c:v>
                </c:pt>
                <c:pt idx="859">
                  <c:v>40463</c:v>
                </c:pt>
                <c:pt idx="860">
                  <c:v>40464</c:v>
                </c:pt>
                <c:pt idx="861">
                  <c:v>40465</c:v>
                </c:pt>
                <c:pt idx="862">
                  <c:v>40466</c:v>
                </c:pt>
                <c:pt idx="863">
                  <c:v>40469</c:v>
                </c:pt>
                <c:pt idx="864">
                  <c:v>40470</c:v>
                </c:pt>
                <c:pt idx="865">
                  <c:v>40471</c:v>
                </c:pt>
                <c:pt idx="866">
                  <c:v>40472</c:v>
                </c:pt>
                <c:pt idx="867">
                  <c:v>40473</c:v>
                </c:pt>
                <c:pt idx="868">
                  <c:v>40476</c:v>
                </c:pt>
                <c:pt idx="869">
                  <c:v>40477</c:v>
                </c:pt>
                <c:pt idx="870">
                  <c:v>40478</c:v>
                </c:pt>
                <c:pt idx="871">
                  <c:v>40479</c:v>
                </c:pt>
                <c:pt idx="872">
                  <c:v>40480</c:v>
                </c:pt>
                <c:pt idx="873">
                  <c:v>40483</c:v>
                </c:pt>
                <c:pt idx="874">
                  <c:v>40484</c:v>
                </c:pt>
                <c:pt idx="875">
                  <c:v>40485</c:v>
                </c:pt>
                <c:pt idx="876">
                  <c:v>40486</c:v>
                </c:pt>
                <c:pt idx="877">
                  <c:v>40487</c:v>
                </c:pt>
                <c:pt idx="878">
                  <c:v>40490</c:v>
                </c:pt>
                <c:pt idx="879">
                  <c:v>40491</c:v>
                </c:pt>
                <c:pt idx="880">
                  <c:v>40492</c:v>
                </c:pt>
                <c:pt idx="881">
                  <c:v>40493</c:v>
                </c:pt>
                <c:pt idx="882">
                  <c:v>40494</c:v>
                </c:pt>
                <c:pt idx="883">
                  <c:v>40497</c:v>
                </c:pt>
                <c:pt idx="884">
                  <c:v>40498</c:v>
                </c:pt>
                <c:pt idx="885">
                  <c:v>40499</c:v>
                </c:pt>
                <c:pt idx="886">
                  <c:v>40500</c:v>
                </c:pt>
                <c:pt idx="887">
                  <c:v>40501</c:v>
                </c:pt>
                <c:pt idx="888">
                  <c:v>40504</c:v>
                </c:pt>
                <c:pt idx="889">
                  <c:v>40505</c:v>
                </c:pt>
                <c:pt idx="890">
                  <c:v>40506</c:v>
                </c:pt>
                <c:pt idx="891">
                  <c:v>40508</c:v>
                </c:pt>
                <c:pt idx="892">
                  <c:v>40511</c:v>
                </c:pt>
                <c:pt idx="893">
                  <c:v>40512</c:v>
                </c:pt>
                <c:pt idx="894">
                  <c:v>40513</c:v>
                </c:pt>
                <c:pt idx="895">
                  <c:v>40514</c:v>
                </c:pt>
                <c:pt idx="896">
                  <c:v>40515</c:v>
                </c:pt>
                <c:pt idx="897">
                  <c:v>40518</c:v>
                </c:pt>
                <c:pt idx="898">
                  <c:v>40519</c:v>
                </c:pt>
                <c:pt idx="899">
                  <c:v>40520</c:v>
                </c:pt>
                <c:pt idx="900">
                  <c:v>40521</c:v>
                </c:pt>
                <c:pt idx="901">
                  <c:v>40522</c:v>
                </c:pt>
                <c:pt idx="902">
                  <c:v>40525</c:v>
                </c:pt>
                <c:pt idx="903">
                  <c:v>40526</c:v>
                </c:pt>
                <c:pt idx="904">
                  <c:v>40527</c:v>
                </c:pt>
                <c:pt idx="905">
                  <c:v>40528</c:v>
                </c:pt>
                <c:pt idx="906">
                  <c:v>40529</c:v>
                </c:pt>
                <c:pt idx="907">
                  <c:v>40532</c:v>
                </c:pt>
                <c:pt idx="908">
                  <c:v>40533</c:v>
                </c:pt>
                <c:pt idx="909">
                  <c:v>40534</c:v>
                </c:pt>
                <c:pt idx="910">
                  <c:v>40535</c:v>
                </c:pt>
                <c:pt idx="911">
                  <c:v>40539</c:v>
                </c:pt>
                <c:pt idx="912">
                  <c:v>40540</c:v>
                </c:pt>
                <c:pt idx="913">
                  <c:v>40541</c:v>
                </c:pt>
                <c:pt idx="914">
                  <c:v>40542</c:v>
                </c:pt>
                <c:pt idx="915">
                  <c:v>40543</c:v>
                </c:pt>
                <c:pt idx="916">
                  <c:v>40546</c:v>
                </c:pt>
                <c:pt idx="917">
                  <c:v>40547</c:v>
                </c:pt>
                <c:pt idx="918">
                  <c:v>40548</c:v>
                </c:pt>
                <c:pt idx="919">
                  <c:v>40549</c:v>
                </c:pt>
                <c:pt idx="920">
                  <c:v>40550</c:v>
                </c:pt>
                <c:pt idx="921">
                  <c:v>40553</c:v>
                </c:pt>
                <c:pt idx="922">
                  <c:v>40554</c:v>
                </c:pt>
                <c:pt idx="923">
                  <c:v>40555</c:v>
                </c:pt>
                <c:pt idx="924">
                  <c:v>40556</c:v>
                </c:pt>
                <c:pt idx="925">
                  <c:v>40557</c:v>
                </c:pt>
                <c:pt idx="926">
                  <c:v>40561</c:v>
                </c:pt>
                <c:pt idx="927">
                  <c:v>40562</c:v>
                </c:pt>
                <c:pt idx="928">
                  <c:v>40563</c:v>
                </c:pt>
                <c:pt idx="929">
                  <c:v>40564</c:v>
                </c:pt>
                <c:pt idx="930">
                  <c:v>40567</c:v>
                </c:pt>
                <c:pt idx="931">
                  <c:v>40568</c:v>
                </c:pt>
                <c:pt idx="932">
                  <c:v>40569</c:v>
                </c:pt>
                <c:pt idx="933">
                  <c:v>40570</c:v>
                </c:pt>
                <c:pt idx="934">
                  <c:v>40571</c:v>
                </c:pt>
                <c:pt idx="935">
                  <c:v>40574</c:v>
                </c:pt>
                <c:pt idx="936">
                  <c:v>40575</c:v>
                </c:pt>
                <c:pt idx="937">
                  <c:v>40576</c:v>
                </c:pt>
                <c:pt idx="938">
                  <c:v>40577</c:v>
                </c:pt>
                <c:pt idx="939">
                  <c:v>40578</c:v>
                </c:pt>
                <c:pt idx="940">
                  <c:v>40581</c:v>
                </c:pt>
                <c:pt idx="941">
                  <c:v>40582</c:v>
                </c:pt>
                <c:pt idx="942">
                  <c:v>40583</c:v>
                </c:pt>
                <c:pt idx="943">
                  <c:v>40584</c:v>
                </c:pt>
                <c:pt idx="944">
                  <c:v>40585</c:v>
                </c:pt>
                <c:pt idx="945">
                  <c:v>40588</c:v>
                </c:pt>
                <c:pt idx="946">
                  <c:v>40589</c:v>
                </c:pt>
                <c:pt idx="947">
                  <c:v>40590</c:v>
                </c:pt>
                <c:pt idx="948">
                  <c:v>40591</c:v>
                </c:pt>
                <c:pt idx="949">
                  <c:v>40592</c:v>
                </c:pt>
                <c:pt idx="950">
                  <c:v>40596</c:v>
                </c:pt>
                <c:pt idx="951">
                  <c:v>40597</c:v>
                </c:pt>
                <c:pt idx="952">
                  <c:v>40598</c:v>
                </c:pt>
                <c:pt idx="953">
                  <c:v>40599</c:v>
                </c:pt>
                <c:pt idx="954">
                  <c:v>40602</c:v>
                </c:pt>
                <c:pt idx="955">
                  <c:v>40603</c:v>
                </c:pt>
                <c:pt idx="956">
                  <c:v>40604</c:v>
                </c:pt>
                <c:pt idx="957">
                  <c:v>40605</c:v>
                </c:pt>
                <c:pt idx="958">
                  <c:v>40606</c:v>
                </c:pt>
                <c:pt idx="959">
                  <c:v>40609</c:v>
                </c:pt>
                <c:pt idx="960">
                  <c:v>40610</c:v>
                </c:pt>
                <c:pt idx="961">
                  <c:v>40611</c:v>
                </c:pt>
                <c:pt idx="962">
                  <c:v>40612</c:v>
                </c:pt>
                <c:pt idx="963">
                  <c:v>40613</c:v>
                </c:pt>
                <c:pt idx="964">
                  <c:v>40616</c:v>
                </c:pt>
                <c:pt idx="965">
                  <c:v>40617</c:v>
                </c:pt>
                <c:pt idx="966">
                  <c:v>40618</c:v>
                </c:pt>
                <c:pt idx="967">
                  <c:v>40619</c:v>
                </c:pt>
                <c:pt idx="968">
                  <c:v>40620</c:v>
                </c:pt>
                <c:pt idx="969">
                  <c:v>40623</c:v>
                </c:pt>
                <c:pt idx="970">
                  <c:v>40624</c:v>
                </c:pt>
                <c:pt idx="971">
                  <c:v>40625</c:v>
                </c:pt>
                <c:pt idx="972">
                  <c:v>40626</c:v>
                </c:pt>
                <c:pt idx="973">
                  <c:v>40627</c:v>
                </c:pt>
                <c:pt idx="974">
                  <c:v>40630</c:v>
                </c:pt>
                <c:pt idx="975">
                  <c:v>40631</c:v>
                </c:pt>
                <c:pt idx="976">
                  <c:v>40632</c:v>
                </c:pt>
                <c:pt idx="977">
                  <c:v>40633</c:v>
                </c:pt>
                <c:pt idx="978">
                  <c:v>40634</c:v>
                </c:pt>
                <c:pt idx="979">
                  <c:v>40637</c:v>
                </c:pt>
                <c:pt idx="980">
                  <c:v>40638</c:v>
                </c:pt>
                <c:pt idx="981">
                  <c:v>40639</c:v>
                </c:pt>
                <c:pt idx="982">
                  <c:v>40640</c:v>
                </c:pt>
                <c:pt idx="983">
                  <c:v>40641</c:v>
                </c:pt>
                <c:pt idx="984">
                  <c:v>40644</c:v>
                </c:pt>
                <c:pt idx="985">
                  <c:v>40645</c:v>
                </c:pt>
                <c:pt idx="986">
                  <c:v>40646</c:v>
                </c:pt>
                <c:pt idx="987">
                  <c:v>40647</c:v>
                </c:pt>
                <c:pt idx="988">
                  <c:v>40648</c:v>
                </c:pt>
                <c:pt idx="989">
                  <c:v>40651</c:v>
                </c:pt>
                <c:pt idx="990">
                  <c:v>40652</c:v>
                </c:pt>
                <c:pt idx="991">
                  <c:v>40653</c:v>
                </c:pt>
                <c:pt idx="992">
                  <c:v>40654</c:v>
                </c:pt>
                <c:pt idx="993">
                  <c:v>40658</c:v>
                </c:pt>
                <c:pt idx="994">
                  <c:v>40659</c:v>
                </c:pt>
                <c:pt idx="995">
                  <c:v>40660</c:v>
                </c:pt>
                <c:pt idx="996">
                  <c:v>40661</c:v>
                </c:pt>
                <c:pt idx="997">
                  <c:v>40662</c:v>
                </c:pt>
                <c:pt idx="998">
                  <c:v>40665</c:v>
                </c:pt>
                <c:pt idx="999">
                  <c:v>40666</c:v>
                </c:pt>
                <c:pt idx="1000">
                  <c:v>40667</c:v>
                </c:pt>
                <c:pt idx="1001">
                  <c:v>40668</c:v>
                </c:pt>
                <c:pt idx="1002">
                  <c:v>40669</c:v>
                </c:pt>
                <c:pt idx="1003">
                  <c:v>40672</c:v>
                </c:pt>
                <c:pt idx="1004">
                  <c:v>40673</c:v>
                </c:pt>
                <c:pt idx="1005">
                  <c:v>40674</c:v>
                </c:pt>
                <c:pt idx="1006">
                  <c:v>40675</c:v>
                </c:pt>
                <c:pt idx="1007">
                  <c:v>40676</c:v>
                </c:pt>
                <c:pt idx="1008">
                  <c:v>40679</c:v>
                </c:pt>
                <c:pt idx="1009">
                  <c:v>40680</c:v>
                </c:pt>
                <c:pt idx="1010">
                  <c:v>40681</c:v>
                </c:pt>
                <c:pt idx="1011">
                  <c:v>40682</c:v>
                </c:pt>
                <c:pt idx="1012">
                  <c:v>40683</c:v>
                </c:pt>
                <c:pt idx="1013">
                  <c:v>40686</c:v>
                </c:pt>
                <c:pt idx="1014">
                  <c:v>40687</c:v>
                </c:pt>
                <c:pt idx="1015">
                  <c:v>40688</c:v>
                </c:pt>
                <c:pt idx="1016">
                  <c:v>40689</c:v>
                </c:pt>
                <c:pt idx="1017">
                  <c:v>40690</c:v>
                </c:pt>
                <c:pt idx="1018">
                  <c:v>40694</c:v>
                </c:pt>
                <c:pt idx="1019">
                  <c:v>40695</c:v>
                </c:pt>
                <c:pt idx="1020">
                  <c:v>40696</c:v>
                </c:pt>
                <c:pt idx="1021">
                  <c:v>40697</c:v>
                </c:pt>
                <c:pt idx="1022">
                  <c:v>40700</c:v>
                </c:pt>
                <c:pt idx="1023">
                  <c:v>40701</c:v>
                </c:pt>
                <c:pt idx="1024">
                  <c:v>40702</c:v>
                </c:pt>
                <c:pt idx="1025">
                  <c:v>40703</c:v>
                </c:pt>
                <c:pt idx="1026">
                  <c:v>40704</c:v>
                </c:pt>
                <c:pt idx="1027">
                  <c:v>40707</c:v>
                </c:pt>
                <c:pt idx="1028">
                  <c:v>40708</c:v>
                </c:pt>
                <c:pt idx="1029">
                  <c:v>40709</c:v>
                </c:pt>
                <c:pt idx="1030">
                  <c:v>40710</c:v>
                </c:pt>
                <c:pt idx="1031">
                  <c:v>40711</c:v>
                </c:pt>
                <c:pt idx="1032">
                  <c:v>40714</c:v>
                </c:pt>
                <c:pt idx="1033">
                  <c:v>40715</c:v>
                </c:pt>
                <c:pt idx="1034">
                  <c:v>40716</c:v>
                </c:pt>
                <c:pt idx="1035">
                  <c:v>40717</c:v>
                </c:pt>
                <c:pt idx="1036">
                  <c:v>40718</c:v>
                </c:pt>
                <c:pt idx="1037">
                  <c:v>40721</c:v>
                </c:pt>
                <c:pt idx="1038">
                  <c:v>40722</c:v>
                </c:pt>
                <c:pt idx="1039">
                  <c:v>40723</c:v>
                </c:pt>
                <c:pt idx="1040">
                  <c:v>40724</c:v>
                </c:pt>
                <c:pt idx="1041">
                  <c:v>40725</c:v>
                </c:pt>
                <c:pt idx="1042">
                  <c:v>40729</c:v>
                </c:pt>
                <c:pt idx="1043">
                  <c:v>40730</c:v>
                </c:pt>
                <c:pt idx="1044">
                  <c:v>40731</c:v>
                </c:pt>
                <c:pt idx="1045">
                  <c:v>40732</c:v>
                </c:pt>
                <c:pt idx="1046">
                  <c:v>40735</c:v>
                </c:pt>
                <c:pt idx="1047">
                  <c:v>40736</c:v>
                </c:pt>
                <c:pt idx="1048">
                  <c:v>40737</c:v>
                </c:pt>
                <c:pt idx="1049">
                  <c:v>40738</c:v>
                </c:pt>
                <c:pt idx="1050">
                  <c:v>40739</c:v>
                </c:pt>
                <c:pt idx="1051">
                  <c:v>40742</c:v>
                </c:pt>
                <c:pt idx="1052">
                  <c:v>40743</c:v>
                </c:pt>
                <c:pt idx="1053">
                  <c:v>40744</c:v>
                </c:pt>
                <c:pt idx="1054">
                  <c:v>40745</c:v>
                </c:pt>
                <c:pt idx="1055">
                  <c:v>40746</c:v>
                </c:pt>
                <c:pt idx="1056">
                  <c:v>40749</c:v>
                </c:pt>
                <c:pt idx="1057">
                  <c:v>40750</c:v>
                </c:pt>
                <c:pt idx="1058">
                  <c:v>40751</c:v>
                </c:pt>
                <c:pt idx="1059">
                  <c:v>40752</c:v>
                </c:pt>
                <c:pt idx="1060">
                  <c:v>40753</c:v>
                </c:pt>
                <c:pt idx="1061">
                  <c:v>40756</c:v>
                </c:pt>
                <c:pt idx="1062">
                  <c:v>40757</c:v>
                </c:pt>
                <c:pt idx="1063">
                  <c:v>40758</c:v>
                </c:pt>
                <c:pt idx="1064">
                  <c:v>40759</c:v>
                </c:pt>
                <c:pt idx="1065">
                  <c:v>40760</c:v>
                </c:pt>
                <c:pt idx="1066">
                  <c:v>40763</c:v>
                </c:pt>
                <c:pt idx="1067">
                  <c:v>40764</c:v>
                </c:pt>
                <c:pt idx="1068">
                  <c:v>40765</c:v>
                </c:pt>
                <c:pt idx="1069">
                  <c:v>40766</c:v>
                </c:pt>
                <c:pt idx="1070">
                  <c:v>40767</c:v>
                </c:pt>
                <c:pt idx="1071">
                  <c:v>40770</c:v>
                </c:pt>
                <c:pt idx="1072">
                  <c:v>40771</c:v>
                </c:pt>
                <c:pt idx="1073">
                  <c:v>40772</c:v>
                </c:pt>
                <c:pt idx="1074">
                  <c:v>40773</c:v>
                </c:pt>
                <c:pt idx="1075">
                  <c:v>40774</c:v>
                </c:pt>
                <c:pt idx="1076">
                  <c:v>40777</c:v>
                </c:pt>
                <c:pt idx="1077">
                  <c:v>40778</c:v>
                </c:pt>
                <c:pt idx="1078">
                  <c:v>40779</c:v>
                </c:pt>
                <c:pt idx="1079">
                  <c:v>40780</c:v>
                </c:pt>
                <c:pt idx="1080">
                  <c:v>40781</c:v>
                </c:pt>
                <c:pt idx="1081">
                  <c:v>40784</c:v>
                </c:pt>
                <c:pt idx="1082">
                  <c:v>40785</c:v>
                </c:pt>
                <c:pt idx="1083">
                  <c:v>40786</c:v>
                </c:pt>
                <c:pt idx="1084">
                  <c:v>40787</c:v>
                </c:pt>
                <c:pt idx="1085">
                  <c:v>40788</c:v>
                </c:pt>
                <c:pt idx="1086">
                  <c:v>40792</c:v>
                </c:pt>
                <c:pt idx="1087">
                  <c:v>40793</c:v>
                </c:pt>
                <c:pt idx="1088">
                  <c:v>40794</c:v>
                </c:pt>
                <c:pt idx="1089">
                  <c:v>40795</c:v>
                </c:pt>
                <c:pt idx="1090">
                  <c:v>40798</c:v>
                </c:pt>
                <c:pt idx="1091">
                  <c:v>40799</c:v>
                </c:pt>
                <c:pt idx="1092">
                  <c:v>40800</c:v>
                </c:pt>
                <c:pt idx="1093">
                  <c:v>40801</c:v>
                </c:pt>
                <c:pt idx="1094">
                  <c:v>40802</c:v>
                </c:pt>
                <c:pt idx="1095">
                  <c:v>40805</c:v>
                </c:pt>
                <c:pt idx="1096">
                  <c:v>40806</c:v>
                </c:pt>
                <c:pt idx="1097">
                  <c:v>40807</c:v>
                </c:pt>
                <c:pt idx="1098">
                  <c:v>40808</c:v>
                </c:pt>
                <c:pt idx="1099">
                  <c:v>40809</c:v>
                </c:pt>
                <c:pt idx="1100">
                  <c:v>40812</c:v>
                </c:pt>
                <c:pt idx="1101">
                  <c:v>40813</c:v>
                </c:pt>
                <c:pt idx="1102">
                  <c:v>40814</c:v>
                </c:pt>
                <c:pt idx="1103">
                  <c:v>40815</c:v>
                </c:pt>
                <c:pt idx="1104">
                  <c:v>40816</c:v>
                </c:pt>
                <c:pt idx="1105">
                  <c:v>40819</c:v>
                </c:pt>
                <c:pt idx="1106">
                  <c:v>40820</c:v>
                </c:pt>
                <c:pt idx="1107">
                  <c:v>40821</c:v>
                </c:pt>
                <c:pt idx="1108">
                  <c:v>40822</c:v>
                </c:pt>
                <c:pt idx="1109">
                  <c:v>40823</c:v>
                </c:pt>
                <c:pt idx="1110">
                  <c:v>40826</c:v>
                </c:pt>
                <c:pt idx="1111">
                  <c:v>40827</c:v>
                </c:pt>
                <c:pt idx="1112">
                  <c:v>40828</c:v>
                </c:pt>
                <c:pt idx="1113">
                  <c:v>40829</c:v>
                </c:pt>
                <c:pt idx="1114">
                  <c:v>40830</c:v>
                </c:pt>
                <c:pt idx="1115">
                  <c:v>40833</c:v>
                </c:pt>
                <c:pt idx="1116">
                  <c:v>40834</c:v>
                </c:pt>
                <c:pt idx="1117">
                  <c:v>40835</c:v>
                </c:pt>
                <c:pt idx="1118">
                  <c:v>40836</c:v>
                </c:pt>
                <c:pt idx="1119">
                  <c:v>40837</c:v>
                </c:pt>
                <c:pt idx="1120">
                  <c:v>40840</c:v>
                </c:pt>
                <c:pt idx="1121">
                  <c:v>40841</c:v>
                </c:pt>
                <c:pt idx="1122">
                  <c:v>40842</c:v>
                </c:pt>
                <c:pt idx="1123">
                  <c:v>40843</c:v>
                </c:pt>
                <c:pt idx="1124">
                  <c:v>40844</c:v>
                </c:pt>
                <c:pt idx="1125">
                  <c:v>40847</c:v>
                </c:pt>
                <c:pt idx="1126">
                  <c:v>40848</c:v>
                </c:pt>
                <c:pt idx="1127">
                  <c:v>40849</c:v>
                </c:pt>
                <c:pt idx="1128">
                  <c:v>40850</c:v>
                </c:pt>
                <c:pt idx="1129">
                  <c:v>40851</c:v>
                </c:pt>
                <c:pt idx="1130">
                  <c:v>40854</c:v>
                </c:pt>
                <c:pt idx="1131">
                  <c:v>40855</c:v>
                </c:pt>
                <c:pt idx="1132">
                  <c:v>40856</c:v>
                </c:pt>
                <c:pt idx="1133">
                  <c:v>40857</c:v>
                </c:pt>
                <c:pt idx="1134">
                  <c:v>40858</c:v>
                </c:pt>
                <c:pt idx="1135">
                  <c:v>40861</c:v>
                </c:pt>
                <c:pt idx="1136">
                  <c:v>40862</c:v>
                </c:pt>
                <c:pt idx="1137">
                  <c:v>40863</c:v>
                </c:pt>
                <c:pt idx="1138">
                  <c:v>40864</c:v>
                </c:pt>
                <c:pt idx="1139">
                  <c:v>40865</c:v>
                </c:pt>
                <c:pt idx="1140">
                  <c:v>40868</c:v>
                </c:pt>
                <c:pt idx="1141">
                  <c:v>40869</c:v>
                </c:pt>
                <c:pt idx="1142">
                  <c:v>40870</c:v>
                </c:pt>
                <c:pt idx="1143">
                  <c:v>40872</c:v>
                </c:pt>
                <c:pt idx="1144">
                  <c:v>40875</c:v>
                </c:pt>
                <c:pt idx="1145">
                  <c:v>40876</c:v>
                </c:pt>
                <c:pt idx="1146">
                  <c:v>40877</c:v>
                </c:pt>
                <c:pt idx="1147">
                  <c:v>40878</c:v>
                </c:pt>
                <c:pt idx="1148">
                  <c:v>40879</c:v>
                </c:pt>
                <c:pt idx="1149">
                  <c:v>40882</c:v>
                </c:pt>
                <c:pt idx="1150">
                  <c:v>40883</c:v>
                </c:pt>
                <c:pt idx="1151">
                  <c:v>40884</c:v>
                </c:pt>
                <c:pt idx="1152">
                  <c:v>40885</c:v>
                </c:pt>
                <c:pt idx="1153">
                  <c:v>40886</c:v>
                </c:pt>
                <c:pt idx="1154">
                  <c:v>40889</c:v>
                </c:pt>
                <c:pt idx="1155">
                  <c:v>40890</c:v>
                </c:pt>
                <c:pt idx="1156">
                  <c:v>40891</c:v>
                </c:pt>
                <c:pt idx="1157">
                  <c:v>40892</c:v>
                </c:pt>
                <c:pt idx="1158">
                  <c:v>40893</c:v>
                </c:pt>
                <c:pt idx="1159">
                  <c:v>40896</c:v>
                </c:pt>
                <c:pt idx="1160">
                  <c:v>40897</c:v>
                </c:pt>
                <c:pt idx="1161">
                  <c:v>40898</c:v>
                </c:pt>
                <c:pt idx="1162">
                  <c:v>40899</c:v>
                </c:pt>
                <c:pt idx="1163">
                  <c:v>40900</c:v>
                </c:pt>
                <c:pt idx="1164">
                  <c:v>40904</c:v>
                </c:pt>
                <c:pt idx="1165">
                  <c:v>40905</c:v>
                </c:pt>
                <c:pt idx="1166">
                  <c:v>40906</c:v>
                </c:pt>
                <c:pt idx="1167">
                  <c:v>40907</c:v>
                </c:pt>
                <c:pt idx="1168">
                  <c:v>40911</c:v>
                </c:pt>
                <c:pt idx="1169">
                  <c:v>40912</c:v>
                </c:pt>
                <c:pt idx="1170">
                  <c:v>40913</c:v>
                </c:pt>
                <c:pt idx="1171">
                  <c:v>40914</c:v>
                </c:pt>
                <c:pt idx="1172">
                  <c:v>40917</c:v>
                </c:pt>
                <c:pt idx="1173">
                  <c:v>40918</c:v>
                </c:pt>
                <c:pt idx="1174">
                  <c:v>40919</c:v>
                </c:pt>
                <c:pt idx="1175">
                  <c:v>40920</c:v>
                </c:pt>
                <c:pt idx="1176">
                  <c:v>40921</c:v>
                </c:pt>
                <c:pt idx="1177">
                  <c:v>40925</c:v>
                </c:pt>
                <c:pt idx="1178">
                  <c:v>40926</c:v>
                </c:pt>
                <c:pt idx="1179">
                  <c:v>40927</c:v>
                </c:pt>
                <c:pt idx="1180">
                  <c:v>40928</c:v>
                </c:pt>
                <c:pt idx="1181">
                  <c:v>40931</c:v>
                </c:pt>
                <c:pt idx="1182">
                  <c:v>40932</c:v>
                </c:pt>
                <c:pt idx="1183">
                  <c:v>40933</c:v>
                </c:pt>
                <c:pt idx="1184">
                  <c:v>40934</c:v>
                </c:pt>
                <c:pt idx="1185">
                  <c:v>40935</c:v>
                </c:pt>
                <c:pt idx="1186">
                  <c:v>40938</c:v>
                </c:pt>
                <c:pt idx="1187">
                  <c:v>40939</c:v>
                </c:pt>
                <c:pt idx="1188">
                  <c:v>40940</c:v>
                </c:pt>
                <c:pt idx="1189">
                  <c:v>40941</c:v>
                </c:pt>
                <c:pt idx="1190">
                  <c:v>40942</c:v>
                </c:pt>
                <c:pt idx="1191">
                  <c:v>40945</c:v>
                </c:pt>
                <c:pt idx="1192">
                  <c:v>40946</c:v>
                </c:pt>
                <c:pt idx="1193">
                  <c:v>40947</c:v>
                </c:pt>
                <c:pt idx="1194">
                  <c:v>40948</c:v>
                </c:pt>
                <c:pt idx="1195">
                  <c:v>40949</c:v>
                </c:pt>
                <c:pt idx="1196">
                  <c:v>40952</c:v>
                </c:pt>
                <c:pt idx="1197">
                  <c:v>40953</c:v>
                </c:pt>
                <c:pt idx="1198">
                  <c:v>40954</c:v>
                </c:pt>
                <c:pt idx="1199">
                  <c:v>40955</c:v>
                </c:pt>
                <c:pt idx="1200">
                  <c:v>40956</c:v>
                </c:pt>
                <c:pt idx="1201">
                  <c:v>40960</c:v>
                </c:pt>
                <c:pt idx="1202">
                  <c:v>40961</c:v>
                </c:pt>
                <c:pt idx="1203">
                  <c:v>40962</c:v>
                </c:pt>
                <c:pt idx="1204">
                  <c:v>40963</c:v>
                </c:pt>
                <c:pt idx="1205">
                  <c:v>40966</c:v>
                </c:pt>
                <c:pt idx="1206">
                  <c:v>40967</c:v>
                </c:pt>
                <c:pt idx="1207">
                  <c:v>40968</c:v>
                </c:pt>
                <c:pt idx="1208">
                  <c:v>40969</c:v>
                </c:pt>
                <c:pt idx="1209">
                  <c:v>40970</c:v>
                </c:pt>
                <c:pt idx="1210">
                  <c:v>40973</c:v>
                </c:pt>
                <c:pt idx="1211">
                  <c:v>40974</c:v>
                </c:pt>
                <c:pt idx="1212">
                  <c:v>40975</c:v>
                </c:pt>
                <c:pt idx="1213">
                  <c:v>40976</c:v>
                </c:pt>
                <c:pt idx="1214">
                  <c:v>40977</c:v>
                </c:pt>
                <c:pt idx="1215">
                  <c:v>40980</c:v>
                </c:pt>
                <c:pt idx="1216">
                  <c:v>40981</c:v>
                </c:pt>
                <c:pt idx="1217">
                  <c:v>40982</c:v>
                </c:pt>
                <c:pt idx="1218">
                  <c:v>40983</c:v>
                </c:pt>
                <c:pt idx="1219">
                  <c:v>40984</c:v>
                </c:pt>
                <c:pt idx="1220">
                  <c:v>40987</c:v>
                </c:pt>
                <c:pt idx="1221">
                  <c:v>40988</c:v>
                </c:pt>
                <c:pt idx="1222">
                  <c:v>40989</c:v>
                </c:pt>
                <c:pt idx="1223">
                  <c:v>40990</c:v>
                </c:pt>
                <c:pt idx="1224">
                  <c:v>40991</c:v>
                </c:pt>
                <c:pt idx="1225">
                  <c:v>40994</c:v>
                </c:pt>
                <c:pt idx="1226">
                  <c:v>40995</c:v>
                </c:pt>
                <c:pt idx="1227">
                  <c:v>40996</c:v>
                </c:pt>
                <c:pt idx="1228">
                  <c:v>40997</c:v>
                </c:pt>
                <c:pt idx="1229">
                  <c:v>40998</c:v>
                </c:pt>
                <c:pt idx="1230">
                  <c:v>41001</c:v>
                </c:pt>
                <c:pt idx="1231">
                  <c:v>41002</c:v>
                </c:pt>
                <c:pt idx="1232">
                  <c:v>41003</c:v>
                </c:pt>
                <c:pt idx="1233">
                  <c:v>41004</c:v>
                </c:pt>
                <c:pt idx="1234">
                  <c:v>41008</c:v>
                </c:pt>
                <c:pt idx="1235">
                  <c:v>41009</c:v>
                </c:pt>
                <c:pt idx="1236">
                  <c:v>41010</c:v>
                </c:pt>
                <c:pt idx="1237">
                  <c:v>41011</c:v>
                </c:pt>
                <c:pt idx="1238">
                  <c:v>41012</c:v>
                </c:pt>
                <c:pt idx="1239">
                  <c:v>41015</c:v>
                </c:pt>
                <c:pt idx="1240">
                  <c:v>41016</c:v>
                </c:pt>
                <c:pt idx="1241">
                  <c:v>41017</c:v>
                </c:pt>
                <c:pt idx="1242">
                  <c:v>41018</c:v>
                </c:pt>
                <c:pt idx="1243">
                  <c:v>41019</c:v>
                </c:pt>
                <c:pt idx="1244">
                  <c:v>41022</c:v>
                </c:pt>
                <c:pt idx="1245">
                  <c:v>41023</c:v>
                </c:pt>
                <c:pt idx="1246">
                  <c:v>41024</c:v>
                </c:pt>
                <c:pt idx="1247">
                  <c:v>41025</c:v>
                </c:pt>
                <c:pt idx="1248">
                  <c:v>41026</c:v>
                </c:pt>
                <c:pt idx="1249">
                  <c:v>41029</c:v>
                </c:pt>
                <c:pt idx="1250">
                  <c:v>41030</c:v>
                </c:pt>
                <c:pt idx="1251">
                  <c:v>41031</c:v>
                </c:pt>
                <c:pt idx="1252">
                  <c:v>41032</c:v>
                </c:pt>
                <c:pt idx="1253">
                  <c:v>41033</c:v>
                </c:pt>
                <c:pt idx="1254">
                  <c:v>41036</c:v>
                </c:pt>
                <c:pt idx="1255">
                  <c:v>41037</c:v>
                </c:pt>
                <c:pt idx="1256">
                  <c:v>41038</c:v>
                </c:pt>
                <c:pt idx="1257">
                  <c:v>41039</c:v>
                </c:pt>
                <c:pt idx="1258">
                  <c:v>41040</c:v>
                </c:pt>
                <c:pt idx="1259">
                  <c:v>41043</c:v>
                </c:pt>
                <c:pt idx="1260">
                  <c:v>41044</c:v>
                </c:pt>
              </c:numCache>
            </c:numRef>
          </c:cat>
          <c:val>
            <c:numRef>
              <c:f>'Ex4'!$J$4:$J$1264</c:f>
              <c:numCache>
                <c:formatCode>0</c:formatCode>
                <c:ptCount val="1261"/>
                <c:pt idx="0">
                  <c:v>100</c:v>
                </c:pt>
                <c:pt idx="1">
                  <c:v>99.603926295849845</c:v>
                </c:pt>
                <c:pt idx="2">
                  <c:v>100.27552953332184</c:v>
                </c:pt>
                <c:pt idx="3">
                  <c:v>100.68882383330462</c:v>
                </c:pt>
                <c:pt idx="4">
                  <c:v>101.13655932495264</c:v>
                </c:pt>
                <c:pt idx="5">
                  <c:v>100.18942655415877</c:v>
                </c:pt>
                <c:pt idx="6">
                  <c:v>98.570690545892887</c:v>
                </c:pt>
                <c:pt idx="7">
                  <c:v>99.431720337523672</c:v>
                </c:pt>
                <c:pt idx="8">
                  <c:v>100.1033235749957</c:v>
                </c:pt>
                <c:pt idx="9">
                  <c:v>100.94713277079386</c:v>
                </c:pt>
                <c:pt idx="10">
                  <c:v>101.67039779576372</c:v>
                </c:pt>
                <c:pt idx="11">
                  <c:v>101.65317719993112</c:v>
                </c:pt>
                <c:pt idx="12">
                  <c:v>101.9631479249182</c:v>
                </c:pt>
                <c:pt idx="13">
                  <c:v>101.85982434992252</c:v>
                </c:pt>
                <c:pt idx="14">
                  <c:v>100.84380919579819</c:v>
                </c:pt>
                <c:pt idx="15">
                  <c:v>99.156190804201827</c:v>
                </c:pt>
                <c:pt idx="16">
                  <c:v>100.61994144997416</c:v>
                </c:pt>
                <c:pt idx="17">
                  <c:v>100.48217668331326</c:v>
                </c:pt>
                <c:pt idx="18">
                  <c:v>99.672808679180307</c:v>
                </c:pt>
                <c:pt idx="19">
                  <c:v>100.75770621663509</c:v>
                </c:pt>
                <c:pt idx="20">
                  <c:v>101.68761839159635</c:v>
                </c:pt>
                <c:pt idx="21">
                  <c:v>102.65197175822283</c:v>
                </c:pt>
                <c:pt idx="22">
                  <c:v>102.89306009987946</c:v>
                </c:pt>
                <c:pt idx="23">
                  <c:v>102.97916307904254</c:v>
                </c:pt>
                <c:pt idx="24">
                  <c:v>101.91148613742035</c:v>
                </c:pt>
                <c:pt idx="25">
                  <c:v>102.97916307904254</c:v>
                </c:pt>
                <c:pt idx="26">
                  <c:v>101.99758911658343</c:v>
                </c:pt>
                <c:pt idx="27">
                  <c:v>101.39486826244189</c:v>
                </c:pt>
                <c:pt idx="28">
                  <c:v>101.11933872912002</c:v>
                </c:pt>
                <c:pt idx="29">
                  <c:v>102.51420699156191</c:v>
                </c:pt>
                <c:pt idx="30">
                  <c:v>102.44532460823146</c:v>
                </c:pt>
                <c:pt idx="31">
                  <c:v>102.49698639572931</c:v>
                </c:pt>
                <c:pt idx="32">
                  <c:v>102.96194248320991</c:v>
                </c:pt>
                <c:pt idx="33">
                  <c:v>103.77131048734284</c:v>
                </c:pt>
                <c:pt idx="34">
                  <c:v>104.20182538315825</c:v>
                </c:pt>
                <c:pt idx="35">
                  <c:v>104.77010504563458</c:v>
                </c:pt>
                <c:pt idx="36">
                  <c:v>104.78732564146721</c:v>
                </c:pt>
                <c:pt idx="37">
                  <c:v>104.01239882899948</c:v>
                </c:pt>
                <c:pt idx="38">
                  <c:v>104.46013432064748</c:v>
                </c:pt>
                <c:pt idx="39">
                  <c:v>106.78491475805063</c:v>
                </c:pt>
                <c:pt idx="40">
                  <c:v>106.71603237472016</c:v>
                </c:pt>
                <c:pt idx="41">
                  <c:v>106.87101773721371</c:v>
                </c:pt>
                <c:pt idx="42">
                  <c:v>107.76648872050973</c:v>
                </c:pt>
                <c:pt idx="43">
                  <c:v>106.93990012054417</c:v>
                </c:pt>
                <c:pt idx="44">
                  <c:v>108.0592388496642</c:v>
                </c:pt>
                <c:pt idx="45">
                  <c:v>107.30153263302911</c:v>
                </c:pt>
                <c:pt idx="46">
                  <c:v>107.49095918718787</c:v>
                </c:pt>
                <c:pt idx="47">
                  <c:v>106.19941449974168</c:v>
                </c:pt>
                <c:pt idx="48">
                  <c:v>105.71723781642845</c:v>
                </c:pt>
                <c:pt idx="49">
                  <c:v>104.63234027897366</c:v>
                </c:pt>
                <c:pt idx="50">
                  <c:v>102.25589805407267</c:v>
                </c:pt>
                <c:pt idx="51">
                  <c:v>103.39245737902532</c:v>
                </c:pt>
                <c:pt idx="52">
                  <c:v>101.4120888582745</c:v>
                </c:pt>
                <c:pt idx="53">
                  <c:v>102.54864818322713</c:v>
                </c:pt>
                <c:pt idx="54">
                  <c:v>103.34079559152747</c:v>
                </c:pt>
                <c:pt idx="55">
                  <c:v>100.79214740830034</c:v>
                </c:pt>
                <c:pt idx="56">
                  <c:v>101.89426554158774</c:v>
                </c:pt>
                <c:pt idx="57">
                  <c:v>101.84260375408989</c:v>
                </c:pt>
                <c:pt idx="58">
                  <c:v>103.84019287067332</c:v>
                </c:pt>
                <c:pt idx="59">
                  <c:v>101.17100051661787</c:v>
                </c:pt>
                <c:pt idx="60">
                  <c:v>101.4120888582745</c:v>
                </c:pt>
                <c:pt idx="61">
                  <c:v>101.80816256242467</c:v>
                </c:pt>
                <c:pt idx="62">
                  <c:v>100.13776476666092</c:v>
                </c:pt>
                <c:pt idx="63">
                  <c:v>98.346822800068878</c:v>
                </c:pt>
                <c:pt idx="64">
                  <c:v>97.468572412605482</c:v>
                </c:pt>
                <c:pt idx="65">
                  <c:v>99.448940933356283</c:v>
                </c:pt>
                <c:pt idx="66">
                  <c:v>99.328396762527987</c:v>
                </c:pt>
                <c:pt idx="67">
                  <c:v>99.965558808334762</c:v>
                </c:pt>
                <c:pt idx="68">
                  <c:v>101.05045634578957</c:v>
                </c:pt>
                <c:pt idx="69">
                  <c:v>101.22266230411572</c:v>
                </c:pt>
                <c:pt idx="70">
                  <c:v>102.60030997072498</c:v>
                </c:pt>
                <c:pt idx="71">
                  <c:v>102.10091269157913</c:v>
                </c:pt>
                <c:pt idx="72">
                  <c:v>99.862235233339078</c:v>
                </c:pt>
                <c:pt idx="73">
                  <c:v>102.6175305665576</c:v>
                </c:pt>
                <c:pt idx="74">
                  <c:v>102.96194248320991</c:v>
                </c:pt>
                <c:pt idx="75">
                  <c:v>104.30514895815395</c:v>
                </c:pt>
                <c:pt idx="76">
                  <c:v>105.83778198725675</c:v>
                </c:pt>
                <c:pt idx="77">
                  <c:v>105.13173755811951</c:v>
                </c:pt>
                <c:pt idx="78">
                  <c:v>105.26950232478045</c:v>
                </c:pt>
                <c:pt idx="79">
                  <c:v>103.35801618736009</c:v>
                </c:pt>
                <c:pt idx="80">
                  <c:v>103.35801618736009</c:v>
                </c:pt>
                <c:pt idx="81">
                  <c:v>104.63234027897366</c:v>
                </c:pt>
                <c:pt idx="82">
                  <c:v>103.85741346650595</c:v>
                </c:pt>
                <c:pt idx="83">
                  <c:v>103.97795763733426</c:v>
                </c:pt>
                <c:pt idx="84">
                  <c:v>103.5991045290167</c:v>
                </c:pt>
                <c:pt idx="85">
                  <c:v>103.25469261236439</c:v>
                </c:pt>
                <c:pt idx="86">
                  <c:v>105.16617874978473</c:v>
                </c:pt>
                <c:pt idx="87">
                  <c:v>105.64835543309799</c:v>
                </c:pt>
                <c:pt idx="88">
                  <c:v>105.6655760289306</c:v>
                </c:pt>
                <c:pt idx="89">
                  <c:v>106.50938522472877</c:v>
                </c:pt>
                <c:pt idx="90">
                  <c:v>106.76769416221801</c:v>
                </c:pt>
                <c:pt idx="91">
                  <c:v>107.8525916996728</c:v>
                </c:pt>
                <c:pt idx="92">
                  <c:v>107.97313587050112</c:v>
                </c:pt>
                <c:pt idx="93">
                  <c:v>108.3003271913208</c:v>
                </c:pt>
                <c:pt idx="94">
                  <c:v>108.14534182882727</c:v>
                </c:pt>
                <c:pt idx="95">
                  <c:v>109.5746512829344</c:v>
                </c:pt>
                <c:pt idx="96">
                  <c:v>109.76407783709317</c:v>
                </c:pt>
                <c:pt idx="97">
                  <c:v>108.67918029963836</c:v>
                </c:pt>
                <c:pt idx="98">
                  <c:v>108.45531255381435</c:v>
                </c:pt>
                <c:pt idx="99">
                  <c:v>109.93628379541933</c:v>
                </c:pt>
                <c:pt idx="100">
                  <c:v>110.6595488203892</c:v>
                </c:pt>
                <c:pt idx="101">
                  <c:v>111.31393146202859</c:v>
                </c:pt>
                <c:pt idx="102">
                  <c:v>111.67556397451351</c:v>
                </c:pt>
                <c:pt idx="103">
                  <c:v>110.43568107456517</c:v>
                </c:pt>
                <c:pt idx="104">
                  <c:v>111.6583433786809</c:v>
                </c:pt>
                <c:pt idx="105">
                  <c:v>110.78009299121749</c:v>
                </c:pt>
                <c:pt idx="106">
                  <c:v>110.43568107456517</c:v>
                </c:pt>
                <c:pt idx="107">
                  <c:v>112.00275529533323</c:v>
                </c:pt>
                <c:pt idx="108">
                  <c:v>112.07163767866368</c:v>
                </c:pt>
                <c:pt idx="109">
                  <c:v>109.33356294127776</c:v>
                </c:pt>
                <c:pt idx="110">
                  <c:v>110.69399001205443</c:v>
                </c:pt>
                <c:pt idx="111">
                  <c:v>111.86499052867227</c:v>
                </c:pt>
                <c:pt idx="112">
                  <c:v>110.83175477871534</c:v>
                </c:pt>
                <c:pt idx="113">
                  <c:v>111.02118133287411</c:v>
                </c:pt>
                <c:pt idx="114">
                  <c:v>112.79490270363355</c:v>
                </c:pt>
                <c:pt idx="115">
                  <c:v>113.34596177027724</c:v>
                </c:pt>
                <c:pt idx="116">
                  <c:v>113.56982951610127</c:v>
                </c:pt>
                <c:pt idx="117">
                  <c:v>115.53297744101947</c:v>
                </c:pt>
                <c:pt idx="118">
                  <c:v>114.05200619941451</c:v>
                </c:pt>
                <c:pt idx="119">
                  <c:v>114.72360943688653</c:v>
                </c:pt>
                <c:pt idx="120">
                  <c:v>114.2758739452385</c:v>
                </c:pt>
                <c:pt idx="121">
                  <c:v>115.51575684518684</c:v>
                </c:pt>
                <c:pt idx="122">
                  <c:v>112.48493197864644</c:v>
                </c:pt>
                <c:pt idx="123">
                  <c:v>108.24866540382297</c:v>
                </c:pt>
                <c:pt idx="124">
                  <c:v>104.73566385396936</c:v>
                </c:pt>
                <c:pt idx="125">
                  <c:v>102.94472188737731</c:v>
                </c:pt>
                <c:pt idx="126">
                  <c:v>107.06044429137249</c:v>
                </c:pt>
                <c:pt idx="127">
                  <c:v>106.06164973308077</c:v>
                </c:pt>
                <c:pt idx="128">
                  <c:v>105.13173755811951</c:v>
                </c:pt>
                <c:pt idx="129">
                  <c:v>106.00998794558292</c:v>
                </c:pt>
                <c:pt idx="130">
                  <c:v>104.59789908730843</c:v>
                </c:pt>
                <c:pt idx="131">
                  <c:v>105.13173755811951</c:v>
                </c:pt>
                <c:pt idx="132">
                  <c:v>103.56466333735148</c:v>
                </c:pt>
                <c:pt idx="133">
                  <c:v>104.51179610814533</c:v>
                </c:pt>
                <c:pt idx="134">
                  <c:v>102.44532460823146</c:v>
                </c:pt>
                <c:pt idx="135">
                  <c:v>103.66798691234717</c:v>
                </c:pt>
                <c:pt idx="136">
                  <c:v>107.02600309970724</c:v>
                </c:pt>
                <c:pt idx="137">
                  <c:v>107.90425348717065</c:v>
                </c:pt>
                <c:pt idx="138">
                  <c:v>106.33717926640263</c:v>
                </c:pt>
                <c:pt idx="139">
                  <c:v>105.35560530394352</c:v>
                </c:pt>
                <c:pt idx="140">
                  <c:v>104.87342862063028</c:v>
                </c:pt>
                <c:pt idx="141">
                  <c:v>107.54262097468572</c:v>
                </c:pt>
                <c:pt idx="142">
                  <c:v>109.16135698295162</c:v>
                </c:pt>
                <c:pt idx="143">
                  <c:v>108.78250387463406</c:v>
                </c:pt>
                <c:pt idx="144">
                  <c:v>109.17857757878421</c:v>
                </c:pt>
                <c:pt idx="145">
                  <c:v>107.68038574134667</c:v>
                </c:pt>
                <c:pt idx="146">
                  <c:v>108.74806268296884</c:v>
                </c:pt>
                <c:pt idx="147">
                  <c:v>108.66195970380575</c:v>
                </c:pt>
                <c:pt idx="148">
                  <c:v>107.47373859135524</c:v>
                </c:pt>
                <c:pt idx="149">
                  <c:v>105.13173755811951</c:v>
                </c:pt>
                <c:pt idx="150">
                  <c:v>105.68279662476321</c:v>
                </c:pt>
                <c:pt idx="151">
                  <c:v>105.8894437747546</c:v>
                </c:pt>
                <c:pt idx="152">
                  <c:v>107.9559152746685</c:v>
                </c:pt>
                <c:pt idx="153">
                  <c:v>109.40244532460824</c:v>
                </c:pt>
                <c:pt idx="154">
                  <c:v>110.29791630790425</c:v>
                </c:pt>
                <c:pt idx="155">
                  <c:v>110.55622524539351</c:v>
                </c:pt>
                <c:pt idx="156">
                  <c:v>108.93748923712761</c:v>
                </c:pt>
                <c:pt idx="157">
                  <c:v>108.76528327880143</c:v>
                </c:pt>
                <c:pt idx="158">
                  <c:v>107.55984157051834</c:v>
                </c:pt>
                <c:pt idx="159">
                  <c:v>105.47614947477182</c:v>
                </c:pt>
                <c:pt idx="160">
                  <c:v>105.04563457895644</c:v>
                </c:pt>
                <c:pt idx="161">
                  <c:v>100.53383847081111</c:v>
                </c:pt>
                <c:pt idx="162">
                  <c:v>99.58670570001722</c:v>
                </c:pt>
                <c:pt idx="163">
                  <c:v>96.590322025142072</c:v>
                </c:pt>
                <c:pt idx="164">
                  <c:v>98.846220079214746</c:v>
                </c:pt>
                <c:pt idx="165">
                  <c:v>98.897881866712595</c:v>
                </c:pt>
                <c:pt idx="166">
                  <c:v>97.072498708455313</c:v>
                </c:pt>
                <c:pt idx="167">
                  <c:v>99.638367487515069</c:v>
                </c:pt>
                <c:pt idx="168">
                  <c:v>97.296366454279308</c:v>
                </c:pt>
                <c:pt idx="169">
                  <c:v>95.143791975202348</c:v>
                </c:pt>
                <c:pt idx="170">
                  <c:v>93.593938350266924</c:v>
                </c:pt>
                <c:pt idx="171">
                  <c:v>93.921129671086618</c:v>
                </c:pt>
                <c:pt idx="172">
                  <c:v>91.286378508696401</c:v>
                </c:pt>
                <c:pt idx="173">
                  <c:v>91.079731358705004</c:v>
                </c:pt>
                <c:pt idx="174">
                  <c:v>93.835026691923545</c:v>
                </c:pt>
                <c:pt idx="175">
                  <c:v>92.130187704494574</c:v>
                </c:pt>
                <c:pt idx="176">
                  <c:v>91.441363871189935</c:v>
                </c:pt>
                <c:pt idx="177">
                  <c:v>92.819011537799199</c:v>
                </c:pt>
                <c:pt idx="178">
                  <c:v>92.784570346133975</c:v>
                </c:pt>
                <c:pt idx="179">
                  <c:v>93.645600137764774</c:v>
                </c:pt>
                <c:pt idx="180">
                  <c:v>94.609953504391243</c:v>
                </c:pt>
                <c:pt idx="181">
                  <c:v>93.301188221112454</c:v>
                </c:pt>
                <c:pt idx="182">
                  <c:v>90.494231100396078</c:v>
                </c:pt>
                <c:pt idx="183">
                  <c:v>89.116583433786815</c:v>
                </c:pt>
                <c:pt idx="184">
                  <c:v>88.87549509213018</c:v>
                </c:pt>
                <c:pt idx="185">
                  <c:v>90.149819183743759</c:v>
                </c:pt>
                <c:pt idx="186">
                  <c:v>91.183054933700717</c:v>
                </c:pt>
                <c:pt idx="187">
                  <c:v>90.993628379541931</c:v>
                </c:pt>
                <c:pt idx="188">
                  <c:v>93.370070604442915</c:v>
                </c:pt>
                <c:pt idx="189">
                  <c:v>91.56190804201826</c:v>
                </c:pt>
                <c:pt idx="190">
                  <c:v>90.92474599621147</c:v>
                </c:pt>
                <c:pt idx="191">
                  <c:v>90.115377992078521</c:v>
                </c:pt>
                <c:pt idx="192">
                  <c:v>91.424143275357324</c:v>
                </c:pt>
                <c:pt idx="193">
                  <c:v>90.631995867057</c:v>
                </c:pt>
                <c:pt idx="194">
                  <c:v>90.735319442052685</c:v>
                </c:pt>
                <c:pt idx="195">
                  <c:v>91.56190804201826</c:v>
                </c:pt>
                <c:pt idx="196">
                  <c:v>92.577923196142592</c:v>
                </c:pt>
                <c:pt idx="197">
                  <c:v>93.266747029447217</c:v>
                </c:pt>
                <c:pt idx="198">
                  <c:v>92.457379025314268</c:v>
                </c:pt>
                <c:pt idx="199">
                  <c:v>90.235922162906832</c:v>
                </c:pt>
                <c:pt idx="200">
                  <c:v>89.719304287928367</c:v>
                </c:pt>
                <c:pt idx="201">
                  <c:v>89.891510246254526</c:v>
                </c:pt>
                <c:pt idx="202">
                  <c:v>90.545892887893913</c:v>
                </c:pt>
                <c:pt idx="203">
                  <c:v>88.858274496297568</c:v>
                </c:pt>
                <c:pt idx="204">
                  <c:v>88.944377475460641</c:v>
                </c:pt>
                <c:pt idx="205">
                  <c:v>88.135009471327706</c:v>
                </c:pt>
                <c:pt idx="206">
                  <c:v>91.114172550370228</c:v>
                </c:pt>
                <c:pt idx="207">
                  <c:v>90.631995867057</c:v>
                </c:pt>
                <c:pt idx="208">
                  <c:v>90.959187187876694</c:v>
                </c:pt>
                <c:pt idx="209">
                  <c:v>89.28878939211296</c:v>
                </c:pt>
                <c:pt idx="210">
                  <c:v>88.737730325469272</c:v>
                </c:pt>
                <c:pt idx="211">
                  <c:v>92.044084725331501</c:v>
                </c:pt>
                <c:pt idx="212">
                  <c:v>89.495436542104358</c:v>
                </c:pt>
                <c:pt idx="213">
                  <c:v>90.941966592044082</c:v>
                </c:pt>
                <c:pt idx="214">
                  <c:v>93.370070604442915</c:v>
                </c:pt>
                <c:pt idx="215">
                  <c:v>93.611158946099536</c:v>
                </c:pt>
                <c:pt idx="216">
                  <c:v>92.646805579473039</c:v>
                </c:pt>
                <c:pt idx="217">
                  <c:v>90.459789908730841</c:v>
                </c:pt>
                <c:pt idx="218">
                  <c:v>89.960392629584987</c:v>
                </c:pt>
                <c:pt idx="219">
                  <c:v>90.408128121232991</c:v>
                </c:pt>
                <c:pt idx="220">
                  <c:v>93.542276562769061</c:v>
                </c:pt>
                <c:pt idx="221">
                  <c:v>93.387291200275527</c:v>
                </c:pt>
                <c:pt idx="222">
                  <c:v>93.593938350266924</c:v>
                </c:pt>
                <c:pt idx="223">
                  <c:v>93.800585500258308</c:v>
                </c:pt>
                <c:pt idx="224">
                  <c:v>93.4733941794386</c:v>
                </c:pt>
                <c:pt idx="225">
                  <c:v>92.474599621146893</c:v>
                </c:pt>
                <c:pt idx="226">
                  <c:v>92.336834854485957</c:v>
                </c:pt>
                <c:pt idx="227">
                  <c:v>93.662820733597385</c:v>
                </c:pt>
                <c:pt idx="228">
                  <c:v>91.200275529533329</c:v>
                </c:pt>
                <c:pt idx="229">
                  <c:v>90.563113483726539</c:v>
                </c:pt>
                <c:pt idx="230">
                  <c:v>90.563113483726539</c:v>
                </c:pt>
                <c:pt idx="231">
                  <c:v>94.52385052522817</c:v>
                </c:pt>
                <c:pt idx="232">
                  <c:v>93.628379541932148</c:v>
                </c:pt>
                <c:pt idx="233">
                  <c:v>96.624763216807295</c:v>
                </c:pt>
                <c:pt idx="234">
                  <c:v>97.606337179266404</c:v>
                </c:pt>
                <c:pt idx="235">
                  <c:v>96.418116066815912</c:v>
                </c:pt>
                <c:pt idx="236">
                  <c:v>97.623557775099016</c:v>
                </c:pt>
                <c:pt idx="237">
                  <c:v>98.828999483382134</c:v>
                </c:pt>
                <c:pt idx="238">
                  <c:v>97.830204925090413</c:v>
                </c:pt>
                <c:pt idx="239">
                  <c:v>97.399690029275021</c:v>
                </c:pt>
                <c:pt idx="240">
                  <c:v>97.985190287583947</c:v>
                </c:pt>
                <c:pt idx="241">
                  <c:v>97.175822283451012</c:v>
                </c:pt>
                <c:pt idx="242">
                  <c:v>99.982779404167388</c:v>
                </c:pt>
                <c:pt idx="243">
                  <c:v>99.965558808334762</c:v>
                </c:pt>
                <c:pt idx="244">
                  <c:v>99.466161529188895</c:v>
                </c:pt>
                <c:pt idx="245">
                  <c:v>100.49939727914585</c:v>
                </c:pt>
                <c:pt idx="246">
                  <c:v>99.173411400034453</c:v>
                </c:pt>
                <c:pt idx="247">
                  <c:v>99.82779404167384</c:v>
                </c:pt>
                <c:pt idx="248">
                  <c:v>99.466161529188895</c:v>
                </c:pt>
                <c:pt idx="249">
                  <c:v>100.60272085414155</c:v>
                </c:pt>
                <c:pt idx="250">
                  <c:v>100.96435336662648</c:v>
                </c:pt>
                <c:pt idx="251">
                  <c:v>101.27432409161356</c:v>
                </c:pt>
                <c:pt idx="252">
                  <c:v>103.4785603581884</c:v>
                </c:pt>
                <c:pt idx="253">
                  <c:v>103.61632512484933</c:v>
                </c:pt>
                <c:pt idx="254">
                  <c:v>102.99638367487516</c:v>
                </c:pt>
                <c:pt idx="255">
                  <c:v>101.46375064577235</c:v>
                </c:pt>
                <c:pt idx="256">
                  <c:v>99.638367487515069</c:v>
                </c:pt>
                <c:pt idx="257">
                  <c:v>100.1033235749957</c:v>
                </c:pt>
                <c:pt idx="258">
                  <c:v>99.603926295849845</c:v>
                </c:pt>
                <c:pt idx="259">
                  <c:v>101.27432409161356</c:v>
                </c:pt>
                <c:pt idx="260">
                  <c:v>101.80816256242467</c:v>
                </c:pt>
                <c:pt idx="261">
                  <c:v>102.27311864990529</c:v>
                </c:pt>
                <c:pt idx="262">
                  <c:v>103.25469261236439</c:v>
                </c:pt>
                <c:pt idx="263">
                  <c:v>101.72205958326157</c:v>
                </c:pt>
                <c:pt idx="264">
                  <c:v>101.25710349578094</c:v>
                </c:pt>
                <c:pt idx="265">
                  <c:v>102.0664714999139</c:v>
                </c:pt>
                <c:pt idx="266">
                  <c:v>103.75408989151025</c:v>
                </c:pt>
                <c:pt idx="267">
                  <c:v>101.11933872912002</c:v>
                </c:pt>
                <c:pt idx="268">
                  <c:v>100.77492681246771</c:v>
                </c:pt>
                <c:pt idx="269">
                  <c:v>100.49939727914585</c:v>
                </c:pt>
                <c:pt idx="270">
                  <c:v>98.088513862579646</c:v>
                </c:pt>
                <c:pt idx="271">
                  <c:v>98.742896504219047</c:v>
                </c:pt>
                <c:pt idx="272">
                  <c:v>100.74048562080249</c:v>
                </c:pt>
                <c:pt idx="273">
                  <c:v>101.20544170828312</c:v>
                </c:pt>
                <c:pt idx="274">
                  <c:v>100.60272085414155</c:v>
                </c:pt>
                <c:pt idx="275">
                  <c:v>99.293955570862749</c:v>
                </c:pt>
                <c:pt idx="276">
                  <c:v>100.51661787497848</c:v>
                </c:pt>
                <c:pt idx="277">
                  <c:v>98.002410883416559</c:v>
                </c:pt>
                <c:pt idx="278">
                  <c:v>97.365248837609769</c:v>
                </c:pt>
                <c:pt idx="279">
                  <c:v>96.831410366798693</c:v>
                </c:pt>
                <c:pt idx="280">
                  <c:v>98.24349922507318</c:v>
                </c:pt>
                <c:pt idx="281">
                  <c:v>94.747718271052179</c:v>
                </c:pt>
                <c:pt idx="282">
                  <c:v>94.368865162734622</c:v>
                </c:pt>
                <c:pt idx="283">
                  <c:v>93.318408816945066</c:v>
                </c:pt>
                <c:pt idx="284">
                  <c:v>93.593938350266924</c:v>
                </c:pt>
                <c:pt idx="285">
                  <c:v>91.923540554503191</c:v>
                </c:pt>
                <c:pt idx="286">
                  <c:v>91.906319958670565</c:v>
                </c:pt>
                <c:pt idx="287">
                  <c:v>92.474599621146893</c:v>
                </c:pt>
                <c:pt idx="288">
                  <c:v>93.266747029447217</c:v>
                </c:pt>
                <c:pt idx="289">
                  <c:v>90.39090752540038</c:v>
                </c:pt>
                <c:pt idx="290">
                  <c:v>91.56190804201826</c:v>
                </c:pt>
                <c:pt idx="291">
                  <c:v>90.821422421215786</c:v>
                </c:pt>
                <c:pt idx="292">
                  <c:v>89.805407267091439</c:v>
                </c:pt>
                <c:pt idx="293">
                  <c:v>90.063716204580672</c:v>
                </c:pt>
                <c:pt idx="294">
                  <c:v>91.940761150335803</c:v>
                </c:pt>
                <c:pt idx="295">
                  <c:v>93.352850008610304</c:v>
                </c:pt>
                <c:pt idx="296">
                  <c:v>91.768555192009643</c:v>
                </c:pt>
                <c:pt idx="297">
                  <c:v>91.424143275357324</c:v>
                </c:pt>
                <c:pt idx="298">
                  <c:v>91.062510762872392</c:v>
                </c:pt>
                <c:pt idx="299">
                  <c:v>92.267952471155496</c:v>
                </c:pt>
                <c:pt idx="300">
                  <c:v>90.700878250387461</c:v>
                </c:pt>
                <c:pt idx="301">
                  <c:v>92.009643533666264</c:v>
                </c:pt>
                <c:pt idx="302">
                  <c:v>90.253142758739443</c:v>
                </c:pt>
                <c:pt idx="303">
                  <c:v>91.957981746168414</c:v>
                </c:pt>
                <c:pt idx="304">
                  <c:v>92.526261408644743</c:v>
                </c:pt>
                <c:pt idx="305">
                  <c:v>92.112967108661962</c:v>
                </c:pt>
                <c:pt idx="306">
                  <c:v>91.527466850353022</c:v>
                </c:pt>
                <c:pt idx="307">
                  <c:v>91.183054933700717</c:v>
                </c:pt>
                <c:pt idx="308">
                  <c:v>93.559497158601673</c:v>
                </c:pt>
                <c:pt idx="309">
                  <c:v>94.971586016876188</c:v>
                </c:pt>
                <c:pt idx="310">
                  <c:v>95.126571379369722</c:v>
                </c:pt>
                <c:pt idx="311">
                  <c:v>96.883072154296528</c:v>
                </c:pt>
                <c:pt idx="312">
                  <c:v>97.537454795935943</c:v>
                </c:pt>
                <c:pt idx="313">
                  <c:v>97.623557775099016</c:v>
                </c:pt>
                <c:pt idx="314">
                  <c:v>97.571895987601167</c:v>
                </c:pt>
                <c:pt idx="315">
                  <c:v>98.174616841742719</c:v>
                </c:pt>
                <c:pt idx="316">
                  <c:v>98.226278629240568</c:v>
                </c:pt>
                <c:pt idx="317">
                  <c:v>96.969175133459615</c:v>
                </c:pt>
                <c:pt idx="318">
                  <c:v>95.52264508351989</c:v>
                </c:pt>
                <c:pt idx="319">
                  <c:v>95.81539521267436</c:v>
                </c:pt>
                <c:pt idx="320">
                  <c:v>95.780954021009123</c:v>
                </c:pt>
                <c:pt idx="321">
                  <c:v>97.089719304287939</c:v>
                </c:pt>
                <c:pt idx="322">
                  <c:v>95.436542104356818</c:v>
                </c:pt>
                <c:pt idx="323">
                  <c:v>94.9888066127088</c:v>
                </c:pt>
                <c:pt idx="324">
                  <c:v>95.660409850180812</c:v>
                </c:pt>
                <c:pt idx="325">
                  <c:v>96.624763216807295</c:v>
                </c:pt>
                <c:pt idx="326">
                  <c:v>94.368865162734622</c:v>
                </c:pt>
                <c:pt idx="327">
                  <c:v>92.85345272946445</c:v>
                </c:pt>
                <c:pt idx="328">
                  <c:v>91.21749612536594</c:v>
                </c:pt>
                <c:pt idx="329">
                  <c:v>88.393318408816953</c:v>
                </c:pt>
                <c:pt idx="330">
                  <c:v>88.083347683829857</c:v>
                </c:pt>
                <c:pt idx="331">
                  <c:v>88.444980196314788</c:v>
                </c:pt>
                <c:pt idx="332">
                  <c:v>86.61959703805752</c:v>
                </c:pt>
                <c:pt idx="333">
                  <c:v>87.136214913035985</c:v>
                </c:pt>
                <c:pt idx="334">
                  <c:v>88.203891854658167</c:v>
                </c:pt>
                <c:pt idx="335">
                  <c:v>88.341656621319089</c:v>
                </c:pt>
                <c:pt idx="336">
                  <c:v>85.15584639228517</c:v>
                </c:pt>
                <c:pt idx="337">
                  <c:v>85.310831754778718</c:v>
                </c:pt>
                <c:pt idx="338">
                  <c:v>81.539521267435859</c:v>
                </c:pt>
                <c:pt idx="339">
                  <c:v>84.27759600482176</c:v>
                </c:pt>
                <c:pt idx="340">
                  <c:v>86.826244188048904</c:v>
                </c:pt>
                <c:pt idx="341">
                  <c:v>83.864301704838994</c:v>
                </c:pt>
                <c:pt idx="342">
                  <c:v>83.416566213190961</c:v>
                </c:pt>
                <c:pt idx="343">
                  <c:v>83.795419321508518</c:v>
                </c:pt>
                <c:pt idx="344">
                  <c:v>85.586361288100576</c:v>
                </c:pt>
                <c:pt idx="345">
                  <c:v>85.74134665059411</c:v>
                </c:pt>
                <c:pt idx="346">
                  <c:v>78.560358188393309</c:v>
                </c:pt>
                <c:pt idx="347">
                  <c:v>81.677286034096781</c:v>
                </c:pt>
                <c:pt idx="348">
                  <c:v>80.592388496641973</c:v>
                </c:pt>
                <c:pt idx="349">
                  <c:v>76.941622180127439</c:v>
                </c:pt>
                <c:pt idx="350">
                  <c:v>75.873945238505257</c:v>
                </c:pt>
                <c:pt idx="351">
                  <c:v>73.066988117788881</c:v>
                </c:pt>
                <c:pt idx="352">
                  <c:v>68.486309626313073</c:v>
                </c:pt>
                <c:pt idx="353">
                  <c:v>67.986912347167205</c:v>
                </c:pt>
                <c:pt idx="354">
                  <c:v>66.109867401412089</c:v>
                </c:pt>
                <c:pt idx="355">
                  <c:v>65.593249526433624</c:v>
                </c:pt>
                <c:pt idx="356">
                  <c:v>72.584811434475625</c:v>
                </c:pt>
                <c:pt idx="357">
                  <c:v>69.898398484587574</c:v>
                </c:pt>
                <c:pt idx="358">
                  <c:v>64.732219734802825</c:v>
                </c:pt>
                <c:pt idx="359">
                  <c:v>67.918029963836744</c:v>
                </c:pt>
                <c:pt idx="360">
                  <c:v>67.676941622180124</c:v>
                </c:pt>
                <c:pt idx="361">
                  <c:v>69.932839676252797</c:v>
                </c:pt>
                <c:pt idx="362">
                  <c:v>66.247632168073011</c:v>
                </c:pt>
                <c:pt idx="363">
                  <c:v>63.991734114000344</c:v>
                </c:pt>
                <c:pt idx="364">
                  <c:v>63.354572068193562</c:v>
                </c:pt>
                <c:pt idx="365">
                  <c:v>61.615291889099367</c:v>
                </c:pt>
                <c:pt idx="366">
                  <c:v>60.030997072498707</c:v>
                </c:pt>
                <c:pt idx="367">
                  <c:v>66.35095574306871</c:v>
                </c:pt>
                <c:pt idx="368">
                  <c:v>65.421043568107464</c:v>
                </c:pt>
                <c:pt idx="369">
                  <c:v>67.470294472188741</c:v>
                </c:pt>
                <c:pt idx="370">
                  <c:v>68.004132942999831</c:v>
                </c:pt>
                <c:pt idx="371">
                  <c:v>67.504735663853978</c:v>
                </c:pt>
                <c:pt idx="372">
                  <c:v>69.674530738763565</c:v>
                </c:pt>
                <c:pt idx="373">
                  <c:v>65.817117272257619</c:v>
                </c:pt>
                <c:pt idx="374">
                  <c:v>62.66574823488893</c:v>
                </c:pt>
                <c:pt idx="375">
                  <c:v>63.922851730669869</c:v>
                </c:pt>
                <c:pt idx="376">
                  <c:v>62.803513001549845</c:v>
                </c:pt>
                <c:pt idx="377">
                  <c:v>61.460306526605812</c:v>
                </c:pt>
                <c:pt idx="378">
                  <c:v>58.429481660065441</c:v>
                </c:pt>
                <c:pt idx="379">
                  <c:v>61.70139486826244</c:v>
                </c:pt>
                <c:pt idx="380">
                  <c:v>58.41226106423283</c:v>
                </c:pt>
                <c:pt idx="381">
                  <c:v>57.10349578095402</c:v>
                </c:pt>
                <c:pt idx="382">
                  <c:v>57.706216635095572</c:v>
                </c:pt>
                <c:pt idx="383">
                  <c:v>54.520406406061653</c:v>
                </c:pt>
                <c:pt idx="384">
                  <c:v>51.92009643533666</c:v>
                </c:pt>
                <c:pt idx="385">
                  <c:v>54.537627001894272</c:v>
                </c:pt>
                <c:pt idx="386">
                  <c:v>57.912863785086962</c:v>
                </c:pt>
                <c:pt idx="387">
                  <c:v>57.155157568451862</c:v>
                </c:pt>
                <c:pt idx="388">
                  <c:v>59.721026347511618</c:v>
                </c:pt>
                <c:pt idx="389">
                  <c:v>59.497158601687616</c:v>
                </c:pt>
                <c:pt idx="390">
                  <c:v>55.209230239366278</c:v>
                </c:pt>
                <c:pt idx="391">
                  <c:v>56.948510418460472</c:v>
                </c:pt>
                <c:pt idx="392">
                  <c:v>58.429481660065441</c:v>
                </c:pt>
                <c:pt idx="393">
                  <c:v>56.173583605992761</c:v>
                </c:pt>
                <c:pt idx="394">
                  <c:v>58.41226106423283</c:v>
                </c:pt>
                <c:pt idx="395">
                  <c:v>61.270879972447048</c:v>
                </c:pt>
                <c:pt idx="396">
                  <c:v>61.305321164112279</c:v>
                </c:pt>
                <c:pt idx="397">
                  <c:v>61.460306526605812</c:v>
                </c:pt>
                <c:pt idx="398">
                  <c:v>59.652143964181157</c:v>
                </c:pt>
                <c:pt idx="399">
                  <c:v>60.788703289133792</c:v>
                </c:pt>
                <c:pt idx="400">
                  <c:v>60.013776476666095</c:v>
                </c:pt>
                <c:pt idx="401">
                  <c:v>62.769071809884622</c:v>
                </c:pt>
                <c:pt idx="402">
                  <c:v>61.942483209919061</c:v>
                </c:pt>
                <c:pt idx="403">
                  <c:v>60.564835543309805</c:v>
                </c:pt>
                <c:pt idx="404">
                  <c:v>60.771482693301181</c:v>
                </c:pt>
                <c:pt idx="405">
                  <c:v>59.789908730842086</c:v>
                </c:pt>
                <c:pt idx="406">
                  <c:v>59.101084897537461</c:v>
                </c:pt>
                <c:pt idx="407">
                  <c:v>59.06664370587221</c:v>
                </c:pt>
                <c:pt idx="408">
                  <c:v>59.290511451696226</c:v>
                </c:pt>
                <c:pt idx="409">
                  <c:v>58.894437747546071</c:v>
                </c:pt>
                <c:pt idx="410">
                  <c:v>60.340967797485789</c:v>
                </c:pt>
                <c:pt idx="411">
                  <c:v>60.840365076631656</c:v>
                </c:pt>
                <c:pt idx="412">
                  <c:v>63.251248493197856</c:v>
                </c:pt>
                <c:pt idx="413">
                  <c:v>63.63010160151542</c:v>
                </c:pt>
                <c:pt idx="414">
                  <c:v>65.369381780609615</c:v>
                </c:pt>
                <c:pt idx="415">
                  <c:v>63.182366109867395</c:v>
                </c:pt>
                <c:pt idx="416">
                  <c:v>63.578439814017564</c:v>
                </c:pt>
                <c:pt idx="417">
                  <c:v>61.99414499741691</c:v>
                </c:pt>
                <c:pt idx="418">
                  <c:v>61.133115205786112</c:v>
                </c:pt>
                <c:pt idx="419">
                  <c:v>60.978129843292571</c:v>
                </c:pt>
                <c:pt idx="420">
                  <c:v>59.032202514206986</c:v>
                </c:pt>
                <c:pt idx="421">
                  <c:v>59.376614430859298</c:v>
                </c:pt>
                <c:pt idx="422">
                  <c:v>59.996555880833483</c:v>
                </c:pt>
                <c:pt idx="423">
                  <c:v>57.034613397623559</c:v>
                </c:pt>
                <c:pt idx="424">
                  <c:v>59.927673497503008</c:v>
                </c:pt>
                <c:pt idx="425">
                  <c:v>58.653349405889443</c:v>
                </c:pt>
                <c:pt idx="426">
                  <c:v>59.514379197520242</c:v>
                </c:pt>
                <c:pt idx="427">
                  <c:v>60.134320647494413</c:v>
                </c:pt>
                <c:pt idx="428">
                  <c:v>60.943688651627347</c:v>
                </c:pt>
                <c:pt idx="429">
                  <c:v>62.9584983640434</c:v>
                </c:pt>
                <c:pt idx="430">
                  <c:v>61.02979163079042</c:v>
                </c:pt>
                <c:pt idx="431">
                  <c:v>59.152746685035304</c:v>
                </c:pt>
                <c:pt idx="432">
                  <c:v>60.030997072498707</c:v>
                </c:pt>
                <c:pt idx="433">
                  <c:v>60.960909247459959</c:v>
                </c:pt>
                <c:pt idx="434">
                  <c:v>61.356982951610128</c:v>
                </c:pt>
                <c:pt idx="435">
                  <c:v>62.54520406406062</c:v>
                </c:pt>
                <c:pt idx="436">
                  <c:v>64.714999138970214</c:v>
                </c:pt>
                <c:pt idx="437">
                  <c:v>65.007749268124684</c:v>
                </c:pt>
                <c:pt idx="438">
                  <c:v>62.407439297399691</c:v>
                </c:pt>
                <c:pt idx="439">
                  <c:v>62.441880489064914</c:v>
                </c:pt>
                <c:pt idx="440">
                  <c:v>62.769071809884622</c:v>
                </c:pt>
                <c:pt idx="441">
                  <c:v>62.855174789047695</c:v>
                </c:pt>
                <c:pt idx="442">
                  <c:v>60.048217668331318</c:v>
                </c:pt>
                <c:pt idx="443">
                  <c:v>60.082658859996549</c:v>
                </c:pt>
                <c:pt idx="444">
                  <c:v>58.36059927673498</c:v>
                </c:pt>
                <c:pt idx="445">
                  <c:v>58.308937489237124</c:v>
                </c:pt>
                <c:pt idx="446">
                  <c:v>56.139142414327537</c:v>
                </c:pt>
                <c:pt idx="447">
                  <c:v>57.68899603926296</c:v>
                </c:pt>
                <c:pt idx="448">
                  <c:v>57.792319614258659</c:v>
                </c:pt>
                <c:pt idx="449">
                  <c:v>57.137936972619251</c:v>
                </c:pt>
                <c:pt idx="450">
                  <c:v>57.086275185121401</c:v>
                </c:pt>
                <c:pt idx="451">
                  <c:v>55.329774410194602</c:v>
                </c:pt>
                <c:pt idx="452">
                  <c:v>55.157568451868435</c:v>
                </c:pt>
                <c:pt idx="453">
                  <c:v>56.707422076803859</c:v>
                </c:pt>
                <c:pt idx="454">
                  <c:v>54.985362493542276</c:v>
                </c:pt>
                <c:pt idx="455">
                  <c:v>54.606509385224733</c:v>
                </c:pt>
                <c:pt idx="456">
                  <c:v>53.125538143619764</c:v>
                </c:pt>
                <c:pt idx="457">
                  <c:v>56.638539693473398</c:v>
                </c:pt>
                <c:pt idx="458">
                  <c:v>58.085069743413122</c:v>
                </c:pt>
                <c:pt idx="459">
                  <c:v>59.772688135009474</c:v>
                </c:pt>
                <c:pt idx="460">
                  <c:v>59.68658515584638</c:v>
                </c:pt>
                <c:pt idx="461">
                  <c:v>58.773893576717761</c:v>
                </c:pt>
                <c:pt idx="462">
                  <c:v>60.771482693301181</c:v>
                </c:pt>
                <c:pt idx="463">
                  <c:v>61.908042018253838</c:v>
                </c:pt>
                <c:pt idx="464">
                  <c:v>62.286895126571387</c:v>
                </c:pt>
                <c:pt idx="465">
                  <c:v>61.1158946099535</c:v>
                </c:pt>
                <c:pt idx="466">
                  <c:v>64.646116755639753</c:v>
                </c:pt>
                <c:pt idx="467">
                  <c:v>63.819528155674185</c:v>
                </c:pt>
                <c:pt idx="468">
                  <c:v>63.940072326502509</c:v>
                </c:pt>
                <c:pt idx="469">
                  <c:v>66.075426209746851</c:v>
                </c:pt>
                <c:pt idx="470">
                  <c:v>64.560013776476666</c:v>
                </c:pt>
                <c:pt idx="471">
                  <c:v>62.751851214052003</c:v>
                </c:pt>
                <c:pt idx="472">
                  <c:v>63.767866368176342</c:v>
                </c:pt>
                <c:pt idx="473">
                  <c:v>65.179955226450829</c:v>
                </c:pt>
                <c:pt idx="474">
                  <c:v>67.263647322197357</c:v>
                </c:pt>
                <c:pt idx="475">
                  <c:v>68.400206647149986</c:v>
                </c:pt>
                <c:pt idx="476">
                  <c:v>67.608059238849663</c:v>
                </c:pt>
                <c:pt idx="477">
                  <c:v>65.731014293094546</c:v>
                </c:pt>
                <c:pt idx="478">
                  <c:v>67.108661959703809</c:v>
                </c:pt>
                <c:pt idx="479">
                  <c:v>68.899603926295853</c:v>
                </c:pt>
                <c:pt idx="480">
                  <c:v>68.830721542965392</c:v>
                </c:pt>
                <c:pt idx="481">
                  <c:v>68.021353538832443</c:v>
                </c:pt>
                <c:pt idx="482">
                  <c:v>67.780265197175822</c:v>
                </c:pt>
                <c:pt idx="483">
                  <c:v>69.777854313759264</c:v>
                </c:pt>
                <c:pt idx="484">
                  <c:v>69.795074909591875</c:v>
                </c:pt>
                <c:pt idx="485">
                  <c:v>67.728603409677973</c:v>
                </c:pt>
                <c:pt idx="486">
                  <c:v>68.727397967969679</c:v>
                </c:pt>
                <c:pt idx="487">
                  <c:v>68.934045117961091</c:v>
                </c:pt>
                <c:pt idx="488">
                  <c:v>69.106251076287236</c:v>
                </c:pt>
                <c:pt idx="489">
                  <c:v>70.673325297055271</c:v>
                </c:pt>
                <c:pt idx="490">
                  <c:v>70.31169278457034</c:v>
                </c:pt>
                <c:pt idx="491">
                  <c:v>69.777854313759264</c:v>
                </c:pt>
                <c:pt idx="492">
                  <c:v>71.207163767866362</c:v>
                </c:pt>
                <c:pt idx="493">
                  <c:v>71.65489925951438</c:v>
                </c:pt>
                <c:pt idx="494">
                  <c:v>72.102634751162384</c:v>
                </c:pt>
                <c:pt idx="495">
                  <c:v>73.308076459445488</c:v>
                </c:pt>
                <c:pt idx="496">
                  <c:v>73.153091096951954</c:v>
                </c:pt>
                <c:pt idx="497">
                  <c:v>73.135870501119342</c:v>
                </c:pt>
                <c:pt idx="498">
                  <c:v>70.811090063716193</c:v>
                </c:pt>
                <c:pt idx="499">
                  <c:v>70.518339934561737</c:v>
                </c:pt>
                <c:pt idx="500">
                  <c:v>70.552781126226961</c:v>
                </c:pt>
                <c:pt idx="501">
                  <c:v>70.087825038746345</c:v>
                </c:pt>
                <c:pt idx="502">
                  <c:v>68.451868434647835</c:v>
                </c:pt>
                <c:pt idx="503">
                  <c:v>69.381780609609095</c:v>
                </c:pt>
                <c:pt idx="504">
                  <c:v>69.433442397106944</c:v>
                </c:pt>
                <c:pt idx="505">
                  <c:v>71.258825555364226</c:v>
                </c:pt>
                <c:pt idx="506">
                  <c:v>71.82710521784054</c:v>
                </c:pt>
                <c:pt idx="507">
                  <c:v>71.293266747029449</c:v>
                </c:pt>
                <c:pt idx="508">
                  <c:v>70.277251592905117</c:v>
                </c:pt>
                <c:pt idx="509">
                  <c:v>69.795074909591875</c:v>
                </c:pt>
                <c:pt idx="510">
                  <c:v>72.360943688651631</c:v>
                </c:pt>
                <c:pt idx="511">
                  <c:v>71.82710521784054</c:v>
                </c:pt>
                <c:pt idx="512">
                  <c:v>72.877561563630096</c:v>
                </c:pt>
                <c:pt idx="513">
                  <c:v>73.514723609436885</c:v>
                </c:pt>
                <c:pt idx="514">
                  <c:v>76.046151196831403</c:v>
                </c:pt>
                <c:pt idx="515">
                  <c:v>75.66729808851386</c:v>
                </c:pt>
                <c:pt idx="516">
                  <c:v>75.254003788531094</c:v>
                </c:pt>
                <c:pt idx="517">
                  <c:v>76.2527983468228</c:v>
                </c:pt>
                <c:pt idx="518">
                  <c:v>76.614430859307731</c:v>
                </c:pt>
                <c:pt idx="519">
                  <c:v>76.493886688479435</c:v>
                </c:pt>
                <c:pt idx="520">
                  <c:v>77.30325469261237</c:v>
                </c:pt>
                <c:pt idx="521">
                  <c:v>76.717754434303416</c:v>
                </c:pt>
                <c:pt idx="522">
                  <c:v>77.509901842603739</c:v>
                </c:pt>
                <c:pt idx="523">
                  <c:v>77.389357671775443</c:v>
                </c:pt>
                <c:pt idx="524">
                  <c:v>76.183915963492339</c:v>
                </c:pt>
                <c:pt idx="525">
                  <c:v>75.443430342689865</c:v>
                </c:pt>
                <c:pt idx="526">
                  <c:v>75.891165834337869</c:v>
                </c:pt>
                <c:pt idx="527">
                  <c:v>75.477871534355089</c:v>
                </c:pt>
                <c:pt idx="528">
                  <c:v>76.390563113483722</c:v>
                </c:pt>
                <c:pt idx="529">
                  <c:v>74.513518167728606</c:v>
                </c:pt>
                <c:pt idx="530">
                  <c:v>74.100223867745825</c:v>
                </c:pt>
                <c:pt idx="531">
                  <c:v>75.099018426037546</c:v>
                </c:pt>
                <c:pt idx="532">
                  <c:v>76.648872050972955</c:v>
                </c:pt>
                <c:pt idx="533">
                  <c:v>76.528327880144658</c:v>
                </c:pt>
                <c:pt idx="534">
                  <c:v>77.044945755123123</c:v>
                </c:pt>
                <c:pt idx="535">
                  <c:v>76.614430859307731</c:v>
                </c:pt>
                <c:pt idx="536">
                  <c:v>77.131048734286196</c:v>
                </c:pt>
                <c:pt idx="537">
                  <c:v>75.495092130187714</c:v>
                </c:pt>
                <c:pt idx="538">
                  <c:v>75.012915446874459</c:v>
                </c:pt>
                <c:pt idx="539">
                  <c:v>73.101429309454119</c:v>
                </c:pt>
                <c:pt idx="540">
                  <c:v>73.17031169278458</c:v>
                </c:pt>
                <c:pt idx="541">
                  <c:v>73.497503013604273</c:v>
                </c:pt>
                <c:pt idx="542">
                  <c:v>73.962459101084903</c:v>
                </c:pt>
                <c:pt idx="543">
                  <c:v>75.408989151024613</c:v>
                </c:pt>
                <c:pt idx="544">
                  <c:v>75.701739280179098</c:v>
                </c:pt>
                <c:pt idx="545">
                  <c:v>78.887549509213017</c:v>
                </c:pt>
                <c:pt idx="546">
                  <c:v>80.247976579989668</c:v>
                </c:pt>
                <c:pt idx="547">
                  <c:v>80.97124160495953</c:v>
                </c:pt>
                <c:pt idx="548">
                  <c:v>81.72894782159463</c:v>
                </c:pt>
                <c:pt idx="549">
                  <c:v>82.176683313242634</c:v>
                </c:pt>
                <c:pt idx="550">
                  <c:v>82.693301188221113</c:v>
                </c:pt>
                <c:pt idx="551">
                  <c:v>84.139831238160838</c:v>
                </c:pt>
                <c:pt idx="552">
                  <c:v>83.605992767349747</c:v>
                </c:pt>
                <c:pt idx="553">
                  <c:v>83.330463234027903</c:v>
                </c:pt>
                <c:pt idx="554">
                  <c:v>83.588772171517135</c:v>
                </c:pt>
                <c:pt idx="555">
                  <c:v>83.347683829860514</c:v>
                </c:pt>
                <c:pt idx="556">
                  <c:v>83.692095746512834</c:v>
                </c:pt>
                <c:pt idx="557">
                  <c:v>83.537110384019286</c:v>
                </c:pt>
                <c:pt idx="558">
                  <c:v>84.863096263130714</c:v>
                </c:pt>
                <c:pt idx="559">
                  <c:v>84.501463750645783</c:v>
                </c:pt>
                <c:pt idx="560">
                  <c:v>83.915963492336829</c:v>
                </c:pt>
                <c:pt idx="561">
                  <c:v>83.296022042362665</c:v>
                </c:pt>
                <c:pt idx="562">
                  <c:v>84.036507663165139</c:v>
                </c:pt>
                <c:pt idx="563">
                  <c:v>83.537110384019286</c:v>
                </c:pt>
                <c:pt idx="564">
                  <c:v>82.641639400723264</c:v>
                </c:pt>
                <c:pt idx="565">
                  <c:v>84.088169450662988</c:v>
                </c:pt>
                <c:pt idx="566">
                  <c:v>84.863096263130714</c:v>
                </c:pt>
                <c:pt idx="567">
                  <c:v>83.984845875667304</c:v>
                </c:pt>
                <c:pt idx="568">
                  <c:v>81.849491992422941</c:v>
                </c:pt>
                <c:pt idx="569">
                  <c:v>83.003271913208195</c:v>
                </c:pt>
                <c:pt idx="570">
                  <c:v>83.433786809023587</c:v>
                </c:pt>
                <c:pt idx="571">
                  <c:v>84.346478388152221</c:v>
                </c:pt>
                <c:pt idx="572">
                  <c:v>85.586361288100576</c:v>
                </c:pt>
                <c:pt idx="573">
                  <c:v>85.414155329774417</c:v>
                </c:pt>
                <c:pt idx="574">
                  <c:v>85.534699500602727</c:v>
                </c:pt>
                <c:pt idx="575">
                  <c:v>85.638023075598412</c:v>
                </c:pt>
                <c:pt idx="576">
                  <c:v>85.982434992250731</c:v>
                </c:pt>
                <c:pt idx="577">
                  <c:v>86.292405717237813</c:v>
                </c:pt>
                <c:pt idx="578">
                  <c:v>85.44859652143964</c:v>
                </c:pt>
                <c:pt idx="579">
                  <c:v>83.692095746512834</c:v>
                </c:pt>
                <c:pt idx="580">
                  <c:v>83.726536938178057</c:v>
                </c:pt>
                <c:pt idx="581">
                  <c:v>84.208713621491299</c:v>
                </c:pt>
                <c:pt idx="582">
                  <c:v>85.706905458928887</c:v>
                </c:pt>
                <c:pt idx="583">
                  <c:v>86.464611675563972</c:v>
                </c:pt>
                <c:pt idx="584">
                  <c:v>87.136214913035985</c:v>
                </c:pt>
                <c:pt idx="585">
                  <c:v>88.341656621319089</c:v>
                </c:pt>
                <c:pt idx="586">
                  <c:v>88.221112450490779</c:v>
                </c:pt>
                <c:pt idx="587">
                  <c:v>88.255553642156016</c:v>
                </c:pt>
                <c:pt idx="588">
                  <c:v>88.72050972963666</c:v>
                </c:pt>
                <c:pt idx="589">
                  <c:v>89.63320130876528</c:v>
                </c:pt>
                <c:pt idx="590">
                  <c:v>89.478215946271746</c:v>
                </c:pt>
                <c:pt idx="591">
                  <c:v>89.615980712932668</c:v>
                </c:pt>
                <c:pt idx="592">
                  <c:v>89.650421904597906</c:v>
                </c:pt>
                <c:pt idx="593">
                  <c:v>89.891510246254526</c:v>
                </c:pt>
                <c:pt idx="594">
                  <c:v>89.547098329602207</c:v>
                </c:pt>
                <c:pt idx="595">
                  <c:v>89.013259858791102</c:v>
                </c:pt>
                <c:pt idx="596">
                  <c:v>88.53108317547786</c:v>
                </c:pt>
                <c:pt idx="597">
                  <c:v>90.012054417082837</c:v>
                </c:pt>
                <c:pt idx="598">
                  <c:v>89.306009987945572</c:v>
                </c:pt>
                <c:pt idx="599">
                  <c:v>89.460995350439134</c:v>
                </c:pt>
                <c:pt idx="600">
                  <c:v>86.809023592216278</c:v>
                </c:pt>
                <c:pt idx="601">
                  <c:v>86.688479421387981</c:v>
                </c:pt>
                <c:pt idx="602">
                  <c:v>87.515068021353542</c:v>
                </c:pt>
                <c:pt idx="603">
                  <c:v>89.219907008782513</c:v>
                </c:pt>
                <c:pt idx="604">
                  <c:v>89.374892371276033</c:v>
                </c:pt>
                <c:pt idx="605">
                  <c:v>89.650421904597906</c:v>
                </c:pt>
                <c:pt idx="606">
                  <c:v>90.855863612881009</c:v>
                </c:pt>
                <c:pt idx="607">
                  <c:v>91.183054933700717</c:v>
                </c:pt>
                <c:pt idx="608">
                  <c:v>91.183054933700717</c:v>
                </c:pt>
                <c:pt idx="609">
                  <c:v>92.491820216979505</c:v>
                </c:pt>
                <c:pt idx="610">
                  <c:v>92.371276046151195</c:v>
                </c:pt>
                <c:pt idx="611">
                  <c:v>91.424143275357324</c:v>
                </c:pt>
                <c:pt idx="612">
                  <c:v>92.216290683657647</c:v>
                </c:pt>
                <c:pt idx="613">
                  <c:v>92.319614258653345</c:v>
                </c:pt>
                <c:pt idx="614">
                  <c:v>91.940761150335803</c:v>
                </c:pt>
                <c:pt idx="615">
                  <c:v>92.526261408644743</c:v>
                </c:pt>
                <c:pt idx="616">
                  <c:v>92.285173066988122</c:v>
                </c:pt>
                <c:pt idx="617">
                  <c:v>91.906319958670565</c:v>
                </c:pt>
                <c:pt idx="618">
                  <c:v>90.959187187876694</c:v>
                </c:pt>
                <c:pt idx="619">
                  <c:v>89.271568796280349</c:v>
                </c:pt>
                <c:pt idx="620">
                  <c:v>90.941966592044082</c:v>
                </c:pt>
                <c:pt idx="621">
                  <c:v>88.634406750473559</c:v>
                </c:pt>
                <c:pt idx="622">
                  <c:v>88.858274496297568</c:v>
                </c:pt>
                <c:pt idx="623">
                  <c:v>88.754950921301884</c:v>
                </c:pt>
                <c:pt idx="624">
                  <c:v>89.374892371276033</c:v>
                </c:pt>
                <c:pt idx="625">
                  <c:v>91.355260892026863</c:v>
                </c:pt>
                <c:pt idx="626">
                  <c:v>91.510246254520411</c:v>
                </c:pt>
                <c:pt idx="627">
                  <c:v>93.456173583605988</c:v>
                </c:pt>
                <c:pt idx="628">
                  <c:v>93.421732391940765</c:v>
                </c:pt>
                <c:pt idx="629">
                  <c:v>94.144997416910627</c:v>
                </c:pt>
                <c:pt idx="630">
                  <c:v>93.628379541932148</c:v>
                </c:pt>
                <c:pt idx="631">
                  <c:v>94.52385052522817</c:v>
                </c:pt>
                <c:pt idx="632">
                  <c:v>95.505424487687279</c:v>
                </c:pt>
                <c:pt idx="633">
                  <c:v>96.090924745996205</c:v>
                </c:pt>
                <c:pt idx="634">
                  <c:v>95.52264508351989</c:v>
                </c:pt>
                <c:pt idx="635">
                  <c:v>93.921129671086618</c:v>
                </c:pt>
                <c:pt idx="636">
                  <c:v>93.404511796108153</c:v>
                </c:pt>
                <c:pt idx="637">
                  <c:v>94.799380058550014</c:v>
                </c:pt>
                <c:pt idx="638">
                  <c:v>94.317203375236787</c:v>
                </c:pt>
                <c:pt idx="639">
                  <c:v>94.541071121060781</c:v>
                </c:pt>
                <c:pt idx="640">
                  <c:v>93.008438091957984</c:v>
                </c:pt>
                <c:pt idx="641">
                  <c:v>93.197864646116741</c:v>
                </c:pt>
                <c:pt idx="642">
                  <c:v>94.47218873773032</c:v>
                </c:pt>
                <c:pt idx="643">
                  <c:v>94.558291716893393</c:v>
                </c:pt>
                <c:pt idx="644">
                  <c:v>94.437747546065097</c:v>
                </c:pt>
                <c:pt idx="645">
                  <c:v>95.367659721026357</c:v>
                </c:pt>
                <c:pt idx="646">
                  <c:v>94.868262441880489</c:v>
                </c:pt>
                <c:pt idx="647">
                  <c:v>94.213879800241088</c:v>
                </c:pt>
                <c:pt idx="648">
                  <c:v>95.040468400206649</c:v>
                </c:pt>
                <c:pt idx="649">
                  <c:v>95.350439125193731</c:v>
                </c:pt>
                <c:pt idx="650">
                  <c:v>95.10935078353711</c:v>
                </c:pt>
                <c:pt idx="651">
                  <c:v>96.108145341828831</c:v>
                </c:pt>
                <c:pt idx="652">
                  <c:v>95.557086275185128</c:v>
                </c:pt>
                <c:pt idx="653">
                  <c:v>96.090924745996205</c:v>
                </c:pt>
                <c:pt idx="654">
                  <c:v>94.971586016876188</c:v>
                </c:pt>
                <c:pt idx="655">
                  <c:v>96.504219045978985</c:v>
                </c:pt>
                <c:pt idx="656">
                  <c:v>97.485793008438094</c:v>
                </c:pt>
                <c:pt idx="657">
                  <c:v>98.140175650077495</c:v>
                </c:pt>
                <c:pt idx="658">
                  <c:v>98.708455312553809</c:v>
                </c:pt>
                <c:pt idx="659">
                  <c:v>99.672808679180307</c:v>
                </c:pt>
                <c:pt idx="660">
                  <c:v>99.793352850008603</c:v>
                </c:pt>
                <c:pt idx="661">
                  <c:v>99.603926295849845</c:v>
                </c:pt>
                <c:pt idx="662">
                  <c:v>100.1033235749957</c:v>
                </c:pt>
                <c:pt idx="663">
                  <c:v>99.087308420871352</c:v>
                </c:pt>
                <c:pt idx="664">
                  <c:v>100.72326502496986</c:v>
                </c:pt>
                <c:pt idx="665">
                  <c:v>100.56827966247633</c:v>
                </c:pt>
                <c:pt idx="666">
                  <c:v>99.862235233339078</c:v>
                </c:pt>
                <c:pt idx="667">
                  <c:v>99.483382125021535</c:v>
                </c:pt>
                <c:pt idx="668">
                  <c:v>100.24108834165662</c:v>
                </c:pt>
                <c:pt idx="669">
                  <c:v>99.758911658343379</c:v>
                </c:pt>
                <c:pt idx="670">
                  <c:v>98.553469950060276</c:v>
                </c:pt>
                <c:pt idx="671">
                  <c:v>99.466161529188895</c:v>
                </c:pt>
                <c:pt idx="672">
                  <c:v>100.22386774582401</c:v>
                </c:pt>
                <c:pt idx="673">
                  <c:v>98.863440675047357</c:v>
                </c:pt>
                <c:pt idx="674">
                  <c:v>100.36163251248493</c:v>
                </c:pt>
                <c:pt idx="675">
                  <c:v>98.897881866712595</c:v>
                </c:pt>
                <c:pt idx="676">
                  <c:v>97.916307904253486</c:v>
                </c:pt>
                <c:pt idx="677">
                  <c:v>94.110556225245389</c:v>
                </c:pt>
                <c:pt idx="678">
                  <c:v>94.833821250215252</c:v>
                </c:pt>
                <c:pt idx="679">
                  <c:v>94.713277079386955</c:v>
                </c:pt>
                <c:pt idx="680">
                  <c:v>95.298777337695896</c:v>
                </c:pt>
                <c:pt idx="681">
                  <c:v>92.646805579473039</c:v>
                </c:pt>
                <c:pt idx="682">
                  <c:v>90.39090752540038</c:v>
                </c:pt>
                <c:pt idx="683">
                  <c:v>91.820216979507492</c:v>
                </c:pt>
                <c:pt idx="684">
                  <c:v>92.629584983640427</c:v>
                </c:pt>
                <c:pt idx="685">
                  <c:v>92.973996900292761</c:v>
                </c:pt>
                <c:pt idx="686">
                  <c:v>90.33924573790253</c:v>
                </c:pt>
                <c:pt idx="687">
                  <c:v>91.338040296194251</c:v>
                </c:pt>
                <c:pt idx="688">
                  <c:v>90.855863612881009</c:v>
                </c:pt>
                <c:pt idx="689">
                  <c:v>91.975202342001026</c:v>
                </c:pt>
                <c:pt idx="690">
                  <c:v>91.630790425348721</c:v>
                </c:pt>
                <c:pt idx="691">
                  <c:v>92.870673325297062</c:v>
                </c:pt>
                <c:pt idx="692">
                  <c:v>93.042879283623208</c:v>
                </c:pt>
                <c:pt idx="693">
                  <c:v>94.403306354399859</c:v>
                </c:pt>
                <c:pt idx="694">
                  <c:v>94.851041846047863</c:v>
                </c:pt>
                <c:pt idx="695">
                  <c:v>95.69485104184605</c:v>
                </c:pt>
                <c:pt idx="696">
                  <c:v>95.625968658515575</c:v>
                </c:pt>
                <c:pt idx="697">
                  <c:v>95.367659721026357</c:v>
                </c:pt>
                <c:pt idx="698">
                  <c:v>94.007232650249705</c:v>
                </c:pt>
                <c:pt idx="699">
                  <c:v>94.902703633545713</c:v>
                </c:pt>
                <c:pt idx="700">
                  <c:v>94.747718271052179</c:v>
                </c:pt>
                <c:pt idx="701">
                  <c:v>94.833821250215252</c:v>
                </c:pt>
                <c:pt idx="702">
                  <c:v>96.073704150163593</c:v>
                </c:pt>
                <c:pt idx="703">
                  <c:v>95.98760117100052</c:v>
                </c:pt>
                <c:pt idx="704">
                  <c:v>96.125365937661442</c:v>
                </c:pt>
                <c:pt idx="705">
                  <c:v>96.521439641811597</c:v>
                </c:pt>
                <c:pt idx="706">
                  <c:v>97.692440158429477</c:v>
                </c:pt>
                <c:pt idx="707">
                  <c:v>97.950749095918724</c:v>
                </c:pt>
                <c:pt idx="708">
                  <c:v>98.398484587566728</c:v>
                </c:pt>
                <c:pt idx="709">
                  <c:v>99.018426037540891</c:v>
                </c:pt>
                <c:pt idx="710">
                  <c:v>99.380058550025836</c:v>
                </c:pt>
                <c:pt idx="711">
                  <c:v>99.431720337523672</c:v>
                </c:pt>
                <c:pt idx="712">
                  <c:v>99.087308420871352</c:v>
                </c:pt>
                <c:pt idx="713">
                  <c:v>99.913897020836927</c:v>
                </c:pt>
                <c:pt idx="714">
                  <c:v>100.34441191665233</c:v>
                </c:pt>
                <c:pt idx="715">
                  <c:v>100.43051489581541</c:v>
                </c:pt>
                <c:pt idx="716">
                  <c:v>99.569485104184608</c:v>
                </c:pt>
                <c:pt idx="717">
                  <c:v>100.447735491648</c:v>
                </c:pt>
                <c:pt idx="718">
                  <c:v>101.49819183743757</c:v>
                </c:pt>
                <c:pt idx="719">
                  <c:v>100.87825038746341</c:v>
                </c:pt>
                <c:pt idx="720">
                  <c:v>100.86102979163078</c:v>
                </c:pt>
                <c:pt idx="721">
                  <c:v>100.67160323747201</c:v>
                </c:pt>
                <c:pt idx="722">
                  <c:v>100.74048562080249</c:v>
                </c:pt>
                <c:pt idx="723">
                  <c:v>101.20544170828312</c:v>
                </c:pt>
                <c:pt idx="724">
                  <c:v>100.5510590666437</c:v>
                </c:pt>
                <c:pt idx="725">
                  <c:v>100.63716204580678</c:v>
                </c:pt>
                <c:pt idx="726">
                  <c:v>101.85982434992252</c:v>
                </c:pt>
                <c:pt idx="727">
                  <c:v>102.03203030824865</c:v>
                </c:pt>
                <c:pt idx="728">
                  <c:v>101.77372137075945</c:v>
                </c:pt>
                <c:pt idx="729">
                  <c:v>101.82538315825728</c:v>
                </c:pt>
                <c:pt idx="730">
                  <c:v>102.6175305665576</c:v>
                </c:pt>
                <c:pt idx="731">
                  <c:v>103.04804546237301</c:v>
                </c:pt>
                <c:pt idx="732">
                  <c:v>103.34079559152747</c:v>
                </c:pt>
                <c:pt idx="733">
                  <c:v>105.18339934561736</c:v>
                </c:pt>
                <c:pt idx="734">
                  <c:v>105.70001722059584</c:v>
                </c:pt>
                <c:pt idx="735">
                  <c:v>104.30514895815395</c:v>
                </c:pt>
                <c:pt idx="736">
                  <c:v>104.3568107456518</c:v>
                </c:pt>
                <c:pt idx="737">
                  <c:v>104.89064921646288</c:v>
                </c:pt>
                <c:pt idx="738">
                  <c:v>105.30394351644567</c:v>
                </c:pt>
                <c:pt idx="739">
                  <c:v>105.73445841226106</c:v>
                </c:pt>
                <c:pt idx="740">
                  <c:v>105.94110556225247</c:v>
                </c:pt>
                <c:pt idx="741">
                  <c:v>105.83778198725675</c:v>
                </c:pt>
                <c:pt idx="742">
                  <c:v>103.84019287067332</c:v>
                </c:pt>
                <c:pt idx="743">
                  <c:v>104.01239882899948</c:v>
                </c:pt>
                <c:pt idx="744">
                  <c:v>104.95953159979337</c:v>
                </c:pt>
                <c:pt idx="745">
                  <c:v>102.56586877905976</c:v>
                </c:pt>
                <c:pt idx="746">
                  <c:v>103.99517823316687</c:v>
                </c:pt>
                <c:pt idx="747">
                  <c:v>100.96435336662648</c:v>
                </c:pt>
                <c:pt idx="748">
                  <c:v>100.41329429998278</c:v>
                </c:pt>
                <c:pt idx="749">
                  <c:v>97.055278112622702</c:v>
                </c:pt>
                <c:pt idx="750">
                  <c:v>94.764938866884791</c:v>
                </c:pt>
                <c:pt idx="751">
                  <c:v>99.552264508351996</c:v>
                </c:pt>
                <c:pt idx="752">
                  <c:v>99.276734975030138</c:v>
                </c:pt>
                <c:pt idx="753">
                  <c:v>101.61873600826587</c:v>
                </c:pt>
                <c:pt idx="754">
                  <c:v>100.24108834165662</c:v>
                </c:pt>
                <c:pt idx="755">
                  <c:v>98.53624935422765</c:v>
                </c:pt>
                <c:pt idx="756">
                  <c:v>98.725675908386421</c:v>
                </c:pt>
                <c:pt idx="757">
                  <c:v>97.348028241777158</c:v>
                </c:pt>
                <c:pt idx="758">
                  <c:v>96.624763216807295</c:v>
                </c:pt>
                <c:pt idx="759">
                  <c:v>93.146202858618906</c:v>
                </c:pt>
                <c:pt idx="760">
                  <c:v>94.041673841914928</c:v>
                </c:pt>
                <c:pt idx="761">
                  <c:v>93.421732391940765</c:v>
                </c:pt>
                <c:pt idx="762">
                  <c:v>93.283967625279843</c:v>
                </c:pt>
                <c:pt idx="763">
                  <c:v>92.319614258653345</c:v>
                </c:pt>
                <c:pt idx="764">
                  <c:v>95.832615808506972</c:v>
                </c:pt>
                <c:pt idx="765">
                  <c:v>94.937144825210964</c:v>
                </c:pt>
                <c:pt idx="766">
                  <c:v>93.903909075254006</c:v>
                </c:pt>
                <c:pt idx="767">
                  <c:v>96.15980712932668</c:v>
                </c:pt>
                <c:pt idx="768">
                  <c:v>97.31358705011192</c:v>
                </c:pt>
                <c:pt idx="769">
                  <c:v>93.990012054417079</c:v>
                </c:pt>
                <c:pt idx="770">
                  <c:v>92.164628896159812</c:v>
                </c:pt>
                <c:pt idx="771">
                  <c:v>92.181849491992423</c:v>
                </c:pt>
                <c:pt idx="772">
                  <c:v>91.389702083692086</c:v>
                </c:pt>
                <c:pt idx="773">
                  <c:v>93.628379541932148</c:v>
                </c:pt>
                <c:pt idx="774">
                  <c:v>94.799380058550014</c:v>
                </c:pt>
                <c:pt idx="775">
                  <c:v>94.592732908558631</c:v>
                </c:pt>
                <c:pt idx="776">
                  <c:v>97.31358705011192</c:v>
                </c:pt>
                <c:pt idx="777">
                  <c:v>97.675219562596865</c:v>
                </c:pt>
                <c:pt idx="778">
                  <c:v>98.036852075081796</c:v>
                </c:pt>
                <c:pt idx="779">
                  <c:v>98.140175650077495</c:v>
                </c:pt>
                <c:pt idx="780">
                  <c:v>97.21026347511625</c:v>
                </c:pt>
                <c:pt idx="781">
                  <c:v>96.245910108489753</c:v>
                </c:pt>
                <c:pt idx="782">
                  <c:v>95.884277596004821</c:v>
                </c:pt>
                <c:pt idx="783">
                  <c:v>93.990012054417079</c:v>
                </c:pt>
                <c:pt idx="784">
                  <c:v>93.852247287756157</c:v>
                </c:pt>
                <c:pt idx="785">
                  <c:v>93.886688479421395</c:v>
                </c:pt>
                <c:pt idx="786">
                  <c:v>90.322025142069919</c:v>
                </c:pt>
                <c:pt idx="787">
                  <c:v>88.858274496297568</c:v>
                </c:pt>
                <c:pt idx="788">
                  <c:v>88.462200792147399</c:v>
                </c:pt>
                <c:pt idx="789">
                  <c:v>88.272774237988628</c:v>
                </c:pt>
                <c:pt idx="790">
                  <c:v>88.841053900464956</c:v>
                </c:pt>
                <c:pt idx="791">
                  <c:v>92.267952471155496</c:v>
                </c:pt>
                <c:pt idx="792">
                  <c:v>92.715687962803514</c:v>
                </c:pt>
                <c:pt idx="793">
                  <c:v>93.249526433614605</c:v>
                </c:pt>
                <c:pt idx="794">
                  <c:v>93.955570862751856</c:v>
                </c:pt>
                <c:pt idx="795">
                  <c:v>95.333218529361119</c:v>
                </c:pt>
                <c:pt idx="796">
                  <c:v>96.194248320991903</c:v>
                </c:pt>
                <c:pt idx="797">
                  <c:v>96.297571895987602</c:v>
                </c:pt>
                <c:pt idx="798">
                  <c:v>93.576717754434313</c:v>
                </c:pt>
                <c:pt idx="799">
                  <c:v>94.592732908558631</c:v>
                </c:pt>
                <c:pt idx="800">
                  <c:v>95.10935078353711</c:v>
                </c:pt>
                <c:pt idx="801">
                  <c:v>93.817806096090919</c:v>
                </c:pt>
                <c:pt idx="802">
                  <c:v>96.349233683485451</c:v>
                </c:pt>
                <c:pt idx="803">
                  <c:v>96.934733941794377</c:v>
                </c:pt>
                <c:pt idx="804">
                  <c:v>97.606337179266404</c:v>
                </c:pt>
                <c:pt idx="805">
                  <c:v>97.726881350094715</c:v>
                </c:pt>
                <c:pt idx="806">
                  <c:v>96.693645600137756</c:v>
                </c:pt>
                <c:pt idx="807">
                  <c:v>95.849836404339584</c:v>
                </c:pt>
                <c:pt idx="808">
                  <c:v>95.470983296022041</c:v>
                </c:pt>
                <c:pt idx="809">
                  <c:v>97.451351816772871</c:v>
                </c:pt>
                <c:pt idx="810">
                  <c:v>97.020836920957464</c:v>
                </c:pt>
                <c:pt idx="811">
                  <c:v>97.692440158429477</c:v>
                </c:pt>
                <c:pt idx="812">
                  <c:v>97.31358705011192</c:v>
                </c:pt>
                <c:pt idx="813">
                  <c:v>96.986395729292227</c:v>
                </c:pt>
                <c:pt idx="814">
                  <c:v>97.434131220940245</c:v>
                </c:pt>
                <c:pt idx="815">
                  <c:v>96.15980712932668</c:v>
                </c:pt>
                <c:pt idx="816">
                  <c:v>93.628379541932148</c:v>
                </c:pt>
                <c:pt idx="817">
                  <c:v>91.871878767005342</c:v>
                </c:pt>
                <c:pt idx="818">
                  <c:v>91.372481487859474</c:v>
                </c:pt>
                <c:pt idx="819">
                  <c:v>91.699672808679182</c:v>
                </c:pt>
                <c:pt idx="820">
                  <c:v>92.681246771138277</c:v>
                </c:pt>
                <c:pt idx="821">
                  <c:v>93.197864646116741</c:v>
                </c:pt>
                <c:pt idx="822">
                  <c:v>92.009643533666264</c:v>
                </c:pt>
                <c:pt idx="823">
                  <c:v>92.199070087825035</c:v>
                </c:pt>
                <c:pt idx="824">
                  <c:v>91.26915791286379</c:v>
                </c:pt>
                <c:pt idx="825">
                  <c:v>89.719304287928367</c:v>
                </c:pt>
                <c:pt idx="826">
                  <c:v>90.270363354572069</c:v>
                </c:pt>
                <c:pt idx="827">
                  <c:v>89.28878939211296</c:v>
                </c:pt>
                <c:pt idx="828">
                  <c:v>90.373686929567754</c:v>
                </c:pt>
                <c:pt idx="829">
                  <c:v>89.271568796280349</c:v>
                </c:pt>
                <c:pt idx="830">
                  <c:v>88.754950921301884</c:v>
                </c:pt>
                <c:pt idx="831">
                  <c:v>91.079731358705004</c:v>
                </c:pt>
                <c:pt idx="832">
                  <c:v>91.820216979507492</c:v>
                </c:pt>
                <c:pt idx="833">
                  <c:v>93.438952987773376</c:v>
                </c:pt>
                <c:pt idx="834">
                  <c:v>92.698467366970888</c:v>
                </c:pt>
                <c:pt idx="835">
                  <c:v>93.12898226278628</c:v>
                </c:pt>
                <c:pt idx="836">
                  <c:v>93.352850008610304</c:v>
                </c:pt>
                <c:pt idx="837">
                  <c:v>93.318408816945066</c:v>
                </c:pt>
                <c:pt idx="838">
                  <c:v>95.436542104356818</c:v>
                </c:pt>
                <c:pt idx="839">
                  <c:v>95.849836404339584</c:v>
                </c:pt>
                <c:pt idx="840">
                  <c:v>96.400895470983301</c:v>
                </c:pt>
                <c:pt idx="841">
                  <c:v>97.055278112622702</c:v>
                </c:pt>
                <c:pt idx="842">
                  <c:v>97.451351816772871</c:v>
                </c:pt>
                <c:pt idx="843">
                  <c:v>98.828999483382134</c:v>
                </c:pt>
                <c:pt idx="844">
                  <c:v>98.674014120888572</c:v>
                </c:pt>
                <c:pt idx="845">
                  <c:v>98.122955054244869</c:v>
                </c:pt>
                <c:pt idx="846">
                  <c:v>97.967969691751335</c:v>
                </c:pt>
                <c:pt idx="847">
                  <c:v>100.06888238333048</c:v>
                </c:pt>
                <c:pt idx="848">
                  <c:v>99.931117616669539</c:v>
                </c:pt>
                <c:pt idx="849">
                  <c:v>100.13776476666092</c:v>
                </c:pt>
                <c:pt idx="850">
                  <c:v>100.15498536249355</c:v>
                </c:pt>
                <c:pt idx="851">
                  <c:v>99.621146891682457</c:v>
                </c:pt>
                <c:pt idx="852">
                  <c:v>99.552264508351996</c:v>
                </c:pt>
                <c:pt idx="853">
                  <c:v>98.484587566729815</c:v>
                </c:pt>
                <c:pt idx="854">
                  <c:v>100.61994144997416</c:v>
                </c:pt>
                <c:pt idx="855">
                  <c:v>99.845014637506452</c:v>
                </c:pt>
                <c:pt idx="856">
                  <c:v>100.1033235749957</c:v>
                </c:pt>
                <c:pt idx="857">
                  <c:v>100.89547098329604</c:v>
                </c:pt>
                <c:pt idx="858">
                  <c:v>100.96435336662648</c:v>
                </c:pt>
                <c:pt idx="859">
                  <c:v>101.77372137075945</c:v>
                </c:pt>
                <c:pt idx="860">
                  <c:v>102.75529533321853</c:v>
                </c:pt>
                <c:pt idx="861">
                  <c:v>102.66919235405545</c:v>
                </c:pt>
                <c:pt idx="862">
                  <c:v>104.77010504563458</c:v>
                </c:pt>
                <c:pt idx="863">
                  <c:v>105.04563457895644</c:v>
                </c:pt>
                <c:pt idx="864">
                  <c:v>103.35801618736009</c:v>
                </c:pt>
                <c:pt idx="865">
                  <c:v>103.94351644566902</c:v>
                </c:pt>
                <c:pt idx="866">
                  <c:v>104.01239882899948</c:v>
                </c:pt>
                <c:pt idx="867">
                  <c:v>104.83898742896504</c:v>
                </c:pt>
                <c:pt idx="868">
                  <c:v>105.23506113311521</c:v>
                </c:pt>
                <c:pt idx="869">
                  <c:v>105.26950232478045</c:v>
                </c:pt>
                <c:pt idx="870">
                  <c:v>105.9755467539177</c:v>
                </c:pt>
                <c:pt idx="871">
                  <c:v>106.04442913724814</c:v>
                </c:pt>
                <c:pt idx="872">
                  <c:v>106.19941449974168</c:v>
                </c:pt>
                <c:pt idx="873">
                  <c:v>106.49216462889616</c:v>
                </c:pt>
                <c:pt idx="874">
                  <c:v>107.45651799552265</c:v>
                </c:pt>
                <c:pt idx="875">
                  <c:v>108.00757706216635</c:v>
                </c:pt>
                <c:pt idx="876">
                  <c:v>109.66075426209747</c:v>
                </c:pt>
                <c:pt idx="877">
                  <c:v>109.64353366626484</c:v>
                </c:pt>
                <c:pt idx="878">
                  <c:v>109.9190631995867</c:v>
                </c:pt>
                <c:pt idx="879">
                  <c:v>109.52298949543655</c:v>
                </c:pt>
                <c:pt idx="880">
                  <c:v>109.71241604959532</c:v>
                </c:pt>
                <c:pt idx="881">
                  <c:v>107.78370931634235</c:v>
                </c:pt>
                <c:pt idx="882">
                  <c:v>106.37162045806785</c:v>
                </c:pt>
                <c:pt idx="883">
                  <c:v>105.8894437747546</c:v>
                </c:pt>
                <c:pt idx="884">
                  <c:v>103.97795763733426</c:v>
                </c:pt>
                <c:pt idx="885">
                  <c:v>103.96073704150164</c:v>
                </c:pt>
                <c:pt idx="886">
                  <c:v>105.82056139142415</c:v>
                </c:pt>
                <c:pt idx="887">
                  <c:v>106.19941449974168</c:v>
                </c:pt>
                <c:pt idx="888">
                  <c:v>107.07766488720509</c:v>
                </c:pt>
                <c:pt idx="889">
                  <c:v>105.47614947477182</c:v>
                </c:pt>
                <c:pt idx="890">
                  <c:v>107.37041501635957</c:v>
                </c:pt>
                <c:pt idx="891">
                  <c:v>106.99156190804202</c:v>
                </c:pt>
                <c:pt idx="892">
                  <c:v>106.30273807473738</c:v>
                </c:pt>
                <c:pt idx="893">
                  <c:v>104.94231100396074</c:v>
                </c:pt>
                <c:pt idx="894">
                  <c:v>107.24987084553126</c:v>
                </c:pt>
                <c:pt idx="895">
                  <c:v>108.6102979163079</c:v>
                </c:pt>
                <c:pt idx="896">
                  <c:v>109.07525400378854</c:v>
                </c:pt>
                <c:pt idx="897">
                  <c:v>109.10969519545377</c:v>
                </c:pt>
                <c:pt idx="898">
                  <c:v>109.17857757878421</c:v>
                </c:pt>
                <c:pt idx="899">
                  <c:v>110.07404856208025</c:v>
                </c:pt>
                <c:pt idx="900">
                  <c:v>110.05682796624762</c:v>
                </c:pt>
                <c:pt idx="901">
                  <c:v>110.69399001205443</c:v>
                </c:pt>
                <c:pt idx="902">
                  <c:v>110.2290339245738</c:v>
                </c:pt>
                <c:pt idx="903">
                  <c:v>110.10848975374547</c:v>
                </c:pt>
                <c:pt idx="904">
                  <c:v>109.72963664542792</c:v>
                </c:pt>
                <c:pt idx="905">
                  <c:v>110.43568107456517</c:v>
                </c:pt>
                <c:pt idx="906">
                  <c:v>110.76287239538487</c:v>
                </c:pt>
                <c:pt idx="907">
                  <c:v>110.62510762872395</c:v>
                </c:pt>
                <c:pt idx="908">
                  <c:v>111.48613742035474</c:v>
                </c:pt>
                <c:pt idx="909">
                  <c:v>111.31393146202859</c:v>
                </c:pt>
                <c:pt idx="910">
                  <c:v>111.09006371620458</c:v>
                </c:pt>
                <c:pt idx="911">
                  <c:v>111.21060788703289</c:v>
                </c:pt>
                <c:pt idx="912">
                  <c:v>111.22782848286552</c:v>
                </c:pt>
                <c:pt idx="913">
                  <c:v>111.34837265369381</c:v>
                </c:pt>
                <c:pt idx="914">
                  <c:v>111.14172550370245</c:v>
                </c:pt>
                <c:pt idx="915">
                  <c:v>110.86619597038056</c:v>
                </c:pt>
                <c:pt idx="916">
                  <c:v>112.15774065782675</c:v>
                </c:pt>
                <c:pt idx="917">
                  <c:v>112.416049595316</c:v>
                </c:pt>
                <c:pt idx="918">
                  <c:v>113.05321164112279</c:v>
                </c:pt>
                <c:pt idx="919">
                  <c:v>114.10366798691236</c:v>
                </c:pt>
                <c:pt idx="920">
                  <c:v>113.74203547442741</c:v>
                </c:pt>
                <c:pt idx="921">
                  <c:v>114.20699156190804</c:v>
                </c:pt>
                <c:pt idx="922">
                  <c:v>114.36197692440157</c:v>
                </c:pt>
                <c:pt idx="923">
                  <c:v>115.37799207852592</c:v>
                </c:pt>
                <c:pt idx="924">
                  <c:v>115.36077148269331</c:v>
                </c:pt>
                <c:pt idx="925">
                  <c:v>116.49733080764595</c:v>
                </c:pt>
                <c:pt idx="926">
                  <c:v>116.73841914930259</c:v>
                </c:pt>
                <c:pt idx="927">
                  <c:v>115.80850697434131</c:v>
                </c:pt>
                <c:pt idx="928">
                  <c:v>114.58584467022558</c:v>
                </c:pt>
                <c:pt idx="929">
                  <c:v>113.94868262441882</c:v>
                </c:pt>
                <c:pt idx="930">
                  <c:v>115.4468744618564</c:v>
                </c:pt>
                <c:pt idx="931">
                  <c:v>115.79128637850869</c:v>
                </c:pt>
                <c:pt idx="932">
                  <c:v>116.4628896159807</c:v>
                </c:pt>
                <c:pt idx="933">
                  <c:v>117.25503702428104</c:v>
                </c:pt>
                <c:pt idx="934">
                  <c:v>114.51696228689512</c:v>
                </c:pt>
                <c:pt idx="935">
                  <c:v>115.25744790769761</c:v>
                </c:pt>
                <c:pt idx="936">
                  <c:v>117.28947821594626</c:v>
                </c:pt>
                <c:pt idx="937">
                  <c:v>117.61666953676597</c:v>
                </c:pt>
                <c:pt idx="938">
                  <c:v>117.68555192009644</c:v>
                </c:pt>
                <c:pt idx="939">
                  <c:v>118.59824349922508</c:v>
                </c:pt>
                <c:pt idx="940">
                  <c:v>119.42483209919061</c:v>
                </c:pt>
                <c:pt idx="941">
                  <c:v>119.94144997416912</c:v>
                </c:pt>
                <c:pt idx="942">
                  <c:v>119.61425865334941</c:v>
                </c:pt>
                <c:pt idx="943">
                  <c:v>118.92543482004479</c:v>
                </c:pt>
                <c:pt idx="944">
                  <c:v>119.47649388668846</c:v>
                </c:pt>
                <c:pt idx="945">
                  <c:v>119.76924401584294</c:v>
                </c:pt>
                <c:pt idx="946">
                  <c:v>119.16652316170141</c:v>
                </c:pt>
                <c:pt idx="947">
                  <c:v>120.07921474083003</c:v>
                </c:pt>
                <c:pt idx="948">
                  <c:v>120.26864129498883</c:v>
                </c:pt>
                <c:pt idx="949">
                  <c:v>120.21697950749098</c:v>
                </c:pt>
                <c:pt idx="950">
                  <c:v>116.91062510762873</c:v>
                </c:pt>
                <c:pt idx="951">
                  <c:v>115.27466850353021</c:v>
                </c:pt>
                <c:pt idx="952">
                  <c:v>115.75684518684346</c:v>
                </c:pt>
                <c:pt idx="953">
                  <c:v>117.46168417427243</c:v>
                </c:pt>
                <c:pt idx="954">
                  <c:v>117.63389013259859</c:v>
                </c:pt>
                <c:pt idx="955">
                  <c:v>115.46409505768899</c:v>
                </c:pt>
                <c:pt idx="956">
                  <c:v>116.08403650766317</c:v>
                </c:pt>
                <c:pt idx="957">
                  <c:v>118.15050800757707</c:v>
                </c:pt>
                <c:pt idx="958">
                  <c:v>117.39280179094196</c:v>
                </c:pt>
                <c:pt idx="959">
                  <c:v>115.56741863268469</c:v>
                </c:pt>
                <c:pt idx="960">
                  <c:v>116.29068365765455</c:v>
                </c:pt>
                <c:pt idx="961">
                  <c:v>115.42965386602377</c:v>
                </c:pt>
                <c:pt idx="962">
                  <c:v>113.08765283278801</c:v>
                </c:pt>
                <c:pt idx="963">
                  <c:v>113.79369726192525</c:v>
                </c:pt>
                <c:pt idx="964">
                  <c:v>113.2770793869468</c:v>
                </c:pt>
                <c:pt idx="965">
                  <c:v>111.58946099535044</c:v>
                </c:pt>
                <c:pt idx="966">
                  <c:v>108.74806268296884</c:v>
                </c:pt>
                <c:pt idx="967">
                  <c:v>109.5746512829344</c:v>
                </c:pt>
                <c:pt idx="968">
                  <c:v>109.71241604959532</c:v>
                </c:pt>
                <c:pt idx="969">
                  <c:v>111.88221112450492</c:v>
                </c:pt>
                <c:pt idx="970">
                  <c:v>111.67556397451351</c:v>
                </c:pt>
                <c:pt idx="971">
                  <c:v>112.24384363698985</c:v>
                </c:pt>
                <c:pt idx="972">
                  <c:v>114.10366798691236</c:v>
                </c:pt>
                <c:pt idx="973">
                  <c:v>114.34475632856898</c:v>
                </c:pt>
                <c:pt idx="974">
                  <c:v>113.7248148785948</c:v>
                </c:pt>
                <c:pt idx="975">
                  <c:v>114.4825210952299</c:v>
                </c:pt>
                <c:pt idx="976">
                  <c:v>114.70638884105391</c:v>
                </c:pt>
                <c:pt idx="977">
                  <c:v>114.58584467022558</c:v>
                </c:pt>
                <c:pt idx="978">
                  <c:v>114.25865334940588</c:v>
                </c:pt>
                <c:pt idx="979">
                  <c:v>113.55260892026864</c:v>
                </c:pt>
                <c:pt idx="980">
                  <c:v>113.48372653693819</c:v>
                </c:pt>
                <c:pt idx="981">
                  <c:v>114.2758739452385</c:v>
                </c:pt>
                <c:pt idx="982">
                  <c:v>114.20699156190804</c:v>
                </c:pt>
                <c:pt idx="983">
                  <c:v>113.58705011193386</c:v>
                </c:pt>
                <c:pt idx="984">
                  <c:v>113.25985879111415</c:v>
                </c:pt>
                <c:pt idx="985">
                  <c:v>112.29550542448767</c:v>
                </c:pt>
                <c:pt idx="986">
                  <c:v>113.10487342862064</c:v>
                </c:pt>
                <c:pt idx="987">
                  <c:v>112.82934389529878</c:v>
                </c:pt>
                <c:pt idx="988">
                  <c:v>112.38160840365077</c:v>
                </c:pt>
                <c:pt idx="989">
                  <c:v>111.52057861201999</c:v>
                </c:pt>
                <c:pt idx="990">
                  <c:v>111.88221112450492</c:v>
                </c:pt>
                <c:pt idx="991">
                  <c:v>114.75805062855176</c:v>
                </c:pt>
                <c:pt idx="992">
                  <c:v>115.73962459101084</c:v>
                </c:pt>
                <c:pt idx="993">
                  <c:v>116.04959531599795</c:v>
                </c:pt>
                <c:pt idx="994">
                  <c:v>116.91062510762873</c:v>
                </c:pt>
                <c:pt idx="995">
                  <c:v>117.4100223867746</c:v>
                </c:pt>
                <c:pt idx="996">
                  <c:v>117.46168417427243</c:v>
                </c:pt>
                <c:pt idx="997">
                  <c:v>117.78887549509214</c:v>
                </c:pt>
                <c:pt idx="998">
                  <c:v>117.01394868262443</c:v>
                </c:pt>
                <c:pt idx="999">
                  <c:v>116.51455140347855</c:v>
                </c:pt>
                <c:pt idx="1000">
                  <c:v>116.32512484931978</c:v>
                </c:pt>
                <c:pt idx="1001">
                  <c:v>115.87738935767177</c:v>
                </c:pt>
                <c:pt idx="1002">
                  <c:v>116.30790425348718</c:v>
                </c:pt>
                <c:pt idx="1003">
                  <c:v>116.5662131909764</c:v>
                </c:pt>
                <c:pt idx="1004">
                  <c:v>117.56500774926812</c:v>
                </c:pt>
                <c:pt idx="1005">
                  <c:v>116.70397795763732</c:v>
                </c:pt>
                <c:pt idx="1006">
                  <c:v>117.39280179094196</c:v>
                </c:pt>
                <c:pt idx="1007">
                  <c:v>115.94627174100222</c:v>
                </c:pt>
                <c:pt idx="1008">
                  <c:v>114.01756500774927</c:v>
                </c:pt>
                <c:pt idx="1009">
                  <c:v>113.74203547442741</c:v>
                </c:pt>
                <c:pt idx="1010">
                  <c:v>114.79249182021698</c:v>
                </c:pt>
                <c:pt idx="1011">
                  <c:v>114.96469777854314</c:v>
                </c:pt>
                <c:pt idx="1012">
                  <c:v>114.34475632856898</c:v>
                </c:pt>
                <c:pt idx="1013">
                  <c:v>112.55381436197693</c:v>
                </c:pt>
                <c:pt idx="1014">
                  <c:v>112.03719648699845</c:v>
                </c:pt>
                <c:pt idx="1015">
                  <c:v>112.57103495780956</c:v>
                </c:pt>
                <c:pt idx="1016">
                  <c:v>113.29429998277942</c:v>
                </c:pt>
                <c:pt idx="1017">
                  <c:v>113.9142414327536</c:v>
                </c:pt>
                <c:pt idx="1018">
                  <c:v>115.68796280351302</c:v>
                </c:pt>
                <c:pt idx="1019">
                  <c:v>113.05321164112279</c:v>
                </c:pt>
                <c:pt idx="1020">
                  <c:v>113.17375581195108</c:v>
                </c:pt>
                <c:pt idx="1021">
                  <c:v>111.52057861201999</c:v>
                </c:pt>
                <c:pt idx="1022">
                  <c:v>110.69399001205443</c:v>
                </c:pt>
                <c:pt idx="1023">
                  <c:v>110.34957809540209</c:v>
                </c:pt>
                <c:pt idx="1024">
                  <c:v>109.29912174961254</c:v>
                </c:pt>
                <c:pt idx="1025">
                  <c:v>109.43688651627346</c:v>
                </c:pt>
                <c:pt idx="1026">
                  <c:v>107.83537110384019</c:v>
                </c:pt>
                <c:pt idx="1027">
                  <c:v>107.55984157051834</c:v>
                </c:pt>
                <c:pt idx="1028">
                  <c:v>109.12691579128636</c:v>
                </c:pt>
                <c:pt idx="1029">
                  <c:v>107.14654727053556</c:v>
                </c:pt>
                <c:pt idx="1030">
                  <c:v>106.71603237472016</c:v>
                </c:pt>
                <c:pt idx="1031">
                  <c:v>106.40606164973308</c:v>
                </c:pt>
                <c:pt idx="1032">
                  <c:v>106.69881177888756</c:v>
                </c:pt>
                <c:pt idx="1033">
                  <c:v>108.88582744962976</c:v>
                </c:pt>
                <c:pt idx="1034">
                  <c:v>108.12812123299467</c:v>
                </c:pt>
                <c:pt idx="1035">
                  <c:v>109.29912174961254</c:v>
                </c:pt>
                <c:pt idx="1036">
                  <c:v>107.11210607887034</c:v>
                </c:pt>
                <c:pt idx="1037">
                  <c:v>108.66195970380575</c:v>
                </c:pt>
                <c:pt idx="1038">
                  <c:v>110.05682796624762</c:v>
                </c:pt>
                <c:pt idx="1039">
                  <c:v>110.34957809540209</c:v>
                </c:pt>
                <c:pt idx="1040">
                  <c:v>111.96831410366799</c:v>
                </c:pt>
                <c:pt idx="1041">
                  <c:v>113.74203547442741</c:v>
                </c:pt>
                <c:pt idx="1042">
                  <c:v>114.03478560358189</c:v>
                </c:pt>
                <c:pt idx="1043">
                  <c:v>114.62028586189081</c:v>
                </c:pt>
                <c:pt idx="1044">
                  <c:v>116.18736008265887</c:v>
                </c:pt>
                <c:pt idx="1045">
                  <c:v>115.63630101601517</c:v>
                </c:pt>
                <c:pt idx="1046">
                  <c:v>113.55260892026864</c:v>
                </c:pt>
                <c:pt idx="1047">
                  <c:v>112.32994661615292</c:v>
                </c:pt>
                <c:pt idx="1048">
                  <c:v>112.67435853280526</c:v>
                </c:pt>
                <c:pt idx="1049">
                  <c:v>111.52057861201999</c:v>
                </c:pt>
                <c:pt idx="1050">
                  <c:v>113.13931462028586</c:v>
                </c:pt>
                <c:pt idx="1051">
                  <c:v>112.7432409161357</c:v>
                </c:pt>
                <c:pt idx="1052">
                  <c:v>115.86016876183916</c:v>
                </c:pt>
                <c:pt idx="1053">
                  <c:v>115.3435508868607</c:v>
                </c:pt>
                <c:pt idx="1054">
                  <c:v>115.73962459101084</c:v>
                </c:pt>
                <c:pt idx="1055">
                  <c:v>117.39280179094196</c:v>
                </c:pt>
                <c:pt idx="1056">
                  <c:v>116.9967280867918</c:v>
                </c:pt>
                <c:pt idx="1057">
                  <c:v>117.46168417427243</c:v>
                </c:pt>
                <c:pt idx="1058">
                  <c:v>113.9142414327536</c:v>
                </c:pt>
                <c:pt idx="1059">
                  <c:v>114.03478560358189</c:v>
                </c:pt>
                <c:pt idx="1060">
                  <c:v>113.19097640778371</c:v>
                </c:pt>
                <c:pt idx="1061">
                  <c:v>112.94988806612709</c:v>
                </c:pt>
                <c:pt idx="1062">
                  <c:v>110.40123988289994</c:v>
                </c:pt>
                <c:pt idx="1063">
                  <c:v>111.52057861201999</c:v>
                </c:pt>
                <c:pt idx="1064">
                  <c:v>106.47494403306355</c:v>
                </c:pt>
                <c:pt idx="1065">
                  <c:v>105.57947304976753</c:v>
                </c:pt>
                <c:pt idx="1066">
                  <c:v>99.672808679180307</c:v>
                </c:pt>
                <c:pt idx="1067">
                  <c:v>103.84019287067332</c:v>
                </c:pt>
                <c:pt idx="1068">
                  <c:v>99.913897020836927</c:v>
                </c:pt>
                <c:pt idx="1069">
                  <c:v>104.09850180816255</c:v>
                </c:pt>
                <c:pt idx="1070">
                  <c:v>105.02841398312381</c:v>
                </c:pt>
                <c:pt idx="1071">
                  <c:v>106.87101773721371</c:v>
                </c:pt>
                <c:pt idx="1072">
                  <c:v>105.6655760289306</c:v>
                </c:pt>
                <c:pt idx="1073">
                  <c:v>104.71844325813673</c:v>
                </c:pt>
                <c:pt idx="1074">
                  <c:v>99.276734975030138</c:v>
                </c:pt>
                <c:pt idx="1075">
                  <c:v>96.504219045978985</c:v>
                </c:pt>
                <c:pt idx="1076">
                  <c:v>97.003616325124838</c:v>
                </c:pt>
                <c:pt idx="1077">
                  <c:v>100.86102979163078</c:v>
                </c:pt>
                <c:pt idx="1078">
                  <c:v>101.58429481660065</c:v>
                </c:pt>
                <c:pt idx="1079">
                  <c:v>99.982779404167388</c:v>
                </c:pt>
                <c:pt idx="1080">
                  <c:v>102.3936628207336</c:v>
                </c:pt>
                <c:pt idx="1081">
                  <c:v>105.39004649560874</c:v>
                </c:pt>
                <c:pt idx="1082">
                  <c:v>105.61391424143277</c:v>
                </c:pt>
                <c:pt idx="1083">
                  <c:v>105.6655760289306</c:v>
                </c:pt>
                <c:pt idx="1084">
                  <c:v>104.39125193731702</c:v>
                </c:pt>
                <c:pt idx="1085">
                  <c:v>101.85982434992252</c:v>
                </c:pt>
                <c:pt idx="1086">
                  <c:v>101.34320647494404</c:v>
                </c:pt>
                <c:pt idx="1087">
                  <c:v>104.13294299982778</c:v>
                </c:pt>
                <c:pt idx="1088">
                  <c:v>103.719648699845</c:v>
                </c:pt>
                <c:pt idx="1089">
                  <c:v>101.54985362493542</c:v>
                </c:pt>
                <c:pt idx="1090">
                  <c:v>102.84139831238161</c:v>
                </c:pt>
                <c:pt idx="1091">
                  <c:v>104.2534871706561</c:v>
                </c:pt>
                <c:pt idx="1092">
                  <c:v>106.04442913724814</c:v>
                </c:pt>
                <c:pt idx="1093">
                  <c:v>107.71482693301189</c:v>
                </c:pt>
                <c:pt idx="1094">
                  <c:v>108.62751851214053</c:v>
                </c:pt>
                <c:pt idx="1095">
                  <c:v>108.55863612881005</c:v>
                </c:pt>
                <c:pt idx="1096">
                  <c:v>108.0420182538316</c:v>
                </c:pt>
                <c:pt idx="1097">
                  <c:v>106.49216462889616</c:v>
                </c:pt>
                <c:pt idx="1098">
                  <c:v>103.20303082486654</c:v>
                </c:pt>
                <c:pt idx="1099">
                  <c:v>104.13294299982778</c:v>
                </c:pt>
                <c:pt idx="1100">
                  <c:v>105.57947304976753</c:v>
                </c:pt>
                <c:pt idx="1101">
                  <c:v>106.90545892887893</c:v>
                </c:pt>
                <c:pt idx="1102">
                  <c:v>105.16617874978473</c:v>
                </c:pt>
                <c:pt idx="1103">
                  <c:v>104.75288444980195</c:v>
                </c:pt>
                <c:pt idx="1104">
                  <c:v>101.84260375408989</c:v>
                </c:pt>
                <c:pt idx="1105">
                  <c:v>99.328396762527987</c:v>
                </c:pt>
                <c:pt idx="1106">
                  <c:v>101.61873600826587</c:v>
                </c:pt>
                <c:pt idx="1107">
                  <c:v>104.11572240399518</c:v>
                </c:pt>
                <c:pt idx="1108">
                  <c:v>105.92388496641982</c:v>
                </c:pt>
                <c:pt idx="1109">
                  <c:v>105.37282589977612</c:v>
                </c:pt>
                <c:pt idx="1110">
                  <c:v>108.79972447046669</c:v>
                </c:pt>
                <c:pt idx="1111">
                  <c:v>109.54021009126916</c:v>
                </c:pt>
                <c:pt idx="1112">
                  <c:v>110.14293094541073</c:v>
                </c:pt>
                <c:pt idx="1113">
                  <c:v>111.43447563285689</c:v>
                </c:pt>
                <c:pt idx="1114">
                  <c:v>113.69037368692956</c:v>
                </c:pt>
                <c:pt idx="1115">
                  <c:v>111.67556397451351</c:v>
                </c:pt>
                <c:pt idx="1116">
                  <c:v>112.69157912863785</c:v>
                </c:pt>
                <c:pt idx="1117">
                  <c:v>110.41846047873256</c:v>
                </c:pt>
                <c:pt idx="1118">
                  <c:v>109.78129843292579</c:v>
                </c:pt>
                <c:pt idx="1119">
                  <c:v>110.95229894954366</c:v>
                </c:pt>
                <c:pt idx="1120">
                  <c:v>113.44928534527294</c:v>
                </c:pt>
                <c:pt idx="1121">
                  <c:v>111.7616669536766</c:v>
                </c:pt>
                <c:pt idx="1122">
                  <c:v>112.26106423282245</c:v>
                </c:pt>
                <c:pt idx="1123">
                  <c:v>115.63630101601517</c:v>
                </c:pt>
                <c:pt idx="1124">
                  <c:v>115.96349233683485</c:v>
                </c:pt>
                <c:pt idx="1125">
                  <c:v>113.89702083692094</c:v>
                </c:pt>
                <c:pt idx="1126">
                  <c:v>110.59066643705873</c:v>
                </c:pt>
                <c:pt idx="1127">
                  <c:v>111.8477699328397</c:v>
                </c:pt>
                <c:pt idx="1128">
                  <c:v>114.68916824522128</c:v>
                </c:pt>
                <c:pt idx="1129">
                  <c:v>114.22421215774065</c:v>
                </c:pt>
                <c:pt idx="1130">
                  <c:v>114.86137420354746</c:v>
                </c:pt>
                <c:pt idx="1131">
                  <c:v>116.20458067849148</c:v>
                </c:pt>
                <c:pt idx="1132">
                  <c:v>111.9855346995006</c:v>
                </c:pt>
                <c:pt idx="1133">
                  <c:v>112.15774065782675</c:v>
                </c:pt>
                <c:pt idx="1134">
                  <c:v>114.31031513690372</c:v>
                </c:pt>
                <c:pt idx="1135">
                  <c:v>113.79369726192525</c:v>
                </c:pt>
                <c:pt idx="1136">
                  <c:v>115.37799207852592</c:v>
                </c:pt>
                <c:pt idx="1137">
                  <c:v>113.65593249526434</c:v>
                </c:pt>
                <c:pt idx="1138">
                  <c:v>111.14172550370245</c:v>
                </c:pt>
                <c:pt idx="1139">
                  <c:v>110.21181332874117</c:v>
                </c:pt>
                <c:pt idx="1140">
                  <c:v>107.93869467883587</c:v>
                </c:pt>
                <c:pt idx="1141">
                  <c:v>107.80092991217496</c:v>
                </c:pt>
                <c:pt idx="1142">
                  <c:v>105.20061994144999</c:v>
                </c:pt>
                <c:pt idx="1143">
                  <c:v>104.40847253314965</c:v>
                </c:pt>
                <c:pt idx="1144">
                  <c:v>108.02479765799895</c:v>
                </c:pt>
                <c:pt idx="1145">
                  <c:v>107.23265024969864</c:v>
                </c:pt>
                <c:pt idx="1146">
                  <c:v>111.55501980368521</c:v>
                </c:pt>
                <c:pt idx="1147">
                  <c:v>112.0888582744963</c:v>
                </c:pt>
                <c:pt idx="1148">
                  <c:v>111.95109350783538</c:v>
                </c:pt>
                <c:pt idx="1149">
                  <c:v>113.55260892026864</c:v>
                </c:pt>
                <c:pt idx="1150">
                  <c:v>113.41484415360772</c:v>
                </c:pt>
                <c:pt idx="1151">
                  <c:v>113.43206474944034</c:v>
                </c:pt>
                <c:pt idx="1152">
                  <c:v>111.52057861201999</c:v>
                </c:pt>
                <c:pt idx="1153">
                  <c:v>113.46650594110557</c:v>
                </c:pt>
                <c:pt idx="1154">
                  <c:v>111.8477699328397</c:v>
                </c:pt>
                <c:pt idx="1155">
                  <c:v>110.60788703289136</c:v>
                </c:pt>
                <c:pt idx="1156">
                  <c:v>108.6102979163079</c:v>
                </c:pt>
                <c:pt idx="1157">
                  <c:v>108.17978302049252</c:v>
                </c:pt>
                <c:pt idx="1158">
                  <c:v>108.54141553297745</c:v>
                </c:pt>
                <c:pt idx="1159">
                  <c:v>107.26709144136386</c:v>
                </c:pt>
                <c:pt idx="1160">
                  <c:v>110.5734458412261</c:v>
                </c:pt>
                <c:pt idx="1161">
                  <c:v>108.26588599965558</c:v>
                </c:pt>
                <c:pt idx="1162">
                  <c:v>109.4713277079387</c:v>
                </c:pt>
                <c:pt idx="1163">
                  <c:v>110.52178405372828</c:v>
                </c:pt>
                <c:pt idx="1164">
                  <c:v>110.74565179955226</c:v>
                </c:pt>
                <c:pt idx="1165">
                  <c:v>109.38522472877561</c:v>
                </c:pt>
                <c:pt idx="1166">
                  <c:v>110.26347511623902</c:v>
                </c:pt>
                <c:pt idx="1167">
                  <c:v>110.039607370415</c:v>
                </c:pt>
                <c:pt idx="1168">
                  <c:v>111.74444635784397</c:v>
                </c:pt>
                <c:pt idx="1169">
                  <c:v>112.17496125365938</c:v>
                </c:pt>
                <c:pt idx="1170">
                  <c:v>112.89822627862924</c:v>
                </c:pt>
                <c:pt idx="1171">
                  <c:v>113.08765283278801</c:v>
                </c:pt>
                <c:pt idx="1172">
                  <c:v>112.88100568279663</c:v>
                </c:pt>
                <c:pt idx="1173">
                  <c:v>113.44928534527294</c:v>
                </c:pt>
                <c:pt idx="1174">
                  <c:v>113.77647666609263</c:v>
                </c:pt>
                <c:pt idx="1175">
                  <c:v>114.12088858274497</c:v>
                </c:pt>
                <c:pt idx="1176">
                  <c:v>113.31152057861202</c:v>
                </c:pt>
                <c:pt idx="1177">
                  <c:v>113.93146202858617</c:v>
                </c:pt>
                <c:pt idx="1178">
                  <c:v>115.94627174100222</c:v>
                </c:pt>
                <c:pt idx="1179">
                  <c:v>116.87618391596351</c:v>
                </c:pt>
                <c:pt idx="1180">
                  <c:v>117.27225762011363</c:v>
                </c:pt>
                <c:pt idx="1181">
                  <c:v>117.65111072843119</c:v>
                </c:pt>
                <c:pt idx="1182">
                  <c:v>117.85775787842259</c:v>
                </c:pt>
                <c:pt idx="1183">
                  <c:v>119.06319958670571</c:v>
                </c:pt>
                <c:pt idx="1184">
                  <c:v>118.44325813673153</c:v>
                </c:pt>
                <c:pt idx="1185">
                  <c:v>118.66712588255552</c:v>
                </c:pt>
                <c:pt idx="1186">
                  <c:v>118.92543482004479</c:v>
                </c:pt>
                <c:pt idx="1187">
                  <c:v>119.14930256586878</c:v>
                </c:pt>
                <c:pt idx="1188">
                  <c:v>120.42362665748236</c:v>
                </c:pt>
                <c:pt idx="1189">
                  <c:v>120.73359738246943</c:v>
                </c:pt>
                <c:pt idx="1190">
                  <c:v>122.38677458240055</c:v>
                </c:pt>
                <c:pt idx="1191">
                  <c:v>122.50731875322887</c:v>
                </c:pt>
                <c:pt idx="1192">
                  <c:v>122.8861718615464</c:v>
                </c:pt>
                <c:pt idx="1193">
                  <c:v>123.9538488031686</c:v>
                </c:pt>
                <c:pt idx="1194">
                  <c:v>125.09040812812124</c:v>
                </c:pt>
                <c:pt idx="1195">
                  <c:v>123.98828999483382</c:v>
                </c:pt>
                <c:pt idx="1196">
                  <c:v>124.72877561563631</c:v>
                </c:pt>
                <c:pt idx="1197">
                  <c:v>125.17651110728431</c:v>
                </c:pt>
                <c:pt idx="1198">
                  <c:v>124.5049078698123</c:v>
                </c:pt>
                <c:pt idx="1199">
                  <c:v>126.46805579473049</c:v>
                </c:pt>
                <c:pt idx="1200">
                  <c:v>126.19252626140864</c:v>
                </c:pt>
                <c:pt idx="1201">
                  <c:v>126.6747029447219</c:v>
                </c:pt>
                <c:pt idx="1202">
                  <c:v>126.05476149474772</c:v>
                </c:pt>
                <c:pt idx="1203">
                  <c:v>126.60582056139143</c:v>
                </c:pt>
                <c:pt idx="1204">
                  <c:v>127.19132081970037</c:v>
                </c:pt>
                <c:pt idx="1205">
                  <c:v>127.39796796969176</c:v>
                </c:pt>
                <c:pt idx="1206">
                  <c:v>128.39676252798347</c:v>
                </c:pt>
                <c:pt idx="1207">
                  <c:v>127.72515929051144</c:v>
                </c:pt>
                <c:pt idx="1208">
                  <c:v>128.60340967797487</c:v>
                </c:pt>
                <c:pt idx="1209">
                  <c:v>128.25899776132255</c:v>
                </c:pt>
                <c:pt idx="1210">
                  <c:v>126.82968830721543</c:v>
                </c:pt>
                <c:pt idx="1211">
                  <c:v>125.46926123643878</c:v>
                </c:pt>
                <c:pt idx="1212">
                  <c:v>126.46805579473049</c:v>
                </c:pt>
                <c:pt idx="1213">
                  <c:v>127.82848286550714</c:v>
                </c:pt>
                <c:pt idx="1214">
                  <c:v>128.39676252798347</c:v>
                </c:pt>
                <c:pt idx="1215">
                  <c:v>128.56896848630961</c:v>
                </c:pt>
                <c:pt idx="1216">
                  <c:v>131.27260203203031</c:v>
                </c:pt>
                <c:pt idx="1217">
                  <c:v>131.97864646116756</c:v>
                </c:pt>
                <c:pt idx="1218">
                  <c:v>132.49526433614602</c:v>
                </c:pt>
                <c:pt idx="1219">
                  <c:v>132.34027897365249</c:v>
                </c:pt>
                <c:pt idx="1220">
                  <c:v>133.39073531944203</c:v>
                </c:pt>
                <c:pt idx="1221">
                  <c:v>133.33907353194419</c:v>
                </c:pt>
                <c:pt idx="1222">
                  <c:v>133.32185293611158</c:v>
                </c:pt>
                <c:pt idx="1223">
                  <c:v>132.78801446530051</c:v>
                </c:pt>
                <c:pt idx="1224">
                  <c:v>132.87411744446359</c:v>
                </c:pt>
                <c:pt idx="1225">
                  <c:v>134.85448596521442</c:v>
                </c:pt>
                <c:pt idx="1226">
                  <c:v>134.94058894437748</c:v>
                </c:pt>
                <c:pt idx="1227">
                  <c:v>134.63061821939039</c:v>
                </c:pt>
                <c:pt idx="1228">
                  <c:v>134.38952987773379</c:v>
                </c:pt>
                <c:pt idx="1229">
                  <c:v>133.99345617358361</c:v>
                </c:pt>
                <c:pt idx="1230">
                  <c:v>135.3883244360255</c:v>
                </c:pt>
                <c:pt idx="1231">
                  <c:v>135.19889788186671</c:v>
                </c:pt>
                <c:pt idx="1232">
                  <c:v>133.16686757361805</c:v>
                </c:pt>
                <c:pt idx="1233">
                  <c:v>133.54572068193559</c:v>
                </c:pt>
                <c:pt idx="1234">
                  <c:v>132.6674702944722</c:v>
                </c:pt>
                <c:pt idx="1235">
                  <c:v>130.72154296538662</c:v>
                </c:pt>
                <c:pt idx="1236">
                  <c:v>131.37592560702603</c:v>
                </c:pt>
                <c:pt idx="1237">
                  <c:v>133.18408816945066</c:v>
                </c:pt>
                <c:pt idx="1238">
                  <c:v>130.87652832788015</c:v>
                </c:pt>
                <c:pt idx="1239">
                  <c:v>129.42999827794043</c:v>
                </c:pt>
                <c:pt idx="1240">
                  <c:v>132.47804374031341</c:v>
                </c:pt>
                <c:pt idx="1241">
                  <c:v>131.46202858618909</c:v>
                </c:pt>
                <c:pt idx="1242">
                  <c:v>129.46443946960565</c:v>
                </c:pt>
                <c:pt idx="1243">
                  <c:v>128.60340967797487</c:v>
                </c:pt>
                <c:pt idx="1244">
                  <c:v>127.60461511968313</c:v>
                </c:pt>
                <c:pt idx="1245">
                  <c:v>126.70914413638712</c:v>
                </c:pt>
                <c:pt idx="1246">
                  <c:v>130.65266058205617</c:v>
                </c:pt>
                <c:pt idx="1247">
                  <c:v>131.59979335285001</c:v>
                </c:pt>
                <c:pt idx="1248">
                  <c:v>131.5825727570174</c:v>
                </c:pt>
                <c:pt idx="1249">
                  <c:v>130.37713104873427</c:v>
                </c:pt>
                <c:pt idx="1250">
                  <c:v>130.77320475288445</c:v>
                </c:pt>
                <c:pt idx="1251">
                  <c:v>130.97985190287585</c:v>
                </c:pt>
                <c:pt idx="1252">
                  <c:v>129.7399690029275</c:v>
                </c:pt>
                <c:pt idx="1253">
                  <c:v>126.81246771138281</c:v>
                </c:pt>
                <c:pt idx="1254">
                  <c:v>126.41639400723264</c:v>
                </c:pt>
                <c:pt idx="1255">
                  <c:v>125.77923196142589</c:v>
                </c:pt>
                <c:pt idx="1256">
                  <c:v>125.84811434475634</c:v>
                </c:pt>
                <c:pt idx="1257">
                  <c:v>124.5049078698123</c:v>
                </c:pt>
                <c:pt idx="1258">
                  <c:v>124.608231444808</c:v>
                </c:pt>
                <c:pt idx="1259">
                  <c:v>123.33390735319443</c:v>
                </c:pt>
                <c:pt idx="1260">
                  <c:v>122.9894954365421</c:v>
                </c:pt>
              </c:numCache>
            </c:numRef>
          </c:val>
          <c:smooth val="0"/>
          <c:extLst>
            <c:ext xmlns:c16="http://schemas.microsoft.com/office/drawing/2014/chart" uri="{C3380CC4-5D6E-409C-BE32-E72D297353CC}">
              <c16:uniqueId val="{00000003-E74C-4F4E-B25C-9882524DC5B1}"/>
            </c:ext>
          </c:extLst>
        </c:ser>
        <c:ser>
          <c:idx val="0"/>
          <c:order val="2"/>
          <c:tx>
            <c:v>S&amp;P 500</c:v>
          </c:tx>
          <c:spPr>
            <a:ln w="25400">
              <a:solidFill>
                <a:schemeClr val="tx1"/>
              </a:solidFill>
              <a:prstDash val="dash"/>
            </a:ln>
          </c:spPr>
          <c:marker>
            <c:symbol val="none"/>
          </c:marker>
          <c:dPt>
            <c:idx val="565"/>
            <c:bubble3D val="0"/>
            <c:spPr>
              <a:ln w="25400" cmpd="sng">
                <a:solidFill>
                  <a:schemeClr val="tx1"/>
                </a:solidFill>
                <a:prstDash val="dash"/>
              </a:ln>
            </c:spPr>
            <c:extLst>
              <c:ext xmlns:c16="http://schemas.microsoft.com/office/drawing/2014/chart" uri="{C3380CC4-5D6E-409C-BE32-E72D297353CC}">
                <c16:uniqueId val="{00000005-E74C-4F4E-B25C-9882524DC5B1}"/>
              </c:ext>
            </c:extLst>
          </c:dPt>
          <c:cat>
            <c:numRef>
              <c:f>'Ex4'!$G$4:$G$1264</c:f>
              <c:numCache>
                <c:formatCode>m/d/yyyy</c:formatCode>
                <c:ptCount val="1261"/>
                <c:pt idx="0">
                  <c:v>39218</c:v>
                </c:pt>
                <c:pt idx="1">
                  <c:v>39219</c:v>
                </c:pt>
                <c:pt idx="2">
                  <c:v>39220</c:v>
                </c:pt>
                <c:pt idx="3">
                  <c:v>39223</c:v>
                </c:pt>
                <c:pt idx="4">
                  <c:v>39224</c:v>
                </c:pt>
                <c:pt idx="5">
                  <c:v>39225</c:v>
                </c:pt>
                <c:pt idx="6">
                  <c:v>39226</c:v>
                </c:pt>
                <c:pt idx="7">
                  <c:v>39227</c:v>
                </c:pt>
                <c:pt idx="8">
                  <c:v>39231</c:v>
                </c:pt>
                <c:pt idx="9">
                  <c:v>39232</c:v>
                </c:pt>
                <c:pt idx="10">
                  <c:v>39233</c:v>
                </c:pt>
                <c:pt idx="11">
                  <c:v>39234</c:v>
                </c:pt>
                <c:pt idx="12">
                  <c:v>39237</c:v>
                </c:pt>
                <c:pt idx="13">
                  <c:v>39238</c:v>
                </c:pt>
                <c:pt idx="14">
                  <c:v>39239</c:v>
                </c:pt>
                <c:pt idx="15">
                  <c:v>39240</c:v>
                </c:pt>
                <c:pt idx="16">
                  <c:v>39241</c:v>
                </c:pt>
                <c:pt idx="17">
                  <c:v>39244</c:v>
                </c:pt>
                <c:pt idx="18">
                  <c:v>39245</c:v>
                </c:pt>
                <c:pt idx="19">
                  <c:v>39246</c:v>
                </c:pt>
                <c:pt idx="20">
                  <c:v>39247</c:v>
                </c:pt>
                <c:pt idx="21">
                  <c:v>39248</c:v>
                </c:pt>
                <c:pt idx="22">
                  <c:v>39251</c:v>
                </c:pt>
                <c:pt idx="23">
                  <c:v>39252</c:v>
                </c:pt>
                <c:pt idx="24">
                  <c:v>39253</c:v>
                </c:pt>
                <c:pt idx="25">
                  <c:v>39254</c:v>
                </c:pt>
                <c:pt idx="26">
                  <c:v>39255</c:v>
                </c:pt>
                <c:pt idx="27">
                  <c:v>39258</c:v>
                </c:pt>
                <c:pt idx="28">
                  <c:v>39259</c:v>
                </c:pt>
                <c:pt idx="29">
                  <c:v>39260</c:v>
                </c:pt>
                <c:pt idx="30">
                  <c:v>39261</c:v>
                </c:pt>
                <c:pt idx="31">
                  <c:v>39262</c:v>
                </c:pt>
                <c:pt idx="32">
                  <c:v>39265</c:v>
                </c:pt>
                <c:pt idx="33">
                  <c:v>39266</c:v>
                </c:pt>
                <c:pt idx="34">
                  <c:v>39268</c:v>
                </c:pt>
                <c:pt idx="35">
                  <c:v>39269</c:v>
                </c:pt>
                <c:pt idx="36">
                  <c:v>39272</c:v>
                </c:pt>
                <c:pt idx="37">
                  <c:v>39273</c:v>
                </c:pt>
                <c:pt idx="38">
                  <c:v>39274</c:v>
                </c:pt>
                <c:pt idx="39">
                  <c:v>39275</c:v>
                </c:pt>
                <c:pt idx="40">
                  <c:v>39276</c:v>
                </c:pt>
                <c:pt idx="41">
                  <c:v>39279</c:v>
                </c:pt>
                <c:pt idx="42">
                  <c:v>39280</c:v>
                </c:pt>
                <c:pt idx="43">
                  <c:v>39281</c:v>
                </c:pt>
                <c:pt idx="44">
                  <c:v>39282</c:v>
                </c:pt>
                <c:pt idx="45">
                  <c:v>39283</c:v>
                </c:pt>
                <c:pt idx="46">
                  <c:v>39286</c:v>
                </c:pt>
                <c:pt idx="47">
                  <c:v>39287</c:v>
                </c:pt>
                <c:pt idx="48">
                  <c:v>39288</c:v>
                </c:pt>
                <c:pt idx="49">
                  <c:v>39289</c:v>
                </c:pt>
                <c:pt idx="50">
                  <c:v>39290</c:v>
                </c:pt>
                <c:pt idx="51">
                  <c:v>39293</c:v>
                </c:pt>
                <c:pt idx="52">
                  <c:v>39294</c:v>
                </c:pt>
                <c:pt idx="53">
                  <c:v>39295</c:v>
                </c:pt>
                <c:pt idx="54">
                  <c:v>39296</c:v>
                </c:pt>
                <c:pt idx="55">
                  <c:v>39297</c:v>
                </c:pt>
                <c:pt idx="56">
                  <c:v>39300</c:v>
                </c:pt>
                <c:pt idx="57">
                  <c:v>39301</c:v>
                </c:pt>
                <c:pt idx="58">
                  <c:v>39302</c:v>
                </c:pt>
                <c:pt idx="59">
                  <c:v>39303</c:v>
                </c:pt>
                <c:pt idx="60">
                  <c:v>39304</c:v>
                </c:pt>
                <c:pt idx="61">
                  <c:v>39307</c:v>
                </c:pt>
                <c:pt idx="62">
                  <c:v>39308</c:v>
                </c:pt>
                <c:pt idx="63">
                  <c:v>39309</c:v>
                </c:pt>
                <c:pt idx="64">
                  <c:v>39310</c:v>
                </c:pt>
                <c:pt idx="65">
                  <c:v>39311</c:v>
                </c:pt>
                <c:pt idx="66">
                  <c:v>39314</c:v>
                </c:pt>
                <c:pt idx="67">
                  <c:v>39315</c:v>
                </c:pt>
                <c:pt idx="68">
                  <c:v>39316</c:v>
                </c:pt>
                <c:pt idx="69">
                  <c:v>39317</c:v>
                </c:pt>
                <c:pt idx="70">
                  <c:v>39318</c:v>
                </c:pt>
                <c:pt idx="71">
                  <c:v>39321</c:v>
                </c:pt>
                <c:pt idx="72">
                  <c:v>39322</c:v>
                </c:pt>
                <c:pt idx="73">
                  <c:v>39323</c:v>
                </c:pt>
                <c:pt idx="74">
                  <c:v>39324</c:v>
                </c:pt>
                <c:pt idx="75">
                  <c:v>39325</c:v>
                </c:pt>
                <c:pt idx="76">
                  <c:v>39329</c:v>
                </c:pt>
                <c:pt idx="77">
                  <c:v>39330</c:v>
                </c:pt>
                <c:pt idx="78">
                  <c:v>39331</c:v>
                </c:pt>
                <c:pt idx="79">
                  <c:v>39332</c:v>
                </c:pt>
                <c:pt idx="80">
                  <c:v>39335</c:v>
                </c:pt>
                <c:pt idx="81">
                  <c:v>39336</c:v>
                </c:pt>
                <c:pt idx="82">
                  <c:v>39337</c:v>
                </c:pt>
                <c:pt idx="83">
                  <c:v>39338</c:v>
                </c:pt>
                <c:pt idx="84">
                  <c:v>39339</c:v>
                </c:pt>
                <c:pt idx="85">
                  <c:v>39342</c:v>
                </c:pt>
                <c:pt idx="86">
                  <c:v>39343</c:v>
                </c:pt>
                <c:pt idx="87">
                  <c:v>39344</c:v>
                </c:pt>
                <c:pt idx="88">
                  <c:v>39345</c:v>
                </c:pt>
                <c:pt idx="89">
                  <c:v>39346</c:v>
                </c:pt>
                <c:pt idx="90">
                  <c:v>39349</c:v>
                </c:pt>
                <c:pt idx="91">
                  <c:v>39350</c:v>
                </c:pt>
                <c:pt idx="92">
                  <c:v>39351</c:v>
                </c:pt>
                <c:pt idx="93">
                  <c:v>39352</c:v>
                </c:pt>
                <c:pt idx="94">
                  <c:v>39353</c:v>
                </c:pt>
                <c:pt idx="95">
                  <c:v>39356</c:v>
                </c:pt>
                <c:pt idx="96">
                  <c:v>39357</c:v>
                </c:pt>
                <c:pt idx="97">
                  <c:v>39358</c:v>
                </c:pt>
                <c:pt idx="98">
                  <c:v>39359</c:v>
                </c:pt>
                <c:pt idx="99">
                  <c:v>39360</c:v>
                </c:pt>
                <c:pt idx="100">
                  <c:v>39363</c:v>
                </c:pt>
                <c:pt idx="101">
                  <c:v>39364</c:v>
                </c:pt>
                <c:pt idx="102">
                  <c:v>39365</c:v>
                </c:pt>
                <c:pt idx="103">
                  <c:v>39366</c:v>
                </c:pt>
                <c:pt idx="104">
                  <c:v>39367</c:v>
                </c:pt>
                <c:pt idx="105">
                  <c:v>39370</c:v>
                </c:pt>
                <c:pt idx="106">
                  <c:v>39371</c:v>
                </c:pt>
                <c:pt idx="107">
                  <c:v>39372</c:v>
                </c:pt>
                <c:pt idx="108">
                  <c:v>39373</c:v>
                </c:pt>
                <c:pt idx="109">
                  <c:v>39374</c:v>
                </c:pt>
                <c:pt idx="110">
                  <c:v>39377</c:v>
                </c:pt>
                <c:pt idx="111">
                  <c:v>39378</c:v>
                </c:pt>
                <c:pt idx="112">
                  <c:v>39379</c:v>
                </c:pt>
                <c:pt idx="113">
                  <c:v>39380</c:v>
                </c:pt>
                <c:pt idx="114">
                  <c:v>39381</c:v>
                </c:pt>
                <c:pt idx="115">
                  <c:v>39384</c:v>
                </c:pt>
                <c:pt idx="116">
                  <c:v>39385</c:v>
                </c:pt>
                <c:pt idx="117">
                  <c:v>39386</c:v>
                </c:pt>
                <c:pt idx="118">
                  <c:v>39387</c:v>
                </c:pt>
                <c:pt idx="119">
                  <c:v>39388</c:v>
                </c:pt>
                <c:pt idx="120">
                  <c:v>39391</c:v>
                </c:pt>
                <c:pt idx="121">
                  <c:v>39392</c:v>
                </c:pt>
                <c:pt idx="122">
                  <c:v>39393</c:v>
                </c:pt>
                <c:pt idx="123">
                  <c:v>39394</c:v>
                </c:pt>
                <c:pt idx="124">
                  <c:v>39395</c:v>
                </c:pt>
                <c:pt idx="125">
                  <c:v>39398</c:v>
                </c:pt>
                <c:pt idx="126">
                  <c:v>39399</c:v>
                </c:pt>
                <c:pt idx="127">
                  <c:v>39400</c:v>
                </c:pt>
                <c:pt idx="128">
                  <c:v>39401</c:v>
                </c:pt>
                <c:pt idx="129">
                  <c:v>39402</c:v>
                </c:pt>
                <c:pt idx="130">
                  <c:v>39405</c:v>
                </c:pt>
                <c:pt idx="131">
                  <c:v>39406</c:v>
                </c:pt>
                <c:pt idx="132">
                  <c:v>39407</c:v>
                </c:pt>
                <c:pt idx="133">
                  <c:v>39409</c:v>
                </c:pt>
                <c:pt idx="134">
                  <c:v>39412</c:v>
                </c:pt>
                <c:pt idx="135">
                  <c:v>39413</c:v>
                </c:pt>
                <c:pt idx="136">
                  <c:v>39414</c:v>
                </c:pt>
                <c:pt idx="137">
                  <c:v>39415</c:v>
                </c:pt>
                <c:pt idx="138">
                  <c:v>39416</c:v>
                </c:pt>
                <c:pt idx="139">
                  <c:v>39419</c:v>
                </c:pt>
                <c:pt idx="140">
                  <c:v>39420</c:v>
                </c:pt>
                <c:pt idx="141">
                  <c:v>39421</c:v>
                </c:pt>
                <c:pt idx="142">
                  <c:v>39422</c:v>
                </c:pt>
                <c:pt idx="143">
                  <c:v>39423</c:v>
                </c:pt>
                <c:pt idx="144">
                  <c:v>39426</c:v>
                </c:pt>
                <c:pt idx="145">
                  <c:v>39427</c:v>
                </c:pt>
                <c:pt idx="146">
                  <c:v>39428</c:v>
                </c:pt>
                <c:pt idx="147">
                  <c:v>39429</c:v>
                </c:pt>
                <c:pt idx="148">
                  <c:v>39430</c:v>
                </c:pt>
                <c:pt idx="149">
                  <c:v>39433</c:v>
                </c:pt>
                <c:pt idx="150">
                  <c:v>39434</c:v>
                </c:pt>
                <c:pt idx="151">
                  <c:v>39435</c:v>
                </c:pt>
                <c:pt idx="152">
                  <c:v>39436</c:v>
                </c:pt>
                <c:pt idx="153">
                  <c:v>39437</c:v>
                </c:pt>
                <c:pt idx="154">
                  <c:v>39440</c:v>
                </c:pt>
                <c:pt idx="155">
                  <c:v>39442</c:v>
                </c:pt>
                <c:pt idx="156">
                  <c:v>39443</c:v>
                </c:pt>
                <c:pt idx="157">
                  <c:v>39444</c:v>
                </c:pt>
                <c:pt idx="158">
                  <c:v>39447</c:v>
                </c:pt>
                <c:pt idx="159">
                  <c:v>39449</c:v>
                </c:pt>
                <c:pt idx="160">
                  <c:v>39450</c:v>
                </c:pt>
                <c:pt idx="161">
                  <c:v>39451</c:v>
                </c:pt>
                <c:pt idx="162">
                  <c:v>39454</c:v>
                </c:pt>
                <c:pt idx="163">
                  <c:v>39455</c:v>
                </c:pt>
                <c:pt idx="164">
                  <c:v>39456</c:v>
                </c:pt>
                <c:pt idx="165">
                  <c:v>39457</c:v>
                </c:pt>
                <c:pt idx="166">
                  <c:v>39458</c:v>
                </c:pt>
                <c:pt idx="167">
                  <c:v>39461</c:v>
                </c:pt>
                <c:pt idx="168">
                  <c:v>39462</c:v>
                </c:pt>
                <c:pt idx="169">
                  <c:v>39463</c:v>
                </c:pt>
                <c:pt idx="170">
                  <c:v>39464</c:v>
                </c:pt>
                <c:pt idx="171">
                  <c:v>39465</c:v>
                </c:pt>
                <c:pt idx="172">
                  <c:v>39469</c:v>
                </c:pt>
                <c:pt idx="173">
                  <c:v>39470</c:v>
                </c:pt>
                <c:pt idx="174">
                  <c:v>39471</c:v>
                </c:pt>
                <c:pt idx="175">
                  <c:v>39472</c:v>
                </c:pt>
                <c:pt idx="176">
                  <c:v>39475</c:v>
                </c:pt>
                <c:pt idx="177">
                  <c:v>39476</c:v>
                </c:pt>
                <c:pt idx="178">
                  <c:v>39477</c:v>
                </c:pt>
                <c:pt idx="179">
                  <c:v>39478</c:v>
                </c:pt>
                <c:pt idx="180">
                  <c:v>39479</c:v>
                </c:pt>
                <c:pt idx="181">
                  <c:v>39482</c:v>
                </c:pt>
                <c:pt idx="182">
                  <c:v>39483</c:v>
                </c:pt>
                <c:pt idx="183">
                  <c:v>39484</c:v>
                </c:pt>
                <c:pt idx="184">
                  <c:v>39485</c:v>
                </c:pt>
                <c:pt idx="185">
                  <c:v>39486</c:v>
                </c:pt>
                <c:pt idx="186">
                  <c:v>39489</c:v>
                </c:pt>
                <c:pt idx="187">
                  <c:v>39490</c:v>
                </c:pt>
                <c:pt idx="188">
                  <c:v>39491</c:v>
                </c:pt>
                <c:pt idx="189">
                  <c:v>39492</c:v>
                </c:pt>
                <c:pt idx="190">
                  <c:v>39493</c:v>
                </c:pt>
                <c:pt idx="191">
                  <c:v>39497</c:v>
                </c:pt>
                <c:pt idx="192">
                  <c:v>39498</c:v>
                </c:pt>
                <c:pt idx="193">
                  <c:v>39499</c:v>
                </c:pt>
                <c:pt idx="194">
                  <c:v>39500</c:v>
                </c:pt>
                <c:pt idx="195">
                  <c:v>39503</c:v>
                </c:pt>
                <c:pt idx="196">
                  <c:v>39504</c:v>
                </c:pt>
                <c:pt idx="197">
                  <c:v>39505</c:v>
                </c:pt>
                <c:pt idx="198">
                  <c:v>39506</c:v>
                </c:pt>
                <c:pt idx="199">
                  <c:v>39507</c:v>
                </c:pt>
                <c:pt idx="200">
                  <c:v>39510</c:v>
                </c:pt>
                <c:pt idx="201">
                  <c:v>39511</c:v>
                </c:pt>
                <c:pt idx="202">
                  <c:v>39512</c:v>
                </c:pt>
                <c:pt idx="203">
                  <c:v>39513</c:v>
                </c:pt>
                <c:pt idx="204">
                  <c:v>39514</c:v>
                </c:pt>
                <c:pt idx="205">
                  <c:v>39517</c:v>
                </c:pt>
                <c:pt idx="206">
                  <c:v>39518</c:v>
                </c:pt>
                <c:pt idx="207">
                  <c:v>39519</c:v>
                </c:pt>
                <c:pt idx="208">
                  <c:v>39520</c:v>
                </c:pt>
                <c:pt idx="209">
                  <c:v>39521</c:v>
                </c:pt>
                <c:pt idx="210">
                  <c:v>39524</c:v>
                </c:pt>
                <c:pt idx="211">
                  <c:v>39525</c:v>
                </c:pt>
                <c:pt idx="212">
                  <c:v>39526</c:v>
                </c:pt>
                <c:pt idx="213">
                  <c:v>39527</c:v>
                </c:pt>
                <c:pt idx="214">
                  <c:v>39531</c:v>
                </c:pt>
                <c:pt idx="215">
                  <c:v>39532</c:v>
                </c:pt>
                <c:pt idx="216">
                  <c:v>39533</c:v>
                </c:pt>
                <c:pt idx="217">
                  <c:v>39534</c:v>
                </c:pt>
                <c:pt idx="218">
                  <c:v>39535</c:v>
                </c:pt>
                <c:pt idx="219">
                  <c:v>39538</c:v>
                </c:pt>
                <c:pt idx="220">
                  <c:v>39539</c:v>
                </c:pt>
                <c:pt idx="221">
                  <c:v>39540</c:v>
                </c:pt>
                <c:pt idx="222">
                  <c:v>39541</c:v>
                </c:pt>
                <c:pt idx="223">
                  <c:v>39542</c:v>
                </c:pt>
                <c:pt idx="224">
                  <c:v>39545</c:v>
                </c:pt>
                <c:pt idx="225">
                  <c:v>39546</c:v>
                </c:pt>
                <c:pt idx="226">
                  <c:v>39547</c:v>
                </c:pt>
                <c:pt idx="227">
                  <c:v>39548</c:v>
                </c:pt>
                <c:pt idx="228">
                  <c:v>39549</c:v>
                </c:pt>
                <c:pt idx="229">
                  <c:v>39552</c:v>
                </c:pt>
                <c:pt idx="230">
                  <c:v>39553</c:v>
                </c:pt>
                <c:pt idx="231">
                  <c:v>39554</c:v>
                </c:pt>
                <c:pt idx="232">
                  <c:v>39555</c:v>
                </c:pt>
                <c:pt idx="233">
                  <c:v>39556</c:v>
                </c:pt>
                <c:pt idx="234">
                  <c:v>39559</c:v>
                </c:pt>
                <c:pt idx="235">
                  <c:v>39560</c:v>
                </c:pt>
                <c:pt idx="236">
                  <c:v>39561</c:v>
                </c:pt>
                <c:pt idx="237">
                  <c:v>39562</c:v>
                </c:pt>
                <c:pt idx="238">
                  <c:v>39563</c:v>
                </c:pt>
                <c:pt idx="239">
                  <c:v>39566</c:v>
                </c:pt>
                <c:pt idx="240">
                  <c:v>39567</c:v>
                </c:pt>
                <c:pt idx="241">
                  <c:v>39568</c:v>
                </c:pt>
                <c:pt idx="242">
                  <c:v>39569</c:v>
                </c:pt>
                <c:pt idx="243">
                  <c:v>39570</c:v>
                </c:pt>
                <c:pt idx="244">
                  <c:v>39573</c:v>
                </c:pt>
                <c:pt idx="245">
                  <c:v>39574</c:v>
                </c:pt>
                <c:pt idx="246">
                  <c:v>39575</c:v>
                </c:pt>
                <c:pt idx="247">
                  <c:v>39576</c:v>
                </c:pt>
                <c:pt idx="248">
                  <c:v>39577</c:v>
                </c:pt>
                <c:pt idx="249">
                  <c:v>39580</c:v>
                </c:pt>
                <c:pt idx="250">
                  <c:v>39581</c:v>
                </c:pt>
                <c:pt idx="251">
                  <c:v>39582</c:v>
                </c:pt>
                <c:pt idx="252">
                  <c:v>39583</c:v>
                </c:pt>
                <c:pt idx="253">
                  <c:v>39584</c:v>
                </c:pt>
                <c:pt idx="254">
                  <c:v>39587</c:v>
                </c:pt>
                <c:pt idx="255">
                  <c:v>39588</c:v>
                </c:pt>
                <c:pt idx="256">
                  <c:v>39589</c:v>
                </c:pt>
                <c:pt idx="257">
                  <c:v>39590</c:v>
                </c:pt>
                <c:pt idx="258">
                  <c:v>39591</c:v>
                </c:pt>
                <c:pt idx="259">
                  <c:v>39595</c:v>
                </c:pt>
                <c:pt idx="260">
                  <c:v>39596</c:v>
                </c:pt>
                <c:pt idx="261">
                  <c:v>39597</c:v>
                </c:pt>
                <c:pt idx="262">
                  <c:v>39598</c:v>
                </c:pt>
                <c:pt idx="263">
                  <c:v>39601</c:v>
                </c:pt>
                <c:pt idx="264">
                  <c:v>39602</c:v>
                </c:pt>
                <c:pt idx="265">
                  <c:v>39603</c:v>
                </c:pt>
                <c:pt idx="266">
                  <c:v>39604</c:v>
                </c:pt>
                <c:pt idx="267">
                  <c:v>39605</c:v>
                </c:pt>
                <c:pt idx="268">
                  <c:v>39608</c:v>
                </c:pt>
                <c:pt idx="269">
                  <c:v>39609</c:v>
                </c:pt>
                <c:pt idx="270">
                  <c:v>39610</c:v>
                </c:pt>
                <c:pt idx="271">
                  <c:v>39611</c:v>
                </c:pt>
                <c:pt idx="272">
                  <c:v>39612</c:v>
                </c:pt>
                <c:pt idx="273">
                  <c:v>39615</c:v>
                </c:pt>
                <c:pt idx="274">
                  <c:v>39616</c:v>
                </c:pt>
                <c:pt idx="275">
                  <c:v>39617</c:v>
                </c:pt>
                <c:pt idx="276">
                  <c:v>39618</c:v>
                </c:pt>
                <c:pt idx="277">
                  <c:v>39619</c:v>
                </c:pt>
                <c:pt idx="278">
                  <c:v>39622</c:v>
                </c:pt>
                <c:pt idx="279">
                  <c:v>39623</c:v>
                </c:pt>
                <c:pt idx="280">
                  <c:v>39624</c:v>
                </c:pt>
                <c:pt idx="281">
                  <c:v>39625</c:v>
                </c:pt>
                <c:pt idx="282">
                  <c:v>39626</c:v>
                </c:pt>
                <c:pt idx="283">
                  <c:v>39629</c:v>
                </c:pt>
                <c:pt idx="284">
                  <c:v>39630</c:v>
                </c:pt>
                <c:pt idx="285">
                  <c:v>39631</c:v>
                </c:pt>
                <c:pt idx="286">
                  <c:v>39632</c:v>
                </c:pt>
                <c:pt idx="287">
                  <c:v>39636</c:v>
                </c:pt>
                <c:pt idx="288">
                  <c:v>39637</c:v>
                </c:pt>
                <c:pt idx="289">
                  <c:v>39638</c:v>
                </c:pt>
                <c:pt idx="290">
                  <c:v>39639</c:v>
                </c:pt>
                <c:pt idx="291">
                  <c:v>39640</c:v>
                </c:pt>
                <c:pt idx="292">
                  <c:v>39643</c:v>
                </c:pt>
                <c:pt idx="293">
                  <c:v>39644</c:v>
                </c:pt>
                <c:pt idx="294">
                  <c:v>39645</c:v>
                </c:pt>
                <c:pt idx="295">
                  <c:v>39646</c:v>
                </c:pt>
                <c:pt idx="296">
                  <c:v>39647</c:v>
                </c:pt>
                <c:pt idx="297">
                  <c:v>39650</c:v>
                </c:pt>
                <c:pt idx="298">
                  <c:v>39651</c:v>
                </c:pt>
                <c:pt idx="299">
                  <c:v>39652</c:v>
                </c:pt>
                <c:pt idx="300">
                  <c:v>39653</c:v>
                </c:pt>
                <c:pt idx="301">
                  <c:v>39654</c:v>
                </c:pt>
                <c:pt idx="302">
                  <c:v>39657</c:v>
                </c:pt>
                <c:pt idx="303">
                  <c:v>39658</c:v>
                </c:pt>
                <c:pt idx="304">
                  <c:v>39659</c:v>
                </c:pt>
                <c:pt idx="305">
                  <c:v>39660</c:v>
                </c:pt>
                <c:pt idx="306">
                  <c:v>39661</c:v>
                </c:pt>
                <c:pt idx="307">
                  <c:v>39664</c:v>
                </c:pt>
                <c:pt idx="308">
                  <c:v>39665</c:v>
                </c:pt>
                <c:pt idx="309">
                  <c:v>39666</c:v>
                </c:pt>
                <c:pt idx="310">
                  <c:v>39667</c:v>
                </c:pt>
                <c:pt idx="311">
                  <c:v>39668</c:v>
                </c:pt>
                <c:pt idx="312">
                  <c:v>39671</c:v>
                </c:pt>
                <c:pt idx="313">
                  <c:v>39672</c:v>
                </c:pt>
                <c:pt idx="314">
                  <c:v>39673</c:v>
                </c:pt>
                <c:pt idx="315">
                  <c:v>39674</c:v>
                </c:pt>
                <c:pt idx="316">
                  <c:v>39675</c:v>
                </c:pt>
                <c:pt idx="317">
                  <c:v>39678</c:v>
                </c:pt>
                <c:pt idx="318">
                  <c:v>39679</c:v>
                </c:pt>
                <c:pt idx="319">
                  <c:v>39680</c:v>
                </c:pt>
                <c:pt idx="320">
                  <c:v>39681</c:v>
                </c:pt>
                <c:pt idx="321">
                  <c:v>39682</c:v>
                </c:pt>
                <c:pt idx="322">
                  <c:v>39685</c:v>
                </c:pt>
                <c:pt idx="323">
                  <c:v>39686</c:v>
                </c:pt>
                <c:pt idx="324">
                  <c:v>39687</c:v>
                </c:pt>
                <c:pt idx="325">
                  <c:v>39688</c:v>
                </c:pt>
                <c:pt idx="326">
                  <c:v>39689</c:v>
                </c:pt>
                <c:pt idx="327">
                  <c:v>39693</c:v>
                </c:pt>
                <c:pt idx="328">
                  <c:v>39694</c:v>
                </c:pt>
                <c:pt idx="329">
                  <c:v>39695</c:v>
                </c:pt>
                <c:pt idx="330">
                  <c:v>39696</c:v>
                </c:pt>
                <c:pt idx="331">
                  <c:v>39699</c:v>
                </c:pt>
                <c:pt idx="332">
                  <c:v>39700</c:v>
                </c:pt>
                <c:pt idx="333">
                  <c:v>39701</c:v>
                </c:pt>
                <c:pt idx="334">
                  <c:v>39702</c:v>
                </c:pt>
                <c:pt idx="335">
                  <c:v>39703</c:v>
                </c:pt>
                <c:pt idx="336">
                  <c:v>39706</c:v>
                </c:pt>
                <c:pt idx="337">
                  <c:v>39707</c:v>
                </c:pt>
                <c:pt idx="338">
                  <c:v>39708</c:v>
                </c:pt>
                <c:pt idx="339">
                  <c:v>39709</c:v>
                </c:pt>
                <c:pt idx="340">
                  <c:v>39710</c:v>
                </c:pt>
                <c:pt idx="341">
                  <c:v>39713</c:v>
                </c:pt>
                <c:pt idx="342">
                  <c:v>39714</c:v>
                </c:pt>
                <c:pt idx="343">
                  <c:v>39715</c:v>
                </c:pt>
                <c:pt idx="344">
                  <c:v>39716</c:v>
                </c:pt>
                <c:pt idx="345">
                  <c:v>39717</c:v>
                </c:pt>
                <c:pt idx="346">
                  <c:v>39720</c:v>
                </c:pt>
                <c:pt idx="347">
                  <c:v>39721</c:v>
                </c:pt>
                <c:pt idx="348">
                  <c:v>39722</c:v>
                </c:pt>
                <c:pt idx="349">
                  <c:v>39723</c:v>
                </c:pt>
                <c:pt idx="350">
                  <c:v>39724</c:v>
                </c:pt>
                <c:pt idx="351">
                  <c:v>39727</c:v>
                </c:pt>
                <c:pt idx="352">
                  <c:v>39728</c:v>
                </c:pt>
                <c:pt idx="353">
                  <c:v>39729</c:v>
                </c:pt>
                <c:pt idx="354">
                  <c:v>39730</c:v>
                </c:pt>
                <c:pt idx="355">
                  <c:v>39731</c:v>
                </c:pt>
                <c:pt idx="356">
                  <c:v>39734</c:v>
                </c:pt>
                <c:pt idx="357">
                  <c:v>39735</c:v>
                </c:pt>
                <c:pt idx="358">
                  <c:v>39736</c:v>
                </c:pt>
                <c:pt idx="359">
                  <c:v>39737</c:v>
                </c:pt>
                <c:pt idx="360">
                  <c:v>39738</c:v>
                </c:pt>
                <c:pt idx="361">
                  <c:v>39741</c:v>
                </c:pt>
                <c:pt idx="362">
                  <c:v>39742</c:v>
                </c:pt>
                <c:pt idx="363">
                  <c:v>39743</c:v>
                </c:pt>
                <c:pt idx="364">
                  <c:v>39744</c:v>
                </c:pt>
                <c:pt idx="365">
                  <c:v>39745</c:v>
                </c:pt>
                <c:pt idx="366">
                  <c:v>39748</c:v>
                </c:pt>
                <c:pt idx="367">
                  <c:v>39749</c:v>
                </c:pt>
                <c:pt idx="368">
                  <c:v>39750</c:v>
                </c:pt>
                <c:pt idx="369">
                  <c:v>39751</c:v>
                </c:pt>
                <c:pt idx="370">
                  <c:v>39752</c:v>
                </c:pt>
                <c:pt idx="371">
                  <c:v>39755</c:v>
                </c:pt>
                <c:pt idx="372">
                  <c:v>39756</c:v>
                </c:pt>
                <c:pt idx="373">
                  <c:v>39757</c:v>
                </c:pt>
                <c:pt idx="374">
                  <c:v>39758</c:v>
                </c:pt>
                <c:pt idx="375">
                  <c:v>39759</c:v>
                </c:pt>
                <c:pt idx="376">
                  <c:v>39762</c:v>
                </c:pt>
                <c:pt idx="377">
                  <c:v>39763</c:v>
                </c:pt>
                <c:pt idx="378">
                  <c:v>39764</c:v>
                </c:pt>
                <c:pt idx="379">
                  <c:v>39765</c:v>
                </c:pt>
                <c:pt idx="380">
                  <c:v>39766</c:v>
                </c:pt>
                <c:pt idx="381">
                  <c:v>39769</c:v>
                </c:pt>
                <c:pt idx="382">
                  <c:v>39770</c:v>
                </c:pt>
                <c:pt idx="383">
                  <c:v>39771</c:v>
                </c:pt>
                <c:pt idx="384">
                  <c:v>39772</c:v>
                </c:pt>
                <c:pt idx="385">
                  <c:v>39773</c:v>
                </c:pt>
                <c:pt idx="386">
                  <c:v>39776</c:v>
                </c:pt>
                <c:pt idx="387">
                  <c:v>39777</c:v>
                </c:pt>
                <c:pt idx="388">
                  <c:v>39778</c:v>
                </c:pt>
                <c:pt idx="389">
                  <c:v>39780</c:v>
                </c:pt>
                <c:pt idx="390">
                  <c:v>39783</c:v>
                </c:pt>
                <c:pt idx="391">
                  <c:v>39784</c:v>
                </c:pt>
                <c:pt idx="392">
                  <c:v>39785</c:v>
                </c:pt>
                <c:pt idx="393">
                  <c:v>39786</c:v>
                </c:pt>
                <c:pt idx="394">
                  <c:v>39787</c:v>
                </c:pt>
                <c:pt idx="395">
                  <c:v>39790</c:v>
                </c:pt>
                <c:pt idx="396">
                  <c:v>39791</c:v>
                </c:pt>
                <c:pt idx="397">
                  <c:v>39792</c:v>
                </c:pt>
                <c:pt idx="398">
                  <c:v>39793</c:v>
                </c:pt>
                <c:pt idx="399">
                  <c:v>39794</c:v>
                </c:pt>
                <c:pt idx="400">
                  <c:v>39797</c:v>
                </c:pt>
                <c:pt idx="401">
                  <c:v>39798</c:v>
                </c:pt>
                <c:pt idx="402">
                  <c:v>39799</c:v>
                </c:pt>
                <c:pt idx="403">
                  <c:v>39800</c:v>
                </c:pt>
                <c:pt idx="404">
                  <c:v>39801</c:v>
                </c:pt>
                <c:pt idx="405">
                  <c:v>39804</c:v>
                </c:pt>
                <c:pt idx="406">
                  <c:v>39805</c:v>
                </c:pt>
                <c:pt idx="407">
                  <c:v>39806</c:v>
                </c:pt>
                <c:pt idx="408">
                  <c:v>39808</c:v>
                </c:pt>
                <c:pt idx="409">
                  <c:v>39811</c:v>
                </c:pt>
                <c:pt idx="410">
                  <c:v>39812</c:v>
                </c:pt>
                <c:pt idx="411">
                  <c:v>39813</c:v>
                </c:pt>
                <c:pt idx="412">
                  <c:v>39815</c:v>
                </c:pt>
                <c:pt idx="413">
                  <c:v>39818</c:v>
                </c:pt>
                <c:pt idx="414">
                  <c:v>39819</c:v>
                </c:pt>
                <c:pt idx="415">
                  <c:v>39820</c:v>
                </c:pt>
                <c:pt idx="416">
                  <c:v>39821</c:v>
                </c:pt>
                <c:pt idx="417">
                  <c:v>39822</c:v>
                </c:pt>
                <c:pt idx="418">
                  <c:v>39825</c:v>
                </c:pt>
                <c:pt idx="419">
                  <c:v>39826</c:v>
                </c:pt>
                <c:pt idx="420">
                  <c:v>39827</c:v>
                </c:pt>
                <c:pt idx="421">
                  <c:v>39828</c:v>
                </c:pt>
                <c:pt idx="422">
                  <c:v>39829</c:v>
                </c:pt>
                <c:pt idx="423">
                  <c:v>39833</c:v>
                </c:pt>
                <c:pt idx="424">
                  <c:v>39834</c:v>
                </c:pt>
                <c:pt idx="425">
                  <c:v>39835</c:v>
                </c:pt>
                <c:pt idx="426">
                  <c:v>39836</c:v>
                </c:pt>
                <c:pt idx="427">
                  <c:v>39839</c:v>
                </c:pt>
                <c:pt idx="428">
                  <c:v>39840</c:v>
                </c:pt>
                <c:pt idx="429">
                  <c:v>39841</c:v>
                </c:pt>
                <c:pt idx="430">
                  <c:v>39842</c:v>
                </c:pt>
                <c:pt idx="431">
                  <c:v>39843</c:v>
                </c:pt>
                <c:pt idx="432">
                  <c:v>39846</c:v>
                </c:pt>
                <c:pt idx="433">
                  <c:v>39847</c:v>
                </c:pt>
                <c:pt idx="434">
                  <c:v>39848</c:v>
                </c:pt>
                <c:pt idx="435">
                  <c:v>39849</c:v>
                </c:pt>
                <c:pt idx="436">
                  <c:v>39850</c:v>
                </c:pt>
                <c:pt idx="437">
                  <c:v>39853</c:v>
                </c:pt>
                <c:pt idx="438">
                  <c:v>39854</c:v>
                </c:pt>
                <c:pt idx="439">
                  <c:v>39855</c:v>
                </c:pt>
                <c:pt idx="440">
                  <c:v>39856</c:v>
                </c:pt>
                <c:pt idx="441">
                  <c:v>39857</c:v>
                </c:pt>
                <c:pt idx="442">
                  <c:v>39861</c:v>
                </c:pt>
                <c:pt idx="443">
                  <c:v>39862</c:v>
                </c:pt>
                <c:pt idx="444">
                  <c:v>39863</c:v>
                </c:pt>
                <c:pt idx="445">
                  <c:v>39864</c:v>
                </c:pt>
                <c:pt idx="446">
                  <c:v>39867</c:v>
                </c:pt>
                <c:pt idx="447">
                  <c:v>39868</c:v>
                </c:pt>
                <c:pt idx="448">
                  <c:v>39869</c:v>
                </c:pt>
                <c:pt idx="449">
                  <c:v>39870</c:v>
                </c:pt>
                <c:pt idx="450">
                  <c:v>39871</c:v>
                </c:pt>
                <c:pt idx="451">
                  <c:v>39874</c:v>
                </c:pt>
                <c:pt idx="452">
                  <c:v>39875</c:v>
                </c:pt>
                <c:pt idx="453">
                  <c:v>39876</c:v>
                </c:pt>
                <c:pt idx="454">
                  <c:v>39877</c:v>
                </c:pt>
                <c:pt idx="455">
                  <c:v>39878</c:v>
                </c:pt>
                <c:pt idx="456">
                  <c:v>39881</c:v>
                </c:pt>
                <c:pt idx="457">
                  <c:v>39882</c:v>
                </c:pt>
                <c:pt idx="458">
                  <c:v>39883</c:v>
                </c:pt>
                <c:pt idx="459">
                  <c:v>39884</c:v>
                </c:pt>
                <c:pt idx="460">
                  <c:v>39885</c:v>
                </c:pt>
                <c:pt idx="461">
                  <c:v>39888</c:v>
                </c:pt>
                <c:pt idx="462">
                  <c:v>39889</c:v>
                </c:pt>
                <c:pt idx="463">
                  <c:v>39890</c:v>
                </c:pt>
                <c:pt idx="464">
                  <c:v>39891</c:v>
                </c:pt>
                <c:pt idx="465">
                  <c:v>39892</c:v>
                </c:pt>
                <c:pt idx="466">
                  <c:v>39895</c:v>
                </c:pt>
                <c:pt idx="467">
                  <c:v>39896</c:v>
                </c:pt>
                <c:pt idx="468">
                  <c:v>39897</c:v>
                </c:pt>
                <c:pt idx="469">
                  <c:v>39898</c:v>
                </c:pt>
                <c:pt idx="470">
                  <c:v>39899</c:v>
                </c:pt>
                <c:pt idx="471">
                  <c:v>39902</c:v>
                </c:pt>
                <c:pt idx="472">
                  <c:v>39903</c:v>
                </c:pt>
                <c:pt idx="473">
                  <c:v>39904</c:v>
                </c:pt>
                <c:pt idx="474">
                  <c:v>39905</c:v>
                </c:pt>
                <c:pt idx="475">
                  <c:v>39906</c:v>
                </c:pt>
                <c:pt idx="476">
                  <c:v>39909</c:v>
                </c:pt>
                <c:pt idx="477">
                  <c:v>39910</c:v>
                </c:pt>
                <c:pt idx="478">
                  <c:v>39911</c:v>
                </c:pt>
                <c:pt idx="479">
                  <c:v>39912</c:v>
                </c:pt>
                <c:pt idx="480">
                  <c:v>39916</c:v>
                </c:pt>
                <c:pt idx="481">
                  <c:v>39917</c:v>
                </c:pt>
                <c:pt idx="482">
                  <c:v>39918</c:v>
                </c:pt>
                <c:pt idx="483">
                  <c:v>39919</c:v>
                </c:pt>
                <c:pt idx="484">
                  <c:v>39920</c:v>
                </c:pt>
                <c:pt idx="485">
                  <c:v>39923</c:v>
                </c:pt>
                <c:pt idx="486">
                  <c:v>39924</c:v>
                </c:pt>
                <c:pt idx="487">
                  <c:v>39925</c:v>
                </c:pt>
                <c:pt idx="488">
                  <c:v>39926</c:v>
                </c:pt>
                <c:pt idx="489">
                  <c:v>39927</c:v>
                </c:pt>
                <c:pt idx="490">
                  <c:v>39930</c:v>
                </c:pt>
                <c:pt idx="491">
                  <c:v>39931</c:v>
                </c:pt>
                <c:pt idx="492">
                  <c:v>39932</c:v>
                </c:pt>
                <c:pt idx="493">
                  <c:v>39933</c:v>
                </c:pt>
                <c:pt idx="494">
                  <c:v>39934</c:v>
                </c:pt>
                <c:pt idx="495">
                  <c:v>39937</c:v>
                </c:pt>
                <c:pt idx="496">
                  <c:v>39938</c:v>
                </c:pt>
                <c:pt idx="497">
                  <c:v>39939</c:v>
                </c:pt>
                <c:pt idx="498">
                  <c:v>39940</c:v>
                </c:pt>
                <c:pt idx="499">
                  <c:v>39941</c:v>
                </c:pt>
                <c:pt idx="500">
                  <c:v>39944</c:v>
                </c:pt>
                <c:pt idx="501">
                  <c:v>39945</c:v>
                </c:pt>
                <c:pt idx="502">
                  <c:v>39946</c:v>
                </c:pt>
                <c:pt idx="503">
                  <c:v>39947</c:v>
                </c:pt>
                <c:pt idx="504">
                  <c:v>39948</c:v>
                </c:pt>
                <c:pt idx="505">
                  <c:v>39951</c:v>
                </c:pt>
                <c:pt idx="506">
                  <c:v>39952</c:v>
                </c:pt>
                <c:pt idx="507">
                  <c:v>39953</c:v>
                </c:pt>
                <c:pt idx="508">
                  <c:v>39954</c:v>
                </c:pt>
                <c:pt idx="509">
                  <c:v>39955</c:v>
                </c:pt>
                <c:pt idx="510">
                  <c:v>39959</c:v>
                </c:pt>
                <c:pt idx="511">
                  <c:v>39960</c:v>
                </c:pt>
                <c:pt idx="512">
                  <c:v>39961</c:v>
                </c:pt>
                <c:pt idx="513">
                  <c:v>39962</c:v>
                </c:pt>
                <c:pt idx="514">
                  <c:v>39965</c:v>
                </c:pt>
                <c:pt idx="515">
                  <c:v>39966</c:v>
                </c:pt>
                <c:pt idx="516">
                  <c:v>39967</c:v>
                </c:pt>
                <c:pt idx="517">
                  <c:v>39968</c:v>
                </c:pt>
                <c:pt idx="518">
                  <c:v>39969</c:v>
                </c:pt>
                <c:pt idx="519">
                  <c:v>39972</c:v>
                </c:pt>
                <c:pt idx="520">
                  <c:v>39973</c:v>
                </c:pt>
                <c:pt idx="521">
                  <c:v>39974</c:v>
                </c:pt>
                <c:pt idx="522">
                  <c:v>39975</c:v>
                </c:pt>
                <c:pt idx="523">
                  <c:v>39976</c:v>
                </c:pt>
                <c:pt idx="524">
                  <c:v>39979</c:v>
                </c:pt>
                <c:pt idx="525">
                  <c:v>39980</c:v>
                </c:pt>
                <c:pt idx="526">
                  <c:v>39981</c:v>
                </c:pt>
                <c:pt idx="527">
                  <c:v>39982</c:v>
                </c:pt>
                <c:pt idx="528">
                  <c:v>39983</c:v>
                </c:pt>
                <c:pt idx="529">
                  <c:v>39986</c:v>
                </c:pt>
                <c:pt idx="530">
                  <c:v>39987</c:v>
                </c:pt>
                <c:pt idx="531">
                  <c:v>39988</c:v>
                </c:pt>
                <c:pt idx="532">
                  <c:v>39989</c:v>
                </c:pt>
                <c:pt idx="533">
                  <c:v>39990</c:v>
                </c:pt>
                <c:pt idx="534">
                  <c:v>39993</c:v>
                </c:pt>
                <c:pt idx="535">
                  <c:v>39994</c:v>
                </c:pt>
                <c:pt idx="536">
                  <c:v>39995</c:v>
                </c:pt>
                <c:pt idx="537">
                  <c:v>39996</c:v>
                </c:pt>
                <c:pt idx="538">
                  <c:v>40000</c:v>
                </c:pt>
                <c:pt idx="539">
                  <c:v>40001</c:v>
                </c:pt>
                <c:pt idx="540">
                  <c:v>40002</c:v>
                </c:pt>
                <c:pt idx="541">
                  <c:v>40003</c:v>
                </c:pt>
                <c:pt idx="542">
                  <c:v>40004</c:v>
                </c:pt>
                <c:pt idx="543">
                  <c:v>40007</c:v>
                </c:pt>
                <c:pt idx="544">
                  <c:v>40008</c:v>
                </c:pt>
                <c:pt idx="545">
                  <c:v>40009</c:v>
                </c:pt>
                <c:pt idx="546">
                  <c:v>40010</c:v>
                </c:pt>
                <c:pt idx="547">
                  <c:v>40011</c:v>
                </c:pt>
                <c:pt idx="548">
                  <c:v>40014</c:v>
                </c:pt>
                <c:pt idx="549">
                  <c:v>40015</c:v>
                </c:pt>
                <c:pt idx="550">
                  <c:v>40016</c:v>
                </c:pt>
                <c:pt idx="551">
                  <c:v>40017</c:v>
                </c:pt>
                <c:pt idx="552">
                  <c:v>40018</c:v>
                </c:pt>
                <c:pt idx="553">
                  <c:v>40021</c:v>
                </c:pt>
                <c:pt idx="554">
                  <c:v>40022</c:v>
                </c:pt>
                <c:pt idx="555">
                  <c:v>40023</c:v>
                </c:pt>
                <c:pt idx="556">
                  <c:v>40024</c:v>
                </c:pt>
                <c:pt idx="557">
                  <c:v>40025</c:v>
                </c:pt>
                <c:pt idx="558">
                  <c:v>40028</c:v>
                </c:pt>
                <c:pt idx="559">
                  <c:v>40029</c:v>
                </c:pt>
                <c:pt idx="560">
                  <c:v>40030</c:v>
                </c:pt>
                <c:pt idx="561">
                  <c:v>40031</c:v>
                </c:pt>
                <c:pt idx="562">
                  <c:v>40032</c:v>
                </c:pt>
                <c:pt idx="563">
                  <c:v>40035</c:v>
                </c:pt>
                <c:pt idx="564">
                  <c:v>40036</c:v>
                </c:pt>
                <c:pt idx="565">
                  <c:v>40037</c:v>
                </c:pt>
                <c:pt idx="566">
                  <c:v>40038</c:v>
                </c:pt>
                <c:pt idx="567">
                  <c:v>40039</c:v>
                </c:pt>
                <c:pt idx="568">
                  <c:v>40042</c:v>
                </c:pt>
                <c:pt idx="569">
                  <c:v>40043</c:v>
                </c:pt>
                <c:pt idx="570">
                  <c:v>40044</c:v>
                </c:pt>
                <c:pt idx="571">
                  <c:v>40045</c:v>
                </c:pt>
                <c:pt idx="572">
                  <c:v>40046</c:v>
                </c:pt>
                <c:pt idx="573">
                  <c:v>40049</c:v>
                </c:pt>
                <c:pt idx="574">
                  <c:v>40050</c:v>
                </c:pt>
                <c:pt idx="575">
                  <c:v>40051</c:v>
                </c:pt>
                <c:pt idx="576">
                  <c:v>40052</c:v>
                </c:pt>
                <c:pt idx="577">
                  <c:v>40053</c:v>
                </c:pt>
                <c:pt idx="578">
                  <c:v>40056</c:v>
                </c:pt>
                <c:pt idx="579">
                  <c:v>40057</c:v>
                </c:pt>
                <c:pt idx="580">
                  <c:v>40058</c:v>
                </c:pt>
                <c:pt idx="581">
                  <c:v>40059</c:v>
                </c:pt>
                <c:pt idx="582">
                  <c:v>40060</c:v>
                </c:pt>
                <c:pt idx="583">
                  <c:v>40064</c:v>
                </c:pt>
                <c:pt idx="584">
                  <c:v>40065</c:v>
                </c:pt>
                <c:pt idx="585">
                  <c:v>40066</c:v>
                </c:pt>
                <c:pt idx="586">
                  <c:v>40067</c:v>
                </c:pt>
                <c:pt idx="587">
                  <c:v>40070</c:v>
                </c:pt>
                <c:pt idx="588">
                  <c:v>40071</c:v>
                </c:pt>
                <c:pt idx="589">
                  <c:v>40072</c:v>
                </c:pt>
                <c:pt idx="590">
                  <c:v>40073</c:v>
                </c:pt>
                <c:pt idx="591">
                  <c:v>40074</c:v>
                </c:pt>
                <c:pt idx="592">
                  <c:v>40077</c:v>
                </c:pt>
                <c:pt idx="593">
                  <c:v>40078</c:v>
                </c:pt>
                <c:pt idx="594">
                  <c:v>40079</c:v>
                </c:pt>
                <c:pt idx="595">
                  <c:v>40080</c:v>
                </c:pt>
                <c:pt idx="596">
                  <c:v>40081</c:v>
                </c:pt>
                <c:pt idx="597">
                  <c:v>40084</c:v>
                </c:pt>
                <c:pt idx="598">
                  <c:v>40085</c:v>
                </c:pt>
                <c:pt idx="599">
                  <c:v>40086</c:v>
                </c:pt>
                <c:pt idx="600">
                  <c:v>40087</c:v>
                </c:pt>
                <c:pt idx="601">
                  <c:v>40088</c:v>
                </c:pt>
                <c:pt idx="602">
                  <c:v>40091</c:v>
                </c:pt>
                <c:pt idx="603">
                  <c:v>40092</c:v>
                </c:pt>
                <c:pt idx="604">
                  <c:v>40093</c:v>
                </c:pt>
                <c:pt idx="605">
                  <c:v>40094</c:v>
                </c:pt>
                <c:pt idx="606">
                  <c:v>40095</c:v>
                </c:pt>
                <c:pt idx="607">
                  <c:v>40098</c:v>
                </c:pt>
                <c:pt idx="608">
                  <c:v>40099</c:v>
                </c:pt>
                <c:pt idx="609">
                  <c:v>40100</c:v>
                </c:pt>
                <c:pt idx="610">
                  <c:v>40101</c:v>
                </c:pt>
                <c:pt idx="611">
                  <c:v>40102</c:v>
                </c:pt>
                <c:pt idx="612">
                  <c:v>40105</c:v>
                </c:pt>
                <c:pt idx="613">
                  <c:v>40106</c:v>
                </c:pt>
                <c:pt idx="614">
                  <c:v>40107</c:v>
                </c:pt>
                <c:pt idx="615">
                  <c:v>40108</c:v>
                </c:pt>
                <c:pt idx="616">
                  <c:v>40109</c:v>
                </c:pt>
                <c:pt idx="617">
                  <c:v>40112</c:v>
                </c:pt>
                <c:pt idx="618">
                  <c:v>40113</c:v>
                </c:pt>
                <c:pt idx="619">
                  <c:v>40114</c:v>
                </c:pt>
                <c:pt idx="620">
                  <c:v>40115</c:v>
                </c:pt>
                <c:pt idx="621">
                  <c:v>40116</c:v>
                </c:pt>
                <c:pt idx="622">
                  <c:v>40119</c:v>
                </c:pt>
                <c:pt idx="623">
                  <c:v>40120</c:v>
                </c:pt>
                <c:pt idx="624">
                  <c:v>40121</c:v>
                </c:pt>
                <c:pt idx="625">
                  <c:v>40122</c:v>
                </c:pt>
                <c:pt idx="626">
                  <c:v>40123</c:v>
                </c:pt>
                <c:pt idx="627">
                  <c:v>40126</c:v>
                </c:pt>
                <c:pt idx="628">
                  <c:v>40127</c:v>
                </c:pt>
                <c:pt idx="629">
                  <c:v>40128</c:v>
                </c:pt>
                <c:pt idx="630">
                  <c:v>40129</c:v>
                </c:pt>
                <c:pt idx="631">
                  <c:v>40130</c:v>
                </c:pt>
                <c:pt idx="632">
                  <c:v>40133</c:v>
                </c:pt>
                <c:pt idx="633">
                  <c:v>40134</c:v>
                </c:pt>
                <c:pt idx="634">
                  <c:v>40135</c:v>
                </c:pt>
                <c:pt idx="635">
                  <c:v>40136</c:v>
                </c:pt>
                <c:pt idx="636">
                  <c:v>40137</c:v>
                </c:pt>
                <c:pt idx="637">
                  <c:v>40140</c:v>
                </c:pt>
                <c:pt idx="638">
                  <c:v>40141</c:v>
                </c:pt>
                <c:pt idx="639">
                  <c:v>40142</c:v>
                </c:pt>
                <c:pt idx="640">
                  <c:v>40144</c:v>
                </c:pt>
                <c:pt idx="641">
                  <c:v>40147</c:v>
                </c:pt>
                <c:pt idx="642">
                  <c:v>40148</c:v>
                </c:pt>
                <c:pt idx="643">
                  <c:v>40149</c:v>
                </c:pt>
                <c:pt idx="644">
                  <c:v>40150</c:v>
                </c:pt>
                <c:pt idx="645">
                  <c:v>40151</c:v>
                </c:pt>
                <c:pt idx="646">
                  <c:v>40154</c:v>
                </c:pt>
                <c:pt idx="647">
                  <c:v>40155</c:v>
                </c:pt>
                <c:pt idx="648">
                  <c:v>40156</c:v>
                </c:pt>
                <c:pt idx="649">
                  <c:v>40157</c:v>
                </c:pt>
                <c:pt idx="650">
                  <c:v>40158</c:v>
                </c:pt>
                <c:pt idx="651">
                  <c:v>40161</c:v>
                </c:pt>
                <c:pt idx="652">
                  <c:v>40162</c:v>
                </c:pt>
                <c:pt idx="653">
                  <c:v>40163</c:v>
                </c:pt>
                <c:pt idx="654">
                  <c:v>40164</c:v>
                </c:pt>
                <c:pt idx="655">
                  <c:v>40165</c:v>
                </c:pt>
                <c:pt idx="656">
                  <c:v>40168</c:v>
                </c:pt>
                <c:pt idx="657">
                  <c:v>40169</c:v>
                </c:pt>
                <c:pt idx="658">
                  <c:v>40170</c:v>
                </c:pt>
                <c:pt idx="659">
                  <c:v>40171</c:v>
                </c:pt>
                <c:pt idx="660">
                  <c:v>40175</c:v>
                </c:pt>
                <c:pt idx="661">
                  <c:v>40176</c:v>
                </c:pt>
                <c:pt idx="662">
                  <c:v>40177</c:v>
                </c:pt>
                <c:pt idx="663">
                  <c:v>40178</c:v>
                </c:pt>
                <c:pt idx="664">
                  <c:v>40182</c:v>
                </c:pt>
                <c:pt idx="665">
                  <c:v>40183</c:v>
                </c:pt>
                <c:pt idx="666">
                  <c:v>40184</c:v>
                </c:pt>
                <c:pt idx="667">
                  <c:v>40185</c:v>
                </c:pt>
                <c:pt idx="668">
                  <c:v>40186</c:v>
                </c:pt>
                <c:pt idx="669">
                  <c:v>40189</c:v>
                </c:pt>
                <c:pt idx="670">
                  <c:v>40190</c:v>
                </c:pt>
                <c:pt idx="671">
                  <c:v>40191</c:v>
                </c:pt>
                <c:pt idx="672">
                  <c:v>40192</c:v>
                </c:pt>
                <c:pt idx="673">
                  <c:v>40193</c:v>
                </c:pt>
                <c:pt idx="674">
                  <c:v>40197</c:v>
                </c:pt>
                <c:pt idx="675">
                  <c:v>40198</c:v>
                </c:pt>
                <c:pt idx="676">
                  <c:v>40199</c:v>
                </c:pt>
                <c:pt idx="677">
                  <c:v>40200</c:v>
                </c:pt>
                <c:pt idx="678">
                  <c:v>40203</c:v>
                </c:pt>
                <c:pt idx="679">
                  <c:v>40204</c:v>
                </c:pt>
                <c:pt idx="680">
                  <c:v>40205</c:v>
                </c:pt>
                <c:pt idx="681">
                  <c:v>40206</c:v>
                </c:pt>
                <c:pt idx="682">
                  <c:v>40207</c:v>
                </c:pt>
                <c:pt idx="683">
                  <c:v>40210</c:v>
                </c:pt>
                <c:pt idx="684">
                  <c:v>40211</c:v>
                </c:pt>
                <c:pt idx="685">
                  <c:v>40212</c:v>
                </c:pt>
                <c:pt idx="686">
                  <c:v>40213</c:v>
                </c:pt>
                <c:pt idx="687">
                  <c:v>40214</c:v>
                </c:pt>
                <c:pt idx="688">
                  <c:v>40217</c:v>
                </c:pt>
                <c:pt idx="689">
                  <c:v>40218</c:v>
                </c:pt>
                <c:pt idx="690">
                  <c:v>40219</c:v>
                </c:pt>
                <c:pt idx="691">
                  <c:v>40220</c:v>
                </c:pt>
                <c:pt idx="692">
                  <c:v>40221</c:v>
                </c:pt>
                <c:pt idx="693">
                  <c:v>40225</c:v>
                </c:pt>
                <c:pt idx="694">
                  <c:v>40226</c:v>
                </c:pt>
                <c:pt idx="695">
                  <c:v>40227</c:v>
                </c:pt>
                <c:pt idx="696">
                  <c:v>40228</c:v>
                </c:pt>
                <c:pt idx="697">
                  <c:v>40231</c:v>
                </c:pt>
                <c:pt idx="698">
                  <c:v>40232</c:v>
                </c:pt>
                <c:pt idx="699">
                  <c:v>40233</c:v>
                </c:pt>
                <c:pt idx="700">
                  <c:v>40234</c:v>
                </c:pt>
                <c:pt idx="701">
                  <c:v>40235</c:v>
                </c:pt>
                <c:pt idx="702">
                  <c:v>40238</c:v>
                </c:pt>
                <c:pt idx="703">
                  <c:v>40239</c:v>
                </c:pt>
                <c:pt idx="704">
                  <c:v>40240</c:v>
                </c:pt>
                <c:pt idx="705">
                  <c:v>40241</c:v>
                </c:pt>
                <c:pt idx="706">
                  <c:v>40242</c:v>
                </c:pt>
                <c:pt idx="707">
                  <c:v>40245</c:v>
                </c:pt>
                <c:pt idx="708">
                  <c:v>40246</c:v>
                </c:pt>
                <c:pt idx="709">
                  <c:v>40247</c:v>
                </c:pt>
                <c:pt idx="710">
                  <c:v>40248</c:v>
                </c:pt>
                <c:pt idx="711">
                  <c:v>40249</c:v>
                </c:pt>
                <c:pt idx="712">
                  <c:v>40252</c:v>
                </c:pt>
                <c:pt idx="713">
                  <c:v>40253</c:v>
                </c:pt>
                <c:pt idx="714">
                  <c:v>40254</c:v>
                </c:pt>
                <c:pt idx="715">
                  <c:v>40255</c:v>
                </c:pt>
                <c:pt idx="716">
                  <c:v>40256</c:v>
                </c:pt>
                <c:pt idx="717">
                  <c:v>40259</c:v>
                </c:pt>
                <c:pt idx="718">
                  <c:v>40260</c:v>
                </c:pt>
                <c:pt idx="719">
                  <c:v>40261</c:v>
                </c:pt>
                <c:pt idx="720">
                  <c:v>40262</c:v>
                </c:pt>
                <c:pt idx="721">
                  <c:v>40263</c:v>
                </c:pt>
                <c:pt idx="722">
                  <c:v>40266</c:v>
                </c:pt>
                <c:pt idx="723">
                  <c:v>40267</c:v>
                </c:pt>
                <c:pt idx="724">
                  <c:v>40268</c:v>
                </c:pt>
                <c:pt idx="725">
                  <c:v>40269</c:v>
                </c:pt>
                <c:pt idx="726">
                  <c:v>40273</c:v>
                </c:pt>
                <c:pt idx="727">
                  <c:v>40274</c:v>
                </c:pt>
                <c:pt idx="728">
                  <c:v>40275</c:v>
                </c:pt>
                <c:pt idx="729">
                  <c:v>40276</c:v>
                </c:pt>
                <c:pt idx="730">
                  <c:v>40277</c:v>
                </c:pt>
                <c:pt idx="731">
                  <c:v>40280</c:v>
                </c:pt>
                <c:pt idx="732">
                  <c:v>40281</c:v>
                </c:pt>
                <c:pt idx="733">
                  <c:v>40282</c:v>
                </c:pt>
                <c:pt idx="734">
                  <c:v>40283</c:v>
                </c:pt>
                <c:pt idx="735">
                  <c:v>40284</c:v>
                </c:pt>
                <c:pt idx="736">
                  <c:v>40287</c:v>
                </c:pt>
                <c:pt idx="737">
                  <c:v>40288</c:v>
                </c:pt>
                <c:pt idx="738">
                  <c:v>40289</c:v>
                </c:pt>
                <c:pt idx="739">
                  <c:v>40290</c:v>
                </c:pt>
                <c:pt idx="740">
                  <c:v>40291</c:v>
                </c:pt>
                <c:pt idx="741">
                  <c:v>40294</c:v>
                </c:pt>
                <c:pt idx="742">
                  <c:v>40295</c:v>
                </c:pt>
                <c:pt idx="743">
                  <c:v>40296</c:v>
                </c:pt>
                <c:pt idx="744">
                  <c:v>40297</c:v>
                </c:pt>
                <c:pt idx="745">
                  <c:v>40298</c:v>
                </c:pt>
                <c:pt idx="746">
                  <c:v>40301</c:v>
                </c:pt>
                <c:pt idx="747">
                  <c:v>40302</c:v>
                </c:pt>
                <c:pt idx="748">
                  <c:v>40303</c:v>
                </c:pt>
                <c:pt idx="749">
                  <c:v>40304</c:v>
                </c:pt>
                <c:pt idx="750">
                  <c:v>40305</c:v>
                </c:pt>
                <c:pt idx="751">
                  <c:v>40308</c:v>
                </c:pt>
                <c:pt idx="752">
                  <c:v>40309</c:v>
                </c:pt>
                <c:pt idx="753">
                  <c:v>40310</c:v>
                </c:pt>
                <c:pt idx="754">
                  <c:v>40311</c:v>
                </c:pt>
                <c:pt idx="755">
                  <c:v>40312</c:v>
                </c:pt>
                <c:pt idx="756">
                  <c:v>40315</c:v>
                </c:pt>
                <c:pt idx="757">
                  <c:v>40316</c:v>
                </c:pt>
                <c:pt idx="758">
                  <c:v>40317</c:v>
                </c:pt>
                <c:pt idx="759">
                  <c:v>40318</c:v>
                </c:pt>
                <c:pt idx="760">
                  <c:v>40319</c:v>
                </c:pt>
                <c:pt idx="761">
                  <c:v>40322</c:v>
                </c:pt>
                <c:pt idx="762">
                  <c:v>40323</c:v>
                </c:pt>
                <c:pt idx="763">
                  <c:v>40324</c:v>
                </c:pt>
                <c:pt idx="764">
                  <c:v>40325</c:v>
                </c:pt>
                <c:pt idx="765">
                  <c:v>40326</c:v>
                </c:pt>
                <c:pt idx="766">
                  <c:v>40330</c:v>
                </c:pt>
                <c:pt idx="767">
                  <c:v>40331</c:v>
                </c:pt>
                <c:pt idx="768">
                  <c:v>40332</c:v>
                </c:pt>
                <c:pt idx="769">
                  <c:v>40333</c:v>
                </c:pt>
                <c:pt idx="770">
                  <c:v>40336</c:v>
                </c:pt>
                <c:pt idx="771">
                  <c:v>40337</c:v>
                </c:pt>
                <c:pt idx="772">
                  <c:v>40338</c:v>
                </c:pt>
                <c:pt idx="773">
                  <c:v>40339</c:v>
                </c:pt>
                <c:pt idx="774">
                  <c:v>40340</c:v>
                </c:pt>
                <c:pt idx="775">
                  <c:v>40343</c:v>
                </c:pt>
                <c:pt idx="776">
                  <c:v>40344</c:v>
                </c:pt>
                <c:pt idx="777">
                  <c:v>40345</c:v>
                </c:pt>
                <c:pt idx="778">
                  <c:v>40346</c:v>
                </c:pt>
                <c:pt idx="779">
                  <c:v>40347</c:v>
                </c:pt>
                <c:pt idx="780">
                  <c:v>40350</c:v>
                </c:pt>
                <c:pt idx="781">
                  <c:v>40351</c:v>
                </c:pt>
                <c:pt idx="782">
                  <c:v>40352</c:v>
                </c:pt>
                <c:pt idx="783">
                  <c:v>40353</c:v>
                </c:pt>
                <c:pt idx="784">
                  <c:v>40354</c:v>
                </c:pt>
                <c:pt idx="785">
                  <c:v>40357</c:v>
                </c:pt>
                <c:pt idx="786">
                  <c:v>40358</c:v>
                </c:pt>
                <c:pt idx="787">
                  <c:v>40359</c:v>
                </c:pt>
                <c:pt idx="788">
                  <c:v>40360</c:v>
                </c:pt>
                <c:pt idx="789">
                  <c:v>40361</c:v>
                </c:pt>
                <c:pt idx="790">
                  <c:v>40365</c:v>
                </c:pt>
                <c:pt idx="791">
                  <c:v>40366</c:v>
                </c:pt>
                <c:pt idx="792">
                  <c:v>40367</c:v>
                </c:pt>
                <c:pt idx="793">
                  <c:v>40368</c:v>
                </c:pt>
                <c:pt idx="794">
                  <c:v>40371</c:v>
                </c:pt>
                <c:pt idx="795">
                  <c:v>40372</c:v>
                </c:pt>
                <c:pt idx="796">
                  <c:v>40373</c:v>
                </c:pt>
                <c:pt idx="797">
                  <c:v>40374</c:v>
                </c:pt>
                <c:pt idx="798">
                  <c:v>40375</c:v>
                </c:pt>
                <c:pt idx="799">
                  <c:v>40378</c:v>
                </c:pt>
                <c:pt idx="800">
                  <c:v>40379</c:v>
                </c:pt>
                <c:pt idx="801">
                  <c:v>40380</c:v>
                </c:pt>
                <c:pt idx="802">
                  <c:v>40381</c:v>
                </c:pt>
                <c:pt idx="803">
                  <c:v>40382</c:v>
                </c:pt>
                <c:pt idx="804">
                  <c:v>40385</c:v>
                </c:pt>
                <c:pt idx="805">
                  <c:v>40386</c:v>
                </c:pt>
                <c:pt idx="806">
                  <c:v>40387</c:v>
                </c:pt>
                <c:pt idx="807">
                  <c:v>40388</c:v>
                </c:pt>
                <c:pt idx="808">
                  <c:v>40389</c:v>
                </c:pt>
                <c:pt idx="809">
                  <c:v>40392</c:v>
                </c:pt>
                <c:pt idx="810">
                  <c:v>40393</c:v>
                </c:pt>
                <c:pt idx="811">
                  <c:v>40394</c:v>
                </c:pt>
                <c:pt idx="812">
                  <c:v>40395</c:v>
                </c:pt>
                <c:pt idx="813">
                  <c:v>40396</c:v>
                </c:pt>
                <c:pt idx="814">
                  <c:v>40399</c:v>
                </c:pt>
                <c:pt idx="815">
                  <c:v>40400</c:v>
                </c:pt>
                <c:pt idx="816">
                  <c:v>40401</c:v>
                </c:pt>
                <c:pt idx="817">
                  <c:v>40402</c:v>
                </c:pt>
                <c:pt idx="818">
                  <c:v>40403</c:v>
                </c:pt>
                <c:pt idx="819">
                  <c:v>40406</c:v>
                </c:pt>
                <c:pt idx="820">
                  <c:v>40407</c:v>
                </c:pt>
                <c:pt idx="821">
                  <c:v>40408</c:v>
                </c:pt>
                <c:pt idx="822">
                  <c:v>40409</c:v>
                </c:pt>
                <c:pt idx="823">
                  <c:v>40410</c:v>
                </c:pt>
                <c:pt idx="824">
                  <c:v>40413</c:v>
                </c:pt>
                <c:pt idx="825">
                  <c:v>40414</c:v>
                </c:pt>
                <c:pt idx="826">
                  <c:v>40415</c:v>
                </c:pt>
                <c:pt idx="827">
                  <c:v>40416</c:v>
                </c:pt>
                <c:pt idx="828">
                  <c:v>40417</c:v>
                </c:pt>
                <c:pt idx="829">
                  <c:v>40420</c:v>
                </c:pt>
                <c:pt idx="830">
                  <c:v>40421</c:v>
                </c:pt>
                <c:pt idx="831">
                  <c:v>40422</c:v>
                </c:pt>
                <c:pt idx="832">
                  <c:v>40423</c:v>
                </c:pt>
                <c:pt idx="833">
                  <c:v>40424</c:v>
                </c:pt>
                <c:pt idx="834">
                  <c:v>40428</c:v>
                </c:pt>
                <c:pt idx="835">
                  <c:v>40429</c:v>
                </c:pt>
                <c:pt idx="836">
                  <c:v>40430</c:v>
                </c:pt>
                <c:pt idx="837">
                  <c:v>40431</c:v>
                </c:pt>
                <c:pt idx="838">
                  <c:v>40434</c:v>
                </c:pt>
                <c:pt idx="839">
                  <c:v>40435</c:v>
                </c:pt>
                <c:pt idx="840">
                  <c:v>40436</c:v>
                </c:pt>
                <c:pt idx="841">
                  <c:v>40437</c:v>
                </c:pt>
                <c:pt idx="842">
                  <c:v>40438</c:v>
                </c:pt>
                <c:pt idx="843">
                  <c:v>40441</c:v>
                </c:pt>
                <c:pt idx="844">
                  <c:v>40442</c:v>
                </c:pt>
                <c:pt idx="845">
                  <c:v>40443</c:v>
                </c:pt>
                <c:pt idx="846">
                  <c:v>40444</c:v>
                </c:pt>
                <c:pt idx="847">
                  <c:v>40445</c:v>
                </c:pt>
                <c:pt idx="848">
                  <c:v>40448</c:v>
                </c:pt>
                <c:pt idx="849">
                  <c:v>40449</c:v>
                </c:pt>
                <c:pt idx="850">
                  <c:v>40450</c:v>
                </c:pt>
                <c:pt idx="851">
                  <c:v>40451</c:v>
                </c:pt>
                <c:pt idx="852">
                  <c:v>40452</c:v>
                </c:pt>
                <c:pt idx="853">
                  <c:v>40455</c:v>
                </c:pt>
                <c:pt idx="854">
                  <c:v>40456</c:v>
                </c:pt>
                <c:pt idx="855">
                  <c:v>40457</c:v>
                </c:pt>
                <c:pt idx="856">
                  <c:v>40458</c:v>
                </c:pt>
                <c:pt idx="857">
                  <c:v>40459</c:v>
                </c:pt>
                <c:pt idx="858">
                  <c:v>40462</c:v>
                </c:pt>
                <c:pt idx="859">
                  <c:v>40463</c:v>
                </c:pt>
                <c:pt idx="860">
                  <c:v>40464</c:v>
                </c:pt>
                <c:pt idx="861">
                  <c:v>40465</c:v>
                </c:pt>
                <c:pt idx="862">
                  <c:v>40466</c:v>
                </c:pt>
                <c:pt idx="863">
                  <c:v>40469</c:v>
                </c:pt>
                <c:pt idx="864">
                  <c:v>40470</c:v>
                </c:pt>
                <c:pt idx="865">
                  <c:v>40471</c:v>
                </c:pt>
                <c:pt idx="866">
                  <c:v>40472</c:v>
                </c:pt>
                <c:pt idx="867">
                  <c:v>40473</c:v>
                </c:pt>
                <c:pt idx="868">
                  <c:v>40476</c:v>
                </c:pt>
                <c:pt idx="869">
                  <c:v>40477</c:v>
                </c:pt>
                <c:pt idx="870">
                  <c:v>40478</c:v>
                </c:pt>
                <c:pt idx="871">
                  <c:v>40479</c:v>
                </c:pt>
                <c:pt idx="872">
                  <c:v>40480</c:v>
                </c:pt>
                <c:pt idx="873">
                  <c:v>40483</c:v>
                </c:pt>
                <c:pt idx="874">
                  <c:v>40484</c:v>
                </c:pt>
                <c:pt idx="875">
                  <c:v>40485</c:v>
                </c:pt>
                <c:pt idx="876">
                  <c:v>40486</c:v>
                </c:pt>
                <c:pt idx="877">
                  <c:v>40487</c:v>
                </c:pt>
                <c:pt idx="878">
                  <c:v>40490</c:v>
                </c:pt>
                <c:pt idx="879">
                  <c:v>40491</c:v>
                </c:pt>
                <c:pt idx="880">
                  <c:v>40492</c:v>
                </c:pt>
                <c:pt idx="881">
                  <c:v>40493</c:v>
                </c:pt>
                <c:pt idx="882">
                  <c:v>40494</c:v>
                </c:pt>
                <c:pt idx="883">
                  <c:v>40497</c:v>
                </c:pt>
                <c:pt idx="884">
                  <c:v>40498</c:v>
                </c:pt>
                <c:pt idx="885">
                  <c:v>40499</c:v>
                </c:pt>
                <c:pt idx="886">
                  <c:v>40500</c:v>
                </c:pt>
                <c:pt idx="887">
                  <c:v>40501</c:v>
                </c:pt>
                <c:pt idx="888">
                  <c:v>40504</c:v>
                </c:pt>
                <c:pt idx="889">
                  <c:v>40505</c:v>
                </c:pt>
                <c:pt idx="890">
                  <c:v>40506</c:v>
                </c:pt>
                <c:pt idx="891">
                  <c:v>40508</c:v>
                </c:pt>
                <c:pt idx="892">
                  <c:v>40511</c:v>
                </c:pt>
                <c:pt idx="893">
                  <c:v>40512</c:v>
                </c:pt>
                <c:pt idx="894">
                  <c:v>40513</c:v>
                </c:pt>
                <c:pt idx="895">
                  <c:v>40514</c:v>
                </c:pt>
                <c:pt idx="896">
                  <c:v>40515</c:v>
                </c:pt>
                <c:pt idx="897">
                  <c:v>40518</c:v>
                </c:pt>
                <c:pt idx="898">
                  <c:v>40519</c:v>
                </c:pt>
                <c:pt idx="899">
                  <c:v>40520</c:v>
                </c:pt>
                <c:pt idx="900">
                  <c:v>40521</c:v>
                </c:pt>
                <c:pt idx="901">
                  <c:v>40522</c:v>
                </c:pt>
                <c:pt idx="902">
                  <c:v>40525</c:v>
                </c:pt>
                <c:pt idx="903">
                  <c:v>40526</c:v>
                </c:pt>
                <c:pt idx="904">
                  <c:v>40527</c:v>
                </c:pt>
                <c:pt idx="905">
                  <c:v>40528</c:v>
                </c:pt>
                <c:pt idx="906">
                  <c:v>40529</c:v>
                </c:pt>
                <c:pt idx="907">
                  <c:v>40532</c:v>
                </c:pt>
                <c:pt idx="908">
                  <c:v>40533</c:v>
                </c:pt>
                <c:pt idx="909">
                  <c:v>40534</c:v>
                </c:pt>
                <c:pt idx="910">
                  <c:v>40535</c:v>
                </c:pt>
                <c:pt idx="911">
                  <c:v>40539</c:v>
                </c:pt>
                <c:pt idx="912">
                  <c:v>40540</c:v>
                </c:pt>
                <c:pt idx="913">
                  <c:v>40541</c:v>
                </c:pt>
                <c:pt idx="914">
                  <c:v>40542</c:v>
                </c:pt>
                <c:pt idx="915">
                  <c:v>40543</c:v>
                </c:pt>
                <c:pt idx="916">
                  <c:v>40546</c:v>
                </c:pt>
                <c:pt idx="917">
                  <c:v>40547</c:v>
                </c:pt>
                <c:pt idx="918">
                  <c:v>40548</c:v>
                </c:pt>
                <c:pt idx="919">
                  <c:v>40549</c:v>
                </c:pt>
                <c:pt idx="920">
                  <c:v>40550</c:v>
                </c:pt>
                <c:pt idx="921">
                  <c:v>40553</c:v>
                </c:pt>
                <c:pt idx="922">
                  <c:v>40554</c:v>
                </c:pt>
                <c:pt idx="923">
                  <c:v>40555</c:v>
                </c:pt>
                <c:pt idx="924">
                  <c:v>40556</c:v>
                </c:pt>
                <c:pt idx="925">
                  <c:v>40557</c:v>
                </c:pt>
                <c:pt idx="926">
                  <c:v>40561</c:v>
                </c:pt>
                <c:pt idx="927">
                  <c:v>40562</c:v>
                </c:pt>
                <c:pt idx="928">
                  <c:v>40563</c:v>
                </c:pt>
                <c:pt idx="929">
                  <c:v>40564</c:v>
                </c:pt>
                <c:pt idx="930">
                  <c:v>40567</c:v>
                </c:pt>
                <c:pt idx="931">
                  <c:v>40568</c:v>
                </c:pt>
                <c:pt idx="932">
                  <c:v>40569</c:v>
                </c:pt>
                <c:pt idx="933">
                  <c:v>40570</c:v>
                </c:pt>
                <c:pt idx="934">
                  <c:v>40571</c:v>
                </c:pt>
                <c:pt idx="935">
                  <c:v>40574</c:v>
                </c:pt>
                <c:pt idx="936">
                  <c:v>40575</c:v>
                </c:pt>
                <c:pt idx="937">
                  <c:v>40576</c:v>
                </c:pt>
                <c:pt idx="938">
                  <c:v>40577</c:v>
                </c:pt>
                <c:pt idx="939">
                  <c:v>40578</c:v>
                </c:pt>
                <c:pt idx="940">
                  <c:v>40581</c:v>
                </c:pt>
                <c:pt idx="941">
                  <c:v>40582</c:v>
                </c:pt>
                <c:pt idx="942">
                  <c:v>40583</c:v>
                </c:pt>
                <c:pt idx="943">
                  <c:v>40584</c:v>
                </c:pt>
                <c:pt idx="944">
                  <c:v>40585</c:v>
                </c:pt>
                <c:pt idx="945">
                  <c:v>40588</c:v>
                </c:pt>
                <c:pt idx="946">
                  <c:v>40589</c:v>
                </c:pt>
                <c:pt idx="947">
                  <c:v>40590</c:v>
                </c:pt>
                <c:pt idx="948">
                  <c:v>40591</c:v>
                </c:pt>
                <c:pt idx="949">
                  <c:v>40592</c:v>
                </c:pt>
                <c:pt idx="950">
                  <c:v>40596</c:v>
                </c:pt>
                <c:pt idx="951">
                  <c:v>40597</c:v>
                </c:pt>
                <c:pt idx="952">
                  <c:v>40598</c:v>
                </c:pt>
                <c:pt idx="953">
                  <c:v>40599</c:v>
                </c:pt>
                <c:pt idx="954">
                  <c:v>40602</c:v>
                </c:pt>
                <c:pt idx="955">
                  <c:v>40603</c:v>
                </c:pt>
                <c:pt idx="956">
                  <c:v>40604</c:v>
                </c:pt>
                <c:pt idx="957">
                  <c:v>40605</c:v>
                </c:pt>
                <c:pt idx="958">
                  <c:v>40606</c:v>
                </c:pt>
                <c:pt idx="959">
                  <c:v>40609</c:v>
                </c:pt>
                <c:pt idx="960">
                  <c:v>40610</c:v>
                </c:pt>
                <c:pt idx="961">
                  <c:v>40611</c:v>
                </c:pt>
                <c:pt idx="962">
                  <c:v>40612</c:v>
                </c:pt>
                <c:pt idx="963">
                  <c:v>40613</c:v>
                </c:pt>
                <c:pt idx="964">
                  <c:v>40616</c:v>
                </c:pt>
                <c:pt idx="965">
                  <c:v>40617</c:v>
                </c:pt>
                <c:pt idx="966">
                  <c:v>40618</c:v>
                </c:pt>
                <c:pt idx="967">
                  <c:v>40619</c:v>
                </c:pt>
                <c:pt idx="968">
                  <c:v>40620</c:v>
                </c:pt>
                <c:pt idx="969">
                  <c:v>40623</c:v>
                </c:pt>
                <c:pt idx="970">
                  <c:v>40624</c:v>
                </c:pt>
                <c:pt idx="971">
                  <c:v>40625</c:v>
                </c:pt>
                <c:pt idx="972">
                  <c:v>40626</c:v>
                </c:pt>
                <c:pt idx="973">
                  <c:v>40627</c:v>
                </c:pt>
                <c:pt idx="974">
                  <c:v>40630</c:v>
                </c:pt>
                <c:pt idx="975">
                  <c:v>40631</c:v>
                </c:pt>
                <c:pt idx="976">
                  <c:v>40632</c:v>
                </c:pt>
                <c:pt idx="977">
                  <c:v>40633</c:v>
                </c:pt>
                <c:pt idx="978">
                  <c:v>40634</c:v>
                </c:pt>
                <c:pt idx="979">
                  <c:v>40637</c:v>
                </c:pt>
                <c:pt idx="980">
                  <c:v>40638</c:v>
                </c:pt>
                <c:pt idx="981">
                  <c:v>40639</c:v>
                </c:pt>
                <c:pt idx="982">
                  <c:v>40640</c:v>
                </c:pt>
                <c:pt idx="983">
                  <c:v>40641</c:v>
                </c:pt>
                <c:pt idx="984">
                  <c:v>40644</c:v>
                </c:pt>
                <c:pt idx="985">
                  <c:v>40645</c:v>
                </c:pt>
                <c:pt idx="986">
                  <c:v>40646</c:v>
                </c:pt>
                <c:pt idx="987">
                  <c:v>40647</c:v>
                </c:pt>
                <c:pt idx="988">
                  <c:v>40648</c:v>
                </c:pt>
                <c:pt idx="989">
                  <c:v>40651</c:v>
                </c:pt>
                <c:pt idx="990">
                  <c:v>40652</c:v>
                </c:pt>
                <c:pt idx="991">
                  <c:v>40653</c:v>
                </c:pt>
                <c:pt idx="992">
                  <c:v>40654</c:v>
                </c:pt>
                <c:pt idx="993">
                  <c:v>40658</c:v>
                </c:pt>
                <c:pt idx="994">
                  <c:v>40659</c:v>
                </c:pt>
                <c:pt idx="995">
                  <c:v>40660</c:v>
                </c:pt>
                <c:pt idx="996">
                  <c:v>40661</c:v>
                </c:pt>
                <c:pt idx="997">
                  <c:v>40662</c:v>
                </c:pt>
                <c:pt idx="998">
                  <c:v>40665</c:v>
                </c:pt>
                <c:pt idx="999">
                  <c:v>40666</c:v>
                </c:pt>
                <c:pt idx="1000">
                  <c:v>40667</c:v>
                </c:pt>
                <c:pt idx="1001">
                  <c:v>40668</c:v>
                </c:pt>
                <c:pt idx="1002">
                  <c:v>40669</c:v>
                </c:pt>
                <c:pt idx="1003">
                  <c:v>40672</c:v>
                </c:pt>
                <c:pt idx="1004">
                  <c:v>40673</c:v>
                </c:pt>
                <c:pt idx="1005">
                  <c:v>40674</c:v>
                </c:pt>
                <c:pt idx="1006">
                  <c:v>40675</c:v>
                </c:pt>
                <c:pt idx="1007">
                  <c:v>40676</c:v>
                </c:pt>
                <c:pt idx="1008">
                  <c:v>40679</c:v>
                </c:pt>
                <c:pt idx="1009">
                  <c:v>40680</c:v>
                </c:pt>
                <c:pt idx="1010">
                  <c:v>40681</c:v>
                </c:pt>
                <c:pt idx="1011">
                  <c:v>40682</c:v>
                </c:pt>
                <c:pt idx="1012">
                  <c:v>40683</c:v>
                </c:pt>
                <c:pt idx="1013">
                  <c:v>40686</c:v>
                </c:pt>
                <c:pt idx="1014">
                  <c:v>40687</c:v>
                </c:pt>
                <c:pt idx="1015">
                  <c:v>40688</c:v>
                </c:pt>
                <c:pt idx="1016">
                  <c:v>40689</c:v>
                </c:pt>
                <c:pt idx="1017">
                  <c:v>40690</c:v>
                </c:pt>
                <c:pt idx="1018">
                  <c:v>40694</c:v>
                </c:pt>
                <c:pt idx="1019">
                  <c:v>40695</c:v>
                </c:pt>
                <c:pt idx="1020">
                  <c:v>40696</c:v>
                </c:pt>
                <c:pt idx="1021">
                  <c:v>40697</c:v>
                </c:pt>
                <c:pt idx="1022">
                  <c:v>40700</c:v>
                </c:pt>
                <c:pt idx="1023">
                  <c:v>40701</c:v>
                </c:pt>
                <c:pt idx="1024">
                  <c:v>40702</c:v>
                </c:pt>
                <c:pt idx="1025">
                  <c:v>40703</c:v>
                </c:pt>
                <c:pt idx="1026">
                  <c:v>40704</c:v>
                </c:pt>
                <c:pt idx="1027">
                  <c:v>40707</c:v>
                </c:pt>
                <c:pt idx="1028">
                  <c:v>40708</c:v>
                </c:pt>
                <c:pt idx="1029">
                  <c:v>40709</c:v>
                </c:pt>
                <c:pt idx="1030">
                  <c:v>40710</c:v>
                </c:pt>
                <c:pt idx="1031">
                  <c:v>40711</c:v>
                </c:pt>
                <c:pt idx="1032">
                  <c:v>40714</c:v>
                </c:pt>
                <c:pt idx="1033">
                  <c:v>40715</c:v>
                </c:pt>
                <c:pt idx="1034">
                  <c:v>40716</c:v>
                </c:pt>
                <c:pt idx="1035">
                  <c:v>40717</c:v>
                </c:pt>
                <c:pt idx="1036">
                  <c:v>40718</c:v>
                </c:pt>
                <c:pt idx="1037">
                  <c:v>40721</c:v>
                </c:pt>
                <c:pt idx="1038">
                  <c:v>40722</c:v>
                </c:pt>
                <c:pt idx="1039">
                  <c:v>40723</c:v>
                </c:pt>
                <c:pt idx="1040">
                  <c:v>40724</c:v>
                </c:pt>
                <c:pt idx="1041">
                  <c:v>40725</c:v>
                </c:pt>
                <c:pt idx="1042">
                  <c:v>40729</c:v>
                </c:pt>
                <c:pt idx="1043">
                  <c:v>40730</c:v>
                </c:pt>
                <c:pt idx="1044">
                  <c:v>40731</c:v>
                </c:pt>
                <c:pt idx="1045">
                  <c:v>40732</c:v>
                </c:pt>
                <c:pt idx="1046">
                  <c:v>40735</c:v>
                </c:pt>
                <c:pt idx="1047">
                  <c:v>40736</c:v>
                </c:pt>
                <c:pt idx="1048">
                  <c:v>40737</c:v>
                </c:pt>
                <c:pt idx="1049">
                  <c:v>40738</c:v>
                </c:pt>
                <c:pt idx="1050">
                  <c:v>40739</c:v>
                </c:pt>
                <c:pt idx="1051">
                  <c:v>40742</c:v>
                </c:pt>
                <c:pt idx="1052">
                  <c:v>40743</c:v>
                </c:pt>
                <c:pt idx="1053">
                  <c:v>40744</c:v>
                </c:pt>
                <c:pt idx="1054">
                  <c:v>40745</c:v>
                </c:pt>
                <c:pt idx="1055">
                  <c:v>40746</c:v>
                </c:pt>
                <c:pt idx="1056">
                  <c:v>40749</c:v>
                </c:pt>
                <c:pt idx="1057">
                  <c:v>40750</c:v>
                </c:pt>
                <c:pt idx="1058">
                  <c:v>40751</c:v>
                </c:pt>
                <c:pt idx="1059">
                  <c:v>40752</c:v>
                </c:pt>
                <c:pt idx="1060">
                  <c:v>40753</c:v>
                </c:pt>
                <c:pt idx="1061">
                  <c:v>40756</c:v>
                </c:pt>
                <c:pt idx="1062">
                  <c:v>40757</c:v>
                </c:pt>
                <c:pt idx="1063">
                  <c:v>40758</c:v>
                </c:pt>
                <c:pt idx="1064">
                  <c:v>40759</c:v>
                </c:pt>
                <c:pt idx="1065">
                  <c:v>40760</c:v>
                </c:pt>
                <c:pt idx="1066">
                  <c:v>40763</c:v>
                </c:pt>
                <c:pt idx="1067">
                  <c:v>40764</c:v>
                </c:pt>
                <c:pt idx="1068">
                  <c:v>40765</c:v>
                </c:pt>
                <c:pt idx="1069">
                  <c:v>40766</c:v>
                </c:pt>
                <c:pt idx="1070">
                  <c:v>40767</c:v>
                </c:pt>
                <c:pt idx="1071">
                  <c:v>40770</c:v>
                </c:pt>
                <c:pt idx="1072">
                  <c:v>40771</c:v>
                </c:pt>
                <c:pt idx="1073">
                  <c:v>40772</c:v>
                </c:pt>
                <c:pt idx="1074">
                  <c:v>40773</c:v>
                </c:pt>
                <c:pt idx="1075">
                  <c:v>40774</c:v>
                </c:pt>
                <c:pt idx="1076">
                  <c:v>40777</c:v>
                </c:pt>
                <c:pt idx="1077">
                  <c:v>40778</c:v>
                </c:pt>
                <c:pt idx="1078">
                  <c:v>40779</c:v>
                </c:pt>
                <c:pt idx="1079">
                  <c:v>40780</c:v>
                </c:pt>
                <c:pt idx="1080">
                  <c:v>40781</c:v>
                </c:pt>
                <c:pt idx="1081">
                  <c:v>40784</c:v>
                </c:pt>
                <c:pt idx="1082">
                  <c:v>40785</c:v>
                </c:pt>
                <c:pt idx="1083">
                  <c:v>40786</c:v>
                </c:pt>
                <c:pt idx="1084">
                  <c:v>40787</c:v>
                </c:pt>
                <c:pt idx="1085">
                  <c:v>40788</c:v>
                </c:pt>
                <c:pt idx="1086">
                  <c:v>40792</c:v>
                </c:pt>
                <c:pt idx="1087">
                  <c:v>40793</c:v>
                </c:pt>
                <c:pt idx="1088">
                  <c:v>40794</c:v>
                </c:pt>
                <c:pt idx="1089">
                  <c:v>40795</c:v>
                </c:pt>
                <c:pt idx="1090">
                  <c:v>40798</c:v>
                </c:pt>
                <c:pt idx="1091">
                  <c:v>40799</c:v>
                </c:pt>
                <c:pt idx="1092">
                  <c:v>40800</c:v>
                </c:pt>
                <c:pt idx="1093">
                  <c:v>40801</c:v>
                </c:pt>
                <c:pt idx="1094">
                  <c:v>40802</c:v>
                </c:pt>
                <c:pt idx="1095">
                  <c:v>40805</c:v>
                </c:pt>
                <c:pt idx="1096">
                  <c:v>40806</c:v>
                </c:pt>
                <c:pt idx="1097">
                  <c:v>40807</c:v>
                </c:pt>
                <c:pt idx="1098">
                  <c:v>40808</c:v>
                </c:pt>
                <c:pt idx="1099">
                  <c:v>40809</c:v>
                </c:pt>
                <c:pt idx="1100">
                  <c:v>40812</c:v>
                </c:pt>
                <c:pt idx="1101">
                  <c:v>40813</c:v>
                </c:pt>
                <c:pt idx="1102">
                  <c:v>40814</c:v>
                </c:pt>
                <c:pt idx="1103">
                  <c:v>40815</c:v>
                </c:pt>
                <c:pt idx="1104">
                  <c:v>40816</c:v>
                </c:pt>
                <c:pt idx="1105">
                  <c:v>40819</c:v>
                </c:pt>
                <c:pt idx="1106">
                  <c:v>40820</c:v>
                </c:pt>
                <c:pt idx="1107">
                  <c:v>40821</c:v>
                </c:pt>
                <c:pt idx="1108">
                  <c:v>40822</c:v>
                </c:pt>
                <c:pt idx="1109">
                  <c:v>40823</c:v>
                </c:pt>
                <c:pt idx="1110">
                  <c:v>40826</c:v>
                </c:pt>
                <c:pt idx="1111">
                  <c:v>40827</c:v>
                </c:pt>
                <c:pt idx="1112">
                  <c:v>40828</c:v>
                </c:pt>
                <c:pt idx="1113">
                  <c:v>40829</c:v>
                </c:pt>
                <c:pt idx="1114">
                  <c:v>40830</c:v>
                </c:pt>
                <c:pt idx="1115">
                  <c:v>40833</c:v>
                </c:pt>
                <c:pt idx="1116">
                  <c:v>40834</c:v>
                </c:pt>
                <c:pt idx="1117">
                  <c:v>40835</c:v>
                </c:pt>
                <c:pt idx="1118">
                  <c:v>40836</c:v>
                </c:pt>
                <c:pt idx="1119">
                  <c:v>40837</c:v>
                </c:pt>
                <c:pt idx="1120">
                  <c:v>40840</c:v>
                </c:pt>
                <c:pt idx="1121">
                  <c:v>40841</c:v>
                </c:pt>
                <c:pt idx="1122">
                  <c:v>40842</c:v>
                </c:pt>
                <c:pt idx="1123">
                  <c:v>40843</c:v>
                </c:pt>
                <c:pt idx="1124">
                  <c:v>40844</c:v>
                </c:pt>
                <c:pt idx="1125">
                  <c:v>40847</c:v>
                </c:pt>
                <c:pt idx="1126">
                  <c:v>40848</c:v>
                </c:pt>
                <c:pt idx="1127">
                  <c:v>40849</c:v>
                </c:pt>
                <c:pt idx="1128">
                  <c:v>40850</c:v>
                </c:pt>
                <c:pt idx="1129">
                  <c:v>40851</c:v>
                </c:pt>
                <c:pt idx="1130">
                  <c:v>40854</c:v>
                </c:pt>
                <c:pt idx="1131">
                  <c:v>40855</c:v>
                </c:pt>
                <c:pt idx="1132">
                  <c:v>40856</c:v>
                </c:pt>
                <c:pt idx="1133">
                  <c:v>40857</c:v>
                </c:pt>
                <c:pt idx="1134">
                  <c:v>40858</c:v>
                </c:pt>
                <c:pt idx="1135">
                  <c:v>40861</c:v>
                </c:pt>
                <c:pt idx="1136">
                  <c:v>40862</c:v>
                </c:pt>
                <c:pt idx="1137">
                  <c:v>40863</c:v>
                </c:pt>
                <c:pt idx="1138">
                  <c:v>40864</c:v>
                </c:pt>
                <c:pt idx="1139">
                  <c:v>40865</c:v>
                </c:pt>
                <c:pt idx="1140">
                  <c:v>40868</c:v>
                </c:pt>
                <c:pt idx="1141">
                  <c:v>40869</c:v>
                </c:pt>
                <c:pt idx="1142">
                  <c:v>40870</c:v>
                </c:pt>
                <c:pt idx="1143">
                  <c:v>40872</c:v>
                </c:pt>
                <c:pt idx="1144">
                  <c:v>40875</c:v>
                </c:pt>
                <c:pt idx="1145">
                  <c:v>40876</c:v>
                </c:pt>
                <c:pt idx="1146">
                  <c:v>40877</c:v>
                </c:pt>
                <c:pt idx="1147">
                  <c:v>40878</c:v>
                </c:pt>
                <c:pt idx="1148">
                  <c:v>40879</c:v>
                </c:pt>
                <c:pt idx="1149">
                  <c:v>40882</c:v>
                </c:pt>
                <c:pt idx="1150">
                  <c:v>40883</c:v>
                </c:pt>
                <c:pt idx="1151">
                  <c:v>40884</c:v>
                </c:pt>
                <c:pt idx="1152">
                  <c:v>40885</c:v>
                </c:pt>
                <c:pt idx="1153">
                  <c:v>40886</c:v>
                </c:pt>
                <c:pt idx="1154">
                  <c:v>40889</c:v>
                </c:pt>
                <c:pt idx="1155">
                  <c:v>40890</c:v>
                </c:pt>
                <c:pt idx="1156">
                  <c:v>40891</c:v>
                </c:pt>
                <c:pt idx="1157">
                  <c:v>40892</c:v>
                </c:pt>
                <c:pt idx="1158">
                  <c:v>40893</c:v>
                </c:pt>
                <c:pt idx="1159">
                  <c:v>40896</c:v>
                </c:pt>
                <c:pt idx="1160">
                  <c:v>40897</c:v>
                </c:pt>
                <c:pt idx="1161">
                  <c:v>40898</c:v>
                </c:pt>
                <c:pt idx="1162">
                  <c:v>40899</c:v>
                </c:pt>
                <c:pt idx="1163">
                  <c:v>40900</c:v>
                </c:pt>
                <c:pt idx="1164">
                  <c:v>40904</c:v>
                </c:pt>
                <c:pt idx="1165">
                  <c:v>40905</c:v>
                </c:pt>
                <c:pt idx="1166">
                  <c:v>40906</c:v>
                </c:pt>
                <c:pt idx="1167">
                  <c:v>40907</c:v>
                </c:pt>
                <c:pt idx="1168">
                  <c:v>40911</c:v>
                </c:pt>
                <c:pt idx="1169">
                  <c:v>40912</c:v>
                </c:pt>
                <c:pt idx="1170">
                  <c:v>40913</c:v>
                </c:pt>
                <c:pt idx="1171">
                  <c:v>40914</c:v>
                </c:pt>
                <c:pt idx="1172">
                  <c:v>40917</c:v>
                </c:pt>
                <c:pt idx="1173">
                  <c:v>40918</c:v>
                </c:pt>
                <c:pt idx="1174">
                  <c:v>40919</c:v>
                </c:pt>
                <c:pt idx="1175">
                  <c:v>40920</c:v>
                </c:pt>
                <c:pt idx="1176">
                  <c:v>40921</c:v>
                </c:pt>
                <c:pt idx="1177">
                  <c:v>40925</c:v>
                </c:pt>
                <c:pt idx="1178">
                  <c:v>40926</c:v>
                </c:pt>
                <c:pt idx="1179">
                  <c:v>40927</c:v>
                </c:pt>
                <c:pt idx="1180">
                  <c:v>40928</c:v>
                </c:pt>
                <c:pt idx="1181">
                  <c:v>40931</c:v>
                </c:pt>
                <c:pt idx="1182">
                  <c:v>40932</c:v>
                </c:pt>
                <c:pt idx="1183">
                  <c:v>40933</c:v>
                </c:pt>
                <c:pt idx="1184">
                  <c:v>40934</c:v>
                </c:pt>
                <c:pt idx="1185">
                  <c:v>40935</c:v>
                </c:pt>
                <c:pt idx="1186">
                  <c:v>40938</c:v>
                </c:pt>
                <c:pt idx="1187">
                  <c:v>40939</c:v>
                </c:pt>
                <c:pt idx="1188">
                  <c:v>40940</c:v>
                </c:pt>
                <c:pt idx="1189">
                  <c:v>40941</c:v>
                </c:pt>
                <c:pt idx="1190">
                  <c:v>40942</c:v>
                </c:pt>
                <c:pt idx="1191">
                  <c:v>40945</c:v>
                </c:pt>
                <c:pt idx="1192">
                  <c:v>40946</c:v>
                </c:pt>
                <c:pt idx="1193">
                  <c:v>40947</c:v>
                </c:pt>
                <c:pt idx="1194">
                  <c:v>40948</c:v>
                </c:pt>
                <c:pt idx="1195">
                  <c:v>40949</c:v>
                </c:pt>
                <c:pt idx="1196">
                  <c:v>40952</c:v>
                </c:pt>
                <c:pt idx="1197">
                  <c:v>40953</c:v>
                </c:pt>
                <c:pt idx="1198">
                  <c:v>40954</c:v>
                </c:pt>
                <c:pt idx="1199">
                  <c:v>40955</c:v>
                </c:pt>
                <c:pt idx="1200">
                  <c:v>40956</c:v>
                </c:pt>
                <c:pt idx="1201">
                  <c:v>40960</c:v>
                </c:pt>
                <c:pt idx="1202">
                  <c:v>40961</c:v>
                </c:pt>
                <c:pt idx="1203">
                  <c:v>40962</c:v>
                </c:pt>
                <c:pt idx="1204">
                  <c:v>40963</c:v>
                </c:pt>
                <c:pt idx="1205">
                  <c:v>40966</c:v>
                </c:pt>
                <c:pt idx="1206">
                  <c:v>40967</c:v>
                </c:pt>
                <c:pt idx="1207">
                  <c:v>40968</c:v>
                </c:pt>
                <c:pt idx="1208">
                  <c:v>40969</c:v>
                </c:pt>
                <c:pt idx="1209">
                  <c:v>40970</c:v>
                </c:pt>
                <c:pt idx="1210">
                  <c:v>40973</c:v>
                </c:pt>
                <c:pt idx="1211">
                  <c:v>40974</c:v>
                </c:pt>
                <c:pt idx="1212">
                  <c:v>40975</c:v>
                </c:pt>
                <c:pt idx="1213">
                  <c:v>40976</c:v>
                </c:pt>
                <c:pt idx="1214">
                  <c:v>40977</c:v>
                </c:pt>
                <c:pt idx="1215">
                  <c:v>40980</c:v>
                </c:pt>
                <c:pt idx="1216">
                  <c:v>40981</c:v>
                </c:pt>
                <c:pt idx="1217">
                  <c:v>40982</c:v>
                </c:pt>
                <c:pt idx="1218">
                  <c:v>40983</c:v>
                </c:pt>
                <c:pt idx="1219">
                  <c:v>40984</c:v>
                </c:pt>
                <c:pt idx="1220">
                  <c:v>40987</c:v>
                </c:pt>
                <c:pt idx="1221">
                  <c:v>40988</c:v>
                </c:pt>
                <c:pt idx="1222">
                  <c:v>40989</c:v>
                </c:pt>
                <c:pt idx="1223">
                  <c:v>40990</c:v>
                </c:pt>
                <c:pt idx="1224">
                  <c:v>40991</c:v>
                </c:pt>
                <c:pt idx="1225">
                  <c:v>40994</c:v>
                </c:pt>
                <c:pt idx="1226">
                  <c:v>40995</c:v>
                </c:pt>
                <c:pt idx="1227">
                  <c:v>40996</c:v>
                </c:pt>
                <c:pt idx="1228">
                  <c:v>40997</c:v>
                </c:pt>
                <c:pt idx="1229">
                  <c:v>40998</c:v>
                </c:pt>
                <c:pt idx="1230">
                  <c:v>41001</c:v>
                </c:pt>
                <c:pt idx="1231">
                  <c:v>41002</c:v>
                </c:pt>
                <c:pt idx="1232">
                  <c:v>41003</c:v>
                </c:pt>
                <c:pt idx="1233">
                  <c:v>41004</c:v>
                </c:pt>
                <c:pt idx="1234">
                  <c:v>41008</c:v>
                </c:pt>
                <c:pt idx="1235">
                  <c:v>41009</c:v>
                </c:pt>
                <c:pt idx="1236">
                  <c:v>41010</c:v>
                </c:pt>
                <c:pt idx="1237">
                  <c:v>41011</c:v>
                </c:pt>
                <c:pt idx="1238">
                  <c:v>41012</c:v>
                </c:pt>
                <c:pt idx="1239">
                  <c:v>41015</c:v>
                </c:pt>
                <c:pt idx="1240">
                  <c:v>41016</c:v>
                </c:pt>
                <c:pt idx="1241">
                  <c:v>41017</c:v>
                </c:pt>
                <c:pt idx="1242">
                  <c:v>41018</c:v>
                </c:pt>
                <c:pt idx="1243">
                  <c:v>41019</c:v>
                </c:pt>
                <c:pt idx="1244">
                  <c:v>41022</c:v>
                </c:pt>
                <c:pt idx="1245">
                  <c:v>41023</c:v>
                </c:pt>
                <c:pt idx="1246">
                  <c:v>41024</c:v>
                </c:pt>
                <c:pt idx="1247">
                  <c:v>41025</c:v>
                </c:pt>
                <c:pt idx="1248">
                  <c:v>41026</c:v>
                </c:pt>
                <c:pt idx="1249">
                  <c:v>41029</c:v>
                </c:pt>
                <c:pt idx="1250">
                  <c:v>41030</c:v>
                </c:pt>
                <c:pt idx="1251">
                  <c:v>41031</c:v>
                </c:pt>
                <c:pt idx="1252">
                  <c:v>41032</c:v>
                </c:pt>
                <c:pt idx="1253">
                  <c:v>41033</c:v>
                </c:pt>
                <c:pt idx="1254">
                  <c:v>41036</c:v>
                </c:pt>
                <c:pt idx="1255">
                  <c:v>41037</c:v>
                </c:pt>
                <c:pt idx="1256">
                  <c:v>41038</c:v>
                </c:pt>
                <c:pt idx="1257">
                  <c:v>41039</c:v>
                </c:pt>
                <c:pt idx="1258">
                  <c:v>41040</c:v>
                </c:pt>
                <c:pt idx="1259">
                  <c:v>41043</c:v>
                </c:pt>
                <c:pt idx="1260">
                  <c:v>41044</c:v>
                </c:pt>
              </c:numCache>
            </c:numRef>
          </c:cat>
          <c:val>
            <c:numRef>
              <c:f>'Ex4'!$H$4:$H$1264</c:f>
              <c:numCache>
                <c:formatCode>0</c:formatCode>
                <c:ptCount val="1261"/>
                <c:pt idx="0">
                  <c:v>100</c:v>
                </c:pt>
                <c:pt idx="1">
                  <c:v>99.802110817941966</c:v>
                </c:pt>
                <c:pt idx="2">
                  <c:v>100.67282321899738</c:v>
                </c:pt>
                <c:pt idx="3">
                  <c:v>100.62005277044854</c:v>
                </c:pt>
                <c:pt idx="4">
                  <c:v>100.54089709762533</c:v>
                </c:pt>
                <c:pt idx="5">
                  <c:v>100.55408970976254</c:v>
                </c:pt>
                <c:pt idx="6">
                  <c:v>99.643799472295527</c:v>
                </c:pt>
                <c:pt idx="7">
                  <c:v>100.05936675461741</c:v>
                </c:pt>
                <c:pt idx="8">
                  <c:v>100.42216358839052</c:v>
                </c:pt>
                <c:pt idx="9">
                  <c:v>101.24010554089709</c:v>
                </c:pt>
                <c:pt idx="10">
                  <c:v>101.13456464379946</c:v>
                </c:pt>
                <c:pt idx="11">
                  <c:v>101.63588390501322</c:v>
                </c:pt>
                <c:pt idx="12">
                  <c:v>101.64907651715041</c:v>
                </c:pt>
                <c:pt idx="13">
                  <c:v>101.24670184696572</c:v>
                </c:pt>
                <c:pt idx="14">
                  <c:v>100.15831134564644</c:v>
                </c:pt>
                <c:pt idx="15">
                  <c:v>98.350923482849609</c:v>
                </c:pt>
                <c:pt idx="16">
                  <c:v>99.630606860158309</c:v>
                </c:pt>
                <c:pt idx="17">
                  <c:v>99.802110817941966</c:v>
                </c:pt>
                <c:pt idx="18">
                  <c:v>98.713720316622698</c:v>
                </c:pt>
                <c:pt idx="19">
                  <c:v>100.19129287598945</c:v>
                </c:pt>
                <c:pt idx="20">
                  <c:v>100.8311345646438</c:v>
                </c:pt>
                <c:pt idx="21">
                  <c:v>100.96965699208442</c:v>
                </c:pt>
                <c:pt idx="22">
                  <c:v>100.85092348284961</c:v>
                </c:pt>
                <c:pt idx="23">
                  <c:v>101.10158311345647</c:v>
                </c:pt>
                <c:pt idx="24">
                  <c:v>99.696569920844325</c:v>
                </c:pt>
                <c:pt idx="25">
                  <c:v>100.25065963060686</c:v>
                </c:pt>
                <c:pt idx="26">
                  <c:v>99.307387862796844</c:v>
                </c:pt>
                <c:pt idx="27">
                  <c:v>98.832453825857542</c:v>
                </c:pt>
                <c:pt idx="28">
                  <c:v>97.816622691292878</c:v>
                </c:pt>
                <c:pt idx="29">
                  <c:v>99.20844327176782</c:v>
                </c:pt>
                <c:pt idx="30">
                  <c:v>99.195250659630602</c:v>
                </c:pt>
                <c:pt idx="31">
                  <c:v>99.228232189973625</c:v>
                </c:pt>
                <c:pt idx="32">
                  <c:v>100.12532981530342</c:v>
                </c:pt>
                <c:pt idx="33">
                  <c:v>100.48812664907652</c:v>
                </c:pt>
                <c:pt idx="34">
                  <c:v>100.38258575197889</c:v>
                </c:pt>
                <c:pt idx="35">
                  <c:v>100.91029023746702</c:v>
                </c:pt>
                <c:pt idx="36">
                  <c:v>100.98944591029024</c:v>
                </c:pt>
                <c:pt idx="37">
                  <c:v>99.55145118733509</c:v>
                </c:pt>
                <c:pt idx="38">
                  <c:v>100.25725593667548</c:v>
                </c:pt>
                <c:pt idx="39">
                  <c:v>101.84036939313982</c:v>
                </c:pt>
                <c:pt idx="40">
                  <c:v>102.1437994722955</c:v>
                </c:pt>
                <c:pt idx="41">
                  <c:v>102.13060686015831</c:v>
                </c:pt>
                <c:pt idx="42">
                  <c:v>102.0778364116095</c:v>
                </c:pt>
                <c:pt idx="43">
                  <c:v>101.89313984168867</c:v>
                </c:pt>
                <c:pt idx="44">
                  <c:v>102.28891820580475</c:v>
                </c:pt>
                <c:pt idx="45">
                  <c:v>101.25329815303429</c:v>
                </c:pt>
                <c:pt idx="46">
                  <c:v>101.56332453825858</c:v>
                </c:pt>
                <c:pt idx="47">
                  <c:v>99.802110817941966</c:v>
                </c:pt>
                <c:pt idx="48">
                  <c:v>100.0065963060686</c:v>
                </c:pt>
                <c:pt idx="49">
                  <c:v>97.638522427440648</c:v>
                </c:pt>
                <c:pt idx="50">
                  <c:v>95.718997361477591</c:v>
                </c:pt>
                <c:pt idx="51">
                  <c:v>97.21635883905013</c:v>
                </c:pt>
                <c:pt idx="52">
                  <c:v>96.121372031662261</c:v>
                </c:pt>
                <c:pt idx="53">
                  <c:v>96.589709762532991</c:v>
                </c:pt>
                <c:pt idx="54">
                  <c:v>97.361477572559366</c:v>
                </c:pt>
                <c:pt idx="55">
                  <c:v>94.854881266490779</c:v>
                </c:pt>
                <c:pt idx="56">
                  <c:v>96.444591029023755</c:v>
                </c:pt>
                <c:pt idx="57">
                  <c:v>97.473614775725608</c:v>
                </c:pt>
                <c:pt idx="58">
                  <c:v>98.832453825857542</c:v>
                </c:pt>
                <c:pt idx="59">
                  <c:v>95.903693931398408</c:v>
                </c:pt>
                <c:pt idx="60">
                  <c:v>95.455145118733526</c:v>
                </c:pt>
                <c:pt idx="61">
                  <c:v>95.798153034300796</c:v>
                </c:pt>
                <c:pt idx="62">
                  <c:v>94.333773087071236</c:v>
                </c:pt>
                <c:pt idx="63">
                  <c:v>93.034300791556717</c:v>
                </c:pt>
                <c:pt idx="64">
                  <c:v>93.733509234828489</c:v>
                </c:pt>
                <c:pt idx="65">
                  <c:v>95.455145118733526</c:v>
                </c:pt>
                <c:pt idx="66">
                  <c:v>95.4089709762533</c:v>
                </c:pt>
                <c:pt idx="67">
                  <c:v>95.600263852242747</c:v>
                </c:pt>
                <c:pt idx="68">
                  <c:v>96.734828496042226</c:v>
                </c:pt>
                <c:pt idx="69">
                  <c:v>96.649076517150405</c:v>
                </c:pt>
                <c:pt idx="70">
                  <c:v>97.843007915567298</c:v>
                </c:pt>
                <c:pt idx="71">
                  <c:v>96.932717678100261</c:v>
                </c:pt>
                <c:pt idx="72">
                  <c:v>94.802110817941951</c:v>
                </c:pt>
                <c:pt idx="73">
                  <c:v>96.662269129287594</c:v>
                </c:pt>
                <c:pt idx="74">
                  <c:v>96.405013192612145</c:v>
                </c:pt>
                <c:pt idx="75">
                  <c:v>97.354881266490764</c:v>
                </c:pt>
                <c:pt idx="76">
                  <c:v>98.33773087071242</c:v>
                </c:pt>
                <c:pt idx="77">
                  <c:v>97.486807387862797</c:v>
                </c:pt>
                <c:pt idx="78">
                  <c:v>97.711081794195252</c:v>
                </c:pt>
                <c:pt idx="79">
                  <c:v>96.352242744063318</c:v>
                </c:pt>
                <c:pt idx="80">
                  <c:v>96.167546174142487</c:v>
                </c:pt>
                <c:pt idx="81">
                  <c:v>97.288918205804762</c:v>
                </c:pt>
                <c:pt idx="82">
                  <c:v>97.539577836411624</c:v>
                </c:pt>
                <c:pt idx="83">
                  <c:v>98.225593667546178</c:v>
                </c:pt>
                <c:pt idx="84">
                  <c:v>98.218997361477577</c:v>
                </c:pt>
                <c:pt idx="85">
                  <c:v>97.691292875989447</c:v>
                </c:pt>
                <c:pt idx="86">
                  <c:v>100.56728232189975</c:v>
                </c:pt>
                <c:pt idx="87">
                  <c:v>101.16094986807389</c:v>
                </c:pt>
                <c:pt idx="88">
                  <c:v>100.44854881266491</c:v>
                </c:pt>
                <c:pt idx="89">
                  <c:v>100.24406332453826</c:v>
                </c:pt>
                <c:pt idx="90">
                  <c:v>100.05936675461741</c:v>
                </c:pt>
                <c:pt idx="91">
                  <c:v>99.861477572559366</c:v>
                </c:pt>
                <c:pt idx="92">
                  <c:v>100.3891820580475</c:v>
                </c:pt>
                <c:pt idx="93">
                  <c:v>100.98284960422164</c:v>
                </c:pt>
                <c:pt idx="94">
                  <c:v>100.64643799472297</c:v>
                </c:pt>
                <c:pt idx="95">
                  <c:v>101.78100263852244</c:v>
                </c:pt>
                <c:pt idx="96">
                  <c:v>101.6424802110818</c:v>
                </c:pt>
                <c:pt idx="97">
                  <c:v>101.43799472295515</c:v>
                </c:pt>
                <c:pt idx="98">
                  <c:v>101.59630606860159</c:v>
                </c:pt>
                <c:pt idx="99">
                  <c:v>102.80343007915566</c:v>
                </c:pt>
                <c:pt idx="100">
                  <c:v>102.25593667546175</c:v>
                </c:pt>
                <c:pt idx="101">
                  <c:v>103.21899736147758</c:v>
                </c:pt>
                <c:pt idx="102">
                  <c:v>103.04749340369392</c:v>
                </c:pt>
                <c:pt idx="103">
                  <c:v>102.55277044854883</c:v>
                </c:pt>
                <c:pt idx="104">
                  <c:v>103.12005277044855</c:v>
                </c:pt>
                <c:pt idx="105">
                  <c:v>102.24934036939312</c:v>
                </c:pt>
                <c:pt idx="106">
                  <c:v>101.43799472295515</c:v>
                </c:pt>
                <c:pt idx="107">
                  <c:v>101.74802110817942</c:v>
                </c:pt>
                <c:pt idx="108">
                  <c:v>101.37862796833774</c:v>
                </c:pt>
                <c:pt idx="109">
                  <c:v>98.726912928759887</c:v>
                </c:pt>
                <c:pt idx="110">
                  <c:v>99.300791556728228</c:v>
                </c:pt>
                <c:pt idx="111">
                  <c:v>100.10554089709763</c:v>
                </c:pt>
                <c:pt idx="112">
                  <c:v>99.920844327176781</c:v>
                </c:pt>
                <c:pt idx="113">
                  <c:v>100.15831134564644</c:v>
                </c:pt>
                <c:pt idx="114">
                  <c:v>101.33245382585751</c:v>
                </c:pt>
                <c:pt idx="115">
                  <c:v>101.66886543535621</c:v>
                </c:pt>
                <c:pt idx="116">
                  <c:v>100.96306068601584</c:v>
                </c:pt>
                <c:pt idx="117">
                  <c:v>102.01187335092349</c:v>
                </c:pt>
                <c:pt idx="118">
                  <c:v>99.624010554089722</c:v>
                </c:pt>
                <c:pt idx="119">
                  <c:v>99.736147757255935</c:v>
                </c:pt>
                <c:pt idx="120">
                  <c:v>98.977572559366763</c:v>
                </c:pt>
                <c:pt idx="121">
                  <c:v>100.31002638522428</c:v>
                </c:pt>
                <c:pt idx="122">
                  <c:v>97.565963060686016</c:v>
                </c:pt>
                <c:pt idx="123">
                  <c:v>97.071240105540895</c:v>
                </c:pt>
                <c:pt idx="124">
                  <c:v>95.738786279683382</c:v>
                </c:pt>
                <c:pt idx="125">
                  <c:v>94.788918205804748</c:v>
                </c:pt>
                <c:pt idx="126">
                  <c:v>97.678100263852258</c:v>
                </c:pt>
                <c:pt idx="127">
                  <c:v>97.407651715039577</c:v>
                </c:pt>
                <c:pt idx="128">
                  <c:v>96.002638522427446</c:v>
                </c:pt>
                <c:pt idx="129">
                  <c:v>96.167546174142487</c:v>
                </c:pt>
                <c:pt idx="130">
                  <c:v>94.828496042216358</c:v>
                </c:pt>
                <c:pt idx="131">
                  <c:v>95.4089709762533</c:v>
                </c:pt>
                <c:pt idx="132">
                  <c:v>93.456464379947235</c:v>
                </c:pt>
                <c:pt idx="133">
                  <c:v>95.072559366754618</c:v>
                </c:pt>
                <c:pt idx="134">
                  <c:v>92.974934036939302</c:v>
                </c:pt>
                <c:pt idx="135">
                  <c:v>94.043535620052765</c:v>
                </c:pt>
                <c:pt idx="136">
                  <c:v>97.05145118733509</c:v>
                </c:pt>
                <c:pt idx="137">
                  <c:v>97.084432717678098</c:v>
                </c:pt>
                <c:pt idx="138">
                  <c:v>98.060686015831138</c:v>
                </c:pt>
                <c:pt idx="139">
                  <c:v>97.414248021108179</c:v>
                </c:pt>
                <c:pt idx="140">
                  <c:v>96.543535620052779</c:v>
                </c:pt>
                <c:pt idx="141">
                  <c:v>98.159630606860162</c:v>
                </c:pt>
                <c:pt idx="142">
                  <c:v>99.564643799472293</c:v>
                </c:pt>
                <c:pt idx="143">
                  <c:v>99.544854881266488</c:v>
                </c:pt>
                <c:pt idx="144">
                  <c:v>100.31662269129289</c:v>
                </c:pt>
                <c:pt idx="145">
                  <c:v>97.565963060686016</c:v>
                </c:pt>
                <c:pt idx="146">
                  <c:v>98.529023746701853</c:v>
                </c:pt>
                <c:pt idx="147">
                  <c:v>98.324538258575203</c:v>
                </c:pt>
                <c:pt idx="148">
                  <c:v>97.077836411609496</c:v>
                </c:pt>
                <c:pt idx="149">
                  <c:v>95.69261213720317</c:v>
                </c:pt>
                <c:pt idx="150">
                  <c:v>96.226912928759901</c:v>
                </c:pt>
                <c:pt idx="151">
                  <c:v>96.226912928759901</c:v>
                </c:pt>
                <c:pt idx="152">
                  <c:v>96.833773087071251</c:v>
                </c:pt>
                <c:pt idx="153">
                  <c:v>97.711081794195252</c:v>
                </c:pt>
                <c:pt idx="154">
                  <c:v>98.436675461741416</c:v>
                </c:pt>
                <c:pt idx="155">
                  <c:v>98.647757255936682</c:v>
                </c:pt>
                <c:pt idx="156">
                  <c:v>97.407651715039577</c:v>
                </c:pt>
                <c:pt idx="157">
                  <c:v>97.163588390501332</c:v>
                </c:pt>
                <c:pt idx="158">
                  <c:v>96.444591029023755</c:v>
                </c:pt>
                <c:pt idx="159">
                  <c:v>95.600263852242747</c:v>
                </c:pt>
                <c:pt idx="160">
                  <c:v>95.55408970976255</c:v>
                </c:pt>
                <c:pt idx="161">
                  <c:v>93.212401055408975</c:v>
                </c:pt>
                <c:pt idx="162">
                  <c:v>93.133245382585756</c:v>
                </c:pt>
                <c:pt idx="163">
                  <c:v>91.6292875989446</c:v>
                </c:pt>
                <c:pt idx="164">
                  <c:v>92.592348284960423</c:v>
                </c:pt>
                <c:pt idx="165">
                  <c:v>93.199208443271758</c:v>
                </c:pt>
                <c:pt idx="166">
                  <c:v>92.447229551451187</c:v>
                </c:pt>
                <c:pt idx="167">
                  <c:v>93.19261213720317</c:v>
                </c:pt>
                <c:pt idx="168">
                  <c:v>91.141160949868066</c:v>
                </c:pt>
                <c:pt idx="169">
                  <c:v>90.356200527704473</c:v>
                </c:pt>
                <c:pt idx="170">
                  <c:v>88.014511873350926</c:v>
                </c:pt>
                <c:pt idx="171">
                  <c:v>87.110817941952519</c:v>
                </c:pt>
                <c:pt idx="172">
                  <c:v>86.226912928759901</c:v>
                </c:pt>
                <c:pt idx="173">
                  <c:v>88.29815303430081</c:v>
                </c:pt>
                <c:pt idx="174">
                  <c:v>89.043535620052779</c:v>
                </c:pt>
                <c:pt idx="175">
                  <c:v>87.757255936675463</c:v>
                </c:pt>
                <c:pt idx="176">
                  <c:v>89.20844327176782</c:v>
                </c:pt>
                <c:pt idx="177">
                  <c:v>89.650395778364128</c:v>
                </c:pt>
                <c:pt idx="178">
                  <c:v>88.990765171503966</c:v>
                </c:pt>
                <c:pt idx="179">
                  <c:v>90.613456464379951</c:v>
                </c:pt>
                <c:pt idx="180">
                  <c:v>92.071240105540909</c:v>
                </c:pt>
                <c:pt idx="181">
                  <c:v>90.910290237467024</c:v>
                </c:pt>
                <c:pt idx="182">
                  <c:v>88.476253298153026</c:v>
                </c:pt>
                <c:pt idx="183">
                  <c:v>87.763852242744079</c:v>
                </c:pt>
                <c:pt idx="184">
                  <c:v>88.344327176781007</c:v>
                </c:pt>
                <c:pt idx="185">
                  <c:v>87.777044854881268</c:v>
                </c:pt>
                <c:pt idx="186">
                  <c:v>88.225593667546178</c:v>
                </c:pt>
                <c:pt idx="187">
                  <c:v>89.043535620052779</c:v>
                </c:pt>
                <c:pt idx="188">
                  <c:v>89.953825857519803</c:v>
                </c:pt>
                <c:pt idx="189">
                  <c:v>89.162269129287594</c:v>
                </c:pt>
                <c:pt idx="190">
                  <c:v>89.142480211081789</c:v>
                </c:pt>
                <c:pt idx="191">
                  <c:v>89.393139841688665</c:v>
                </c:pt>
                <c:pt idx="192">
                  <c:v>89.656992084432702</c:v>
                </c:pt>
                <c:pt idx="193">
                  <c:v>88.911609498680733</c:v>
                </c:pt>
                <c:pt idx="194">
                  <c:v>89.459102902374681</c:v>
                </c:pt>
                <c:pt idx="195">
                  <c:v>90.587071240105558</c:v>
                </c:pt>
                <c:pt idx="196">
                  <c:v>91.266490765171511</c:v>
                </c:pt>
                <c:pt idx="197">
                  <c:v>91.174142480211088</c:v>
                </c:pt>
                <c:pt idx="198">
                  <c:v>90.283641160949884</c:v>
                </c:pt>
                <c:pt idx="199">
                  <c:v>88.271767810026375</c:v>
                </c:pt>
                <c:pt idx="200">
                  <c:v>88.060686015831138</c:v>
                </c:pt>
                <c:pt idx="201">
                  <c:v>87.724274406332455</c:v>
                </c:pt>
                <c:pt idx="202">
                  <c:v>88.278364116094991</c:v>
                </c:pt>
                <c:pt idx="203">
                  <c:v>86.451187335092357</c:v>
                </c:pt>
                <c:pt idx="204">
                  <c:v>85.560686015831138</c:v>
                </c:pt>
                <c:pt idx="205">
                  <c:v>84.432717678100261</c:v>
                </c:pt>
                <c:pt idx="206">
                  <c:v>87.467018469656992</c:v>
                </c:pt>
                <c:pt idx="207">
                  <c:v>86.649076517150405</c:v>
                </c:pt>
                <c:pt idx="208">
                  <c:v>86.840369393139852</c:v>
                </c:pt>
                <c:pt idx="209">
                  <c:v>85.494722955145136</c:v>
                </c:pt>
                <c:pt idx="210">
                  <c:v>84.630606860158323</c:v>
                </c:pt>
                <c:pt idx="211">
                  <c:v>88.146437994722959</c:v>
                </c:pt>
                <c:pt idx="212">
                  <c:v>85.963060686015837</c:v>
                </c:pt>
                <c:pt idx="213">
                  <c:v>87.124010554089722</c:v>
                </c:pt>
                <c:pt idx="214">
                  <c:v>88.865435356200521</c:v>
                </c:pt>
                <c:pt idx="215">
                  <c:v>88.951187335092357</c:v>
                </c:pt>
                <c:pt idx="216">
                  <c:v>87.862796833773089</c:v>
                </c:pt>
                <c:pt idx="217">
                  <c:v>87.585751978891821</c:v>
                </c:pt>
                <c:pt idx="218">
                  <c:v>86.748021108179415</c:v>
                </c:pt>
                <c:pt idx="219">
                  <c:v>87.05145118733509</c:v>
                </c:pt>
                <c:pt idx="220">
                  <c:v>90.112137203166242</c:v>
                </c:pt>
                <c:pt idx="221">
                  <c:v>90.171503957783642</c:v>
                </c:pt>
                <c:pt idx="222">
                  <c:v>90.395778364116097</c:v>
                </c:pt>
                <c:pt idx="223">
                  <c:v>90.296833773087073</c:v>
                </c:pt>
                <c:pt idx="224">
                  <c:v>90.343007915567284</c:v>
                </c:pt>
                <c:pt idx="225">
                  <c:v>90.250659630606862</c:v>
                </c:pt>
                <c:pt idx="226">
                  <c:v>89.597625329815315</c:v>
                </c:pt>
                <c:pt idx="227">
                  <c:v>89.722955145118746</c:v>
                </c:pt>
                <c:pt idx="228">
                  <c:v>87.981530343007918</c:v>
                </c:pt>
                <c:pt idx="229">
                  <c:v>87.684696569920845</c:v>
                </c:pt>
                <c:pt idx="230">
                  <c:v>87.889182058047496</c:v>
                </c:pt>
                <c:pt idx="231">
                  <c:v>90.270448548812666</c:v>
                </c:pt>
                <c:pt idx="232">
                  <c:v>90.402374670184699</c:v>
                </c:pt>
                <c:pt idx="233">
                  <c:v>91.345646437994716</c:v>
                </c:pt>
                <c:pt idx="234">
                  <c:v>91.391820580474942</c:v>
                </c:pt>
                <c:pt idx="235">
                  <c:v>90.989445910290229</c:v>
                </c:pt>
                <c:pt idx="236">
                  <c:v>90.844327176781007</c:v>
                </c:pt>
                <c:pt idx="237">
                  <c:v>91.240105540897105</c:v>
                </c:pt>
                <c:pt idx="238">
                  <c:v>92.084432717678098</c:v>
                </c:pt>
                <c:pt idx="239">
                  <c:v>92.104221635883903</c:v>
                </c:pt>
                <c:pt idx="240">
                  <c:v>91.741424802110828</c:v>
                </c:pt>
                <c:pt idx="241">
                  <c:v>91.200527704485495</c:v>
                </c:pt>
                <c:pt idx="242">
                  <c:v>93.087071240105544</c:v>
                </c:pt>
                <c:pt idx="243">
                  <c:v>93.344327176781007</c:v>
                </c:pt>
                <c:pt idx="244">
                  <c:v>92.895778364116111</c:v>
                </c:pt>
                <c:pt idx="245">
                  <c:v>93.700527704485509</c:v>
                </c:pt>
                <c:pt idx="246">
                  <c:v>92.031662269129299</c:v>
                </c:pt>
                <c:pt idx="247">
                  <c:v>91.794195250659627</c:v>
                </c:pt>
                <c:pt idx="248">
                  <c:v>91.622691292875999</c:v>
                </c:pt>
                <c:pt idx="249">
                  <c:v>92.651715039577837</c:v>
                </c:pt>
                <c:pt idx="250">
                  <c:v>92.664907651715041</c:v>
                </c:pt>
                <c:pt idx="251">
                  <c:v>92.856200527704488</c:v>
                </c:pt>
                <c:pt idx="252">
                  <c:v>94.017150395778373</c:v>
                </c:pt>
                <c:pt idx="253">
                  <c:v>94.10290237467018</c:v>
                </c:pt>
                <c:pt idx="254">
                  <c:v>94.360158311345657</c:v>
                </c:pt>
                <c:pt idx="255">
                  <c:v>93.594986807387855</c:v>
                </c:pt>
                <c:pt idx="256">
                  <c:v>92.011873350923494</c:v>
                </c:pt>
                <c:pt idx="257">
                  <c:v>92.025065963060683</c:v>
                </c:pt>
                <c:pt idx="258">
                  <c:v>90.79155672823218</c:v>
                </c:pt>
                <c:pt idx="259">
                  <c:v>91.46437994722956</c:v>
                </c:pt>
                <c:pt idx="260">
                  <c:v>91.886543535620063</c:v>
                </c:pt>
                <c:pt idx="261">
                  <c:v>92.348284960422163</c:v>
                </c:pt>
                <c:pt idx="262">
                  <c:v>92.579155672823219</c:v>
                </c:pt>
                <c:pt idx="263">
                  <c:v>91.622691292875999</c:v>
                </c:pt>
                <c:pt idx="264">
                  <c:v>91.088390501319267</c:v>
                </c:pt>
                <c:pt idx="265">
                  <c:v>91.042216358839056</c:v>
                </c:pt>
                <c:pt idx="266">
                  <c:v>92.862796833773089</c:v>
                </c:pt>
                <c:pt idx="267">
                  <c:v>89.901055408970976</c:v>
                </c:pt>
                <c:pt idx="268">
                  <c:v>90.118733509234843</c:v>
                </c:pt>
                <c:pt idx="269">
                  <c:v>89.670184696569919</c:v>
                </c:pt>
                <c:pt idx="270">
                  <c:v>88.350923482849609</c:v>
                </c:pt>
                <c:pt idx="271">
                  <c:v>88.687335092348292</c:v>
                </c:pt>
                <c:pt idx="272">
                  <c:v>89.808707124010553</c:v>
                </c:pt>
                <c:pt idx="273">
                  <c:v>89.861477572559366</c:v>
                </c:pt>
                <c:pt idx="274">
                  <c:v>89.426121372031659</c:v>
                </c:pt>
                <c:pt idx="275">
                  <c:v>88.555408970976259</c:v>
                </c:pt>
                <c:pt idx="276">
                  <c:v>88.667546174142473</c:v>
                </c:pt>
                <c:pt idx="277">
                  <c:v>86.794195250659641</c:v>
                </c:pt>
                <c:pt idx="278">
                  <c:v>86.708443271767806</c:v>
                </c:pt>
                <c:pt idx="279">
                  <c:v>86.536939313984178</c:v>
                </c:pt>
                <c:pt idx="280">
                  <c:v>86.945910290237478</c:v>
                </c:pt>
                <c:pt idx="281">
                  <c:v>84.584432717678098</c:v>
                </c:pt>
                <c:pt idx="282">
                  <c:v>84.122691292875999</c:v>
                </c:pt>
                <c:pt idx="283">
                  <c:v>84.419525065963057</c:v>
                </c:pt>
                <c:pt idx="284">
                  <c:v>84.683377308707122</c:v>
                </c:pt>
                <c:pt idx="285">
                  <c:v>83.23218997361478</c:v>
                </c:pt>
                <c:pt idx="286">
                  <c:v>83.317941952506601</c:v>
                </c:pt>
                <c:pt idx="287">
                  <c:v>82.467018469656992</c:v>
                </c:pt>
                <c:pt idx="288">
                  <c:v>83.931398416886537</c:v>
                </c:pt>
                <c:pt idx="289">
                  <c:v>82.315303430079169</c:v>
                </c:pt>
                <c:pt idx="290">
                  <c:v>82.651715039577837</c:v>
                </c:pt>
                <c:pt idx="291">
                  <c:v>81.688654353562001</c:v>
                </c:pt>
                <c:pt idx="292">
                  <c:v>80.949868073878633</c:v>
                </c:pt>
                <c:pt idx="293">
                  <c:v>79.808707124010553</c:v>
                </c:pt>
                <c:pt idx="294">
                  <c:v>81.76781002638522</c:v>
                </c:pt>
                <c:pt idx="295">
                  <c:v>82.585751978891835</c:v>
                </c:pt>
                <c:pt idx="296">
                  <c:v>83.100263852242747</c:v>
                </c:pt>
                <c:pt idx="297">
                  <c:v>83.146437994722959</c:v>
                </c:pt>
                <c:pt idx="298">
                  <c:v>84.089709762532976</c:v>
                </c:pt>
                <c:pt idx="299">
                  <c:v>84.544854881266488</c:v>
                </c:pt>
                <c:pt idx="300">
                  <c:v>82.790237467018486</c:v>
                </c:pt>
                <c:pt idx="301">
                  <c:v>82.770448548812666</c:v>
                </c:pt>
                <c:pt idx="302">
                  <c:v>81.556728232189982</c:v>
                </c:pt>
                <c:pt idx="303">
                  <c:v>83.298153034300796</c:v>
                </c:pt>
                <c:pt idx="304">
                  <c:v>84.782321899736161</c:v>
                </c:pt>
                <c:pt idx="305">
                  <c:v>83.660949868073885</c:v>
                </c:pt>
                <c:pt idx="306">
                  <c:v>83.218997361477577</c:v>
                </c:pt>
                <c:pt idx="307">
                  <c:v>82.447229551451187</c:v>
                </c:pt>
                <c:pt idx="308">
                  <c:v>84.670184696569933</c:v>
                </c:pt>
                <c:pt idx="309">
                  <c:v>85.046174142480226</c:v>
                </c:pt>
                <c:pt idx="310">
                  <c:v>83.779683377308714</c:v>
                </c:pt>
                <c:pt idx="311">
                  <c:v>85.336411609498683</c:v>
                </c:pt>
                <c:pt idx="312">
                  <c:v>86.2203166226913</c:v>
                </c:pt>
                <c:pt idx="313">
                  <c:v>85.323218997361465</c:v>
                </c:pt>
                <c:pt idx="314">
                  <c:v>84.808707124010553</c:v>
                </c:pt>
                <c:pt idx="315">
                  <c:v>85.44854881266491</c:v>
                </c:pt>
                <c:pt idx="316">
                  <c:v>85.864116094986798</c:v>
                </c:pt>
                <c:pt idx="317">
                  <c:v>84.68997361477571</c:v>
                </c:pt>
                <c:pt idx="318">
                  <c:v>83.766490765171511</c:v>
                </c:pt>
                <c:pt idx="319">
                  <c:v>84.155672823218993</c:v>
                </c:pt>
                <c:pt idx="320">
                  <c:v>84.300791556728242</c:v>
                </c:pt>
                <c:pt idx="321">
                  <c:v>85.521108179419542</c:v>
                </c:pt>
                <c:pt idx="322">
                  <c:v>83.786279683377302</c:v>
                </c:pt>
                <c:pt idx="323">
                  <c:v>84.030343007915576</c:v>
                </c:pt>
                <c:pt idx="324">
                  <c:v>84.848284960422163</c:v>
                </c:pt>
                <c:pt idx="325">
                  <c:v>85.877308707124016</c:v>
                </c:pt>
                <c:pt idx="326">
                  <c:v>84.953825857519789</c:v>
                </c:pt>
                <c:pt idx="327">
                  <c:v>84.426121372031659</c:v>
                </c:pt>
                <c:pt idx="328">
                  <c:v>84.353562005277055</c:v>
                </c:pt>
                <c:pt idx="329">
                  <c:v>81.813984168865446</c:v>
                </c:pt>
                <c:pt idx="330">
                  <c:v>82.071240105540895</c:v>
                </c:pt>
                <c:pt idx="331">
                  <c:v>83.766490765171511</c:v>
                </c:pt>
                <c:pt idx="332">
                  <c:v>81.279683377308714</c:v>
                </c:pt>
                <c:pt idx="333">
                  <c:v>81.609498680738795</c:v>
                </c:pt>
                <c:pt idx="334">
                  <c:v>82.790237467018486</c:v>
                </c:pt>
                <c:pt idx="335">
                  <c:v>83.172823218997365</c:v>
                </c:pt>
                <c:pt idx="336">
                  <c:v>79.215039577836421</c:v>
                </c:pt>
                <c:pt idx="337">
                  <c:v>80.540897097625333</c:v>
                </c:pt>
                <c:pt idx="338">
                  <c:v>76.919525065963072</c:v>
                </c:pt>
                <c:pt idx="339">
                  <c:v>79.201846965699204</c:v>
                </c:pt>
                <c:pt idx="340">
                  <c:v>81.87335092348286</c:v>
                </c:pt>
                <c:pt idx="341">
                  <c:v>80.019788918205819</c:v>
                </c:pt>
                <c:pt idx="342">
                  <c:v>78.199208443271772</c:v>
                </c:pt>
                <c:pt idx="343">
                  <c:v>78.449868073878633</c:v>
                </c:pt>
                <c:pt idx="344">
                  <c:v>79.676781002638535</c:v>
                </c:pt>
                <c:pt idx="345">
                  <c:v>79.71635883905013</c:v>
                </c:pt>
                <c:pt idx="346">
                  <c:v>73.469656992084424</c:v>
                </c:pt>
                <c:pt idx="347">
                  <c:v>76.510554089709757</c:v>
                </c:pt>
                <c:pt idx="348">
                  <c:v>76.556728232189968</c:v>
                </c:pt>
                <c:pt idx="349">
                  <c:v>73.7796833773087</c:v>
                </c:pt>
                <c:pt idx="350">
                  <c:v>72.78364116094987</c:v>
                </c:pt>
                <c:pt idx="351">
                  <c:v>69.076517150395773</c:v>
                </c:pt>
                <c:pt idx="352">
                  <c:v>65.982849604221641</c:v>
                </c:pt>
                <c:pt idx="353">
                  <c:v>64.320580474934047</c:v>
                </c:pt>
                <c:pt idx="354">
                  <c:v>59.828496042216358</c:v>
                </c:pt>
                <c:pt idx="355">
                  <c:v>58.377308707124008</c:v>
                </c:pt>
                <c:pt idx="356">
                  <c:v>66.853562005277041</c:v>
                </c:pt>
                <c:pt idx="357">
                  <c:v>65.864116094986798</c:v>
                </c:pt>
                <c:pt idx="358">
                  <c:v>59.379947229551455</c:v>
                </c:pt>
                <c:pt idx="359">
                  <c:v>61.853562005277041</c:v>
                </c:pt>
                <c:pt idx="360">
                  <c:v>61.48416886543535</c:v>
                </c:pt>
                <c:pt idx="361">
                  <c:v>65.178100263852244</c:v>
                </c:pt>
                <c:pt idx="362">
                  <c:v>63.23218997361478</c:v>
                </c:pt>
                <c:pt idx="363">
                  <c:v>59.788918205804755</c:v>
                </c:pt>
                <c:pt idx="364">
                  <c:v>60.481530343007918</c:v>
                </c:pt>
                <c:pt idx="365">
                  <c:v>57.414248021108186</c:v>
                </c:pt>
                <c:pt idx="366">
                  <c:v>55.375989445910292</c:v>
                </c:pt>
                <c:pt idx="367">
                  <c:v>61.846965699208447</c:v>
                </c:pt>
                <c:pt idx="368">
                  <c:v>61.398416886543536</c:v>
                </c:pt>
                <c:pt idx="369">
                  <c:v>63.522427440633244</c:v>
                </c:pt>
                <c:pt idx="370">
                  <c:v>63.872031662269137</c:v>
                </c:pt>
                <c:pt idx="371">
                  <c:v>64.056728232189968</c:v>
                </c:pt>
                <c:pt idx="372">
                  <c:v>66.233509234828489</c:v>
                </c:pt>
                <c:pt idx="373">
                  <c:v>63.449868073878626</c:v>
                </c:pt>
                <c:pt idx="374">
                  <c:v>59.934036939313984</c:v>
                </c:pt>
                <c:pt idx="375">
                  <c:v>61.912928759894456</c:v>
                </c:pt>
                <c:pt idx="376">
                  <c:v>61.101583113456456</c:v>
                </c:pt>
                <c:pt idx="377">
                  <c:v>59.215039577836414</c:v>
                </c:pt>
                <c:pt idx="378">
                  <c:v>56.609498680738781</c:v>
                </c:pt>
                <c:pt idx="379">
                  <c:v>60.138522427440634</c:v>
                </c:pt>
                <c:pt idx="380">
                  <c:v>57.137203166226911</c:v>
                </c:pt>
                <c:pt idx="381">
                  <c:v>56.378627968337739</c:v>
                </c:pt>
                <c:pt idx="382">
                  <c:v>57.440633245382585</c:v>
                </c:pt>
                <c:pt idx="383">
                  <c:v>53.75989445910291</c:v>
                </c:pt>
                <c:pt idx="384">
                  <c:v>49.76912928759895</c:v>
                </c:pt>
                <c:pt idx="385">
                  <c:v>52.453825857519789</c:v>
                </c:pt>
                <c:pt idx="386">
                  <c:v>56.08839050131926</c:v>
                </c:pt>
                <c:pt idx="387">
                  <c:v>56.503957783641155</c:v>
                </c:pt>
                <c:pt idx="388">
                  <c:v>58.687335092348292</c:v>
                </c:pt>
                <c:pt idx="389">
                  <c:v>59.426121372031673</c:v>
                </c:pt>
                <c:pt idx="390">
                  <c:v>54.162269129287601</c:v>
                </c:pt>
                <c:pt idx="391">
                  <c:v>56.246701846965699</c:v>
                </c:pt>
                <c:pt idx="392">
                  <c:v>57.598944591029024</c:v>
                </c:pt>
                <c:pt idx="393">
                  <c:v>56.266490765171504</c:v>
                </c:pt>
                <c:pt idx="394">
                  <c:v>58.001319261213723</c:v>
                </c:pt>
                <c:pt idx="395">
                  <c:v>60.026385224274406</c:v>
                </c:pt>
                <c:pt idx="396">
                  <c:v>59.03693931398417</c:v>
                </c:pt>
                <c:pt idx="397">
                  <c:v>59.439313984168862</c:v>
                </c:pt>
                <c:pt idx="398">
                  <c:v>58.007915567282318</c:v>
                </c:pt>
                <c:pt idx="399">
                  <c:v>58.700527704485481</c:v>
                </c:pt>
                <c:pt idx="400">
                  <c:v>57.882585751978901</c:v>
                </c:pt>
                <c:pt idx="401">
                  <c:v>60.606860158311349</c:v>
                </c:pt>
                <c:pt idx="402">
                  <c:v>60.019788918205805</c:v>
                </c:pt>
                <c:pt idx="403">
                  <c:v>58.898416886543536</c:v>
                </c:pt>
                <c:pt idx="404">
                  <c:v>58.172823218997358</c:v>
                </c:pt>
                <c:pt idx="405">
                  <c:v>57.427440633245382</c:v>
                </c:pt>
                <c:pt idx="406">
                  <c:v>56.833773087071236</c:v>
                </c:pt>
                <c:pt idx="407">
                  <c:v>57.163588390501317</c:v>
                </c:pt>
                <c:pt idx="408">
                  <c:v>57.493403693931398</c:v>
                </c:pt>
                <c:pt idx="409">
                  <c:v>57.328496042216358</c:v>
                </c:pt>
                <c:pt idx="410">
                  <c:v>58.687335092348292</c:v>
                </c:pt>
                <c:pt idx="411">
                  <c:v>59.525065963060683</c:v>
                </c:pt>
                <c:pt idx="412">
                  <c:v>61.31926121372031</c:v>
                </c:pt>
                <c:pt idx="413">
                  <c:v>61.246701846965699</c:v>
                </c:pt>
                <c:pt idx="414">
                  <c:v>61.655672823219</c:v>
                </c:pt>
                <c:pt idx="415">
                  <c:v>59.80870712401056</c:v>
                </c:pt>
                <c:pt idx="416">
                  <c:v>60.05277044854882</c:v>
                </c:pt>
                <c:pt idx="417">
                  <c:v>58.766490765171511</c:v>
                </c:pt>
                <c:pt idx="418">
                  <c:v>57.354881266490764</c:v>
                </c:pt>
                <c:pt idx="419">
                  <c:v>57.46042216358839</c:v>
                </c:pt>
                <c:pt idx="420">
                  <c:v>55.65303430079156</c:v>
                </c:pt>
                <c:pt idx="421">
                  <c:v>55.672823218997372</c:v>
                </c:pt>
                <c:pt idx="422">
                  <c:v>56.108179419525072</c:v>
                </c:pt>
                <c:pt idx="423">
                  <c:v>53.146437994722952</c:v>
                </c:pt>
                <c:pt idx="424">
                  <c:v>55.441952506596301</c:v>
                </c:pt>
                <c:pt idx="425">
                  <c:v>54.584432717678098</c:v>
                </c:pt>
                <c:pt idx="426">
                  <c:v>54.821899736147763</c:v>
                </c:pt>
                <c:pt idx="427">
                  <c:v>55.197889182058056</c:v>
                </c:pt>
                <c:pt idx="428">
                  <c:v>55.758575197889179</c:v>
                </c:pt>
                <c:pt idx="429">
                  <c:v>57.645118733509236</c:v>
                </c:pt>
                <c:pt idx="430">
                  <c:v>55.771767810026383</c:v>
                </c:pt>
                <c:pt idx="431">
                  <c:v>54.637203166226911</c:v>
                </c:pt>
                <c:pt idx="432">
                  <c:v>54.47229551451187</c:v>
                </c:pt>
                <c:pt idx="433">
                  <c:v>55.237467018469658</c:v>
                </c:pt>
                <c:pt idx="434">
                  <c:v>54.967018469656992</c:v>
                </c:pt>
                <c:pt idx="435">
                  <c:v>55.784960422163586</c:v>
                </c:pt>
                <c:pt idx="436">
                  <c:v>57.374670184696576</c:v>
                </c:pt>
                <c:pt idx="437">
                  <c:v>57.453825857519789</c:v>
                </c:pt>
                <c:pt idx="438">
                  <c:v>54.821899736147763</c:v>
                </c:pt>
                <c:pt idx="439">
                  <c:v>55.145118733509236</c:v>
                </c:pt>
                <c:pt idx="440">
                  <c:v>55.184696569920845</c:v>
                </c:pt>
                <c:pt idx="441">
                  <c:v>54.591029023746707</c:v>
                </c:pt>
                <c:pt idx="442">
                  <c:v>52.255936675461747</c:v>
                </c:pt>
                <c:pt idx="443">
                  <c:v>52.130606860158309</c:v>
                </c:pt>
                <c:pt idx="444">
                  <c:v>51.569920844327186</c:v>
                </c:pt>
                <c:pt idx="445">
                  <c:v>51.068601583113463</c:v>
                </c:pt>
                <c:pt idx="446">
                  <c:v>49.241424802110821</c:v>
                </c:pt>
                <c:pt idx="447">
                  <c:v>51.108179419525065</c:v>
                </c:pt>
                <c:pt idx="448">
                  <c:v>50.705804749340381</c:v>
                </c:pt>
                <c:pt idx="449">
                  <c:v>49.881266490765178</c:v>
                </c:pt>
                <c:pt idx="450">
                  <c:v>48.766490765171511</c:v>
                </c:pt>
                <c:pt idx="451">
                  <c:v>46.569920844327171</c:v>
                </c:pt>
                <c:pt idx="452">
                  <c:v>46.220316622691286</c:v>
                </c:pt>
                <c:pt idx="453">
                  <c:v>47.315303430079162</c:v>
                </c:pt>
                <c:pt idx="454">
                  <c:v>45.382585751978894</c:v>
                </c:pt>
                <c:pt idx="455">
                  <c:v>45.461741424802113</c:v>
                </c:pt>
                <c:pt idx="456">
                  <c:v>44.927440633245382</c:v>
                </c:pt>
                <c:pt idx="457">
                  <c:v>47.605540897097626</c:v>
                </c:pt>
                <c:pt idx="458">
                  <c:v>47.915567282321902</c:v>
                </c:pt>
                <c:pt idx="459">
                  <c:v>49.802110817941951</c:v>
                </c:pt>
                <c:pt idx="460">
                  <c:v>50.191292875989447</c:v>
                </c:pt>
                <c:pt idx="461">
                  <c:v>50.03957783641161</c:v>
                </c:pt>
                <c:pt idx="462">
                  <c:v>51.569920844327186</c:v>
                </c:pt>
                <c:pt idx="463">
                  <c:v>52.724274406332462</c:v>
                </c:pt>
                <c:pt idx="464">
                  <c:v>52.071240105540895</c:v>
                </c:pt>
                <c:pt idx="465">
                  <c:v>50.600263852242747</c:v>
                </c:pt>
                <c:pt idx="466">
                  <c:v>54.234828496042219</c:v>
                </c:pt>
                <c:pt idx="467">
                  <c:v>53.166226912928764</c:v>
                </c:pt>
                <c:pt idx="468">
                  <c:v>53.726912928759894</c:v>
                </c:pt>
                <c:pt idx="469">
                  <c:v>54.821899736147763</c:v>
                </c:pt>
                <c:pt idx="470">
                  <c:v>53.83245382585752</c:v>
                </c:pt>
                <c:pt idx="471">
                  <c:v>51.972295514511877</c:v>
                </c:pt>
                <c:pt idx="472">
                  <c:v>52.453825857519789</c:v>
                </c:pt>
                <c:pt idx="473">
                  <c:v>53.469656992084438</c:v>
                </c:pt>
                <c:pt idx="474">
                  <c:v>55.032981530343015</c:v>
                </c:pt>
                <c:pt idx="475">
                  <c:v>55.58047493403695</c:v>
                </c:pt>
                <c:pt idx="476">
                  <c:v>55.145118733509236</c:v>
                </c:pt>
                <c:pt idx="477">
                  <c:v>53.858839050131934</c:v>
                </c:pt>
                <c:pt idx="478">
                  <c:v>54.439313984168869</c:v>
                </c:pt>
                <c:pt idx="479">
                  <c:v>56.60290237467018</c:v>
                </c:pt>
                <c:pt idx="480">
                  <c:v>56.616094986807383</c:v>
                </c:pt>
                <c:pt idx="481">
                  <c:v>55.639841688654357</c:v>
                </c:pt>
                <c:pt idx="482">
                  <c:v>56.233509234828496</c:v>
                </c:pt>
                <c:pt idx="483">
                  <c:v>57.058047493403699</c:v>
                </c:pt>
                <c:pt idx="484">
                  <c:v>57.440633245382585</c:v>
                </c:pt>
                <c:pt idx="485">
                  <c:v>55.032981530343015</c:v>
                </c:pt>
                <c:pt idx="486">
                  <c:v>56.108179419525072</c:v>
                </c:pt>
                <c:pt idx="487">
                  <c:v>55.765171503957788</c:v>
                </c:pt>
                <c:pt idx="488">
                  <c:v>56.312664907651723</c:v>
                </c:pt>
                <c:pt idx="489">
                  <c:v>57.163588390501317</c:v>
                </c:pt>
                <c:pt idx="490">
                  <c:v>56.622691292875992</c:v>
                </c:pt>
                <c:pt idx="491">
                  <c:v>56.444591029023748</c:v>
                </c:pt>
                <c:pt idx="492">
                  <c:v>57.645118733509236</c:v>
                </c:pt>
                <c:pt idx="493">
                  <c:v>57.664907651715048</c:v>
                </c:pt>
                <c:pt idx="494">
                  <c:v>57.974934036939317</c:v>
                </c:pt>
                <c:pt idx="495">
                  <c:v>59.947229551451187</c:v>
                </c:pt>
                <c:pt idx="496">
                  <c:v>59.742744063324537</c:v>
                </c:pt>
                <c:pt idx="497">
                  <c:v>60.778364116094984</c:v>
                </c:pt>
                <c:pt idx="498">
                  <c:v>59.934036939313984</c:v>
                </c:pt>
                <c:pt idx="499">
                  <c:v>61.332453825857527</c:v>
                </c:pt>
                <c:pt idx="500">
                  <c:v>60.184696569920845</c:v>
                </c:pt>
                <c:pt idx="501">
                  <c:v>60.006596306068602</c:v>
                </c:pt>
                <c:pt idx="502">
                  <c:v>58.496042216358845</c:v>
                </c:pt>
                <c:pt idx="503">
                  <c:v>58.997361477572561</c:v>
                </c:pt>
                <c:pt idx="504">
                  <c:v>58.515831134564642</c:v>
                </c:pt>
                <c:pt idx="505">
                  <c:v>60.178100263852251</c:v>
                </c:pt>
                <c:pt idx="506">
                  <c:v>60.105540897097633</c:v>
                </c:pt>
                <c:pt idx="507">
                  <c:v>59.703166226912927</c:v>
                </c:pt>
                <c:pt idx="508">
                  <c:v>58.845646437994723</c:v>
                </c:pt>
                <c:pt idx="509">
                  <c:v>58.720316622691293</c:v>
                </c:pt>
                <c:pt idx="510">
                  <c:v>60.224274406332455</c:v>
                </c:pt>
                <c:pt idx="511">
                  <c:v>59.149076517150398</c:v>
                </c:pt>
                <c:pt idx="512">
                  <c:v>59.973614775725594</c:v>
                </c:pt>
                <c:pt idx="513">
                  <c:v>61.035620052770454</c:v>
                </c:pt>
                <c:pt idx="514">
                  <c:v>62.513192612137203</c:v>
                </c:pt>
                <c:pt idx="515">
                  <c:v>62.565963060686016</c:v>
                </c:pt>
                <c:pt idx="516">
                  <c:v>61.774406332453836</c:v>
                </c:pt>
                <c:pt idx="517">
                  <c:v>62.354881266490771</c:v>
                </c:pt>
                <c:pt idx="518">
                  <c:v>62.368073878627975</c:v>
                </c:pt>
                <c:pt idx="519">
                  <c:v>62.110817941952511</c:v>
                </c:pt>
                <c:pt idx="520">
                  <c:v>62.427440633245389</c:v>
                </c:pt>
                <c:pt idx="521">
                  <c:v>62.269129287598943</c:v>
                </c:pt>
                <c:pt idx="522">
                  <c:v>62.546174142480204</c:v>
                </c:pt>
                <c:pt idx="523">
                  <c:v>62.717678100263853</c:v>
                </c:pt>
                <c:pt idx="524">
                  <c:v>61.279683377308714</c:v>
                </c:pt>
                <c:pt idx="525">
                  <c:v>60.448548812664917</c:v>
                </c:pt>
                <c:pt idx="526">
                  <c:v>60.389182058047496</c:v>
                </c:pt>
                <c:pt idx="527">
                  <c:v>60.831134564643797</c:v>
                </c:pt>
                <c:pt idx="528">
                  <c:v>60.712401055408982</c:v>
                </c:pt>
                <c:pt idx="529">
                  <c:v>58.891820580474942</c:v>
                </c:pt>
                <c:pt idx="530">
                  <c:v>58.937994722955146</c:v>
                </c:pt>
                <c:pt idx="531">
                  <c:v>59.445910290237471</c:v>
                </c:pt>
                <c:pt idx="532">
                  <c:v>60.738786279683374</c:v>
                </c:pt>
                <c:pt idx="533">
                  <c:v>60.580474934036943</c:v>
                </c:pt>
                <c:pt idx="534">
                  <c:v>61.147757255936675</c:v>
                </c:pt>
                <c:pt idx="535">
                  <c:v>60.65303430079156</c:v>
                </c:pt>
                <c:pt idx="536">
                  <c:v>60.903693931398415</c:v>
                </c:pt>
                <c:pt idx="537">
                  <c:v>59.241424802110821</c:v>
                </c:pt>
                <c:pt idx="538">
                  <c:v>59.234828496042212</c:v>
                </c:pt>
                <c:pt idx="539">
                  <c:v>58.087071240105544</c:v>
                </c:pt>
                <c:pt idx="540">
                  <c:v>58.047493403693927</c:v>
                </c:pt>
                <c:pt idx="541">
                  <c:v>58.159630606860155</c:v>
                </c:pt>
                <c:pt idx="542">
                  <c:v>58.021108179419521</c:v>
                </c:pt>
                <c:pt idx="543">
                  <c:v>59.432717678100268</c:v>
                </c:pt>
                <c:pt idx="544">
                  <c:v>59.769129287598943</c:v>
                </c:pt>
                <c:pt idx="545">
                  <c:v>61.517150395778373</c:v>
                </c:pt>
                <c:pt idx="546">
                  <c:v>61.418205804749334</c:v>
                </c:pt>
                <c:pt idx="547">
                  <c:v>62.0910290237467</c:v>
                </c:pt>
                <c:pt idx="548">
                  <c:v>62.750659630606862</c:v>
                </c:pt>
                <c:pt idx="549">
                  <c:v>63.040897097625326</c:v>
                </c:pt>
                <c:pt idx="550">
                  <c:v>63.027704485488123</c:v>
                </c:pt>
                <c:pt idx="551">
                  <c:v>64.419525065963057</c:v>
                </c:pt>
                <c:pt idx="552">
                  <c:v>64.683377308707122</c:v>
                </c:pt>
                <c:pt idx="553">
                  <c:v>64.874670184696569</c:v>
                </c:pt>
                <c:pt idx="554">
                  <c:v>64.571240105540895</c:v>
                </c:pt>
                <c:pt idx="555">
                  <c:v>64.412928759894456</c:v>
                </c:pt>
                <c:pt idx="556">
                  <c:v>65.085751978891821</c:v>
                </c:pt>
                <c:pt idx="557">
                  <c:v>65.178100263852244</c:v>
                </c:pt>
                <c:pt idx="558">
                  <c:v>66.253298153034308</c:v>
                </c:pt>
                <c:pt idx="559">
                  <c:v>66.42480211081795</c:v>
                </c:pt>
                <c:pt idx="560">
                  <c:v>66.233509234828489</c:v>
                </c:pt>
                <c:pt idx="561">
                  <c:v>65.890501319261219</c:v>
                </c:pt>
                <c:pt idx="562">
                  <c:v>66.754617414248031</c:v>
                </c:pt>
                <c:pt idx="563">
                  <c:v>66.616094986807383</c:v>
                </c:pt>
                <c:pt idx="564">
                  <c:v>65.784960422163593</c:v>
                </c:pt>
                <c:pt idx="565">
                  <c:v>66.490765171503966</c:v>
                </c:pt>
                <c:pt idx="566">
                  <c:v>66.998680738786277</c:v>
                </c:pt>
                <c:pt idx="567">
                  <c:v>66.484168865435365</c:v>
                </c:pt>
                <c:pt idx="568">
                  <c:v>64.848284960422163</c:v>
                </c:pt>
                <c:pt idx="569">
                  <c:v>65.362796833773089</c:v>
                </c:pt>
                <c:pt idx="570">
                  <c:v>65.93667546174143</c:v>
                </c:pt>
                <c:pt idx="571">
                  <c:v>66.616094986807383</c:v>
                </c:pt>
                <c:pt idx="572">
                  <c:v>67.922163588390504</c:v>
                </c:pt>
                <c:pt idx="573">
                  <c:v>67.915567282321902</c:v>
                </c:pt>
                <c:pt idx="574">
                  <c:v>68.047493403693935</c:v>
                </c:pt>
                <c:pt idx="575">
                  <c:v>68.054089709762536</c:v>
                </c:pt>
                <c:pt idx="576">
                  <c:v>68.205804749340373</c:v>
                </c:pt>
                <c:pt idx="577">
                  <c:v>68.19261213720317</c:v>
                </c:pt>
                <c:pt idx="578">
                  <c:v>67.585751978891821</c:v>
                </c:pt>
                <c:pt idx="579">
                  <c:v>66.094986807387869</c:v>
                </c:pt>
                <c:pt idx="580">
                  <c:v>65.844327176781007</c:v>
                </c:pt>
                <c:pt idx="581">
                  <c:v>66.391820580474942</c:v>
                </c:pt>
                <c:pt idx="582">
                  <c:v>67.321899736147756</c:v>
                </c:pt>
                <c:pt idx="583">
                  <c:v>67.902374670184699</c:v>
                </c:pt>
                <c:pt idx="584">
                  <c:v>68.423482849604227</c:v>
                </c:pt>
                <c:pt idx="585">
                  <c:v>69.122691292875999</c:v>
                </c:pt>
                <c:pt idx="586">
                  <c:v>69.109498680738795</c:v>
                </c:pt>
                <c:pt idx="587">
                  <c:v>69.445910290237464</c:v>
                </c:pt>
                <c:pt idx="588">
                  <c:v>69.736147757255935</c:v>
                </c:pt>
                <c:pt idx="589">
                  <c:v>70.79155672823218</c:v>
                </c:pt>
                <c:pt idx="590">
                  <c:v>70.686015831134569</c:v>
                </c:pt>
                <c:pt idx="591">
                  <c:v>70.395778364116097</c:v>
                </c:pt>
                <c:pt idx="592">
                  <c:v>70.217678100263853</c:v>
                </c:pt>
                <c:pt idx="593">
                  <c:v>70.62664907651714</c:v>
                </c:pt>
                <c:pt idx="594">
                  <c:v>70.03957783641161</c:v>
                </c:pt>
                <c:pt idx="595">
                  <c:v>69.267810026385234</c:v>
                </c:pt>
                <c:pt idx="596">
                  <c:v>68.898416886543544</c:v>
                </c:pt>
                <c:pt idx="597">
                  <c:v>70.131926121372032</c:v>
                </c:pt>
                <c:pt idx="598">
                  <c:v>69.920844327176781</c:v>
                </c:pt>
                <c:pt idx="599">
                  <c:v>69.650395778364114</c:v>
                </c:pt>
                <c:pt idx="600">
                  <c:v>67.922163588390504</c:v>
                </c:pt>
                <c:pt idx="601">
                  <c:v>67.605540897097626</c:v>
                </c:pt>
                <c:pt idx="602">
                  <c:v>68.614775725593674</c:v>
                </c:pt>
                <c:pt idx="603">
                  <c:v>69.597625329815301</c:v>
                </c:pt>
                <c:pt idx="604">
                  <c:v>69.788918205804748</c:v>
                </c:pt>
                <c:pt idx="605">
                  <c:v>70.323218997361479</c:v>
                </c:pt>
                <c:pt idx="606">
                  <c:v>70.751978891820585</c:v>
                </c:pt>
                <c:pt idx="607">
                  <c:v>71.029023746701853</c:v>
                </c:pt>
                <c:pt idx="608">
                  <c:v>70.883905013192603</c:v>
                </c:pt>
                <c:pt idx="609">
                  <c:v>72.104221635883917</c:v>
                </c:pt>
                <c:pt idx="610">
                  <c:v>72.368073878627968</c:v>
                </c:pt>
                <c:pt idx="611">
                  <c:v>71.827176781002649</c:v>
                </c:pt>
                <c:pt idx="612">
                  <c:v>72.420844327176795</c:v>
                </c:pt>
                <c:pt idx="613">
                  <c:v>72.038258575197887</c:v>
                </c:pt>
                <c:pt idx="614">
                  <c:v>71.391820580474942</c:v>
                </c:pt>
                <c:pt idx="615">
                  <c:v>72.117414248021106</c:v>
                </c:pt>
                <c:pt idx="616">
                  <c:v>71.292875989445918</c:v>
                </c:pt>
                <c:pt idx="617">
                  <c:v>70.521108179419528</c:v>
                </c:pt>
                <c:pt idx="618">
                  <c:v>70.197889182058049</c:v>
                </c:pt>
                <c:pt idx="619">
                  <c:v>68.872031662269123</c:v>
                </c:pt>
                <c:pt idx="620">
                  <c:v>70.349604221635886</c:v>
                </c:pt>
                <c:pt idx="621">
                  <c:v>68.311345646437999</c:v>
                </c:pt>
                <c:pt idx="622">
                  <c:v>68.812664907651708</c:v>
                </c:pt>
                <c:pt idx="623">
                  <c:v>69.030343007915576</c:v>
                </c:pt>
                <c:pt idx="624">
                  <c:v>69.20844327176782</c:v>
                </c:pt>
                <c:pt idx="625">
                  <c:v>70.481530343007918</c:v>
                </c:pt>
                <c:pt idx="626">
                  <c:v>70.666226912928764</c:v>
                </c:pt>
                <c:pt idx="627">
                  <c:v>72.275725593667545</c:v>
                </c:pt>
                <c:pt idx="628">
                  <c:v>72.288918205804748</c:v>
                </c:pt>
                <c:pt idx="629">
                  <c:v>72.658311345646439</c:v>
                </c:pt>
                <c:pt idx="630">
                  <c:v>71.919525065963057</c:v>
                </c:pt>
                <c:pt idx="631">
                  <c:v>72.308707124010567</c:v>
                </c:pt>
                <c:pt idx="632">
                  <c:v>73.357519788918196</c:v>
                </c:pt>
                <c:pt idx="633">
                  <c:v>73.443271767810032</c:v>
                </c:pt>
                <c:pt idx="634">
                  <c:v>73.397097625329806</c:v>
                </c:pt>
                <c:pt idx="635">
                  <c:v>72.440633245382585</c:v>
                </c:pt>
                <c:pt idx="636">
                  <c:v>72.183377308707136</c:v>
                </c:pt>
                <c:pt idx="637">
                  <c:v>73.100263852242747</c:v>
                </c:pt>
                <c:pt idx="638">
                  <c:v>73.212401055408975</c:v>
                </c:pt>
                <c:pt idx="639">
                  <c:v>73.469656992084424</c:v>
                </c:pt>
                <c:pt idx="640">
                  <c:v>72.275725593667545</c:v>
                </c:pt>
                <c:pt idx="641">
                  <c:v>72.519788918205805</c:v>
                </c:pt>
                <c:pt idx="642">
                  <c:v>73.416886543535625</c:v>
                </c:pt>
                <c:pt idx="643">
                  <c:v>73.383905013192617</c:v>
                </c:pt>
                <c:pt idx="644">
                  <c:v>72.810026385224262</c:v>
                </c:pt>
                <c:pt idx="645">
                  <c:v>73.225593667546178</c:v>
                </c:pt>
                <c:pt idx="646">
                  <c:v>73.113456464379951</c:v>
                </c:pt>
                <c:pt idx="647">
                  <c:v>72.302110817941951</c:v>
                </c:pt>
                <c:pt idx="648">
                  <c:v>72.572559366754618</c:v>
                </c:pt>
                <c:pt idx="649">
                  <c:v>72.981530343007918</c:v>
                </c:pt>
                <c:pt idx="650">
                  <c:v>73.291556728232194</c:v>
                </c:pt>
                <c:pt idx="651">
                  <c:v>73.792875989445918</c:v>
                </c:pt>
                <c:pt idx="652">
                  <c:v>73.449868073878633</c:v>
                </c:pt>
                <c:pt idx="653">
                  <c:v>73.562005277044847</c:v>
                </c:pt>
                <c:pt idx="654">
                  <c:v>72.678100263852258</c:v>
                </c:pt>
                <c:pt idx="655">
                  <c:v>72.697889182058049</c:v>
                </c:pt>
                <c:pt idx="656">
                  <c:v>73.43667546174143</c:v>
                </c:pt>
                <c:pt idx="657">
                  <c:v>73.700527704485495</c:v>
                </c:pt>
                <c:pt idx="658">
                  <c:v>73.845646437994731</c:v>
                </c:pt>
                <c:pt idx="659">
                  <c:v>74.195250659630602</c:v>
                </c:pt>
                <c:pt idx="660">
                  <c:v>74.353562005277055</c:v>
                </c:pt>
                <c:pt idx="661">
                  <c:v>74.248021108179415</c:v>
                </c:pt>
                <c:pt idx="662">
                  <c:v>74.221635883905009</c:v>
                </c:pt>
                <c:pt idx="663">
                  <c:v>73.509234828496034</c:v>
                </c:pt>
                <c:pt idx="664">
                  <c:v>74.75593667546174</c:v>
                </c:pt>
                <c:pt idx="665">
                  <c:v>74.953825857519789</c:v>
                </c:pt>
                <c:pt idx="666">
                  <c:v>75.006596306068602</c:v>
                </c:pt>
                <c:pt idx="667">
                  <c:v>75.323218997361479</c:v>
                </c:pt>
                <c:pt idx="668">
                  <c:v>75.573878627968341</c:v>
                </c:pt>
                <c:pt idx="669">
                  <c:v>75.679419525065967</c:v>
                </c:pt>
                <c:pt idx="670">
                  <c:v>74.973614775725594</c:v>
                </c:pt>
                <c:pt idx="671">
                  <c:v>75.606860158311349</c:v>
                </c:pt>
                <c:pt idx="672">
                  <c:v>75.811345646437999</c:v>
                </c:pt>
                <c:pt idx="673">
                  <c:v>74.96042216358839</c:v>
                </c:pt>
                <c:pt idx="674">
                  <c:v>75.89709762532982</c:v>
                </c:pt>
                <c:pt idx="675">
                  <c:v>75.125329815303431</c:v>
                </c:pt>
                <c:pt idx="676">
                  <c:v>73.68073878627969</c:v>
                </c:pt>
                <c:pt idx="677">
                  <c:v>72.038258575197887</c:v>
                </c:pt>
                <c:pt idx="678">
                  <c:v>72.407651715039577</c:v>
                </c:pt>
                <c:pt idx="679">
                  <c:v>72.104221635883917</c:v>
                </c:pt>
                <c:pt idx="680">
                  <c:v>72.447229551451187</c:v>
                </c:pt>
                <c:pt idx="681">
                  <c:v>71.616094986807383</c:v>
                </c:pt>
                <c:pt idx="682">
                  <c:v>70.837730870712406</c:v>
                </c:pt>
                <c:pt idx="683">
                  <c:v>71.939313984168876</c:v>
                </c:pt>
                <c:pt idx="684">
                  <c:v>72.810026385224262</c:v>
                </c:pt>
                <c:pt idx="685">
                  <c:v>72.447229551451187</c:v>
                </c:pt>
                <c:pt idx="686">
                  <c:v>70.211081794195252</c:v>
                </c:pt>
                <c:pt idx="687">
                  <c:v>70.356200527704488</c:v>
                </c:pt>
                <c:pt idx="688">
                  <c:v>69.848284960422163</c:v>
                </c:pt>
                <c:pt idx="689">
                  <c:v>70.725593667546178</c:v>
                </c:pt>
                <c:pt idx="690">
                  <c:v>70.587071240105544</c:v>
                </c:pt>
                <c:pt idx="691">
                  <c:v>71.325857519788912</c:v>
                </c:pt>
                <c:pt idx="692">
                  <c:v>71.266490765171511</c:v>
                </c:pt>
                <c:pt idx="693">
                  <c:v>72.387862796833772</c:v>
                </c:pt>
                <c:pt idx="694">
                  <c:v>72.730870712401057</c:v>
                </c:pt>
                <c:pt idx="695">
                  <c:v>73.159630606860162</c:v>
                </c:pt>
                <c:pt idx="696">
                  <c:v>73.311345646437999</c:v>
                </c:pt>
                <c:pt idx="697">
                  <c:v>73.324538258575203</c:v>
                </c:pt>
                <c:pt idx="698">
                  <c:v>72.434036939313984</c:v>
                </c:pt>
                <c:pt idx="699">
                  <c:v>73.100263852242747</c:v>
                </c:pt>
                <c:pt idx="700">
                  <c:v>73.001319261213723</c:v>
                </c:pt>
                <c:pt idx="701">
                  <c:v>73.047493403693935</c:v>
                </c:pt>
                <c:pt idx="702">
                  <c:v>73.806068601583121</c:v>
                </c:pt>
                <c:pt idx="703">
                  <c:v>74.010554089709771</c:v>
                </c:pt>
                <c:pt idx="704">
                  <c:v>74.076517150395787</c:v>
                </c:pt>
                <c:pt idx="705">
                  <c:v>74.300791556728242</c:v>
                </c:pt>
                <c:pt idx="706">
                  <c:v>75.362796833773089</c:v>
                </c:pt>
                <c:pt idx="707">
                  <c:v>75.375989445910278</c:v>
                </c:pt>
                <c:pt idx="708">
                  <c:v>75.501319261213723</c:v>
                </c:pt>
                <c:pt idx="709">
                  <c:v>75.837730870712406</c:v>
                </c:pt>
                <c:pt idx="710">
                  <c:v>76.154353562005284</c:v>
                </c:pt>
                <c:pt idx="711">
                  <c:v>76.160949868073885</c:v>
                </c:pt>
                <c:pt idx="712">
                  <c:v>76.180738786279676</c:v>
                </c:pt>
                <c:pt idx="713">
                  <c:v>76.787598944591025</c:v>
                </c:pt>
                <c:pt idx="714">
                  <c:v>77.242744063324537</c:v>
                </c:pt>
                <c:pt idx="715">
                  <c:v>77.203166226912927</c:v>
                </c:pt>
                <c:pt idx="716">
                  <c:v>76.497361477572554</c:v>
                </c:pt>
                <c:pt idx="717">
                  <c:v>76.906332453825868</c:v>
                </c:pt>
                <c:pt idx="718">
                  <c:v>77.447229551451187</c:v>
                </c:pt>
                <c:pt idx="719">
                  <c:v>77.071240105540909</c:v>
                </c:pt>
                <c:pt idx="720">
                  <c:v>76.945910290237478</c:v>
                </c:pt>
                <c:pt idx="721">
                  <c:v>76.899736147757253</c:v>
                </c:pt>
                <c:pt idx="722">
                  <c:v>77.387862796833772</c:v>
                </c:pt>
                <c:pt idx="723">
                  <c:v>77.4406332453826</c:v>
                </c:pt>
                <c:pt idx="724">
                  <c:v>77.176781002638535</c:v>
                </c:pt>
                <c:pt idx="725">
                  <c:v>77.70448548812665</c:v>
                </c:pt>
                <c:pt idx="726">
                  <c:v>78.337730870712406</c:v>
                </c:pt>
                <c:pt idx="727">
                  <c:v>78.522427440633251</c:v>
                </c:pt>
                <c:pt idx="728">
                  <c:v>78.073878627968341</c:v>
                </c:pt>
                <c:pt idx="729">
                  <c:v>78.344327176781007</c:v>
                </c:pt>
                <c:pt idx="730">
                  <c:v>78.85883905013192</c:v>
                </c:pt>
                <c:pt idx="731">
                  <c:v>78.98416886543535</c:v>
                </c:pt>
                <c:pt idx="732">
                  <c:v>79.043535620052779</c:v>
                </c:pt>
                <c:pt idx="733">
                  <c:v>79.940633245382585</c:v>
                </c:pt>
                <c:pt idx="734">
                  <c:v>80.006596306068616</c:v>
                </c:pt>
                <c:pt idx="735">
                  <c:v>78.733509234828503</c:v>
                </c:pt>
                <c:pt idx="736">
                  <c:v>79.030343007915576</c:v>
                </c:pt>
                <c:pt idx="737">
                  <c:v>79.736147757255935</c:v>
                </c:pt>
                <c:pt idx="738">
                  <c:v>79.5910290237467</c:v>
                </c:pt>
                <c:pt idx="739">
                  <c:v>79.828496042216358</c:v>
                </c:pt>
                <c:pt idx="740">
                  <c:v>80.349604221635886</c:v>
                </c:pt>
                <c:pt idx="741">
                  <c:v>80.046174142480211</c:v>
                </c:pt>
                <c:pt idx="742">
                  <c:v>78.15303430079156</c:v>
                </c:pt>
                <c:pt idx="743">
                  <c:v>78.746701846965692</c:v>
                </c:pt>
                <c:pt idx="744">
                  <c:v>79.722955145118732</c:v>
                </c:pt>
                <c:pt idx="745">
                  <c:v>78.370712401055414</c:v>
                </c:pt>
                <c:pt idx="746">
                  <c:v>79.386543535620049</c:v>
                </c:pt>
                <c:pt idx="747">
                  <c:v>77.519788918205805</c:v>
                </c:pt>
                <c:pt idx="748">
                  <c:v>77.058047493403691</c:v>
                </c:pt>
                <c:pt idx="749">
                  <c:v>74.498680738786277</c:v>
                </c:pt>
                <c:pt idx="750">
                  <c:v>73.390501319261219</c:v>
                </c:pt>
                <c:pt idx="751">
                  <c:v>76.622691292875984</c:v>
                </c:pt>
                <c:pt idx="752">
                  <c:v>76.405013192612131</c:v>
                </c:pt>
                <c:pt idx="753">
                  <c:v>77.473614775725594</c:v>
                </c:pt>
                <c:pt idx="754">
                  <c:v>76.510554089709757</c:v>
                </c:pt>
                <c:pt idx="755">
                  <c:v>75.125329815303431</c:v>
                </c:pt>
                <c:pt idx="756">
                  <c:v>75.164907651715041</c:v>
                </c:pt>
                <c:pt idx="757">
                  <c:v>74.142480211081789</c:v>
                </c:pt>
                <c:pt idx="758">
                  <c:v>73.7203166226913</c:v>
                </c:pt>
                <c:pt idx="759">
                  <c:v>70.93667546174143</c:v>
                </c:pt>
                <c:pt idx="760">
                  <c:v>71.97229551451187</c:v>
                </c:pt>
                <c:pt idx="761">
                  <c:v>71.048812664907643</c:v>
                </c:pt>
                <c:pt idx="762">
                  <c:v>71.121372031662261</c:v>
                </c:pt>
                <c:pt idx="763">
                  <c:v>70.69261213720317</c:v>
                </c:pt>
                <c:pt idx="764">
                  <c:v>73.060686015831138</c:v>
                </c:pt>
                <c:pt idx="765">
                  <c:v>72.143799472295527</c:v>
                </c:pt>
                <c:pt idx="766">
                  <c:v>70.930079155672829</c:v>
                </c:pt>
                <c:pt idx="767">
                  <c:v>72.777044854881268</c:v>
                </c:pt>
                <c:pt idx="768">
                  <c:v>73.027704485488115</c:v>
                </c:pt>
                <c:pt idx="769">
                  <c:v>70.461741424802099</c:v>
                </c:pt>
                <c:pt idx="770">
                  <c:v>69.584432717678098</c:v>
                </c:pt>
                <c:pt idx="771">
                  <c:v>70.329815303430081</c:v>
                </c:pt>
                <c:pt idx="772">
                  <c:v>69.953825857519789</c:v>
                </c:pt>
                <c:pt idx="773">
                  <c:v>71.998680738786291</c:v>
                </c:pt>
                <c:pt idx="774">
                  <c:v>72.348284960422177</c:v>
                </c:pt>
                <c:pt idx="775">
                  <c:v>72.236147757255935</c:v>
                </c:pt>
                <c:pt idx="776">
                  <c:v>73.878627968337724</c:v>
                </c:pt>
                <c:pt idx="777">
                  <c:v>73.852242744063318</c:v>
                </c:pt>
                <c:pt idx="778">
                  <c:v>73.970976253298161</c:v>
                </c:pt>
                <c:pt idx="779">
                  <c:v>73.700527704485495</c:v>
                </c:pt>
                <c:pt idx="780">
                  <c:v>73.489445910290243</c:v>
                </c:pt>
                <c:pt idx="781">
                  <c:v>72.275725593667545</c:v>
                </c:pt>
                <c:pt idx="782">
                  <c:v>72.051451187335104</c:v>
                </c:pt>
                <c:pt idx="783">
                  <c:v>70.857519788918211</c:v>
                </c:pt>
                <c:pt idx="784">
                  <c:v>71.154353562005284</c:v>
                </c:pt>
                <c:pt idx="785">
                  <c:v>70.930079155672829</c:v>
                </c:pt>
                <c:pt idx="786">
                  <c:v>68.740105540897105</c:v>
                </c:pt>
                <c:pt idx="787">
                  <c:v>68.087071240105544</c:v>
                </c:pt>
                <c:pt idx="788">
                  <c:v>67.78364116094987</c:v>
                </c:pt>
                <c:pt idx="789">
                  <c:v>67.414248021108179</c:v>
                </c:pt>
                <c:pt idx="790">
                  <c:v>67.856200527704488</c:v>
                </c:pt>
                <c:pt idx="791">
                  <c:v>69.993403693931398</c:v>
                </c:pt>
                <c:pt idx="792">
                  <c:v>70.686015831134569</c:v>
                </c:pt>
                <c:pt idx="793">
                  <c:v>71.213720316622684</c:v>
                </c:pt>
                <c:pt idx="794">
                  <c:v>71.259894459102895</c:v>
                </c:pt>
                <c:pt idx="795">
                  <c:v>72.335092348284959</c:v>
                </c:pt>
                <c:pt idx="796">
                  <c:v>72.328496042216358</c:v>
                </c:pt>
                <c:pt idx="797">
                  <c:v>72.348284960422177</c:v>
                </c:pt>
                <c:pt idx="798">
                  <c:v>70.356200527704488</c:v>
                </c:pt>
                <c:pt idx="799">
                  <c:v>70.77176781002639</c:v>
                </c:pt>
                <c:pt idx="800">
                  <c:v>71.556728232189982</c:v>
                </c:pt>
                <c:pt idx="801">
                  <c:v>70.62664907651714</c:v>
                </c:pt>
                <c:pt idx="802">
                  <c:v>72.203166226912927</c:v>
                </c:pt>
                <c:pt idx="803">
                  <c:v>72.829815303430081</c:v>
                </c:pt>
                <c:pt idx="804">
                  <c:v>73.588390501319267</c:v>
                </c:pt>
                <c:pt idx="805">
                  <c:v>73.581794195250666</c:v>
                </c:pt>
                <c:pt idx="806">
                  <c:v>73.106860158311349</c:v>
                </c:pt>
                <c:pt idx="807">
                  <c:v>72.750659630606862</c:v>
                </c:pt>
                <c:pt idx="808">
                  <c:v>72.737467018469658</c:v>
                </c:pt>
                <c:pt idx="809">
                  <c:v>74.379947229551462</c:v>
                </c:pt>
                <c:pt idx="810">
                  <c:v>74.023746701846974</c:v>
                </c:pt>
                <c:pt idx="811">
                  <c:v>74.518469656992082</c:v>
                </c:pt>
                <c:pt idx="812">
                  <c:v>74.439313984168862</c:v>
                </c:pt>
                <c:pt idx="813">
                  <c:v>74.135883905013202</c:v>
                </c:pt>
                <c:pt idx="814">
                  <c:v>74.531662269129285</c:v>
                </c:pt>
                <c:pt idx="815">
                  <c:v>74.129287598944586</c:v>
                </c:pt>
                <c:pt idx="816">
                  <c:v>72.097625329815301</c:v>
                </c:pt>
                <c:pt idx="817">
                  <c:v>71.655672823218993</c:v>
                </c:pt>
                <c:pt idx="818">
                  <c:v>71.444591029023755</c:v>
                </c:pt>
                <c:pt idx="819">
                  <c:v>71.411609498680747</c:v>
                </c:pt>
                <c:pt idx="820">
                  <c:v>72.288918205804748</c:v>
                </c:pt>
                <c:pt idx="821">
                  <c:v>72.420844327176795</c:v>
                </c:pt>
                <c:pt idx="822">
                  <c:v>71.160949868073871</c:v>
                </c:pt>
                <c:pt idx="823">
                  <c:v>70.930079155672829</c:v>
                </c:pt>
                <c:pt idx="824">
                  <c:v>70.659630606860162</c:v>
                </c:pt>
                <c:pt idx="825">
                  <c:v>69.610817941952504</c:v>
                </c:pt>
                <c:pt idx="826">
                  <c:v>69.881266490765171</c:v>
                </c:pt>
                <c:pt idx="827">
                  <c:v>69.41292875989447</c:v>
                </c:pt>
                <c:pt idx="828">
                  <c:v>70.48812664907652</c:v>
                </c:pt>
                <c:pt idx="829">
                  <c:v>69.465699208443283</c:v>
                </c:pt>
                <c:pt idx="830">
                  <c:v>69.465699208443283</c:v>
                </c:pt>
                <c:pt idx="831">
                  <c:v>71.543535620052765</c:v>
                </c:pt>
                <c:pt idx="832">
                  <c:v>72.209762532981543</c:v>
                </c:pt>
                <c:pt idx="833">
                  <c:v>73.146437994722959</c:v>
                </c:pt>
                <c:pt idx="834">
                  <c:v>72.32189973614777</c:v>
                </c:pt>
                <c:pt idx="835">
                  <c:v>72.829815303430081</c:v>
                </c:pt>
                <c:pt idx="836">
                  <c:v>73.166226912928764</c:v>
                </c:pt>
                <c:pt idx="837">
                  <c:v>73.535620052770454</c:v>
                </c:pt>
                <c:pt idx="838">
                  <c:v>74.353562005277055</c:v>
                </c:pt>
                <c:pt idx="839">
                  <c:v>74.30738786279683</c:v>
                </c:pt>
                <c:pt idx="840">
                  <c:v>74.5910290237467</c:v>
                </c:pt>
                <c:pt idx="841">
                  <c:v>74.571240105540909</c:v>
                </c:pt>
                <c:pt idx="842">
                  <c:v>74.201846965699204</c:v>
                </c:pt>
                <c:pt idx="843">
                  <c:v>75.336411609498683</c:v>
                </c:pt>
                <c:pt idx="844">
                  <c:v>75.184696569920845</c:v>
                </c:pt>
                <c:pt idx="845">
                  <c:v>74.815303430079155</c:v>
                </c:pt>
                <c:pt idx="846">
                  <c:v>74.208443271767806</c:v>
                </c:pt>
                <c:pt idx="847">
                  <c:v>75.738786279683382</c:v>
                </c:pt>
                <c:pt idx="848">
                  <c:v>75.375989445910278</c:v>
                </c:pt>
                <c:pt idx="849">
                  <c:v>75.639841688654357</c:v>
                </c:pt>
                <c:pt idx="850">
                  <c:v>75.507915567282325</c:v>
                </c:pt>
                <c:pt idx="851">
                  <c:v>75.28364116094987</c:v>
                </c:pt>
                <c:pt idx="852">
                  <c:v>75.600263852242747</c:v>
                </c:pt>
                <c:pt idx="853">
                  <c:v>75.032981530343008</c:v>
                </c:pt>
                <c:pt idx="854">
                  <c:v>76.543535620052779</c:v>
                </c:pt>
                <c:pt idx="855">
                  <c:v>76.536939313984178</c:v>
                </c:pt>
                <c:pt idx="856">
                  <c:v>76.444591029023741</c:v>
                </c:pt>
                <c:pt idx="857">
                  <c:v>76.873350923482846</c:v>
                </c:pt>
                <c:pt idx="858">
                  <c:v>76.945910290237478</c:v>
                </c:pt>
                <c:pt idx="859">
                  <c:v>77.183377308707136</c:v>
                </c:pt>
                <c:pt idx="860">
                  <c:v>77.78364116094987</c:v>
                </c:pt>
                <c:pt idx="861">
                  <c:v>77.480211081794195</c:v>
                </c:pt>
                <c:pt idx="862">
                  <c:v>77.638522427440634</c:v>
                </c:pt>
                <c:pt idx="863">
                  <c:v>78.021108179419528</c:v>
                </c:pt>
                <c:pt idx="864">
                  <c:v>76.998680738786291</c:v>
                </c:pt>
                <c:pt idx="865">
                  <c:v>77.750659630606862</c:v>
                </c:pt>
                <c:pt idx="866">
                  <c:v>77.922163588390504</c:v>
                </c:pt>
                <c:pt idx="867">
                  <c:v>78.067282321899739</c:v>
                </c:pt>
                <c:pt idx="868">
                  <c:v>78.298153034300796</c:v>
                </c:pt>
                <c:pt idx="869">
                  <c:v>78.311345646437999</c:v>
                </c:pt>
                <c:pt idx="870">
                  <c:v>78.087071240105544</c:v>
                </c:pt>
                <c:pt idx="871">
                  <c:v>78.100263852242747</c:v>
                </c:pt>
                <c:pt idx="872">
                  <c:v>78.159630606860148</c:v>
                </c:pt>
                <c:pt idx="873">
                  <c:v>78.186015831134569</c:v>
                </c:pt>
                <c:pt idx="874">
                  <c:v>78.806068601583107</c:v>
                </c:pt>
                <c:pt idx="875">
                  <c:v>79.122691292875984</c:v>
                </c:pt>
                <c:pt idx="876">
                  <c:v>80.646437994722959</c:v>
                </c:pt>
                <c:pt idx="877">
                  <c:v>80.949868073878633</c:v>
                </c:pt>
                <c:pt idx="878">
                  <c:v>80.798153034300796</c:v>
                </c:pt>
                <c:pt idx="879">
                  <c:v>80.217678100263853</c:v>
                </c:pt>
                <c:pt idx="880">
                  <c:v>80.540897097625333</c:v>
                </c:pt>
                <c:pt idx="881">
                  <c:v>80.237467018469673</c:v>
                </c:pt>
                <c:pt idx="882">
                  <c:v>79.287598944591025</c:v>
                </c:pt>
                <c:pt idx="883">
                  <c:v>79.175461741424797</c:v>
                </c:pt>
                <c:pt idx="884">
                  <c:v>77.941952506596294</c:v>
                </c:pt>
                <c:pt idx="885">
                  <c:v>77.981530343007918</c:v>
                </c:pt>
                <c:pt idx="886">
                  <c:v>79.129287598944586</c:v>
                </c:pt>
                <c:pt idx="887">
                  <c:v>79.346965699208454</c:v>
                </c:pt>
                <c:pt idx="888">
                  <c:v>79.281002638522423</c:v>
                </c:pt>
                <c:pt idx="889">
                  <c:v>78.133245382585756</c:v>
                </c:pt>
                <c:pt idx="890">
                  <c:v>79.287598944591025</c:v>
                </c:pt>
                <c:pt idx="891">
                  <c:v>78.364116094986812</c:v>
                </c:pt>
                <c:pt idx="892">
                  <c:v>78.601583113456456</c:v>
                </c:pt>
                <c:pt idx="893">
                  <c:v>78.159630606860148</c:v>
                </c:pt>
                <c:pt idx="894">
                  <c:v>79.821899736147756</c:v>
                </c:pt>
                <c:pt idx="895">
                  <c:v>80.844327176781007</c:v>
                </c:pt>
                <c:pt idx="896">
                  <c:v>81.062005277044861</c:v>
                </c:pt>
                <c:pt idx="897">
                  <c:v>80.97625329815304</c:v>
                </c:pt>
                <c:pt idx="898">
                  <c:v>81.022427440633251</c:v>
                </c:pt>
                <c:pt idx="899">
                  <c:v>81.319261213720324</c:v>
                </c:pt>
                <c:pt idx="900">
                  <c:v>81.635883905013202</c:v>
                </c:pt>
                <c:pt idx="901">
                  <c:v>82.110817941952504</c:v>
                </c:pt>
                <c:pt idx="902">
                  <c:v>82.163588390501317</c:v>
                </c:pt>
                <c:pt idx="903">
                  <c:v>82.236147757255935</c:v>
                </c:pt>
                <c:pt idx="904">
                  <c:v>81.860158311345643</c:v>
                </c:pt>
                <c:pt idx="905">
                  <c:v>82.335092348284959</c:v>
                </c:pt>
                <c:pt idx="906">
                  <c:v>81.992084432717689</c:v>
                </c:pt>
                <c:pt idx="907">
                  <c:v>82.189973614775724</c:v>
                </c:pt>
                <c:pt idx="908">
                  <c:v>82.711081794195252</c:v>
                </c:pt>
                <c:pt idx="909">
                  <c:v>82.968337730870715</c:v>
                </c:pt>
                <c:pt idx="910">
                  <c:v>82.849604221635886</c:v>
                </c:pt>
                <c:pt idx="911">
                  <c:v>82.882585751978894</c:v>
                </c:pt>
                <c:pt idx="912">
                  <c:v>83.001319261213723</c:v>
                </c:pt>
                <c:pt idx="913">
                  <c:v>83.060686015831138</c:v>
                </c:pt>
                <c:pt idx="914">
                  <c:v>82.928759894459105</c:v>
                </c:pt>
                <c:pt idx="915">
                  <c:v>82.94854881266491</c:v>
                </c:pt>
                <c:pt idx="916">
                  <c:v>83.806068601583121</c:v>
                </c:pt>
                <c:pt idx="917">
                  <c:v>83.75989445910291</c:v>
                </c:pt>
                <c:pt idx="918">
                  <c:v>84.195250659630602</c:v>
                </c:pt>
                <c:pt idx="919">
                  <c:v>84.030343007915576</c:v>
                </c:pt>
                <c:pt idx="920">
                  <c:v>83.865435356200535</c:v>
                </c:pt>
                <c:pt idx="921">
                  <c:v>83.75989445910291</c:v>
                </c:pt>
                <c:pt idx="922">
                  <c:v>84.056728232189982</c:v>
                </c:pt>
                <c:pt idx="923">
                  <c:v>84.815303430079169</c:v>
                </c:pt>
                <c:pt idx="924">
                  <c:v>84.676781002638521</c:v>
                </c:pt>
                <c:pt idx="925">
                  <c:v>85.290237467018486</c:v>
                </c:pt>
                <c:pt idx="926">
                  <c:v>85.435356200527707</c:v>
                </c:pt>
                <c:pt idx="927">
                  <c:v>84.597625329815301</c:v>
                </c:pt>
                <c:pt idx="928">
                  <c:v>84.485488126649088</c:v>
                </c:pt>
                <c:pt idx="929">
                  <c:v>84.676781002638521</c:v>
                </c:pt>
                <c:pt idx="930">
                  <c:v>85.158311345646439</c:v>
                </c:pt>
                <c:pt idx="931">
                  <c:v>85.20448548812665</c:v>
                </c:pt>
                <c:pt idx="932">
                  <c:v>85.534300791556731</c:v>
                </c:pt>
                <c:pt idx="933">
                  <c:v>85.745382585751983</c:v>
                </c:pt>
                <c:pt idx="934">
                  <c:v>84.248021108179429</c:v>
                </c:pt>
                <c:pt idx="935">
                  <c:v>84.881266490765185</c:v>
                </c:pt>
                <c:pt idx="936">
                  <c:v>86.240105540897105</c:v>
                </c:pt>
                <c:pt idx="937">
                  <c:v>86.075197889182064</c:v>
                </c:pt>
                <c:pt idx="938">
                  <c:v>86.266490765171511</c:v>
                </c:pt>
                <c:pt idx="939">
                  <c:v>86.510554089709771</c:v>
                </c:pt>
                <c:pt idx="940">
                  <c:v>87.05145118733509</c:v>
                </c:pt>
                <c:pt idx="941">
                  <c:v>87.447229551451187</c:v>
                </c:pt>
                <c:pt idx="942">
                  <c:v>87.249340369393153</c:v>
                </c:pt>
                <c:pt idx="943">
                  <c:v>87.282321899736147</c:v>
                </c:pt>
                <c:pt idx="944">
                  <c:v>87.803430079155689</c:v>
                </c:pt>
                <c:pt idx="945">
                  <c:v>88.014511873350926</c:v>
                </c:pt>
                <c:pt idx="946">
                  <c:v>87.737467018469644</c:v>
                </c:pt>
                <c:pt idx="947">
                  <c:v>88.291556728232194</c:v>
                </c:pt>
                <c:pt idx="948">
                  <c:v>88.555408970976259</c:v>
                </c:pt>
                <c:pt idx="949">
                  <c:v>88.74010554089709</c:v>
                </c:pt>
                <c:pt idx="950">
                  <c:v>86.959102902374681</c:v>
                </c:pt>
                <c:pt idx="951">
                  <c:v>86.42480211081795</c:v>
                </c:pt>
                <c:pt idx="952">
                  <c:v>86.365435356200535</c:v>
                </c:pt>
                <c:pt idx="953">
                  <c:v>87.288918205804762</c:v>
                </c:pt>
                <c:pt idx="954">
                  <c:v>87.829815303430081</c:v>
                </c:pt>
                <c:pt idx="955">
                  <c:v>86.365435356200535</c:v>
                </c:pt>
                <c:pt idx="956">
                  <c:v>86.550131926121381</c:v>
                </c:pt>
                <c:pt idx="957">
                  <c:v>88.040897097625333</c:v>
                </c:pt>
                <c:pt idx="958">
                  <c:v>87.381266490765171</c:v>
                </c:pt>
                <c:pt idx="959">
                  <c:v>86.695250659630616</c:v>
                </c:pt>
                <c:pt idx="960">
                  <c:v>87.453825857519803</c:v>
                </c:pt>
                <c:pt idx="961">
                  <c:v>87.328496042216358</c:v>
                </c:pt>
                <c:pt idx="962">
                  <c:v>85.712401055408975</c:v>
                </c:pt>
                <c:pt idx="963">
                  <c:v>86.306068601583121</c:v>
                </c:pt>
                <c:pt idx="964">
                  <c:v>85.784960422163607</c:v>
                </c:pt>
                <c:pt idx="965">
                  <c:v>84.802110817941951</c:v>
                </c:pt>
                <c:pt idx="966">
                  <c:v>83.23218997361478</c:v>
                </c:pt>
                <c:pt idx="967">
                  <c:v>84.333773087071236</c:v>
                </c:pt>
                <c:pt idx="968">
                  <c:v>84.274406332453836</c:v>
                </c:pt>
                <c:pt idx="969">
                  <c:v>85.580474934036943</c:v>
                </c:pt>
                <c:pt idx="970">
                  <c:v>85.28364116094987</c:v>
                </c:pt>
                <c:pt idx="971">
                  <c:v>85.52770448548813</c:v>
                </c:pt>
                <c:pt idx="972">
                  <c:v>86.345646437994731</c:v>
                </c:pt>
                <c:pt idx="973">
                  <c:v>86.609498680738795</c:v>
                </c:pt>
                <c:pt idx="974">
                  <c:v>86.398416886543529</c:v>
                </c:pt>
                <c:pt idx="975">
                  <c:v>86.978891820580486</c:v>
                </c:pt>
                <c:pt idx="976">
                  <c:v>87.579155672823234</c:v>
                </c:pt>
                <c:pt idx="977">
                  <c:v>87.46042216358839</c:v>
                </c:pt>
                <c:pt idx="978">
                  <c:v>87.829815303430081</c:v>
                </c:pt>
                <c:pt idx="979">
                  <c:v>87.902374670184685</c:v>
                </c:pt>
                <c:pt idx="980">
                  <c:v>87.889182058047496</c:v>
                </c:pt>
                <c:pt idx="981">
                  <c:v>88.166226912928764</c:v>
                </c:pt>
                <c:pt idx="982">
                  <c:v>87.941952506596309</c:v>
                </c:pt>
                <c:pt idx="983">
                  <c:v>87.638522427440648</c:v>
                </c:pt>
                <c:pt idx="984">
                  <c:v>87.374670184696583</c:v>
                </c:pt>
                <c:pt idx="985">
                  <c:v>86.721635883905009</c:v>
                </c:pt>
                <c:pt idx="986">
                  <c:v>86.715039577836421</c:v>
                </c:pt>
                <c:pt idx="987">
                  <c:v>86.781002638522438</c:v>
                </c:pt>
                <c:pt idx="988">
                  <c:v>87.097625329815301</c:v>
                </c:pt>
                <c:pt idx="989">
                  <c:v>86.121372031662276</c:v>
                </c:pt>
                <c:pt idx="990">
                  <c:v>86.616094986807397</c:v>
                </c:pt>
                <c:pt idx="991">
                  <c:v>87.796833773087073</c:v>
                </c:pt>
                <c:pt idx="992">
                  <c:v>88.245382585751983</c:v>
                </c:pt>
                <c:pt idx="993">
                  <c:v>88.15303430079156</c:v>
                </c:pt>
                <c:pt idx="994">
                  <c:v>88.911609498680733</c:v>
                </c:pt>
                <c:pt idx="995">
                  <c:v>89.492084432717675</c:v>
                </c:pt>
                <c:pt idx="996">
                  <c:v>89.782321899736161</c:v>
                </c:pt>
                <c:pt idx="997">
                  <c:v>89.993403693931413</c:v>
                </c:pt>
                <c:pt idx="998">
                  <c:v>89.854881266490764</c:v>
                </c:pt>
                <c:pt idx="999">
                  <c:v>89.531662269129285</c:v>
                </c:pt>
                <c:pt idx="1000">
                  <c:v>88.937994722955153</c:v>
                </c:pt>
                <c:pt idx="1001">
                  <c:v>88.13324538258577</c:v>
                </c:pt>
                <c:pt idx="1002">
                  <c:v>88.522427440633251</c:v>
                </c:pt>
                <c:pt idx="1003">
                  <c:v>88.865435356200521</c:v>
                </c:pt>
                <c:pt idx="1004">
                  <c:v>89.624010554089722</c:v>
                </c:pt>
                <c:pt idx="1005">
                  <c:v>88.68073878627969</c:v>
                </c:pt>
                <c:pt idx="1006">
                  <c:v>89.102902374670208</c:v>
                </c:pt>
                <c:pt idx="1007">
                  <c:v>88.416886543535625</c:v>
                </c:pt>
                <c:pt idx="1008">
                  <c:v>87.856200527704488</c:v>
                </c:pt>
                <c:pt idx="1009">
                  <c:v>87.84300791556727</c:v>
                </c:pt>
                <c:pt idx="1010">
                  <c:v>88.627968337730877</c:v>
                </c:pt>
                <c:pt idx="1011">
                  <c:v>88.839050131926129</c:v>
                </c:pt>
                <c:pt idx="1012">
                  <c:v>88.13324538258577</c:v>
                </c:pt>
                <c:pt idx="1013">
                  <c:v>87.110817941952519</c:v>
                </c:pt>
                <c:pt idx="1014">
                  <c:v>87.038258575197887</c:v>
                </c:pt>
                <c:pt idx="1015">
                  <c:v>87.328496042216358</c:v>
                </c:pt>
                <c:pt idx="1016">
                  <c:v>87.730870712401057</c:v>
                </c:pt>
                <c:pt idx="1017">
                  <c:v>88.067282321899725</c:v>
                </c:pt>
                <c:pt idx="1018">
                  <c:v>88.984168865435365</c:v>
                </c:pt>
                <c:pt idx="1019">
                  <c:v>86.985488126649074</c:v>
                </c:pt>
                <c:pt idx="1020">
                  <c:v>86.893139841688651</c:v>
                </c:pt>
                <c:pt idx="1021">
                  <c:v>86.029023746701839</c:v>
                </c:pt>
                <c:pt idx="1022">
                  <c:v>85.118733509234829</c:v>
                </c:pt>
                <c:pt idx="1023">
                  <c:v>85.065963060686016</c:v>
                </c:pt>
                <c:pt idx="1024">
                  <c:v>84.709762532981529</c:v>
                </c:pt>
                <c:pt idx="1025">
                  <c:v>85.356200527704502</c:v>
                </c:pt>
                <c:pt idx="1026">
                  <c:v>84.168865435356196</c:v>
                </c:pt>
                <c:pt idx="1027">
                  <c:v>84.234828496042226</c:v>
                </c:pt>
                <c:pt idx="1028">
                  <c:v>85.303430079155675</c:v>
                </c:pt>
                <c:pt idx="1029">
                  <c:v>83.786279683377302</c:v>
                </c:pt>
                <c:pt idx="1030">
                  <c:v>83.970976253298161</c:v>
                </c:pt>
                <c:pt idx="1031">
                  <c:v>83.806068601583121</c:v>
                </c:pt>
                <c:pt idx="1032">
                  <c:v>84.234828496042226</c:v>
                </c:pt>
                <c:pt idx="1033">
                  <c:v>85.389182058047481</c:v>
                </c:pt>
                <c:pt idx="1034">
                  <c:v>84.874670184696569</c:v>
                </c:pt>
                <c:pt idx="1035">
                  <c:v>84.630606860158323</c:v>
                </c:pt>
                <c:pt idx="1036">
                  <c:v>83.647757255936682</c:v>
                </c:pt>
                <c:pt idx="1037">
                  <c:v>84.393139841688651</c:v>
                </c:pt>
                <c:pt idx="1038">
                  <c:v>85.494722955145136</c:v>
                </c:pt>
                <c:pt idx="1039">
                  <c:v>86.226912928759901</c:v>
                </c:pt>
                <c:pt idx="1040">
                  <c:v>87.05145118733509</c:v>
                </c:pt>
                <c:pt idx="1041">
                  <c:v>88.337730870712392</c:v>
                </c:pt>
                <c:pt idx="1042">
                  <c:v>88.265171503957788</c:v>
                </c:pt>
                <c:pt idx="1043">
                  <c:v>88.370712401055414</c:v>
                </c:pt>
                <c:pt idx="1044">
                  <c:v>89.287598944591039</c:v>
                </c:pt>
                <c:pt idx="1045">
                  <c:v>88.654353562005284</c:v>
                </c:pt>
                <c:pt idx="1046">
                  <c:v>87.05145118733509</c:v>
                </c:pt>
                <c:pt idx="1047">
                  <c:v>86.675461741424812</c:v>
                </c:pt>
                <c:pt idx="1048">
                  <c:v>86.965699208443283</c:v>
                </c:pt>
                <c:pt idx="1049">
                  <c:v>86.365435356200535</c:v>
                </c:pt>
                <c:pt idx="1050">
                  <c:v>86.866754617414259</c:v>
                </c:pt>
                <c:pt idx="1051">
                  <c:v>86.154353562005298</c:v>
                </c:pt>
                <c:pt idx="1052">
                  <c:v>87.552770448548813</c:v>
                </c:pt>
                <c:pt idx="1053">
                  <c:v>87.500000000000014</c:v>
                </c:pt>
                <c:pt idx="1054">
                  <c:v>88.713720316622698</c:v>
                </c:pt>
                <c:pt idx="1055">
                  <c:v>88.773087071240127</c:v>
                </c:pt>
                <c:pt idx="1056">
                  <c:v>88.278364116094991</c:v>
                </c:pt>
                <c:pt idx="1057">
                  <c:v>87.94854881266491</c:v>
                </c:pt>
                <c:pt idx="1058">
                  <c:v>86.147757255936668</c:v>
                </c:pt>
                <c:pt idx="1059">
                  <c:v>85.89709762532982</c:v>
                </c:pt>
                <c:pt idx="1060">
                  <c:v>85.31002638522429</c:v>
                </c:pt>
                <c:pt idx="1061">
                  <c:v>84.947229551451187</c:v>
                </c:pt>
                <c:pt idx="1062">
                  <c:v>82.777044854881268</c:v>
                </c:pt>
                <c:pt idx="1063">
                  <c:v>83.225593667546178</c:v>
                </c:pt>
                <c:pt idx="1064">
                  <c:v>79.327176781002635</c:v>
                </c:pt>
                <c:pt idx="1065">
                  <c:v>79.20844327176782</c:v>
                </c:pt>
                <c:pt idx="1066">
                  <c:v>74.050131926121381</c:v>
                </c:pt>
                <c:pt idx="1067">
                  <c:v>77.493403693931413</c:v>
                </c:pt>
                <c:pt idx="1068">
                  <c:v>74.069920844327186</c:v>
                </c:pt>
                <c:pt idx="1069">
                  <c:v>77.394459102902374</c:v>
                </c:pt>
                <c:pt idx="1070">
                  <c:v>77.915567282321902</c:v>
                </c:pt>
                <c:pt idx="1071">
                  <c:v>79.564643799472307</c:v>
                </c:pt>
                <c:pt idx="1072">
                  <c:v>78.88522427440634</c:v>
                </c:pt>
                <c:pt idx="1073">
                  <c:v>78.937994722955153</c:v>
                </c:pt>
                <c:pt idx="1074">
                  <c:v>75.534300791556731</c:v>
                </c:pt>
                <c:pt idx="1075">
                  <c:v>74.300791556728242</c:v>
                </c:pt>
                <c:pt idx="1076">
                  <c:v>74.360158311345643</c:v>
                </c:pt>
                <c:pt idx="1077">
                  <c:v>76.807387862796844</c:v>
                </c:pt>
                <c:pt idx="1078">
                  <c:v>77.889182058047496</c:v>
                </c:pt>
                <c:pt idx="1079">
                  <c:v>76.701846965699218</c:v>
                </c:pt>
                <c:pt idx="1080">
                  <c:v>77.816622691292878</c:v>
                </c:pt>
                <c:pt idx="1081">
                  <c:v>80.052770448548813</c:v>
                </c:pt>
                <c:pt idx="1082">
                  <c:v>80.263852242744065</c:v>
                </c:pt>
                <c:pt idx="1083">
                  <c:v>80.620052770448552</c:v>
                </c:pt>
                <c:pt idx="1084">
                  <c:v>79.775725593667545</c:v>
                </c:pt>
                <c:pt idx="1085">
                  <c:v>77.737467018469658</c:v>
                </c:pt>
                <c:pt idx="1086">
                  <c:v>77.170184696569919</c:v>
                </c:pt>
                <c:pt idx="1087">
                  <c:v>79.346965699208454</c:v>
                </c:pt>
                <c:pt idx="1088">
                  <c:v>78.522427440633251</c:v>
                </c:pt>
                <c:pt idx="1089">
                  <c:v>76.46437994722956</c:v>
                </c:pt>
                <c:pt idx="1090">
                  <c:v>76.959102902374681</c:v>
                </c:pt>
                <c:pt idx="1091">
                  <c:v>77.664907651715041</c:v>
                </c:pt>
                <c:pt idx="1092">
                  <c:v>78.740105540897105</c:v>
                </c:pt>
                <c:pt idx="1093">
                  <c:v>80.098944591029024</c:v>
                </c:pt>
                <c:pt idx="1094">
                  <c:v>80.158311345646439</c:v>
                </c:pt>
                <c:pt idx="1095">
                  <c:v>79.360158311345657</c:v>
                </c:pt>
                <c:pt idx="1096">
                  <c:v>79.267810026385234</c:v>
                </c:pt>
                <c:pt idx="1097">
                  <c:v>76.932717678100261</c:v>
                </c:pt>
                <c:pt idx="1098">
                  <c:v>74.445910290237478</c:v>
                </c:pt>
                <c:pt idx="1099">
                  <c:v>74.894459102902374</c:v>
                </c:pt>
                <c:pt idx="1100">
                  <c:v>76.675461741424797</c:v>
                </c:pt>
                <c:pt idx="1101">
                  <c:v>77.532981530343008</c:v>
                </c:pt>
                <c:pt idx="1102">
                  <c:v>75.949868073878633</c:v>
                </c:pt>
                <c:pt idx="1103">
                  <c:v>76.550131926121367</c:v>
                </c:pt>
                <c:pt idx="1104">
                  <c:v>74.637203166226911</c:v>
                </c:pt>
                <c:pt idx="1105">
                  <c:v>72.513192612137217</c:v>
                </c:pt>
                <c:pt idx="1106">
                  <c:v>74.102902374670194</c:v>
                </c:pt>
                <c:pt idx="1107">
                  <c:v>75.474934036939317</c:v>
                </c:pt>
                <c:pt idx="1108">
                  <c:v>76.840369393139838</c:v>
                </c:pt>
                <c:pt idx="1109">
                  <c:v>76.325857519788926</c:v>
                </c:pt>
                <c:pt idx="1110">
                  <c:v>78.878627968337739</c:v>
                </c:pt>
                <c:pt idx="1111">
                  <c:v>78.957783641160944</c:v>
                </c:pt>
                <c:pt idx="1112">
                  <c:v>79.650395778364114</c:v>
                </c:pt>
                <c:pt idx="1113">
                  <c:v>79.492084432717675</c:v>
                </c:pt>
                <c:pt idx="1114">
                  <c:v>80.850923482849595</c:v>
                </c:pt>
                <c:pt idx="1115">
                  <c:v>79.307387862796844</c:v>
                </c:pt>
                <c:pt idx="1116">
                  <c:v>80.857519788918211</c:v>
                </c:pt>
                <c:pt idx="1117">
                  <c:v>79.901055408970976</c:v>
                </c:pt>
                <c:pt idx="1118">
                  <c:v>80.250659630606862</c:v>
                </c:pt>
                <c:pt idx="1119">
                  <c:v>81.774406332453836</c:v>
                </c:pt>
                <c:pt idx="1120">
                  <c:v>82.777044854881268</c:v>
                </c:pt>
                <c:pt idx="1121">
                  <c:v>81.167546174142473</c:v>
                </c:pt>
                <c:pt idx="1122">
                  <c:v>81.992084432717689</c:v>
                </c:pt>
                <c:pt idx="1123">
                  <c:v>84.848284960422163</c:v>
                </c:pt>
                <c:pt idx="1124">
                  <c:v>84.828496042216358</c:v>
                </c:pt>
                <c:pt idx="1125">
                  <c:v>82.78364116094987</c:v>
                </c:pt>
                <c:pt idx="1126">
                  <c:v>80.474934036939317</c:v>
                </c:pt>
                <c:pt idx="1127">
                  <c:v>81.787598944591039</c:v>
                </c:pt>
                <c:pt idx="1128">
                  <c:v>83.278364116094991</c:v>
                </c:pt>
                <c:pt idx="1129">
                  <c:v>82.770448548812666</c:v>
                </c:pt>
                <c:pt idx="1130">
                  <c:v>83.284960422163593</c:v>
                </c:pt>
                <c:pt idx="1131">
                  <c:v>84.353562005277055</c:v>
                </c:pt>
                <c:pt idx="1132">
                  <c:v>81.240105540897105</c:v>
                </c:pt>
                <c:pt idx="1133">
                  <c:v>82.005277044854878</c:v>
                </c:pt>
                <c:pt idx="1134">
                  <c:v>83.548812664907658</c:v>
                </c:pt>
                <c:pt idx="1135">
                  <c:v>82.757255936675449</c:v>
                </c:pt>
                <c:pt idx="1136">
                  <c:v>83.166226912928764</c:v>
                </c:pt>
                <c:pt idx="1137">
                  <c:v>81.84696569920844</c:v>
                </c:pt>
                <c:pt idx="1138">
                  <c:v>80.547493403693935</c:v>
                </c:pt>
                <c:pt idx="1139">
                  <c:v>80.461741424802113</c:v>
                </c:pt>
                <c:pt idx="1140">
                  <c:v>78.931398416886537</c:v>
                </c:pt>
                <c:pt idx="1141">
                  <c:v>78.621372031662276</c:v>
                </c:pt>
                <c:pt idx="1142">
                  <c:v>76.886543535620049</c:v>
                </c:pt>
                <c:pt idx="1143">
                  <c:v>76.741424802110828</c:v>
                </c:pt>
                <c:pt idx="1144">
                  <c:v>78.964379947229546</c:v>
                </c:pt>
                <c:pt idx="1145">
                  <c:v>79.188654353562001</c:v>
                </c:pt>
                <c:pt idx="1146">
                  <c:v>82.447229551451187</c:v>
                </c:pt>
                <c:pt idx="1147">
                  <c:v>82.434036939313984</c:v>
                </c:pt>
                <c:pt idx="1148">
                  <c:v>82.361477572559366</c:v>
                </c:pt>
                <c:pt idx="1149">
                  <c:v>83.258575197889186</c:v>
                </c:pt>
                <c:pt idx="1150">
                  <c:v>83.284960422163593</c:v>
                </c:pt>
                <c:pt idx="1151">
                  <c:v>83.594986807387869</c:v>
                </c:pt>
                <c:pt idx="1152">
                  <c:v>81.761213720316633</c:v>
                </c:pt>
                <c:pt idx="1153">
                  <c:v>83.146437994722959</c:v>
                </c:pt>
                <c:pt idx="1154">
                  <c:v>81.932717678100261</c:v>
                </c:pt>
                <c:pt idx="1155">
                  <c:v>81.167546174142473</c:v>
                </c:pt>
                <c:pt idx="1156">
                  <c:v>80.303430079155675</c:v>
                </c:pt>
                <c:pt idx="1157">
                  <c:v>80.593667546174146</c:v>
                </c:pt>
                <c:pt idx="1158">
                  <c:v>80.20448548812665</c:v>
                </c:pt>
                <c:pt idx="1159">
                  <c:v>79.346965699208454</c:v>
                </c:pt>
                <c:pt idx="1160">
                  <c:v>81.748021108179429</c:v>
                </c:pt>
                <c:pt idx="1161">
                  <c:v>81.906332453825854</c:v>
                </c:pt>
                <c:pt idx="1162">
                  <c:v>82.631926121372032</c:v>
                </c:pt>
                <c:pt idx="1163">
                  <c:v>83.370712401055414</c:v>
                </c:pt>
                <c:pt idx="1164">
                  <c:v>83.43667546174143</c:v>
                </c:pt>
                <c:pt idx="1165">
                  <c:v>82.341688654353561</c:v>
                </c:pt>
                <c:pt idx="1166">
                  <c:v>83.19261213720317</c:v>
                </c:pt>
                <c:pt idx="1167">
                  <c:v>82.78364116094987</c:v>
                </c:pt>
                <c:pt idx="1168">
                  <c:v>84.10290237467018</c:v>
                </c:pt>
                <c:pt idx="1169">
                  <c:v>84.234828496042226</c:v>
                </c:pt>
                <c:pt idx="1170">
                  <c:v>84.459102902374667</c:v>
                </c:pt>
                <c:pt idx="1171">
                  <c:v>84.241424802110814</c:v>
                </c:pt>
                <c:pt idx="1172">
                  <c:v>84.445910290237478</c:v>
                </c:pt>
                <c:pt idx="1173">
                  <c:v>85.178100263852244</c:v>
                </c:pt>
                <c:pt idx="1174">
                  <c:v>85.224274406332441</c:v>
                </c:pt>
                <c:pt idx="1175">
                  <c:v>85.428759894459105</c:v>
                </c:pt>
                <c:pt idx="1176">
                  <c:v>84.986807387862811</c:v>
                </c:pt>
                <c:pt idx="1177">
                  <c:v>85.316622691292878</c:v>
                </c:pt>
                <c:pt idx="1178">
                  <c:v>86.25989445910291</c:v>
                </c:pt>
                <c:pt idx="1179">
                  <c:v>86.715039577836421</c:v>
                </c:pt>
                <c:pt idx="1180">
                  <c:v>87.038258575197887</c:v>
                </c:pt>
                <c:pt idx="1181">
                  <c:v>86.813984168865446</c:v>
                </c:pt>
                <c:pt idx="1182">
                  <c:v>86.715039577836421</c:v>
                </c:pt>
                <c:pt idx="1183">
                  <c:v>87.4406332453826</c:v>
                </c:pt>
                <c:pt idx="1184">
                  <c:v>86.992084432717675</c:v>
                </c:pt>
                <c:pt idx="1185">
                  <c:v>86.952506596306065</c:v>
                </c:pt>
                <c:pt idx="1186">
                  <c:v>86.655672823218993</c:v>
                </c:pt>
                <c:pt idx="1187">
                  <c:v>86.622691292875984</c:v>
                </c:pt>
                <c:pt idx="1188">
                  <c:v>87.381266490765171</c:v>
                </c:pt>
                <c:pt idx="1189">
                  <c:v>87.519788918205805</c:v>
                </c:pt>
                <c:pt idx="1190">
                  <c:v>88.746701846965692</c:v>
                </c:pt>
                <c:pt idx="1191">
                  <c:v>88.687335092348292</c:v>
                </c:pt>
                <c:pt idx="1192">
                  <c:v>88.911609498680733</c:v>
                </c:pt>
                <c:pt idx="1193">
                  <c:v>89.175461741424797</c:v>
                </c:pt>
                <c:pt idx="1194">
                  <c:v>89.287598944591039</c:v>
                </c:pt>
                <c:pt idx="1195">
                  <c:v>88.627968337730877</c:v>
                </c:pt>
                <c:pt idx="1196">
                  <c:v>89.287598944591039</c:v>
                </c:pt>
                <c:pt idx="1197">
                  <c:v>89.175461741424797</c:v>
                </c:pt>
                <c:pt idx="1198">
                  <c:v>88.75989445910291</c:v>
                </c:pt>
                <c:pt idx="1199">
                  <c:v>89.742744063324551</c:v>
                </c:pt>
                <c:pt idx="1200">
                  <c:v>89.980211081794195</c:v>
                </c:pt>
                <c:pt idx="1201">
                  <c:v>90.019788918205819</c:v>
                </c:pt>
                <c:pt idx="1202">
                  <c:v>89.729551451187334</c:v>
                </c:pt>
                <c:pt idx="1203">
                  <c:v>90.125329815303431</c:v>
                </c:pt>
                <c:pt idx="1204">
                  <c:v>90.323218997361494</c:v>
                </c:pt>
                <c:pt idx="1205">
                  <c:v>90.474934036939317</c:v>
                </c:pt>
                <c:pt idx="1206">
                  <c:v>90.738786279683382</c:v>
                </c:pt>
                <c:pt idx="1207">
                  <c:v>90.382585751978908</c:v>
                </c:pt>
                <c:pt idx="1208">
                  <c:v>90.850923482849595</c:v>
                </c:pt>
                <c:pt idx="1209">
                  <c:v>90.573878627968341</c:v>
                </c:pt>
                <c:pt idx="1210">
                  <c:v>90.20448548812665</c:v>
                </c:pt>
                <c:pt idx="1211">
                  <c:v>88.88522427440634</c:v>
                </c:pt>
                <c:pt idx="1212">
                  <c:v>89.505277044854878</c:v>
                </c:pt>
                <c:pt idx="1213">
                  <c:v>90.395778364116097</c:v>
                </c:pt>
                <c:pt idx="1214">
                  <c:v>90.745382585751983</c:v>
                </c:pt>
                <c:pt idx="1215">
                  <c:v>90.751978891820599</c:v>
                </c:pt>
                <c:pt idx="1216">
                  <c:v>92.387862796833772</c:v>
                </c:pt>
                <c:pt idx="1217">
                  <c:v>92.288918205804748</c:v>
                </c:pt>
                <c:pt idx="1218">
                  <c:v>92.823218997361479</c:v>
                </c:pt>
                <c:pt idx="1219">
                  <c:v>92.546174142480226</c:v>
                </c:pt>
                <c:pt idx="1220">
                  <c:v>92.9089709762533</c:v>
                </c:pt>
                <c:pt idx="1221">
                  <c:v>92.638522427440634</c:v>
                </c:pt>
                <c:pt idx="1222">
                  <c:v>92.486807387862797</c:v>
                </c:pt>
                <c:pt idx="1223">
                  <c:v>91.820580474934033</c:v>
                </c:pt>
                <c:pt idx="1224">
                  <c:v>92.117414248021106</c:v>
                </c:pt>
                <c:pt idx="1225">
                  <c:v>93.410290237467024</c:v>
                </c:pt>
                <c:pt idx="1226">
                  <c:v>93.120052770448552</c:v>
                </c:pt>
                <c:pt idx="1227">
                  <c:v>92.658311345646439</c:v>
                </c:pt>
                <c:pt idx="1228">
                  <c:v>92.5</c:v>
                </c:pt>
                <c:pt idx="1229">
                  <c:v>92.882585751978894</c:v>
                </c:pt>
                <c:pt idx="1230">
                  <c:v>93.562005277044861</c:v>
                </c:pt>
                <c:pt idx="1231">
                  <c:v>93.179419525065967</c:v>
                </c:pt>
                <c:pt idx="1232">
                  <c:v>92.255936675461754</c:v>
                </c:pt>
                <c:pt idx="1233">
                  <c:v>92.209762532981529</c:v>
                </c:pt>
                <c:pt idx="1234">
                  <c:v>91.174142480211088</c:v>
                </c:pt>
                <c:pt idx="1235">
                  <c:v>89.643799472295527</c:v>
                </c:pt>
                <c:pt idx="1236">
                  <c:v>90.369393139841691</c:v>
                </c:pt>
                <c:pt idx="1237">
                  <c:v>91.550131926121367</c:v>
                </c:pt>
                <c:pt idx="1238">
                  <c:v>90.461741424802099</c:v>
                </c:pt>
                <c:pt idx="1239">
                  <c:v>90.402374670184699</c:v>
                </c:pt>
                <c:pt idx="1240">
                  <c:v>91.741424802110828</c:v>
                </c:pt>
                <c:pt idx="1241">
                  <c:v>91.431398416886552</c:v>
                </c:pt>
                <c:pt idx="1242">
                  <c:v>90.844327176781007</c:v>
                </c:pt>
                <c:pt idx="1243">
                  <c:v>90.996042216358831</c:v>
                </c:pt>
                <c:pt idx="1244">
                  <c:v>90.230870712401057</c:v>
                </c:pt>
                <c:pt idx="1245">
                  <c:v>90.573878627968341</c:v>
                </c:pt>
                <c:pt idx="1246">
                  <c:v>91.813984168865431</c:v>
                </c:pt>
                <c:pt idx="1247">
                  <c:v>92.453825857519789</c:v>
                </c:pt>
                <c:pt idx="1248">
                  <c:v>92.605540897097612</c:v>
                </c:pt>
                <c:pt idx="1249">
                  <c:v>92.262532981530356</c:v>
                </c:pt>
                <c:pt idx="1250">
                  <c:v>92.836411609498697</c:v>
                </c:pt>
                <c:pt idx="1251">
                  <c:v>92.559366754617415</c:v>
                </c:pt>
                <c:pt idx="1252">
                  <c:v>91.853562005277041</c:v>
                </c:pt>
                <c:pt idx="1253">
                  <c:v>90.369393139841691</c:v>
                </c:pt>
                <c:pt idx="1254">
                  <c:v>90.435356200527707</c:v>
                </c:pt>
                <c:pt idx="1255">
                  <c:v>90.072559366754618</c:v>
                </c:pt>
                <c:pt idx="1256">
                  <c:v>89.538258575197887</c:v>
                </c:pt>
                <c:pt idx="1257">
                  <c:v>89.722955145118746</c:v>
                </c:pt>
                <c:pt idx="1258">
                  <c:v>89.45250659630608</c:v>
                </c:pt>
                <c:pt idx="1259">
                  <c:v>88.463060686015851</c:v>
                </c:pt>
                <c:pt idx="1260">
                  <c:v>87.955145118733512</c:v>
                </c:pt>
              </c:numCache>
            </c:numRef>
          </c:val>
          <c:smooth val="0"/>
          <c:extLst>
            <c:ext xmlns:c16="http://schemas.microsoft.com/office/drawing/2014/chart" uri="{C3380CC4-5D6E-409C-BE32-E72D297353CC}">
              <c16:uniqueId val="{00000006-E74C-4F4E-B25C-9882524DC5B1}"/>
            </c:ext>
          </c:extLst>
        </c:ser>
        <c:dLbls>
          <c:showLegendKey val="0"/>
          <c:showVal val="0"/>
          <c:showCatName val="0"/>
          <c:showSerName val="0"/>
          <c:showPercent val="0"/>
          <c:showBubbleSize val="0"/>
        </c:dLbls>
        <c:smooth val="0"/>
        <c:axId val="1301352559"/>
        <c:axId val="1"/>
      </c:lineChart>
      <c:dateAx>
        <c:axId val="1301352559"/>
        <c:scaling>
          <c:orientation val="minMax"/>
        </c:scaling>
        <c:delete val="0"/>
        <c:axPos val="b"/>
        <c:numFmt formatCode="[$-409]d\-mmm\-yy;@" sourceLinked="0"/>
        <c:majorTickMark val="out"/>
        <c:minorTickMark val="none"/>
        <c:tickLblPos val="nextTo"/>
        <c:spPr>
          <a:ln w="3175">
            <a:solidFill>
              <a:srgbClr val="000000"/>
            </a:solidFill>
            <a:prstDash val="solid"/>
          </a:ln>
        </c:spPr>
        <c:txPr>
          <a:bodyPr rot="-5400000" vert="horz"/>
          <a:lstStyle/>
          <a:p>
            <a:pPr>
              <a:defRPr sz="1200" b="1" i="0" u="none" strike="noStrike" baseline="0">
                <a:solidFill>
                  <a:srgbClr val="000000"/>
                </a:solidFill>
                <a:latin typeface="Arial"/>
                <a:ea typeface="Arial"/>
                <a:cs typeface="Arial"/>
              </a:defRPr>
            </a:pPr>
            <a:endParaRPr lang="en-US"/>
          </a:p>
        </c:txPr>
        <c:crossAx val="1"/>
        <c:crosses val="autoZero"/>
        <c:auto val="1"/>
        <c:lblOffset val="100"/>
        <c:baseTimeUnit val="days"/>
        <c:majorUnit val="3"/>
        <c:majorTimeUnit val="months"/>
        <c:minorUnit val="1"/>
        <c:minorTimeUnit val="months"/>
      </c:dateAx>
      <c:valAx>
        <c:axId val="1"/>
        <c:scaling>
          <c:orientation val="minMax"/>
          <c:max val="150"/>
          <c:min val="25"/>
        </c:scaling>
        <c:delete val="0"/>
        <c:axPos val="l"/>
        <c:title>
          <c:tx>
            <c:rich>
              <a:bodyPr/>
              <a:lstStyle/>
              <a:p>
                <a:pPr>
                  <a:defRPr sz="1200" b="1" i="0" u="none" strike="noStrike" baseline="0">
                    <a:solidFill>
                      <a:srgbClr val="000000"/>
                    </a:solidFill>
                    <a:latin typeface="Arial"/>
                    <a:ea typeface="Arial"/>
                    <a:cs typeface="Arial"/>
                  </a:defRPr>
                </a:pPr>
                <a:r>
                  <a:rPr lang="en-US"/>
                  <a:t>Indexed to May 15, 2007 = 100</a:t>
                </a:r>
              </a:p>
            </c:rich>
          </c:tx>
          <c:layout>
            <c:manualLayout>
              <c:xMode val="edge"/>
              <c:yMode val="edge"/>
              <c:x val="2.2038512827025653E-2"/>
              <c:y val="0.33714318098901602"/>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301352559"/>
        <c:crosses val="autoZero"/>
        <c:crossBetween val="between"/>
        <c:majorUnit val="25"/>
        <c:minorUnit val="5"/>
      </c:valAx>
      <c:spPr>
        <a:noFill/>
        <a:ln w="12700">
          <a:solidFill>
            <a:srgbClr val="808080"/>
          </a:solidFill>
          <a:prstDash val="solid"/>
        </a:ln>
      </c:spPr>
    </c:plotArea>
    <c:legend>
      <c:legendPos val="r"/>
      <c:layout>
        <c:manualLayout>
          <c:xMode val="edge"/>
          <c:yMode val="edge"/>
          <c:x val="0.2742020150706968"/>
          <c:y val="9.1342478951264683E-2"/>
          <c:w val="0.37299524807382939"/>
          <c:h val="0.14750124857874547"/>
        </c:manualLayout>
      </c:layout>
      <c:overlay val="0"/>
      <c:spPr>
        <a:solidFill>
          <a:srgbClr val="FFFFFF"/>
        </a:solidFill>
        <a:ln w="3175">
          <a:solidFill>
            <a:srgbClr val="000000"/>
          </a:solidFill>
          <a:prstDash val="solid"/>
        </a:ln>
      </c:spPr>
      <c:txPr>
        <a:bodyPr/>
        <a:lstStyle/>
        <a:p>
          <a:pPr>
            <a:defRPr sz="110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1"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Number of IPOs by quarter</a:t>
            </a:r>
          </a:p>
        </c:rich>
      </c:tx>
      <c:layout>
        <c:manualLayout>
          <c:xMode val="edge"/>
          <c:yMode val="edge"/>
          <c:x val="0.3644072230508632"/>
          <c:y val="7.2431777829241942E-2"/>
        </c:manualLayout>
      </c:layout>
      <c:overlay val="0"/>
      <c:spPr>
        <a:noFill/>
        <a:ln w="25400">
          <a:noFill/>
        </a:ln>
      </c:spPr>
    </c:title>
    <c:autoTitleDeleted val="0"/>
    <c:plotArea>
      <c:layout>
        <c:manualLayout>
          <c:layoutTarget val="inner"/>
          <c:xMode val="edge"/>
          <c:yMode val="edge"/>
          <c:x val="6.7796703683218135E-2"/>
          <c:y val="0.15964540565822224"/>
          <c:w val="0.9124306370699774"/>
          <c:h val="0.70288324435633964"/>
        </c:manualLayout>
      </c:layout>
      <c:lineChart>
        <c:grouping val="standard"/>
        <c:varyColors val="0"/>
        <c:ser>
          <c:idx val="0"/>
          <c:order val="0"/>
          <c:tx>
            <c:strRef>
              <c:f>'Ex5'!$B$7</c:f>
              <c:strCache>
                <c:ptCount val="1"/>
                <c:pt idx="0">
                  <c:v>Number of deals</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dLbls>
            <c:dLbl>
              <c:idx val="23"/>
              <c:layout>
                <c:manualLayout>
                  <c:x val="-2.1700020901424474E-2"/>
                  <c:y val="-4.746819608256974E-2"/>
                </c:manualLayout>
              </c:layout>
              <c:spPr>
                <a:noFill/>
                <a:ln w="25400">
                  <a:noFill/>
                </a:ln>
              </c:spPr>
              <c:txPr>
                <a:bodyPr/>
                <a:lstStyle/>
                <a:p>
                  <a:pPr>
                    <a:defRPr sz="925" b="0" i="0" u="none" strike="noStrike" baseline="0">
                      <a:solidFill>
                        <a:srgbClr val="000000"/>
                      </a:solidFill>
                      <a:latin typeface="Arial"/>
                      <a:ea typeface="Arial"/>
                      <a:cs typeface="Arial"/>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094-4596-8C41-1AE412D124B9}"/>
                </c:ext>
              </c:extLst>
            </c:dLbl>
            <c:dLbl>
              <c:idx val="24"/>
              <c:layout>
                <c:manualLayout>
                  <c:x val="-2.1100904279706078E-2"/>
                  <c:y val="3.9424488661773442E-2"/>
                </c:manualLayout>
              </c:layout>
              <c:spPr>
                <a:noFill/>
                <a:ln w="25400">
                  <a:noFill/>
                </a:ln>
              </c:spPr>
              <c:txPr>
                <a:bodyPr/>
                <a:lstStyle/>
                <a:p>
                  <a:pPr>
                    <a:defRPr sz="925" b="0" i="0" u="none" strike="noStrike" baseline="0">
                      <a:solidFill>
                        <a:srgbClr val="000000"/>
                      </a:solidFill>
                      <a:latin typeface="Arial"/>
                      <a:ea typeface="Arial"/>
                      <a:cs typeface="Arial"/>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094-4596-8C41-1AE412D124B9}"/>
                </c:ext>
              </c:extLst>
            </c:dLbl>
            <c:dLbl>
              <c:idx val="25"/>
              <c:layout>
                <c:manualLayout>
                  <c:x val="-2.6151364678373503E-2"/>
                  <c:y val="-4.813654638002484E-2"/>
                </c:manualLayout>
              </c:layout>
              <c:spPr>
                <a:noFill/>
                <a:ln w="25400">
                  <a:noFill/>
                </a:ln>
              </c:spPr>
              <c:txPr>
                <a:bodyPr/>
                <a:lstStyle/>
                <a:p>
                  <a:pPr>
                    <a:defRPr sz="925" b="0" i="0" u="none" strike="noStrike" baseline="0">
                      <a:solidFill>
                        <a:srgbClr val="000000"/>
                      </a:solidFill>
                      <a:latin typeface="Arial"/>
                      <a:ea typeface="Arial"/>
                      <a:cs typeface="Arial"/>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094-4596-8C41-1AE412D124B9}"/>
                </c:ext>
              </c:extLst>
            </c:dLbl>
            <c:dLbl>
              <c:idx val="26"/>
              <c:layout>
                <c:manualLayout>
                  <c:x val="-1.56650804829702E-2"/>
                  <c:y val="4.1809848477605625E-2"/>
                </c:manualLayout>
              </c:layout>
              <c:spPr>
                <a:noFill/>
                <a:ln w="25400">
                  <a:noFill/>
                </a:ln>
              </c:spPr>
              <c:txPr>
                <a:bodyPr/>
                <a:lstStyle/>
                <a:p>
                  <a:pPr>
                    <a:defRPr sz="925" b="0" i="0" u="none" strike="noStrike" baseline="0">
                      <a:solidFill>
                        <a:srgbClr val="000000"/>
                      </a:solidFill>
                      <a:latin typeface="Arial"/>
                      <a:ea typeface="Arial"/>
                      <a:cs typeface="Arial"/>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094-4596-8C41-1AE412D124B9}"/>
                </c:ext>
              </c:extLst>
            </c:dLbl>
            <c:dLbl>
              <c:idx val="30"/>
              <c:layout>
                <c:manualLayout>
                  <c:x val="-4.7937294625964117E-3"/>
                  <c:y val="-2.4668088055274106E-2"/>
                </c:manualLayout>
              </c:layout>
              <c:spPr>
                <a:noFill/>
                <a:ln w="25400">
                  <a:noFill/>
                </a:ln>
              </c:spPr>
              <c:txPr>
                <a:bodyPr/>
                <a:lstStyle/>
                <a:p>
                  <a:pPr>
                    <a:defRPr sz="925" b="0" i="0" u="none" strike="noStrike" baseline="0">
                      <a:solidFill>
                        <a:srgbClr val="000000"/>
                      </a:solidFill>
                      <a:latin typeface="Arial"/>
                      <a:ea typeface="Arial"/>
                      <a:cs typeface="Arial"/>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094-4596-8C41-1AE412D124B9}"/>
                </c:ext>
              </c:extLst>
            </c:dLbl>
            <c:spPr>
              <a:noFill/>
              <a:ln w="25400">
                <a:noFill/>
              </a:ln>
            </c:spPr>
            <c:txPr>
              <a:bodyPr wrap="square" lIns="38100" tIns="19050" rIns="38100" bIns="19050" anchor="ctr">
                <a:spAutoFit/>
              </a:bodyPr>
              <a:lstStyle/>
              <a:p>
                <a:pPr>
                  <a:defRPr sz="9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'Ex5'!$C$6:$AI$6</c:f>
              <c:strCache>
                <c:ptCount val="33"/>
                <c:pt idx="0">
                  <c:v>Q1'04</c:v>
                </c:pt>
                <c:pt idx="1">
                  <c:v>Q2'04</c:v>
                </c:pt>
                <c:pt idx="2">
                  <c:v>Q3'04</c:v>
                </c:pt>
                <c:pt idx="3">
                  <c:v>Q4'04</c:v>
                </c:pt>
                <c:pt idx="4">
                  <c:v>Q1'05</c:v>
                </c:pt>
                <c:pt idx="5">
                  <c:v>Q2'05</c:v>
                </c:pt>
                <c:pt idx="6">
                  <c:v>Q3'05</c:v>
                </c:pt>
                <c:pt idx="7">
                  <c:v>Q4'05</c:v>
                </c:pt>
                <c:pt idx="8">
                  <c:v>Q1'06</c:v>
                </c:pt>
                <c:pt idx="9">
                  <c:v>Q2'06</c:v>
                </c:pt>
                <c:pt idx="10">
                  <c:v>Q3'06</c:v>
                </c:pt>
                <c:pt idx="11">
                  <c:v>Q4'06</c:v>
                </c:pt>
                <c:pt idx="12">
                  <c:v>Q1'07</c:v>
                </c:pt>
                <c:pt idx="13">
                  <c:v>Q2'07</c:v>
                </c:pt>
                <c:pt idx="14">
                  <c:v>Q3'07</c:v>
                </c:pt>
                <c:pt idx="15">
                  <c:v>Q4'07</c:v>
                </c:pt>
                <c:pt idx="16">
                  <c:v>Q1'08</c:v>
                </c:pt>
                <c:pt idx="17">
                  <c:v>Q2'08</c:v>
                </c:pt>
                <c:pt idx="18">
                  <c:v>Q3'08</c:v>
                </c:pt>
                <c:pt idx="19">
                  <c:v>Q4'08</c:v>
                </c:pt>
                <c:pt idx="20">
                  <c:v>Q1'09</c:v>
                </c:pt>
                <c:pt idx="21">
                  <c:v>Q2'09</c:v>
                </c:pt>
                <c:pt idx="22">
                  <c:v>Q3'09</c:v>
                </c:pt>
                <c:pt idx="23">
                  <c:v>Q4'09</c:v>
                </c:pt>
                <c:pt idx="24">
                  <c:v>Q1'10</c:v>
                </c:pt>
                <c:pt idx="25">
                  <c:v>Q2'10</c:v>
                </c:pt>
                <c:pt idx="26">
                  <c:v>Q3'10</c:v>
                </c:pt>
                <c:pt idx="27">
                  <c:v>Q4'10</c:v>
                </c:pt>
                <c:pt idx="28">
                  <c:v>Q1'11</c:v>
                </c:pt>
                <c:pt idx="29">
                  <c:v>Q2'11</c:v>
                </c:pt>
                <c:pt idx="30">
                  <c:v>Q3'11</c:v>
                </c:pt>
                <c:pt idx="31">
                  <c:v>Q4'11</c:v>
                </c:pt>
                <c:pt idx="32">
                  <c:v>Q1'12</c:v>
                </c:pt>
              </c:strCache>
            </c:strRef>
          </c:cat>
          <c:val>
            <c:numRef>
              <c:f>'Ex5'!$C$7:$AI$7</c:f>
              <c:numCache>
                <c:formatCode>General</c:formatCode>
                <c:ptCount val="33"/>
                <c:pt idx="0">
                  <c:v>339</c:v>
                </c:pt>
                <c:pt idx="1">
                  <c:v>385</c:v>
                </c:pt>
                <c:pt idx="2">
                  <c:v>339</c:v>
                </c:pt>
                <c:pt idx="3">
                  <c:v>457</c:v>
                </c:pt>
                <c:pt idx="4">
                  <c:v>327</c:v>
                </c:pt>
                <c:pt idx="5">
                  <c:v>409</c:v>
                </c:pt>
                <c:pt idx="6">
                  <c:v>364</c:v>
                </c:pt>
                <c:pt idx="7">
                  <c:v>452</c:v>
                </c:pt>
                <c:pt idx="8">
                  <c:v>360</c:v>
                </c:pt>
                <c:pt idx="9">
                  <c:v>473</c:v>
                </c:pt>
                <c:pt idx="10">
                  <c:v>355</c:v>
                </c:pt>
                <c:pt idx="11">
                  <c:v>608</c:v>
                </c:pt>
                <c:pt idx="12">
                  <c:v>395</c:v>
                </c:pt>
                <c:pt idx="13">
                  <c:v>574</c:v>
                </c:pt>
                <c:pt idx="14">
                  <c:v>442</c:v>
                </c:pt>
                <c:pt idx="15">
                  <c:v>603</c:v>
                </c:pt>
                <c:pt idx="16">
                  <c:v>253</c:v>
                </c:pt>
                <c:pt idx="17">
                  <c:v>274</c:v>
                </c:pt>
                <c:pt idx="18">
                  <c:v>164</c:v>
                </c:pt>
                <c:pt idx="19">
                  <c:v>78</c:v>
                </c:pt>
                <c:pt idx="20">
                  <c:v>52</c:v>
                </c:pt>
                <c:pt idx="21">
                  <c:v>82</c:v>
                </c:pt>
                <c:pt idx="22">
                  <c:v>146</c:v>
                </c:pt>
                <c:pt idx="23">
                  <c:v>297</c:v>
                </c:pt>
                <c:pt idx="24">
                  <c:v>293</c:v>
                </c:pt>
                <c:pt idx="25">
                  <c:v>314</c:v>
                </c:pt>
                <c:pt idx="26">
                  <c:v>302</c:v>
                </c:pt>
                <c:pt idx="27">
                  <c:v>484</c:v>
                </c:pt>
                <c:pt idx="28">
                  <c:v>296</c:v>
                </c:pt>
                <c:pt idx="29">
                  <c:v>383</c:v>
                </c:pt>
                <c:pt idx="30">
                  <c:v>291</c:v>
                </c:pt>
                <c:pt idx="31">
                  <c:v>255</c:v>
                </c:pt>
                <c:pt idx="32">
                  <c:v>157</c:v>
                </c:pt>
              </c:numCache>
            </c:numRef>
          </c:val>
          <c:smooth val="0"/>
          <c:extLst>
            <c:ext xmlns:c16="http://schemas.microsoft.com/office/drawing/2014/chart" uri="{C3380CC4-5D6E-409C-BE32-E72D297353CC}">
              <c16:uniqueId val="{00000005-6094-4596-8C41-1AE412D124B9}"/>
            </c:ext>
          </c:extLst>
        </c:ser>
        <c:dLbls>
          <c:showLegendKey val="0"/>
          <c:showVal val="0"/>
          <c:showCatName val="0"/>
          <c:showSerName val="0"/>
          <c:showPercent val="0"/>
          <c:showBubbleSize val="0"/>
        </c:dLbls>
        <c:marker val="1"/>
        <c:smooth val="0"/>
        <c:axId val="1301362159"/>
        <c:axId val="1"/>
      </c:lineChart>
      <c:catAx>
        <c:axId val="1301362159"/>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25"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scaling>
        <c:delete val="0"/>
        <c:axPos val="l"/>
        <c:majorGridlines>
          <c:spPr>
            <a:ln w="3175">
              <a:solidFill>
                <a:srgbClr val="FFFFFF"/>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301362159"/>
        <c:crosses val="autoZero"/>
        <c:crossBetween val="between"/>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Capital raised 
($ in Billions)</a:t>
            </a:r>
          </a:p>
        </c:rich>
      </c:tx>
      <c:overlay val="1"/>
      <c:spPr>
        <a:noFill/>
        <a:ln w="25400">
          <a:noFill/>
        </a:ln>
      </c:spPr>
    </c:title>
    <c:autoTitleDeleted val="0"/>
    <c:plotArea>
      <c:layout>
        <c:manualLayout>
          <c:layoutTarget val="inner"/>
          <c:xMode val="edge"/>
          <c:yMode val="edge"/>
          <c:x val="6.7796703683218135E-2"/>
          <c:y val="0.13414645557700175"/>
          <c:w val="0.9124306370699774"/>
          <c:h val="0.75784036592202297"/>
        </c:manualLayout>
      </c:layout>
      <c:lineChart>
        <c:grouping val="standard"/>
        <c:varyColors val="0"/>
        <c:ser>
          <c:idx val="0"/>
          <c:order val="0"/>
          <c:tx>
            <c:strRef>
              <c:f>'Ex5'!$B$9</c:f>
              <c:strCache>
                <c:ptCount val="1"/>
                <c:pt idx="0">
                  <c:v>Capital raised ($B)</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dLbls>
            <c:dLbl>
              <c:idx val="5"/>
              <c:layout>
                <c:manualLayout>
                  <c:x val="-1.4124292283405004E-2"/>
                  <c:y val="-2.565887063237186E-2"/>
                </c:manualLayout>
              </c:layout>
              <c:spPr>
                <a:noFill/>
                <a:ln w="25400">
                  <a:noFill/>
                </a:ln>
              </c:spPr>
              <c:txPr>
                <a:bodyPr/>
                <a:lstStyle/>
                <a:p>
                  <a:pPr>
                    <a:defRPr sz="925" b="0" i="0" u="none" strike="noStrike" baseline="0">
                      <a:solidFill>
                        <a:srgbClr val="000000"/>
                      </a:solidFill>
                      <a:latin typeface="Arial"/>
                      <a:ea typeface="Arial"/>
                      <a:cs typeface="Arial"/>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30E-4E30-91CD-71D04111A79D}"/>
                </c:ext>
              </c:extLst>
            </c:dLbl>
            <c:dLbl>
              <c:idx val="16"/>
              <c:layout>
                <c:manualLayout>
                  <c:x val="-7.532971438659844E-3"/>
                  <c:y val="-1.6574763725476071E-2"/>
                </c:manualLayout>
              </c:layout>
              <c:spPr>
                <a:noFill/>
                <a:ln w="25400">
                  <a:noFill/>
                </a:ln>
              </c:spPr>
              <c:txPr>
                <a:bodyPr/>
                <a:lstStyle/>
                <a:p>
                  <a:pPr>
                    <a:defRPr sz="925" b="0" i="0" u="none" strike="noStrike" baseline="0">
                      <a:solidFill>
                        <a:srgbClr val="000000"/>
                      </a:solidFill>
                      <a:latin typeface="Arial"/>
                      <a:ea typeface="Arial"/>
                      <a:cs typeface="Arial"/>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30E-4E30-91CD-71D04111A79D}"/>
                </c:ext>
              </c:extLst>
            </c:dLbl>
            <c:dLbl>
              <c:idx val="18"/>
              <c:layout>
                <c:manualLayout>
                  <c:x val="-5.1532392364152788E-2"/>
                  <c:y val="-2.6375236099865939E-3"/>
                </c:manualLayout>
              </c:layout>
              <c:spPr>
                <a:noFill/>
                <a:ln w="25400">
                  <a:noFill/>
                </a:ln>
              </c:spPr>
              <c:txPr>
                <a:bodyPr/>
                <a:lstStyle/>
                <a:p>
                  <a:pPr>
                    <a:defRPr sz="925" b="0" i="0" u="none" strike="noStrike" baseline="0">
                      <a:solidFill>
                        <a:srgbClr val="000000"/>
                      </a:solidFill>
                      <a:latin typeface="Arial"/>
                      <a:ea typeface="Arial"/>
                      <a:cs typeface="Arial"/>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30E-4E30-91CD-71D04111A79D}"/>
                </c:ext>
              </c:extLst>
            </c:dLbl>
            <c:dLbl>
              <c:idx val="19"/>
              <c:layout>
                <c:manualLayout>
                  <c:x val="-1.1385050307341547E-2"/>
                  <c:y val="-2.7338857519162346E-2"/>
                </c:manualLayout>
              </c:layout>
              <c:spPr>
                <a:noFill/>
                <a:ln w="25400">
                  <a:noFill/>
                </a:ln>
              </c:spPr>
              <c:txPr>
                <a:bodyPr/>
                <a:lstStyle/>
                <a:p>
                  <a:pPr>
                    <a:defRPr sz="925" b="0" i="0" u="none" strike="noStrike" baseline="0">
                      <a:solidFill>
                        <a:srgbClr val="000000"/>
                      </a:solidFill>
                      <a:latin typeface="Arial"/>
                      <a:ea typeface="Arial"/>
                      <a:cs typeface="Arial"/>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30E-4E30-91CD-71D04111A79D}"/>
                </c:ext>
              </c:extLst>
            </c:dLbl>
            <c:dLbl>
              <c:idx val="20"/>
              <c:layout>
                <c:manualLayout>
                  <c:x val="5.1366521479549927E-4"/>
                  <c:y val="-1.1422903880120218E-2"/>
                </c:manualLayout>
              </c:layout>
              <c:spPr>
                <a:noFill/>
                <a:ln w="25400">
                  <a:noFill/>
                </a:ln>
              </c:spPr>
              <c:txPr>
                <a:bodyPr/>
                <a:lstStyle/>
                <a:p>
                  <a:pPr>
                    <a:defRPr sz="925" b="0" i="0" u="none" strike="noStrike" baseline="0">
                      <a:solidFill>
                        <a:srgbClr val="000000"/>
                      </a:solidFill>
                      <a:latin typeface="Arial"/>
                      <a:ea typeface="Arial"/>
                      <a:cs typeface="Arial"/>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30E-4E30-91CD-71D04111A79D}"/>
                </c:ext>
              </c:extLst>
            </c:dLbl>
            <c:dLbl>
              <c:idx val="21"/>
              <c:layout>
                <c:manualLayout>
                  <c:x val="1.1127818365140054E-3"/>
                  <c:y val="-1.7134673398717274E-2"/>
                </c:manualLayout>
              </c:layout>
              <c:spPr>
                <a:noFill/>
                <a:ln w="25400">
                  <a:noFill/>
                </a:ln>
              </c:spPr>
              <c:txPr>
                <a:bodyPr/>
                <a:lstStyle/>
                <a:p>
                  <a:pPr>
                    <a:defRPr sz="925" b="0" i="0" u="none" strike="noStrike" baseline="0">
                      <a:solidFill>
                        <a:srgbClr val="000000"/>
                      </a:solidFill>
                      <a:latin typeface="Arial"/>
                      <a:ea typeface="Arial"/>
                      <a:cs typeface="Arial"/>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30E-4E30-91CD-71D04111A79D}"/>
                </c:ext>
              </c:extLst>
            </c:dLbl>
            <c:dLbl>
              <c:idx val="30"/>
              <c:layout>
                <c:manualLayout>
                  <c:x val="-7.6185921160637337E-3"/>
                  <c:y val="-2.5783382291569658E-2"/>
                </c:manualLayout>
              </c:layout>
              <c:spPr>
                <a:noFill/>
                <a:ln w="25400">
                  <a:noFill/>
                </a:ln>
              </c:spPr>
              <c:txPr>
                <a:bodyPr/>
                <a:lstStyle/>
                <a:p>
                  <a:pPr>
                    <a:defRPr sz="925" b="0" i="0" u="none" strike="noStrike" baseline="0">
                      <a:solidFill>
                        <a:srgbClr val="000000"/>
                      </a:solidFill>
                      <a:latin typeface="Arial"/>
                      <a:ea typeface="Arial"/>
                      <a:cs typeface="Arial"/>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30E-4E30-91CD-71D04111A79D}"/>
                </c:ext>
              </c:extLst>
            </c:dLbl>
            <c:dLbl>
              <c:idx val="32"/>
              <c:layout>
                <c:manualLayout>
                  <c:x val="-3.5704926927321974E-2"/>
                  <c:y val="9.7443492187757556E-3"/>
                </c:manualLayout>
              </c:layout>
              <c:spPr>
                <a:noFill/>
                <a:ln w="25400">
                  <a:noFill/>
                </a:ln>
              </c:spPr>
              <c:txPr>
                <a:bodyPr/>
                <a:lstStyle/>
                <a:p>
                  <a:pPr>
                    <a:defRPr sz="925" b="0" i="0" u="none" strike="noStrike" baseline="0">
                      <a:solidFill>
                        <a:srgbClr val="000000"/>
                      </a:solidFill>
                      <a:latin typeface="Arial"/>
                      <a:ea typeface="Arial"/>
                      <a:cs typeface="Arial"/>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30E-4E30-91CD-71D04111A79D}"/>
                </c:ext>
              </c:extLst>
            </c:dLbl>
            <c:spPr>
              <a:noFill/>
              <a:ln w="25400">
                <a:noFill/>
              </a:ln>
            </c:spPr>
            <c:txPr>
              <a:bodyPr wrap="square" lIns="38100" tIns="19050" rIns="38100" bIns="19050" anchor="ctr">
                <a:spAutoFit/>
              </a:bodyPr>
              <a:lstStyle/>
              <a:p>
                <a:pPr>
                  <a:defRPr sz="9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'Ex5'!$C$8:$AI$8</c:f>
              <c:strCache>
                <c:ptCount val="33"/>
                <c:pt idx="0">
                  <c:v>Q1'04</c:v>
                </c:pt>
                <c:pt idx="1">
                  <c:v>Q2'04</c:v>
                </c:pt>
                <c:pt idx="2">
                  <c:v>Q3'04</c:v>
                </c:pt>
                <c:pt idx="3">
                  <c:v>Q4'04</c:v>
                </c:pt>
                <c:pt idx="4">
                  <c:v>Q1'05</c:v>
                </c:pt>
                <c:pt idx="5">
                  <c:v>Q2'05</c:v>
                </c:pt>
                <c:pt idx="6">
                  <c:v>Q3'05</c:v>
                </c:pt>
                <c:pt idx="7">
                  <c:v>Q4'05</c:v>
                </c:pt>
                <c:pt idx="8">
                  <c:v>Q1'06</c:v>
                </c:pt>
                <c:pt idx="9">
                  <c:v>Q2'06</c:v>
                </c:pt>
                <c:pt idx="10">
                  <c:v>Q3'06</c:v>
                </c:pt>
                <c:pt idx="11">
                  <c:v>Q4'06</c:v>
                </c:pt>
                <c:pt idx="12">
                  <c:v>Q1'07</c:v>
                </c:pt>
                <c:pt idx="13">
                  <c:v>Q2'07</c:v>
                </c:pt>
                <c:pt idx="14">
                  <c:v>Q3'07</c:v>
                </c:pt>
                <c:pt idx="15">
                  <c:v>Q4'07</c:v>
                </c:pt>
                <c:pt idx="16">
                  <c:v>Q1'08</c:v>
                </c:pt>
                <c:pt idx="17">
                  <c:v>Q2'08</c:v>
                </c:pt>
                <c:pt idx="18">
                  <c:v>Q3'08</c:v>
                </c:pt>
                <c:pt idx="19">
                  <c:v>Q4'08</c:v>
                </c:pt>
                <c:pt idx="20">
                  <c:v>Q1'09</c:v>
                </c:pt>
                <c:pt idx="21">
                  <c:v>Q2'09</c:v>
                </c:pt>
                <c:pt idx="22">
                  <c:v>Q3'09</c:v>
                </c:pt>
                <c:pt idx="23">
                  <c:v>Q4'09</c:v>
                </c:pt>
                <c:pt idx="24">
                  <c:v>Q1'10</c:v>
                </c:pt>
                <c:pt idx="25">
                  <c:v>Q2'10</c:v>
                </c:pt>
                <c:pt idx="26">
                  <c:v>Q3'10</c:v>
                </c:pt>
                <c:pt idx="27">
                  <c:v>Q4'10</c:v>
                </c:pt>
                <c:pt idx="28">
                  <c:v>Q1'11</c:v>
                </c:pt>
                <c:pt idx="29">
                  <c:v>Q2'11</c:v>
                </c:pt>
                <c:pt idx="30">
                  <c:v>Q3'11</c:v>
                </c:pt>
                <c:pt idx="31">
                  <c:v>Q4'11</c:v>
                </c:pt>
                <c:pt idx="32">
                  <c:v>Q1'12</c:v>
                </c:pt>
              </c:strCache>
            </c:strRef>
          </c:cat>
          <c:val>
            <c:numRef>
              <c:f>'Ex5'!$C$9:$AI$9</c:f>
              <c:numCache>
                <c:formatCode>General</c:formatCode>
                <c:ptCount val="33"/>
                <c:pt idx="0">
                  <c:v>29</c:v>
                </c:pt>
                <c:pt idx="1">
                  <c:v>33</c:v>
                </c:pt>
                <c:pt idx="2">
                  <c:v>29</c:v>
                </c:pt>
                <c:pt idx="3">
                  <c:v>39</c:v>
                </c:pt>
                <c:pt idx="4">
                  <c:v>29</c:v>
                </c:pt>
                <c:pt idx="5">
                  <c:v>39</c:v>
                </c:pt>
                <c:pt idx="6">
                  <c:v>38</c:v>
                </c:pt>
                <c:pt idx="7">
                  <c:v>74</c:v>
                </c:pt>
                <c:pt idx="8">
                  <c:v>39</c:v>
                </c:pt>
                <c:pt idx="9">
                  <c:v>66</c:v>
                </c:pt>
                <c:pt idx="10">
                  <c:v>49</c:v>
                </c:pt>
                <c:pt idx="11">
                  <c:v>112</c:v>
                </c:pt>
                <c:pt idx="12">
                  <c:v>37</c:v>
                </c:pt>
                <c:pt idx="13">
                  <c:v>95</c:v>
                </c:pt>
                <c:pt idx="14">
                  <c:v>59</c:v>
                </c:pt>
                <c:pt idx="15">
                  <c:v>105</c:v>
                </c:pt>
                <c:pt idx="16">
                  <c:v>41</c:v>
                </c:pt>
                <c:pt idx="17">
                  <c:v>39</c:v>
                </c:pt>
                <c:pt idx="18">
                  <c:v>13</c:v>
                </c:pt>
                <c:pt idx="19" formatCode="0.0">
                  <c:v>2</c:v>
                </c:pt>
                <c:pt idx="20">
                  <c:v>1.4</c:v>
                </c:pt>
                <c:pt idx="21">
                  <c:v>10</c:v>
                </c:pt>
                <c:pt idx="22">
                  <c:v>34</c:v>
                </c:pt>
                <c:pt idx="23">
                  <c:v>67</c:v>
                </c:pt>
                <c:pt idx="24">
                  <c:v>54</c:v>
                </c:pt>
                <c:pt idx="25">
                  <c:v>47</c:v>
                </c:pt>
                <c:pt idx="26">
                  <c:v>53</c:v>
                </c:pt>
                <c:pt idx="27">
                  <c:v>132</c:v>
                </c:pt>
                <c:pt idx="28">
                  <c:v>47</c:v>
                </c:pt>
                <c:pt idx="29">
                  <c:v>66</c:v>
                </c:pt>
                <c:pt idx="30">
                  <c:v>29</c:v>
                </c:pt>
                <c:pt idx="31">
                  <c:v>29</c:v>
                </c:pt>
                <c:pt idx="32">
                  <c:v>14</c:v>
                </c:pt>
              </c:numCache>
            </c:numRef>
          </c:val>
          <c:smooth val="0"/>
          <c:extLst>
            <c:ext xmlns:c16="http://schemas.microsoft.com/office/drawing/2014/chart" uri="{C3380CC4-5D6E-409C-BE32-E72D297353CC}">
              <c16:uniqueId val="{00000008-530E-4E30-91CD-71D04111A79D}"/>
            </c:ext>
          </c:extLst>
        </c:ser>
        <c:dLbls>
          <c:showLegendKey val="0"/>
          <c:showVal val="0"/>
          <c:showCatName val="0"/>
          <c:showSerName val="0"/>
          <c:showPercent val="0"/>
          <c:showBubbleSize val="0"/>
        </c:dLbls>
        <c:marker val="1"/>
        <c:smooth val="0"/>
        <c:axId val="1301354159"/>
        <c:axId val="1"/>
      </c:lineChart>
      <c:catAx>
        <c:axId val="1301354159"/>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25"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scaling>
        <c:delete val="0"/>
        <c:axPos val="l"/>
        <c:majorGridlines>
          <c:spPr>
            <a:ln w="3175">
              <a:solidFill>
                <a:srgbClr val="FFFFFF"/>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301354159"/>
        <c:crosses val="autoZero"/>
        <c:crossBetween val="between"/>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15</xdr:col>
      <xdr:colOff>304800</xdr:colOff>
      <xdr:row>91</xdr:row>
      <xdr:rowOff>91440</xdr:rowOff>
    </xdr:from>
    <xdr:to>
      <xdr:col>27</xdr:col>
      <xdr:colOff>426720</xdr:colOff>
      <xdr:row>124</xdr:row>
      <xdr:rowOff>83820</xdr:rowOff>
    </xdr:to>
    <xdr:graphicFrame macro="">
      <xdr:nvGraphicFramePr>
        <xdr:cNvPr id="2203" name="Chart 5">
          <a:extLst>
            <a:ext uri="{FF2B5EF4-FFF2-40B4-BE49-F238E27FC236}">
              <a16:creationId xmlns:a16="http://schemas.microsoft.com/office/drawing/2014/main" id="{D523A11A-272C-4FC6-95BF-09B9D7BEBA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60960</xdr:colOff>
      <xdr:row>6</xdr:row>
      <xdr:rowOff>7620</xdr:rowOff>
    </xdr:from>
    <xdr:to>
      <xdr:col>23</xdr:col>
      <xdr:colOff>304800</xdr:colOff>
      <xdr:row>42</xdr:row>
      <xdr:rowOff>15240</xdr:rowOff>
    </xdr:to>
    <xdr:graphicFrame macro="">
      <xdr:nvGraphicFramePr>
        <xdr:cNvPr id="3129" name="Chart 1">
          <a:extLst>
            <a:ext uri="{FF2B5EF4-FFF2-40B4-BE49-F238E27FC236}">
              <a16:creationId xmlns:a16="http://schemas.microsoft.com/office/drawing/2014/main" id="{5C26DA1F-862C-44F7-B010-2CB371E13B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342900</xdr:colOff>
      <xdr:row>10</xdr:row>
      <xdr:rowOff>22860</xdr:rowOff>
    </xdr:from>
    <xdr:to>
      <xdr:col>18</xdr:col>
      <xdr:colOff>114300</xdr:colOff>
      <xdr:row>36</xdr:row>
      <xdr:rowOff>106680</xdr:rowOff>
    </xdr:to>
    <xdr:graphicFrame macro="">
      <xdr:nvGraphicFramePr>
        <xdr:cNvPr id="4209" name="Chart 1">
          <a:extLst>
            <a:ext uri="{FF2B5EF4-FFF2-40B4-BE49-F238E27FC236}">
              <a16:creationId xmlns:a16="http://schemas.microsoft.com/office/drawing/2014/main" id="{522FD453-0AD7-45B5-9BA1-BE0DA72D01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243840</xdr:colOff>
      <xdr:row>10</xdr:row>
      <xdr:rowOff>49530</xdr:rowOff>
    </xdr:from>
    <xdr:to>
      <xdr:col>36</xdr:col>
      <xdr:colOff>91440</xdr:colOff>
      <xdr:row>36</xdr:row>
      <xdr:rowOff>99060</xdr:rowOff>
    </xdr:to>
    <xdr:graphicFrame macro="">
      <xdr:nvGraphicFramePr>
        <xdr:cNvPr id="4210" name="Chart 2">
          <a:extLst>
            <a:ext uri="{FF2B5EF4-FFF2-40B4-BE49-F238E27FC236}">
              <a16:creationId xmlns:a16="http://schemas.microsoft.com/office/drawing/2014/main" id="{4905C55E-8E80-4737-BC2D-5A7AAADE95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AV/UTDT/MFIN/2020%20MFIN/Curso%20FC/FC%20-%20TRADICIONAL/5-IPO/Clase/Facebook%20IPO_anali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1"/>
      <sheetName val="Ex3 "/>
      <sheetName val="Ex4"/>
      <sheetName val="Ex5"/>
      <sheetName val="Ex6"/>
      <sheetName val="Shareholders (Ex8)"/>
      <sheetName val="Ex9"/>
      <sheetName val="Ex10"/>
      <sheetName val="Comps (Ex12)"/>
      <sheetName val="Financials (Ex2)"/>
      <sheetName val="Anex I. IPO terms"/>
      <sheetName val="Ex14 (Model)"/>
      <sheetName val="DCF (Ex11)"/>
      <sheetName val="DCF (sensitivity)"/>
      <sheetName val="WACC"/>
      <sheetName val="AVP"/>
      <sheetName val="Anex II. Prospectus--&gt;"/>
      <sheetName val="IPO Cash Flow"/>
      <sheetName val="IPO P&amp;L"/>
      <sheetName val="IPO Bce Sheet"/>
      <sheetName val="IPO Equity"/>
    </sheetNames>
    <sheetDataSet>
      <sheetData sheetId="0"/>
      <sheetData sheetId="1"/>
      <sheetData sheetId="2"/>
      <sheetData sheetId="3"/>
      <sheetData sheetId="4"/>
      <sheetData sheetId="5"/>
      <sheetData sheetId="6"/>
      <sheetData sheetId="7"/>
      <sheetData sheetId="8"/>
      <sheetData sheetId="9">
        <row r="60">
          <cell r="L60">
            <v>6757.76</v>
          </cell>
        </row>
      </sheetData>
      <sheetData sheetId="10"/>
      <sheetData sheetId="11"/>
      <sheetData sheetId="12">
        <row r="7">
          <cell r="D7">
            <v>0.4</v>
          </cell>
          <cell r="E7">
            <v>0.4</v>
          </cell>
          <cell r="F7">
            <v>0.4</v>
          </cell>
          <cell r="G7">
            <v>0.4</v>
          </cell>
          <cell r="H7">
            <v>0.4</v>
          </cell>
          <cell r="I7">
            <v>0.32400000000000001</v>
          </cell>
          <cell r="J7">
            <v>0.24800000000000003</v>
          </cell>
          <cell r="K7">
            <v>0.17200000000000004</v>
          </cell>
          <cell r="L7">
            <v>9.600000000000003E-2</v>
          </cell>
          <cell r="M7">
            <v>2.0000000000000018E-2</v>
          </cell>
        </row>
        <row r="9">
          <cell r="D9">
            <v>0.4</v>
          </cell>
          <cell r="E9">
            <v>0.4</v>
          </cell>
          <cell r="F9">
            <v>0.4</v>
          </cell>
          <cell r="G9">
            <v>0.4</v>
          </cell>
          <cell r="H9">
            <v>0.4</v>
          </cell>
          <cell r="I9">
            <v>0.39</v>
          </cell>
          <cell r="J9">
            <v>0.38</v>
          </cell>
          <cell r="K9">
            <v>0.37</v>
          </cell>
          <cell r="L9">
            <v>0.36</v>
          </cell>
          <cell r="M9">
            <v>0.35</v>
          </cell>
        </row>
      </sheetData>
      <sheetData sheetId="13"/>
      <sheetData sheetId="14"/>
      <sheetData sheetId="15"/>
      <sheetData sheetId="16"/>
      <sheetData sheetId="17">
        <row r="17">
          <cell r="C17">
            <v>-112</v>
          </cell>
        </row>
        <row r="18">
          <cell r="C18">
            <v>-30</v>
          </cell>
        </row>
        <row r="19">
          <cell r="C19">
            <v>-59</v>
          </cell>
        </row>
        <row r="20">
          <cell r="C20">
            <v>-7</v>
          </cell>
        </row>
        <row r="21">
          <cell r="C21">
            <v>0</v>
          </cell>
        </row>
        <row r="22">
          <cell r="C22">
            <v>27</v>
          </cell>
        </row>
        <row r="23">
          <cell r="C23">
            <v>1</v>
          </cell>
        </row>
        <row r="24">
          <cell r="C24">
            <v>1</v>
          </cell>
        </row>
        <row r="26">
          <cell r="C26">
            <v>155</v>
          </cell>
          <cell r="D26">
            <v>698</v>
          </cell>
          <cell r="E26">
            <v>1549</v>
          </cell>
        </row>
        <row r="37">
          <cell r="C37">
            <v>-62</v>
          </cell>
          <cell r="D37">
            <v>-324</v>
          </cell>
          <cell r="E37">
            <v>-3023</v>
          </cell>
        </row>
        <row r="53">
          <cell r="C53">
            <v>336</v>
          </cell>
          <cell r="D53">
            <v>1152</v>
          </cell>
          <cell r="E53">
            <v>-273</v>
          </cell>
        </row>
        <row r="55">
          <cell r="C55">
            <v>297</v>
          </cell>
        </row>
        <row r="56">
          <cell r="C56">
            <v>633</v>
          </cell>
        </row>
      </sheetData>
      <sheetData sheetId="18">
        <row r="29">
          <cell r="C29">
            <v>107</v>
          </cell>
          <cell r="D29">
            <v>234</v>
          </cell>
          <cell r="E29">
            <v>332</v>
          </cell>
        </row>
      </sheetData>
      <sheetData sheetId="19"/>
      <sheetData sheetId="20"/>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hyperlink" Target="http://articles.marketwatch.com/2011-10-21/markets/30759863_1_groupon-online-deals-zynga" TargetMode="External"/><Relationship Id="rId7" Type="http://schemas.openxmlformats.org/officeDocument/2006/relationships/printerSettings" Target="../printerSettings/printerSettings5.bin"/><Relationship Id="rId2" Type="http://schemas.openxmlformats.org/officeDocument/2006/relationships/hyperlink" Target="http://www.nyse.com/press/1305802537651.html" TargetMode="External"/><Relationship Id="rId1" Type="http://schemas.openxmlformats.org/officeDocument/2006/relationships/hyperlink" Target="http://www.reuters.com/article/2011/05/19/us-linkedin-ipo-risks-idUSTRE74H0TL20110519" TargetMode="External"/><Relationship Id="rId6" Type="http://schemas.openxmlformats.org/officeDocument/2006/relationships/hyperlink" Target="http://techcrunch.com/2011/12/02/zynga-sets-price-range-for-ipo-at-8-50-to-10-per-share/" TargetMode="External"/><Relationship Id="rId5" Type="http://schemas.openxmlformats.org/officeDocument/2006/relationships/hyperlink" Target="http://articles.latimes.com/2011/dec/17/business/la-fi-ct-zynga-ipo-20111217" TargetMode="External"/><Relationship Id="rId4" Type="http://schemas.openxmlformats.org/officeDocument/2006/relationships/hyperlink" Target="http://latimesblogs.latimes.com/money_co/2011/11/groupon-ipo.htm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33"/>
  <sheetViews>
    <sheetView workbookViewId="0">
      <selection activeCell="A2" sqref="A2:IV2"/>
    </sheetView>
  </sheetViews>
  <sheetFormatPr baseColWidth="10" defaultColWidth="8.88671875" defaultRowHeight="12.3"/>
  <cols>
    <col min="1" max="2" width="8.88671875" customWidth="1"/>
    <col min="3" max="3" width="55.109375" customWidth="1"/>
    <col min="4" max="4" width="27.44140625" customWidth="1"/>
  </cols>
  <sheetData>
    <row r="1" spans="2:4">
      <c r="B1" s="167" t="s">
        <v>273</v>
      </c>
    </row>
    <row r="2" spans="2:4">
      <c r="B2" s="167" t="s">
        <v>274</v>
      </c>
    </row>
    <row r="3" spans="2:4" ht="12.6" thickBot="1"/>
    <row r="4" spans="2:4">
      <c r="B4" s="339" t="s">
        <v>233</v>
      </c>
      <c r="C4" s="339" t="s">
        <v>234</v>
      </c>
      <c r="D4" s="163" t="s">
        <v>235</v>
      </c>
    </row>
    <row r="5" spans="2:4" ht="12.6" thickBot="1">
      <c r="B5" s="341"/>
      <c r="C5" s="341"/>
      <c r="D5" s="164" t="s">
        <v>236</v>
      </c>
    </row>
    <row r="6" spans="2:4" ht="24.9">
      <c r="B6" s="339">
        <v>2004</v>
      </c>
      <c r="C6" s="165" t="s">
        <v>237</v>
      </c>
      <c r="D6" s="339" t="s">
        <v>241</v>
      </c>
    </row>
    <row r="7" spans="2:4" ht="24.9">
      <c r="B7" s="340"/>
      <c r="C7" s="165" t="s">
        <v>238</v>
      </c>
      <c r="D7" s="340"/>
    </row>
    <row r="8" spans="2:4" ht="24.6">
      <c r="B8" s="340"/>
      <c r="C8" s="165" t="s">
        <v>239</v>
      </c>
      <c r="D8" s="340"/>
    </row>
    <row r="9" spans="2:4" ht="12.6" thickBot="1">
      <c r="B9" s="341"/>
      <c r="C9" s="166" t="s">
        <v>240</v>
      </c>
      <c r="D9" s="341"/>
    </row>
    <row r="10" spans="2:4" ht="12.6">
      <c r="B10" s="339">
        <v>2005</v>
      </c>
      <c r="C10" s="165" t="s">
        <v>242</v>
      </c>
      <c r="D10" s="339" t="s">
        <v>246</v>
      </c>
    </row>
    <row r="11" spans="2:4" ht="12.6">
      <c r="B11" s="340"/>
      <c r="C11" s="165" t="s">
        <v>243</v>
      </c>
      <c r="D11" s="340"/>
    </row>
    <row r="12" spans="2:4" ht="24.9">
      <c r="B12" s="340"/>
      <c r="C12" s="165" t="s">
        <v>244</v>
      </c>
      <c r="D12" s="340"/>
    </row>
    <row r="13" spans="2:4" ht="12.6" thickBot="1">
      <c r="B13" s="341"/>
      <c r="C13" s="166" t="s">
        <v>245</v>
      </c>
      <c r="D13" s="341"/>
    </row>
    <row r="14" spans="2:4" ht="12.6">
      <c r="B14" s="339">
        <v>2006</v>
      </c>
      <c r="C14" s="165" t="s">
        <v>247</v>
      </c>
      <c r="D14" s="339" t="s">
        <v>251</v>
      </c>
    </row>
    <row r="15" spans="2:4" ht="24.9">
      <c r="B15" s="340"/>
      <c r="C15" s="165" t="s">
        <v>248</v>
      </c>
      <c r="D15" s="340"/>
    </row>
    <row r="16" spans="2:4" ht="24.6">
      <c r="B16" s="340"/>
      <c r="C16" s="165" t="s">
        <v>249</v>
      </c>
      <c r="D16" s="340"/>
    </row>
    <row r="17" spans="2:4" ht="12.6" thickBot="1">
      <c r="B17" s="341"/>
      <c r="C17" s="166" t="s">
        <v>250</v>
      </c>
      <c r="D17" s="341"/>
    </row>
    <row r="18" spans="2:4" ht="24.9">
      <c r="B18" s="339">
        <v>2007</v>
      </c>
      <c r="C18" s="165" t="s">
        <v>252</v>
      </c>
      <c r="D18" s="339" t="s">
        <v>255</v>
      </c>
    </row>
    <row r="19" spans="2:4" ht="24.9">
      <c r="B19" s="340"/>
      <c r="C19" s="165" t="s">
        <v>253</v>
      </c>
      <c r="D19" s="340"/>
    </row>
    <row r="20" spans="2:4" ht="12.6" thickBot="1">
      <c r="B20" s="341"/>
      <c r="C20" s="166" t="s">
        <v>254</v>
      </c>
      <c r="D20" s="341"/>
    </row>
    <row r="21" spans="2:4" ht="24.9">
      <c r="B21" s="339">
        <v>2008</v>
      </c>
      <c r="C21" s="165" t="s">
        <v>256</v>
      </c>
      <c r="D21" s="339" t="s">
        <v>260</v>
      </c>
    </row>
    <row r="22" spans="2:4" ht="24.9">
      <c r="B22" s="340"/>
      <c r="C22" s="165" t="s">
        <v>257</v>
      </c>
      <c r="D22" s="340"/>
    </row>
    <row r="23" spans="2:4" ht="24.6">
      <c r="B23" s="340"/>
      <c r="C23" s="165" t="s">
        <v>258</v>
      </c>
      <c r="D23" s="340"/>
    </row>
    <row r="24" spans="2:4" ht="12.6" thickBot="1">
      <c r="B24" s="341"/>
      <c r="C24" s="166" t="s">
        <v>259</v>
      </c>
      <c r="D24" s="341"/>
    </row>
    <row r="25" spans="2:4" ht="24.9">
      <c r="B25" s="339">
        <v>2009</v>
      </c>
      <c r="C25" s="165" t="s">
        <v>261</v>
      </c>
      <c r="D25" s="339" t="s">
        <v>264</v>
      </c>
    </row>
    <row r="26" spans="2:4" ht="12.6">
      <c r="B26" s="340"/>
      <c r="C26" s="165" t="s">
        <v>262</v>
      </c>
      <c r="D26" s="340"/>
    </row>
    <row r="27" spans="2:4" ht="12.6" thickBot="1">
      <c r="B27" s="341"/>
      <c r="C27" s="166" t="s">
        <v>263</v>
      </c>
      <c r="D27" s="341"/>
    </row>
    <row r="28" spans="2:4" ht="49.5">
      <c r="B28" s="339">
        <v>2010</v>
      </c>
      <c r="C28" s="165" t="s">
        <v>265</v>
      </c>
      <c r="D28" s="339" t="s">
        <v>268</v>
      </c>
    </row>
    <row r="29" spans="2:4" ht="24.9">
      <c r="B29" s="340"/>
      <c r="C29" s="165" t="s">
        <v>266</v>
      </c>
      <c r="D29" s="340"/>
    </row>
    <row r="30" spans="2:4" ht="12.6" thickBot="1">
      <c r="B30" s="341"/>
      <c r="C30" s="166" t="s">
        <v>267</v>
      </c>
      <c r="D30" s="341"/>
    </row>
    <row r="31" spans="2:4" ht="24.9">
      <c r="B31" s="339">
        <v>2011</v>
      </c>
      <c r="C31" s="165" t="s">
        <v>269</v>
      </c>
      <c r="D31" s="339" t="s">
        <v>272</v>
      </c>
    </row>
    <row r="32" spans="2:4" ht="12.6">
      <c r="B32" s="340"/>
      <c r="C32" s="165" t="s">
        <v>270</v>
      </c>
      <c r="D32" s="340"/>
    </row>
    <row r="33" spans="2:4" ht="12.6" thickBot="1">
      <c r="B33" s="341"/>
      <c r="C33" s="166" t="s">
        <v>271</v>
      </c>
      <c r="D33" s="341"/>
    </row>
  </sheetData>
  <mergeCells count="18">
    <mergeCell ref="B4:B5"/>
    <mergeCell ref="C4:C5"/>
    <mergeCell ref="B6:B9"/>
    <mergeCell ref="D6:D9"/>
    <mergeCell ref="B10:B13"/>
    <mergeCell ref="D10:D13"/>
    <mergeCell ref="B14:B17"/>
    <mergeCell ref="D14:D17"/>
    <mergeCell ref="B18:B20"/>
    <mergeCell ref="D18:D20"/>
    <mergeCell ref="B21:B24"/>
    <mergeCell ref="D21:D24"/>
    <mergeCell ref="B25:B27"/>
    <mergeCell ref="D25:D27"/>
    <mergeCell ref="B28:B30"/>
    <mergeCell ref="D28:D30"/>
    <mergeCell ref="B31:B33"/>
    <mergeCell ref="D31:D3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I40"/>
  <sheetViews>
    <sheetView topLeftCell="A13" workbookViewId="0">
      <selection activeCell="L14" sqref="L14"/>
    </sheetView>
  </sheetViews>
  <sheetFormatPr baseColWidth="10" defaultColWidth="8.88671875" defaultRowHeight="12.3"/>
  <cols>
    <col min="1" max="5" width="8.88671875" style="182"/>
    <col min="6" max="6" width="10.77734375" style="182" customWidth="1"/>
    <col min="7" max="16384" width="8.88671875" style="182"/>
  </cols>
  <sheetData>
    <row r="1" spans="2:9">
      <c r="B1" s="194"/>
    </row>
    <row r="2" spans="2:9">
      <c r="B2" s="195" t="s">
        <v>310</v>
      </c>
    </row>
    <row r="3" spans="2:9" ht="14.1">
      <c r="B3" s="196"/>
    </row>
    <row r="4" spans="2:9">
      <c r="B4" s="195" t="s">
        <v>311</v>
      </c>
    </row>
    <row r="5" spans="2:9" ht="14.1">
      <c r="B5" s="189"/>
    </row>
    <row r="6" spans="2:9" ht="85.2" customHeight="1">
      <c r="B6" s="346" t="s">
        <v>312</v>
      </c>
      <c r="C6" s="346"/>
      <c r="D6" s="346"/>
      <c r="E6" s="346"/>
      <c r="F6" s="346"/>
      <c r="G6" s="346"/>
      <c r="H6" s="346"/>
      <c r="I6" s="346"/>
    </row>
    <row r="7" spans="2:9" ht="12.6" thickBot="1">
      <c r="B7" s="197"/>
    </row>
    <row r="8" spans="2:9" ht="12.6" thickBot="1">
      <c r="B8" s="198"/>
      <c r="C8" s="199"/>
      <c r="D8" s="347" t="s">
        <v>313</v>
      </c>
      <c r="E8" s="347"/>
      <c r="F8" s="199" t="s">
        <v>314</v>
      </c>
    </row>
    <row r="9" spans="2:9">
      <c r="B9" s="348" t="s">
        <v>233</v>
      </c>
      <c r="C9" s="201" t="s">
        <v>315</v>
      </c>
      <c r="D9" s="201" t="s">
        <v>316</v>
      </c>
      <c r="E9" s="350" t="s">
        <v>317</v>
      </c>
      <c r="F9" s="201" t="s">
        <v>318</v>
      </c>
    </row>
    <row r="10" spans="2:9" ht="12.6" thickBot="1">
      <c r="B10" s="349"/>
      <c r="C10" s="203" t="s">
        <v>319</v>
      </c>
      <c r="D10" s="203" t="s">
        <v>320</v>
      </c>
      <c r="E10" s="351"/>
      <c r="F10" s="203" t="s">
        <v>321</v>
      </c>
    </row>
    <row r="11" spans="2:9">
      <c r="B11" s="200">
        <v>1990</v>
      </c>
      <c r="C11" s="201">
        <v>110</v>
      </c>
      <c r="D11" s="204">
        <v>0.108</v>
      </c>
      <c r="E11" s="204">
        <v>8.1000000000000003E-2</v>
      </c>
      <c r="F11" s="205">
        <v>4.3</v>
      </c>
    </row>
    <row r="12" spans="2:9">
      <c r="B12" s="200">
        <v>1991</v>
      </c>
      <c r="C12" s="201">
        <v>287</v>
      </c>
      <c r="D12" s="204">
        <v>0.11899999999999999</v>
      </c>
      <c r="E12" s="204">
        <v>9.7000000000000003E-2</v>
      </c>
      <c r="F12" s="205">
        <v>15.4</v>
      </c>
    </row>
    <row r="13" spans="2:9">
      <c r="B13" s="200">
        <v>1992</v>
      </c>
      <c r="C13" s="201">
        <v>412</v>
      </c>
      <c r="D13" s="204">
        <v>0.10299999999999999</v>
      </c>
      <c r="E13" s="204">
        <v>8.1000000000000003E-2</v>
      </c>
      <c r="F13" s="205">
        <v>22.6</v>
      </c>
    </row>
    <row r="14" spans="2:9">
      <c r="B14" s="200">
        <v>1993</v>
      </c>
      <c r="C14" s="201">
        <v>509</v>
      </c>
      <c r="D14" s="204">
        <v>0.127</v>
      </c>
      <c r="E14" s="204">
        <v>0.113</v>
      </c>
      <c r="F14" s="205">
        <v>31.3</v>
      </c>
    </row>
    <row r="15" spans="2:9">
      <c r="B15" s="200">
        <v>1994</v>
      </c>
      <c r="C15" s="201">
        <v>403</v>
      </c>
      <c r="D15" s="204">
        <v>9.8000000000000004E-2</v>
      </c>
      <c r="E15" s="204">
        <v>8.4000000000000005E-2</v>
      </c>
      <c r="F15" s="205">
        <v>17.3</v>
      </c>
    </row>
    <row r="16" spans="2:9">
      <c r="B16" s="200">
        <v>1995</v>
      </c>
      <c r="C16" s="201">
        <v>457</v>
      </c>
      <c r="D16" s="204">
        <v>0.21199999999999999</v>
      </c>
      <c r="E16" s="204">
        <v>0.153</v>
      </c>
      <c r="F16" s="205">
        <v>28.9</v>
      </c>
    </row>
    <row r="17" spans="2:6">
      <c r="B17" s="200">
        <v>1996</v>
      </c>
      <c r="C17" s="201">
        <v>675</v>
      </c>
      <c r="D17" s="204">
        <v>0.17199999999999999</v>
      </c>
      <c r="E17" s="204">
        <v>0.161</v>
      </c>
      <c r="F17" s="205">
        <v>42.3</v>
      </c>
    </row>
    <row r="18" spans="2:6">
      <c r="B18" s="200">
        <v>1997</v>
      </c>
      <c r="C18" s="201">
        <v>473</v>
      </c>
      <c r="D18" s="204">
        <v>0.14099999999999999</v>
      </c>
      <c r="E18" s="204">
        <v>0.14399999999999999</v>
      </c>
      <c r="F18" s="205">
        <v>31.6</v>
      </c>
    </row>
    <row r="19" spans="2:6">
      <c r="B19" s="200">
        <v>1998</v>
      </c>
      <c r="C19" s="201">
        <v>284</v>
      </c>
      <c r="D19" s="204">
        <v>0.217</v>
      </c>
      <c r="E19" s="204">
        <v>0.155</v>
      </c>
      <c r="F19" s="205">
        <v>33.799999999999997</v>
      </c>
    </row>
    <row r="20" spans="2:6">
      <c r="B20" s="200">
        <v>1999</v>
      </c>
      <c r="C20" s="201">
        <v>477</v>
      </c>
      <c r="D20" s="204">
        <v>0.70899999999999996</v>
      </c>
      <c r="E20" s="204">
        <v>0.56999999999999995</v>
      </c>
      <c r="F20" s="205">
        <v>64.8</v>
      </c>
    </row>
    <row r="21" spans="2:6">
      <c r="B21" s="200">
        <v>2000</v>
      </c>
      <c r="C21" s="201">
        <v>380</v>
      </c>
      <c r="D21" s="204">
        <v>0.56399999999999995</v>
      </c>
      <c r="E21" s="204">
        <v>0.45800000000000002</v>
      </c>
      <c r="F21" s="205">
        <v>64.8</v>
      </c>
    </row>
    <row r="22" spans="2:6">
      <c r="B22" s="200">
        <v>2001</v>
      </c>
      <c r="C22" s="201">
        <v>79</v>
      </c>
      <c r="D22" s="204">
        <v>0.14199999999999999</v>
      </c>
      <c r="E22" s="204">
        <v>8.6999999999999994E-2</v>
      </c>
      <c r="F22" s="205">
        <v>34.200000000000003</v>
      </c>
    </row>
    <row r="23" spans="2:6">
      <c r="B23" s="200">
        <v>2002</v>
      </c>
      <c r="C23" s="201">
        <v>66</v>
      </c>
      <c r="D23" s="204">
        <v>9.0999999999999998E-2</v>
      </c>
      <c r="E23" s="204">
        <v>5.0999999999999997E-2</v>
      </c>
      <c r="F23" s="205">
        <v>22</v>
      </c>
    </row>
    <row r="24" spans="2:6">
      <c r="B24" s="200">
        <v>2003</v>
      </c>
      <c r="C24" s="201">
        <v>62</v>
      </c>
      <c r="D24" s="204">
        <v>0.121</v>
      </c>
      <c r="E24" s="204">
        <v>0.105</v>
      </c>
      <c r="F24" s="205">
        <v>9.5</v>
      </c>
    </row>
    <row r="25" spans="2:6">
      <c r="B25" s="200">
        <v>2004</v>
      </c>
      <c r="C25" s="201">
        <v>175</v>
      </c>
      <c r="D25" s="204">
        <v>0.122</v>
      </c>
      <c r="E25" s="204">
        <v>0.122</v>
      </c>
      <c r="F25" s="205">
        <v>31.7</v>
      </c>
    </row>
    <row r="26" spans="2:6">
      <c r="B26" s="200">
        <v>2005</v>
      </c>
      <c r="C26" s="201">
        <v>160</v>
      </c>
      <c r="D26" s="204">
        <v>0.10199999999999999</v>
      </c>
      <c r="E26" s="204">
        <v>9.2999999999999999E-2</v>
      </c>
      <c r="F26" s="205">
        <v>28.3</v>
      </c>
    </row>
    <row r="27" spans="2:6">
      <c r="B27" s="200">
        <v>2006</v>
      </c>
      <c r="C27" s="201">
        <v>157</v>
      </c>
      <c r="D27" s="204">
        <v>0.121</v>
      </c>
      <c r="E27" s="204">
        <v>0.13</v>
      </c>
      <c r="F27" s="205">
        <v>30.5</v>
      </c>
    </row>
    <row r="28" spans="2:6">
      <c r="B28" s="200">
        <v>2007</v>
      </c>
      <c r="C28" s="201">
        <v>160</v>
      </c>
      <c r="D28" s="204">
        <v>0.13900000000000001</v>
      </c>
      <c r="E28" s="204">
        <v>0.13900000000000001</v>
      </c>
      <c r="F28" s="205">
        <v>35.700000000000003</v>
      </c>
    </row>
    <row r="29" spans="2:6">
      <c r="B29" s="200">
        <v>2008</v>
      </c>
      <c r="C29" s="201">
        <v>21</v>
      </c>
      <c r="D29" s="204">
        <v>6.4000000000000001E-2</v>
      </c>
      <c r="E29" s="204">
        <v>0.248</v>
      </c>
      <c r="F29" s="205">
        <v>22.8</v>
      </c>
    </row>
    <row r="30" spans="2:6">
      <c r="B30" s="200">
        <v>2009</v>
      </c>
      <c r="C30" s="201">
        <v>41</v>
      </c>
      <c r="D30" s="204">
        <v>9.8000000000000004E-2</v>
      </c>
      <c r="E30" s="204">
        <v>0.111</v>
      </c>
      <c r="F30" s="205">
        <v>13.3</v>
      </c>
    </row>
    <row r="31" spans="2:6">
      <c r="B31" s="200">
        <v>2010</v>
      </c>
      <c r="C31" s="201">
        <v>94</v>
      </c>
      <c r="D31" s="204">
        <v>9.0999999999999998E-2</v>
      </c>
      <c r="E31" s="204">
        <v>6.0999999999999999E-2</v>
      </c>
      <c r="F31" s="205">
        <v>30.7</v>
      </c>
    </row>
    <row r="32" spans="2:6">
      <c r="B32" s="200">
        <v>2011</v>
      </c>
      <c r="C32" s="201">
        <v>81</v>
      </c>
      <c r="D32" s="204">
        <v>0.13300000000000001</v>
      </c>
      <c r="E32" s="204">
        <v>0.12</v>
      </c>
      <c r="F32" s="205">
        <v>27</v>
      </c>
    </row>
    <row r="33" spans="2:6" ht="24.6">
      <c r="B33" s="200" t="s">
        <v>322</v>
      </c>
      <c r="C33" s="206">
        <v>7617</v>
      </c>
      <c r="D33" s="204">
        <v>0.17899999999999999</v>
      </c>
      <c r="E33" s="204">
        <v>0.186</v>
      </c>
      <c r="F33" s="205">
        <v>696</v>
      </c>
    </row>
    <row r="34" spans="2:6" ht="26.4" customHeight="1">
      <c r="B34" s="352" t="s">
        <v>323</v>
      </c>
      <c r="C34" s="352"/>
      <c r="D34" s="352"/>
      <c r="E34" s="352"/>
      <c r="F34" s="352"/>
    </row>
    <row r="35" spans="2:6">
      <c r="B35" s="200"/>
      <c r="C35" s="201" t="s">
        <v>324</v>
      </c>
      <c r="D35" s="201" t="s">
        <v>325</v>
      </c>
      <c r="E35" s="201" t="s">
        <v>326</v>
      </c>
      <c r="F35" s="200"/>
    </row>
    <row r="36" spans="2:6" ht="24.6">
      <c r="B36" s="200" t="s">
        <v>327</v>
      </c>
      <c r="C36" s="207">
        <v>0.04</v>
      </c>
      <c r="D36" s="207">
        <v>0.11</v>
      </c>
      <c r="E36" s="207">
        <v>0.32</v>
      </c>
      <c r="F36" s="200"/>
    </row>
    <row r="37" spans="2:6" ht="24.6">
      <c r="B37" s="200" t="s">
        <v>328</v>
      </c>
      <c r="C37" s="207">
        <v>0.09</v>
      </c>
      <c r="D37" s="207">
        <v>0.26</v>
      </c>
      <c r="E37" s="207">
        <v>1.21</v>
      </c>
      <c r="F37" s="200"/>
    </row>
    <row r="38" spans="2:6" ht="24.6">
      <c r="B38" s="200" t="s">
        <v>329</v>
      </c>
      <c r="C38" s="207">
        <v>0.03</v>
      </c>
      <c r="D38" s="207">
        <v>0.1</v>
      </c>
      <c r="E38" s="207">
        <v>0.3</v>
      </c>
      <c r="F38" s="200"/>
    </row>
    <row r="39" spans="2:6" ht="24.9" thickBot="1">
      <c r="B39" s="202" t="s">
        <v>322</v>
      </c>
      <c r="C39" s="208">
        <v>0.03</v>
      </c>
      <c r="D39" s="208">
        <v>0.11</v>
      </c>
      <c r="E39" s="208">
        <v>0.5</v>
      </c>
      <c r="F39" s="202"/>
    </row>
    <row r="40" spans="2:6" ht="14.1">
      <c r="B40" s="189"/>
    </row>
  </sheetData>
  <mergeCells count="5">
    <mergeCell ref="B6:I6"/>
    <mergeCell ref="D8:E8"/>
    <mergeCell ref="B9:B10"/>
    <mergeCell ref="E9:E10"/>
    <mergeCell ref="B34:F3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3:N80"/>
  <sheetViews>
    <sheetView zoomScale="70" zoomScaleNormal="70" workbookViewId="0">
      <selection activeCell="J37" sqref="J37"/>
    </sheetView>
  </sheetViews>
  <sheetFormatPr baseColWidth="10" defaultColWidth="8.88671875" defaultRowHeight="12.3"/>
  <cols>
    <col min="1" max="1" width="8.88671875" customWidth="1"/>
    <col min="2" max="2" width="30.33203125" bestFit="1" customWidth="1"/>
    <col min="3" max="3" width="10.77734375" customWidth="1"/>
    <col min="4" max="4" width="10.33203125" bestFit="1" customWidth="1"/>
    <col min="5" max="5" width="8.88671875" customWidth="1"/>
    <col min="6" max="6" width="10.33203125" customWidth="1"/>
    <col min="7" max="7" width="10.44140625" bestFit="1" customWidth="1"/>
    <col min="8" max="8" width="9.44140625" bestFit="1" customWidth="1"/>
    <col min="9" max="9" width="8.88671875" customWidth="1"/>
    <col min="10" max="10" width="10.33203125" customWidth="1"/>
    <col min="11" max="12" width="8.88671875" customWidth="1"/>
    <col min="13" max="13" width="9.44140625" customWidth="1"/>
    <col min="14" max="14" width="10.33203125" customWidth="1"/>
  </cols>
  <sheetData>
    <row r="3" spans="2:14" s="16" customFormat="1">
      <c r="B3" s="18" t="s">
        <v>151</v>
      </c>
      <c r="C3" s="26"/>
      <c r="D3" s="26"/>
      <c r="E3" s="26"/>
      <c r="F3" s="26"/>
      <c r="G3" s="26"/>
      <c r="H3" s="26"/>
      <c r="I3" s="26"/>
      <c r="J3" s="26"/>
      <c r="K3" s="26"/>
      <c r="L3" s="26"/>
      <c r="M3" s="26"/>
      <c r="N3" s="26"/>
    </row>
    <row r="4" spans="2:14" s="16" customFormat="1">
      <c r="B4" s="104"/>
      <c r="C4" s="105">
        <v>2011</v>
      </c>
      <c r="D4" s="105" t="s">
        <v>219</v>
      </c>
      <c r="E4" s="105" t="s">
        <v>113</v>
      </c>
      <c r="F4" s="105" t="s">
        <v>114</v>
      </c>
      <c r="G4" s="105" t="s">
        <v>220</v>
      </c>
      <c r="H4" s="105" t="s">
        <v>221</v>
      </c>
      <c r="I4" s="105" t="s">
        <v>222</v>
      </c>
      <c r="J4" s="105" t="s">
        <v>223</v>
      </c>
      <c r="K4" s="105" t="s">
        <v>224</v>
      </c>
      <c r="L4" s="105" t="s">
        <v>225</v>
      </c>
      <c r="M4" s="105" t="s">
        <v>226</v>
      </c>
      <c r="N4" s="106" t="s">
        <v>227</v>
      </c>
    </row>
    <row r="5" spans="2:14" s="16" customFormat="1" ht="12.6">
      <c r="B5" s="107" t="s">
        <v>130</v>
      </c>
      <c r="C5" s="108" t="s">
        <v>131</v>
      </c>
      <c r="D5" s="108">
        <v>1</v>
      </c>
      <c r="E5" s="108">
        <v>2</v>
      </c>
      <c r="F5" s="108">
        <v>3</v>
      </c>
      <c r="G5" s="108">
        <v>4</v>
      </c>
      <c r="H5" s="108">
        <v>5</v>
      </c>
      <c r="I5" s="108">
        <v>6</v>
      </c>
      <c r="J5" s="108">
        <v>7</v>
      </c>
      <c r="K5" s="108">
        <v>8</v>
      </c>
      <c r="L5" s="108">
        <v>9</v>
      </c>
      <c r="M5" s="109">
        <v>10</v>
      </c>
      <c r="N5" s="110" t="s">
        <v>228</v>
      </c>
    </row>
    <row r="6" spans="2:14" s="16" customFormat="1" ht="12.6">
      <c r="B6" s="111" t="s">
        <v>132</v>
      </c>
      <c r="C6" s="112"/>
      <c r="D6" s="112"/>
      <c r="E6" s="112"/>
      <c r="F6" s="112"/>
      <c r="G6" s="112"/>
      <c r="H6" s="112"/>
      <c r="I6" s="112"/>
      <c r="J6" s="112"/>
      <c r="K6" s="112"/>
      <c r="L6" s="112"/>
      <c r="M6" s="113"/>
      <c r="N6" s="114"/>
    </row>
    <row r="7" spans="2:14" s="16" customFormat="1">
      <c r="B7" s="115" t="s">
        <v>133</v>
      </c>
      <c r="C7" s="116"/>
      <c r="D7" s="117">
        <f>C49</f>
        <v>0.4</v>
      </c>
      <c r="E7" s="117">
        <f>D7</f>
        <v>0.4</v>
      </c>
      <c r="F7" s="117">
        <f>E7</f>
        <v>0.4</v>
      </c>
      <c r="G7" s="117">
        <f>F7</f>
        <v>0.4</v>
      </c>
      <c r="H7" s="117">
        <f>G7</f>
        <v>0.4</v>
      </c>
      <c r="I7" s="117">
        <f>H7-((H7-C54)/5)</f>
        <v>0.32400000000000001</v>
      </c>
      <c r="J7" s="117">
        <f>H7-((H7-C54)/5)*2</f>
        <v>0.24800000000000003</v>
      </c>
      <c r="K7" s="117">
        <f>H7-((H7-C54)/5)*3</f>
        <v>0.17200000000000004</v>
      </c>
      <c r="L7" s="117">
        <f>H7-((H7-C54)/5)*4</f>
        <v>9.600000000000003E-2</v>
      </c>
      <c r="M7" s="117">
        <f>H7-((H7-C54)/5)*5</f>
        <v>2.0000000000000018E-2</v>
      </c>
      <c r="N7" s="116">
        <v>0.02</v>
      </c>
    </row>
    <row r="8" spans="2:14" s="16" customFormat="1">
      <c r="B8" s="115" t="s">
        <v>134</v>
      </c>
      <c r="C8" s="117">
        <f>C15/C14</f>
        <v>0.45675020210185935</v>
      </c>
      <c r="D8" s="117">
        <f t="shared" ref="D8:M8" si="0">$C$50-(($C$50-$C$8)/10)*(10-D5)</f>
        <v>0.44607518189167339</v>
      </c>
      <c r="E8" s="117">
        <f t="shared" si="0"/>
        <v>0.43540016168148749</v>
      </c>
      <c r="F8" s="117">
        <f t="shared" si="0"/>
        <v>0.42472514147130153</v>
      </c>
      <c r="G8" s="117">
        <f t="shared" si="0"/>
        <v>0.41405012126111562</v>
      </c>
      <c r="H8" s="117">
        <f t="shared" si="0"/>
        <v>0.40337510105092966</v>
      </c>
      <c r="I8" s="117">
        <f t="shared" si="0"/>
        <v>0.3927000808407437</v>
      </c>
      <c r="J8" s="117">
        <f t="shared" si="0"/>
        <v>0.3820250606305578</v>
      </c>
      <c r="K8" s="117">
        <f t="shared" si="0"/>
        <v>0.37135004042037184</v>
      </c>
      <c r="L8" s="117">
        <f t="shared" si="0"/>
        <v>0.36067502021018594</v>
      </c>
      <c r="M8" s="117">
        <f t="shared" si="0"/>
        <v>0.35</v>
      </c>
      <c r="N8" s="116">
        <f>M8</f>
        <v>0.35</v>
      </c>
    </row>
    <row r="9" spans="2:14" s="16" customFormat="1">
      <c r="B9" s="115" t="s">
        <v>135</v>
      </c>
      <c r="C9" s="118">
        <f>C45</f>
        <v>0.4</v>
      </c>
      <c r="D9" s="118">
        <f>C9</f>
        <v>0.4</v>
      </c>
      <c r="E9" s="118">
        <f>D9</f>
        <v>0.4</v>
      </c>
      <c r="F9" s="118">
        <f>E9</f>
        <v>0.4</v>
      </c>
      <c r="G9" s="118">
        <f>F9</f>
        <v>0.4</v>
      </c>
      <c r="H9" s="118">
        <f>G9</f>
        <v>0.4</v>
      </c>
      <c r="I9" s="118">
        <f>H9+($N$9-$H$9)/5</f>
        <v>0.39</v>
      </c>
      <c r="J9" s="118">
        <f>I9+($N$9-$H$9)/5</f>
        <v>0.38</v>
      </c>
      <c r="K9" s="118">
        <f>J9+($N$9-$H$9)/5</f>
        <v>0.37</v>
      </c>
      <c r="L9" s="118">
        <f>K9+($N$9-$H$9)/5</f>
        <v>0.36</v>
      </c>
      <c r="M9" s="118">
        <f>L9+($N$9-$H$9)/5</f>
        <v>0.35</v>
      </c>
      <c r="N9" s="118">
        <f>C46</f>
        <v>0.35</v>
      </c>
    </row>
    <row r="10" spans="2:14" s="16" customFormat="1">
      <c r="B10" s="115" t="s">
        <v>208</v>
      </c>
      <c r="C10" s="119"/>
      <c r="D10" s="120">
        <v>0.67</v>
      </c>
      <c r="E10" s="120">
        <f>D10</f>
        <v>0.67</v>
      </c>
      <c r="F10" s="120">
        <f t="shared" ref="F10:M10" si="1">E10</f>
        <v>0.67</v>
      </c>
      <c r="G10" s="120">
        <f t="shared" si="1"/>
        <v>0.67</v>
      </c>
      <c r="H10" s="120">
        <f t="shared" si="1"/>
        <v>0.67</v>
      </c>
      <c r="I10" s="120">
        <f t="shared" si="1"/>
        <v>0.67</v>
      </c>
      <c r="J10" s="120">
        <f t="shared" si="1"/>
        <v>0.67</v>
      </c>
      <c r="K10" s="120">
        <f t="shared" si="1"/>
        <v>0.67</v>
      </c>
      <c r="L10" s="120">
        <f t="shared" si="1"/>
        <v>0.67</v>
      </c>
      <c r="M10" s="120">
        <f t="shared" si="1"/>
        <v>0.67</v>
      </c>
      <c r="N10" s="121">
        <v>1</v>
      </c>
    </row>
    <row r="11" spans="2:14" s="16" customFormat="1">
      <c r="B11" s="115" t="s">
        <v>136</v>
      </c>
      <c r="C11" s="117"/>
      <c r="D11" s="117">
        <f>J32</f>
        <v>0.11061120359550916</v>
      </c>
      <c r="E11" s="117">
        <f>D11</f>
        <v>0.11061120359550916</v>
      </c>
      <c r="F11" s="117">
        <f>E11</f>
        <v>0.11061120359550916</v>
      </c>
      <c r="G11" s="117">
        <f>F11</f>
        <v>0.11061120359550916</v>
      </c>
      <c r="H11" s="117">
        <f>G11</f>
        <v>0.11061120359550916</v>
      </c>
      <c r="I11" s="117">
        <f>H11-($H$11-$N$11)/5</f>
        <v>0.10448896287640733</v>
      </c>
      <c r="J11" s="117">
        <f>I11-($H$11-$N$11)/5</f>
        <v>9.8366722157305492E-2</v>
      </c>
      <c r="K11" s="117">
        <f>J11-($H$11-$N$11)/5</f>
        <v>9.2244481438203657E-2</v>
      </c>
      <c r="L11" s="117">
        <f>K11-($H$11-$N$11)/5</f>
        <v>8.6122240719101822E-2</v>
      </c>
      <c r="M11" s="117">
        <f>L11-($H$11-$N$11)/5</f>
        <v>7.9999999999999988E-2</v>
      </c>
      <c r="N11" s="116">
        <f>C56</f>
        <v>0.08</v>
      </c>
    </row>
    <row r="12" spans="2:14" s="16" customFormat="1">
      <c r="B12" s="115"/>
      <c r="C12" s="117"/>
      <c r="D12" s="122">
        <f>D17/(D14-C14)</f>
        <v>0.67</v>
      </c>
      <c r="E12" s="122">
        <f t="shared" ref="E12:N12" si="2">E17/(E14-D14)</f>
        <v>0.67</v>
      </c>
      <c r="F12" s="122">
        <f t="shared" si="2"/>
        <v>0.67</v>
      </c>
      <c r="G12" s="122">
        <f t="shared" si="2"/>
        <v>0.67</v>
      </c>
      <c r="H12" s="122">
        <f t="shared" si="2"/>
        <v>0.67</v>
      </c>
      <c r="I12" s="122">
        <f t="shared" si="2"/>
        <v>0.67</v>
      </c>
      <c r="J12" s="122">
        <f t="shared" si="2"/>
        <v>0.66999999999999993</v>
      </c>
      <c r="K12" s="122">
        <f t="shared" si="2"/>
        <v>0.67</v>
      </c>
      <c r="L12" s="122">
        <f t="shared" si="2"/>
        <v>0.67</v>
      </c>
      <c r="M12" s="122">
        <f t="shared" si="2"/>
        <v>0.67</v>
      </c>
      <c r="N12" s="122">
        <f t="shared" si="2"/>
        <v>1</v>
      </c>
    </row>
    <row r="13" spans="2:14" s="16" customFormat="1" ht="12.6">
      <c r="B13" s="123" t="s">
        <v>137</v>
      </c>
      <c r="C13" s="117"/>
      <c r="D13" s="117"/>
      <c r="E13" s="117"/>
      <c r="F13" s="117"/>
      <c r="G13" s="117"/>
      <c r="H13" s="117"/>
      <c r="I13" s="117"/>
      <c r="J13" s="117"/>
      <c r="K13" s="117"/>
      <c r="L13" s="117"/>
      <c r="M13" s="117"/>
      <c r="N13" s="116"/>
    </row>
    <row r="14" spans="2:14" s="16" customFormat="1">
      <c r="B14" s="115" t="s">
        <v>123</v>
      </c>
      <c r="C14" s="124">
        <f>C38</f>
        <v>3711</v>
      </c>
      <c r="D14" s="124">
        <f t="shared" ref="D14:N14" si="3">C14*(1+D7)</f>
        <v>5195.3999999999996</v>
      </c>
      <c r="E14" s="124">
        <f t="shared" si="3"/>
        <v>7273.5599999999986</v>
      </c>
      <c r="F14" s="124">
        <f t="shared" si="3"/>
        <v>10182.983999999997</v>
      </c>
      <c r="G14" s="124">
        <f t="shared" si="3"/>
        <v>14256.177599999995</v>
      </c>
      <c r="H14" s="124">
        <f t="shared" si="3"/>
        <v>19958.648639999992</v>
      </c>
      <c r="I14" s="124">
        <f t="shared" si="3"/>
        <v>26425.25079935999</v>
      </c>
      <c r="J14" s="124">
        <f t="shared" si="3"/>
        <v>32978.712997601266</v>
      </c>
      <c r="K14" s="124">
        <f t="shared" si="3"/>
        <v>38651.05163318869</v>
      </c>
      <c r="L14" s="124">
        <f t="shared" si="3"/>
        <v>42361.55258997481</v>
      </c>
      <c r="M14" s="124">
        <f t="shared" si="3"/>
        <v>43208.783641774309</v>
      </c>
      <c r="N14" s="124">
        <f t="shared" si="3"/>
        <v>44072.959314609798</v>
      </c>
    </row>
    <row r="15" spans="2:14" s="16" customFormat="1">
      <c r="B15" s="115" t="s">
        <v>138</v>
      </c>
      <c r="C15" s="124">
        <f>C39</f>
        <v>1695</v>
      </c>
      <c r="D15" s="124">
        <f t="shared" ref="D15:N15" si="4">D8*D14</f>
        <v>2317.5389999999998</v>
      </c>
      <c r="E15" s="124">
        <f t="shared" si="4"/>
        <v>3166.9091999999996</v>
      </c>
      <c r="F15" s="124">
        <f t="shared" si="4"/>
        <v>4324.9693199999983</v>
      </c>
      <c r="G15" s="124">
        <f t="shared" si="4"/>
        <v>5902.772063999998</v>
      </c>
      <c r="H15" s="124">
        <f t="shared" si="4"/>
        <v>8050.8219119999967</v>
      </c>
      <c r="I15" s="124">
        <f t="shared" si="4"/>
        <v>10377.198125145595</v>
      </c>
      <c r="J15" s="124">
        <f t="shared" si="4"/>
        <v>12598.694832426389</v>
      </c>
      <c r="K15" s="124">
        <f t="shared" si="4"/>
        <v>14353.0695862745</v>
      </c>
      <c r="L15" s="124">
        <f t="shared" si="4"/>
        <v>15278.75383652402</v>
      </c>
      <c r="M15" s="124">
        <f t="shared" si="4"/>
        <v>15123.074274621007</v>
      </c>
      <c r="N15" s="124">
        <f t="shared" si="4"/>
        <v>15425.535760113427</v>
      </c>
    </row>
    <row r="16" spans="2:14" s="16" customFormat="1">
      <c r="B16" s="115" t="s">
        <v>139</v>
      </c>
      <c r="C16" s="124">
        <f t="shared" ref="C16:N16" si="5">C15*(1-C9)</f>
        <v>1017</v>
      </c>
      <c r="D16" s="124">
        <f t="shared" si="5"/>
        <v>1390.5233999999998</v>
      </c>
      <c r="E16" s="124">
        <f t="shared" si="5"/>
        <v>1900.1455199999996</v>
      </c>
      <c r="F16" s="124">
        <f t="shared" si="5"/>
        <v>2594.9815919999987</v>
      </c>
      <c r="G16" s="124">
        <f t="shared" si="5"/>
        <v>3541.6632383999986</v>
      </c>
      <c r="H16" s="124">
        <f t="shared" si="5"/>
        <v>4830.493147199998</v>
      </c>
      <c r="I16" s="124">
        <f t="shared" si="5"/>
        <v>6330.090856338813</v>
      </c>
      <c r="J16" s="124">
        <f t="shared" si="5"/>
        <v>7811.1907961043607</v>
      </c>
      <c r="K16" s="124">
        <f t="shared" si="5"/>
        <v>9042.4338393529342</v>
      </c>
      <c r="L16" s="124">
        <f t="shared" si="5"/>
        <v>9778.4024553753734</v>
      </c>
      <c r="M16" s="124">
        <f t="shared" si="5"/>
        <v>9829.9982785036555</v>
      </c>
      <c r="N16" s="124">
        <f t="shared" si="5"/>
        <v>10026.598244073728</v>
      </c>
    </row>
    <row r="17" spans="2:14" s="16" customFormat="1">
      <c r="B17" s="115" t="s">
        <v>207</v>
      </c>
      <c r="C17" s="124"/>
      <c r="D17" s="125">
        <f>(D14-C14)*D10</f>
        <v>994.54799999999977</v>
      </c>
      <c r="E17" s="125">
        <f t="shared" ref="E17:N17" si="6">(E14-D14)*E10</f>
        <v>1392.3671999999995</v>
      </c>
      <c r="F17" s="125">
        <f t="shared" si="6"/>
        <v>1949.314079999999</v>
      </c>
      <c r="G17" s="125">
        <f t="shared" si="6"/>
        <v>2729.0397119999993</v>
      </c>
      <c r="H17" s="125">
        <f t="shared" si="6"/>
        <v>3820.655596799998</v>
      </c>
      <c r="I17" s="125">
        <f t="shared" si="6"/>
        <v>4332.6234467711993</v>
      </c>
      <c r="J17" s="125">
        <f t="shared" si="6"/>
        <v>4390.8196728216544</v>
      </c>
      <c r="K17" s="125">
        <f t="shared" si="6"/>
        <v>3800.4668858435748</v>
      </c>
      <c r="L17" s="125">
        <f t="shared" si="6"/>
        <v>2486.0356410467002</v>
      </c>
      <c r="M17" s="125">
        <f t="shared" si="6"/>
        <v>567.64480470566457</v>
      </c>
      <c r="N17" s="125">
        <f t="shared" si="6"/>
        <v>864.17567283548851</v>
      </c>
    </row>
    <row r="18" spans="2:14" s="16" customFormat="1">
      <c r="B18" s="115" t="s">
        <v>140</v>
      </c>
      <c r="C18" s="124"/>
      <c r="D18" s="124">
        <f t="shared" ref="D18:M18" si="7">D16-D17</f>
        <v>395.97540000000004</v>
      </c>
      <c r="E18" s="124">
        <f t="shared" si="7"/>
        <v>507.77832000000012</v>
      </c>
      <c r="F18" s="124">
        <f t="shared" si="7"/>
        <v>645.66751199999976</v>
      </c>
      <c r="G18" s="124">
        <f t="shared" si="7"/>
        <v>812.62352639999926</v>
      </c>
      <c r="H18" s="124">
        <f t="shared" si="7"/>
        <v>1009.8375504000001</v>
      </c>
      <c r="I18" s="124">
        <f t="shared" si="7"/>
        <v>1997.4674095676137</v>
      </c>
      <c r="J18" s="124">
        <f t="shared" si="7"/>
        <v>3420.3711232827063</v>
      </c>
      <c r="K18" s="124">
        <f t="shared" si="7"/>
        <v>5241.9669535093599</v>
      </c>
      <c r="L18" s="124">
        <f t="shared" si="7"/>
        <v>7292.3668143286732</v>
      </c>
      <c r="M18" s="124">
        <f t="shared" si="7"/>
        <v>9262.3534737979917</v>
      </c>
      <c r="N18" s="126">
        <f>N16-N17</f>
        <v>9162.4225712382395</v>
      </c>
    </row>
    <row r="19" spans="2:14" s="16" customFormat="1">
      <c r="B19" s="115" t="s">
        <v>141</v>
      </c>
      <c r="C19" s="124"/>
      <c r="D19" s="124"/>
      <c r="E19" s="124"/>
      <c r="F19" s="124"/>
      <c r="G19" s="124"/>
      <c r="H19" s="124"/>
      <c r="I19" s="124"/>
      <c r="J19" s="124"/>
      <c r="K19" s="124"/>
      <c r="L19" s="124"/>
      <c r="M19" s="124"/>
      <c r="N19" s="126">
        <f>N18/(N11-N7)</f>
        <v>152707.04285397066</v>
      </c>
    </row>
    <row r="20" spans="2:14" s="16" customFormat="1">
      <c r="B20" s="115"/>
      <c r="C20" s="119"/>
      <c r="D20" s="119"/>
      <c r="E20" s="119"/>
      <c r="F20" s="119"/>
      <c r="G20" s="119"/>
      <c r="H20" s="119"/>
      <c r="I20" s="119"/>
      <c r="J20" s="119"/>
      <c r="K20" s="119"/>
      <c r="L20" s="119"/>
      <c r="M20" s="119"/>
      <c r="N20" s="119"/>
    </row>
    <row r="21" spans="2:14" s="16" customFormat="1" ht="12.6">
      <c r="B21" s="123" t="s">
        <v>142</v>
      </c>
      <c r="C21" s="119"/>
      <c r="D21" s="119"/>
      <c r="E21" s="119"/>
      <c r="F21" s="119"/>
      <c r="G21" s="119"/>
      <c r="H21" s="119"/>
      <c r="I21" s="119"/>
      <c r="J21" s="119"/>
      <c r="K21" s="119"/>
      <c r="L21" s="119"/>
      <c r="M21" s="119"/>
      <c r="N21" s="119"/>
    </row>
    <row r="22" spans="2:14" s="16" customFormat="1">
      <c r="B22" s="127" t="s">
        <v>143</v>
      </c>
      <c r="C22" s="119"/>
      <c r="D22" s="128">
        <f>1/(1+D11)</f>
        <v>0.90040510735222656</v>
      </c>
      <c r="E22" s="128">
        <f t="shared" ref="E22:M22" si="8">D22*(1/(1+E11))</f>
        <v>0.81072935734597462</v>
      </c>
      <c r="F22" s="128">
        <f t="shared" si="8"/>
        <v>0.72998485403470392</v>
      </c>
      <c r="G22" s="128">
        <f t="shared" si="8"/>
        <v>0.65728209086261702</v>
      </c>
      <c r="H22" s="128">
        <f t="shared" si="8"/>
        <v>0.5918201515838506</v>
      </c>
      <c r="I22" s="128">
        <f t="shared" si="8"/>
        <v>0.53583165742333938</v>
      </c>
      <c r="J22" s="128">
        <f t="shared" si="8"/>
        <v>0.48784403843819191</v>
      </c>
      <c r="K22" s="128">
        <f t="shared" si="8"/>
        <v>0.4466436285361931</v>
      </c>
      <c r="L22" s="128">
        <f t="shared" si="8"/>
        <v>0.41122777141593059</v>
      </c>
      <c r="M22" s="128">
        <f t="shared" si="8"/>
        <v>0.38076645501475048</v>
      </c>
      <c r="N22" s="128">
        <f>M22</f>
        <v>0.38076645501475048</v>
      </c>
    </row>
    <row r="23" spans="2:14" s="16" customFormat="1">
      <c r="B23" s="127" t="s">
        <v>152</v>
      </c>
      <c r="C23" s="129"/>
      <c r="D23" s="124">
        <f t="shared" ref="D23:M23" si="9">D18*D22</f>
        <v>356.53827254584087</v>
      </c>
      <c r="E23" s="124">
        <f t="shared" si="9"/>
        <v>411.67079104781874</v>
      </c>
      <c r="F23" s="124">
        <f t="shared" si="9"/>
        <v>471.32750450227024</v>
      </c>
      <c r="G23" s="124">
        <f t="shared" si="9"/>
        <v>534.12289051634457</v>
      </c>
      <c r="H23" s="124">
        <f t="shared" si="9"/>
        <v>597.64221215279235</v>
      </c>
      <c r="I23" s="124">
        <f t="shared" si="9"/>
        <v>1070.3062727177187</v>
      </c>
      <c r="J23" s="124">
        <f t="shared" si="9"/>
        <v>1668.6076617396102</v>
      </c>
      <c r="K23" s="124">
        <f t="shared" si="9"/>
        <v>2341.2911407822344</v>
      </c>
      <c r="L23" s="124">
        <f t="shared" si="9"/>
        <v>2998.8237534038694</v>
      </c>
      <c r="M23" s="124">
        <f t="shared" si="9"/>
        <v>3526.7934973116207</v>
      </c>
      <c r="N23" s="124">
        <f>N19*N22</f>
        <v>58145.719363291995</v>
      </c>
    </row>
    <row r="24" spans="2:14" s="16" customFormat="1">
      <c r="B24" s="127"/>
      <c r="C24" s="119"/>
      <c r="D24" s="119"/>
      <c r="E24" s="119"/>
      <c r="F24" s="119"/>
      <c r="G24" s="119"/>
      <c r="H24" s="119"/>
      <c r="I24" s="119"/>
      <c r="J24" s="119"/>
      <c r="K24" s="119"/>
      <c r="L24" s="119"/>
      <c r="M24" s="119"/>
      <c r="N24" s="114"/>
    </row>
    <row r="25" spans="2:14" s="16" customFormat="1">
      <c r="B25" s="127" t="s">
        <v>229</v>
      </c>
      <c r="C25" s="129">
        <f>SUM(D23:N23)</f>
        <v>72122.843360012121</v>
      </c>
      <c r="D25" s="129"/>
      <c r="E25" s="119"/>
      <c r="F25" s="119"/>
      <c r="G25" s="119"/>
      <c r="H25" s="119"/>
      <c r="I25" s="119"/>
      <c r="J25" s="119"/>
      <c r="K25" s="119"/>
      <c r="L25" s="119"/>
      <c r="M25" s="114"/>
      <c r="N25" s="114"/>
    </row>
    <row r="26" spans="2:14" s="16" customFormat="1">
      <c r="B26" s="130" t="s">
        <v>144</v>
      </c>
      <c r="C26" s="131">
        <f>C41</f>
        <v>1587</v>
      </c>
      <c r="D26" s="119"/>
      <c r="E26" s="119"/>
      <c r="F26" s="119"/>
      <c r="G26" s="119"/>
      <c r="H26" s="119"/>
      <c r="I26" s="119"/>
      <c r="J26" s="119"/>
      <c r="K26" s="119"/>
      <c r="L26" s="119"/>
      <c r="M26" s="114"/>
      <c r="N26" s="114"/>
    </row>
    <row r="27" spans="2:14" s="16" customFormat="1">
      <c r="B27" s="130" t="s">
        <v>230</v>
      </c>
      <c r="C27" s="132">
        <f>C42</f>
        <v>2000</v>
      </c>
      <c r="D27" s="119"/>
      <c r="E27" s="119"/>
      <c r="F27" s="119"/>
      <c r="G27" s="119"/>
      <c r="H27" s="119"/>
      <c r="I27" s="119"/>
      <c r="J27" s="119"/>
      <c r="K27" s="119"/>
      <c r="L27" s="119"/>
      <c r="M27" s="114"/>
      <c r="N27" s="114"/>
    </row>
    <row r="28" spans="2:14" s="16" customFormat="1">
      <c r="B28" s="127" t="s">
        <v>145</v>
      </c>
      <c r="C28" s="129">
        <f>C25-C26+C27</f>
        <v>72535.843360012121</v>
      </c>
      <c r="D28" s="119"/>
      <c r="E28" s="119"/>
      <c r="F28" s="119"/>
      <c r="G28" s="119"/>
      <c r="H28" s="119"/>
      <c r="I28" s="119"/>
      <c r="J28" s="119"/>
      <c r="K28" s="119"/>
      <c r="L28" s="119"/>
      <c r="M28" s="114"/>
      <c r="N28" s="114"/>
    </row>
    <row r="29" spans="2:14" s="16" customFormat="1" ht="12.6">
      <c r="B29" s="130" t="s">
        <v>146</v>
      </c>
      <c r="C29" s="133">
        <v>3088.4895087533137</v>
      </c>
      <c r="D29" s="119"/>
      <c r="E29" s="134" t="s">
        <v>181</v>
      </c>
      <c r="F29" s="115"/>
      <c r="G29" s="135" t="s">
        <v>169</v>
      </c>
      <c r="H29" s="135" t="s">
        <v>182</v>
      </c>
      <c r="I29" s="135" t="s">
        <v>183</v>
      </c>
      <c r="J29" s="135" t="s">
        <v>184</v>
      </c>
      <c r="K29" s="119"/>
      <c r="L29" s="119"/>
      <c r="M29" s="114"/>
      <c r="N29" s="114"/>
    </row>
    <row r="30" spans="2:14" s="16" customFormat="1">
      <c r="B30" s="127" t="s">
        <v>147</v>
      </c>
      <c r="C30" s="129">
        <f>C28-C29</f>
        <v>69447.353851258813</v>
      </c>
      <c r="D30" s="119"/>
      <c r="E30" s="136" t="s">
        <v>185</v>
      </c>
      <c r="F30" s="137"/>
      <c r="G30" s="274">
        <f>C60*C61</f>
        <v>74407.8</v>
      </c>
      <c r="H30" s="274">
        <f>C41</f>
        <v>1587</v>
      </c>
      <c r="I30" s="274">
        <f>C73*C74</f>
        <v>0</v>
      </c>
      <c r="J30" s="275">
        <f>SUM(G30:I30)</f>
        <v>75994.8</v>
      </c>
      <c r="K30" s="119"/>
      <c r="L30" s="119"/>
      <c r="M30" s="114"/>
      <c r="N30" s="114"/>
    </row>
    <row r="31" spans="2:14" s="16" customFormat="1" ht="12.6" thickBot="1">
      <c r="B31" s="127" t="s">
        <v>344</v>
      </c>
      <c r="C31" s="138">
        <f>C43</f>
        <v>1958.1</v>
      </c>
      <c r="D31" s="115"/>
      <c r="E31" s="136" t="s">
        <v>186</v>
      </c>
      <c r="F31" s="137"/>
      <c r="G31" s="276">
        <f>G30/$J$30</f>
        <v>0.97911699221525683</v>
      </c>
      <c r="H31" s="276">
        <f>H30/$J$30</f>
        <v>2.0883007784743165E-2</v>
      </c>
      <c r="I31" s="276">
        <f>I30/$J$30</f>
        <v>0</v>
      </c>
      <c r="J31" s="277">
        <f>SUM(G31:I31)</f>
        <v>1</v>
      </c>
      <c r="K31" s="119"/>
      <c r="L31" s="119"/>
      <c r="M31" s="114"/>
      <c r="N31" s="114"/>
    </row>
    <row r="32" spans="2:14" s="16" customFormat="1" ht="12.6" thickBot="1">
      <c r="B32" s="127" t="s">
        <v>148</v>
      </c>
      <c r="C32" s="273">
        <f>C30/C31</f>
        <v>35.466704382441556</v>
      </c>
      <c r="D32" s="119"/>
      <c r="E32" s="136" t="s">
        <v>187</v>
      </c>
      <c r="F32" s="137"/>
      <c r="G32" s="140">
        <f>C64+C66*C65</f>
        <v>0.11246434809253868</v>
      </c>
      <c r="H32" s="139">
        <f>C69*(1-C70)</f>
        <v>2.3725E-2</v>
      </c>
      <c r="I32" s="141">
        <f>C75/C74</f>
        <v>7.1428571428571425E-2</v>
      </c>
      <c r="J32" s="142">
        <f>G31*G32+H31*H32+I31*I32</f>
        <v>0.11061120359550916</v>
      </c>
      <c r="K32" s="119"/>
      <c r="L32" s="119"/>
      <c r="M32" s="114"/>
      <c r="N32" s="114"/>
    </row>
    <row r="33" spans="2:14" s="16" customFormat="1">
      <c r="B33" s="127" t="s">
        <v>149</v>
      </c>
      <c r="C33" s="143">
        <f>C44</f>
        <v>38</v>
      </c>
      <c r="D33" s="119"/>
      <c r="E33" s="115"/>
      <c r="F33" s="119"/>
      <c r="G33" s="119"/>
      <c r="H33" s="119"/>
      <c r="I33" s="119"/>
      <c r="J33" s="119"/>
      <c r="K33" s="119"/>
      <c r="L33" s="119"/>
      <c r="M33" s="114"/>
      <c r="N33" s="114"/>
    </row>
    <row r="34" spans="2:14" s="16" customFormat="1">
      <c r="B34" s="144" t="s">
        <v>150</v>
      </c>
      <c r="C34" s="145">
        <f>C33/C32</f>
        <v>1.0714274320568842</v>
      </c>
      <c r="D34" s="146"/>
      <c r="E34" s="147"/>
      <c r="F34" s="146"/>
      <c r="G34" s="146"/>
      <c r="H34" s="146"/>
      <c r="I34" s="146"/>
      <c r="J34" s="146"/>
      <c r="K34" s="146"/>
      <c r="L34" s="146"/>
      <c r="M34" s="110"/>
      <c r="N34" s="110"/>
    </row>
    <row r="35" spans="2:14" s="16" customFormat="1">
      <c r="B35" s="27"/>
      <c r="C35" s="26"/>
      <c r="D35" s="26"/>
      <c r="F35" s="26"/>
      <c r="G35" s="26"/>
      <c r="H35" s="26"/>
      <c r="I35" s="26"/>
      <c r="J35" s="26"/>
      <c r="K35" s="26"/>
      <c r="L35" s="26"/>
      <c r="M35" s="26"/>
      <c r="N35" s="26"/>
    </row>
    <row r="36" spans="2:14" s="16" customFormat="1" ht="12.6">
      <c r="B36" s="27"/>
      <c r="C36" s="31"/>
      <c r="D36" s="96"/>
      <c r="E36" s="53"/>
      <c r="F36" s="30"/>
      <c r="G36" s="30"/>
      <c r="H36" s="30"/>
      <c r="I36" s="30"/>
      <c r="J36" s="30"/>
      <c r="K36" s="30"/>
      <c r="L36" s="30"/>
      <c r="M36" s="30"/>
      <c r="N36" s="32"/>
    </row>
    <row r="37" spans="2:14" s="16" customFormat="1">
      <c r="B37" s="31" t="s">
        <v>153</v>
      </c>
      <c r="C37" s="33" t="s">
        <v>231</v>
      </c>
      <c r="D37" s="97"/>
      <c r="E37" s="53"/>
      <c r="F37" s="30"/>
      <c r="G37" s="30"/>
      <c r="H37" s="53"/>
      <c r="I37" s="53"/>
      <c r="J37" s="158"/>
      <c r="K37" s="53"/>
      <c r="L37" s="53"/>
      <c r="M37" s="30"/>
      <c r="N37" s="32"/>
    </row>
    <row r="38" spans="2:14" s="16" customFormat="1" ht="12.6">
      <c r="B38" s="34" t="s">
        <v>123</v>
      </c>
      <c r="C38" s="148">
        <v>3711</v>
      </c>
      <c r="D38" s="149"/>
      <c r="E38" s="160"/>
      <c r="F38" s="30"/>
      <c r="G38" s="161"/>
      <c r="H38" s="159"/>
      <c r="I38" s="159"/>
      <c r="J38" s="159"/>
      <c r="K38" s="159"/>
      <c r="L38" s="159"/>
      <c r="M38" s="30"/>
      <c r="N38" s="32"/>
    </row>
    <row r="39" spans="2:14" ht="12.6">
      <c r="B39" s="34" t="s">
        <v>154</v>
      </c>
      <c r="C39" s="148">
        <v>1695</v>
      </c>
      <c r="D39" s="149"/>
      <c r="E39" s="160"/>
      <c r="F39" s="30"/>
      <c r="G39" s="162"/>
      <c r="H39" s="151"/>
      <c r="I39" s="151"/>
      <c r="J39" s="151"/>
      <c r="K39" s="151"/>
      <c r="L39" s="151"/>
      <c r="M39" s="30"/>
      <c r="N39" s="32"/>
    </row>
    <row r="40" spans="2:14" ht="12.6">
      <c r="B40" s="34" t="s">
        <v>155</v>
      </c>
      <c r="C40" s="148">
        <v>5228</v>
      </c>
      <c r="D40" s="149"/>
      <c r="E40" s="160"/>
      <c r="F40" s="30"/>
      <c r="G40" s="162"/>
      <c r="H40" s="151"/>
      <c r="I40" s="151"/>
      <c r="J40" s="151"/>
      <c r="K40" s="151"/>
      <c r="L40" s="151"/>
      <c r="M40" s="30"/>
      <c r="N40" s="32"/>
    </row>
    <row r="41" spans="2:14" ht="12.6">
      <c r="B41" s="34" t="s">
        <v>156</v>
      </c>
      <c r="C41" s="150">
        <f>'Ex2'!D36</f>
        <v>1587</v>
      </c>
      <c r="D41" s="149"/>
      <c r="E41" s="160"/>
      <c r="F41" s="97"/>
      <c r="G41" s="162"/>
      <c r="H41" s="151"/>
      <c r="I41" s="151"/>
      <c r="J41" s="151"/>
      <c r="K41" s="151"/>
      <c r="L41" s="151"/>
      <c r="M41" s="30"/>
      <c r="N41" s="30"/>
    </row>
    <row r="42" spans="2:14" ht="12.6">
      <c r="B42" s="34" t="s">
        <v>232</v>
      </c>
      <c r="C42" s="148">
        <v>2000</v>
      </c>
      <c r="D42" s="149"/>
      <c r="E42" s="160"/>
      <c r="F42" s="30"/>
      <c r="G42" s="162"/>
      <c r="H42" s="151"/>
      <c r="I42" s="151"/>
      <c r="J42" s="151"/>
      <c r="K42" s="151"/>
      <c r="L42" s="151"/>
      <c r="M42" s="30"/>
      <c r="N42" s="30"/>
    </row>
    <row r="43" spans="2:14" ht="12.6">
      <c r="B43" s="127" t="s">
        <v>344</v>
      </c>
      <c r="C43" s="232">
        <f>C60</f>
        <v>1958.1</v>
      </c>
      <c r="D43" s="98"/>
      <c r="E43" s="30"/>
      <c r="F43" s="30"/>
      <c r="G43" s="162"/>
      <c r="H43" s="151"/>
      <c r="I43" s="151"/>
      <c r="J43" s="151"/>
      <c r="K43" s="151"/>
      <c r="L43" s="151"/>
      <c r="M43" s="30"/>
      <c r="N43" s="30"/>
    </row>
    <row r="44" spans="2:14" ht="12.6">
      <c r="B44" s="34" t="s">
        <v>157</v>
      </c>
      <c r="C44" s="152">
        <v>38</v>
      </c>
      <c r="D44" s="98"/>
      <c r="E44" s="30"/>
      <c r="F44" s="30"/>
      <c r="G44" s="30"/>
      <c r="H44" s="30"/>
      <c r="I44" s="17"/>
      <c r="J44" s="30"/>
      <c r="K44" s="30"/>
      <c r="L44" s="30"/>
      <c r="M44" s="30"/>
      <c r="N44" s="30"/>
    </row>
    <row r="45" spans="2:14" ht="12.6">
      <c r="B45" s="34" t="s">
        <v>158</v>
      </c>
      <c r="C45" s="153">
        <v>0.4</v>
      </c>
      <c r="D45" s="35"/>
      <c r="E45" s="30"/>
      <c r="F45" s="30"/>
      <c r="G45" s="53"/>
      <c r="H45" s="53"/>
      <c r="I45" s="53"/>
      <c r="J45" s="53"/>
      <c r="K45" s="53"/>
      <c r="L45" s="53"/>
      <c r="M45" s="36"/>
      <c r="N45" s="30"/>
    </row>
    <row r="46" spans="2:14" ht="12.6">
      <c r="B46" s="34" t="s">
        <v>159</v>
      </c>
      <c r="C46" s="153">
        <v>0.35</v>
      </c>
      <c r="D46" s="35"/>
      <c r="E46" s="30"/>
      <c r="F46" s="30"/>
      <c r="G46" s="53"/>
      <c r="H46" s="53"/>
      <c r="I46" s="53"/>
      <c r="J46" s="53"/>
      <c r="K46" s="53"/>
      <c r="L46" s="53"/>
      <c r="M46" s="36"/>
      <c r="N46" s="30"/>
    </row>
    <row r="47" spans="2:14" ht="12.6">
      <c r="B47" s="34"/>
      <c r="C47" s="154"/>
      <c r="D47" s="35"/>
      <c r="E47" s="30"/>
      <c r="F47" s="30"/>
      <c r="G47" s="30"/>
      <c r="H47" s="53"/>
      <c r="I47" s="53"/>
      <c r="J47" s="158"/>
      <c r="K47" s="53"/>
      <c r="L47" s="53"/>
      <c r="M47" s="36"/>
      <c r="N47" s="30"/>
    </row>
    <row r="48" spans="2:14" ht="12.6">
      <c r="B48" s="37" t="s">
        <v>160</v>
      </c>
      <c r="C48" s="155"/>
      <c r="D48" s="35"/>
      <c r="E48" s="30"/>
      <c r="F48" s="30"/>
      <c r="G48" s="161"/>
      <c r="H48" s="156"/>
      <c r="I48" s="156"/>
      <c r="J48" s="156"/>
      <c r="K48" s="159"/>
      <c r="L48" s="156"/>
      <c r="M48" s="38"/>
      <c r="N48" s="30"/>
    </row>
    <row r="49" spans="2:14" ht="25.8" customHeight="1">
      <c r="B49" s="34" t="s">
        <v>161</v>
      </c>
      <c r="C49" s="39">
        <v>0.4</v>
      </c>
      <c r="D49" s="35"/>
      <c r="E49" s="53"/>
      <c r="F49" s="53"/>
      <c r="G49" s="162"/>
      <c r="H49" s="151"/>
      <c r="I49" s="151"/>
      <c r="J49" s="151"/>
      <c r="K49" s="151"/>
      <c r="L49" s="151"/>
      <c r="M49" s="156"/>
      <c r="N49" s="30"/>
    </row>
    <row r="50" spans="2:14" ht="25.8" customHeight="1">
      <c r="B50" s="34" t="s">
        <v>162</v>
      </c>
      <c r="C50" s="39">
        <v>0.35</v>
      </c>
      <c r="D50" s="35"/>
      <c r="E50" s="30"/>
      <c r="F50" s="30"/>
      <c r="G50" s="162"/>
      <c r="H50" s="151"/>
      <c r="I50" s="151"/>
      <c r="J50" s="151"/>
      <c r="K50" s="151"/>
      <c r="L50" s="151"/>
      <c r="M50" s="30"/>
      <c r="N50" s="30"/>
    </row>
    <row r="51" spans="2:14" ht="25.8" customHeight="1">
      <c r="B51" s="34" t="s">
        <v>163</v>
      </c>
      <c r="C51" s="40">
        <v>1.5</v>
      </c>
      <c r="D51" s="35"/>
      <c r="E51" s="353"/>
      <c r="F51" s="353"/>
      <c r="G51" s="162"/>
      <c r="H51" s="151"/>
      <c r="I51" s="151"/>
      <c r="J51" s="151"/>
      <c r="K51" s="151"/>
      <c r="L51" s="151"/>
      <c r="M51" s="30"/>
      <c r="N51" s="30"/>
    </row>
    <row r="52" spans="2:14" ht="25.8" customHeight="1">
      <c r="B52" s="34"/>
      <c r="C52" s="29"/>
      <c r="D52" s="35"/>
      <c r="E52" s="30"/>
      <c r="F52" s="30"/>
      <c r="G52" s="162"/>
      <c r="H52" s="151"/>
      <c r="I52" s="151"/>
      <c r="J52" s="151"/>
      <c r="K52" s="151"/>
      <c r="L52" s="151"/>
      <c r="M52" s="30"/>
      <c r="N52" s="30"/>
    </row>
    <row r="53" spans="2:14" ht="25.8" customHeight="1">
      <c r="B53" s="37" t="s">
        <v>164</v>
      </c>
      <c r="C53" s="41"/>
      <c r="D53" s="35"/>
      <c r="E53" s="30"/>
      <c r="F53" s="30"/>
      <c r="G53" s="162"/>
      <c r="H53" s="151"/>
      <c r="I53" s="151"/>
      <c r="J53" s="151"/>
      <c r="K53" s="151"/>
      <c r="L53" s="151"/>
      <c r="M53" s="30"/>
      <c r="N53" s="30"/>
    </row>
    <row r="54" spans="2:14" ht="12.6">
      <c r="B54" s="34" t="s">
        <v>165</v>
      </c>
      <c r="C54" s="42">
        <v>0.02</v>
      </c>
      <c r="D54" s="35"/>
      <c r="E54" s="30"/>
      <c r="F54" s="30"/>
      <c r="G54" s="53"/>
      <c r="H54" s="53"/>
      <c r="I54" s="53"/>
      <c r="J54" s="53"/>
      <c r="K54" s="53"/>
      <c r="L54" s="53"/>
      <c r="M54" s="30"/>
      <c r="N54" s="30"/>
    </row>
    <row r="55" spans="2:14" ht="12.6">
      <c r="B55" s="34" t="s">
        <v>166</v>
      </c>
      <c r="C55" s="233">
        <f>J32</f>
        <v>0.11061120359550916</v>
      </c>
      <c r="D55" s="35"/>
      <c r="E55" s="30"/>
      <c r="F55" s="30"/>
      <c r="G55" s="30"/>
      <c r="H55" s="30"/>
      <c r="I55" s="30"/>
      <c r="J55" s="30"/>
      <c r="K55" s="30"/>
      <c r="L55" s="30"/>
      <c r="M55" s="30"/>
      <c r="N55" s="32"/>
    </row>
    <row r="56" spans="2:14" ht="12.6">
      <c r="B56" s="34" t="s">
        <v>167</v>
      </c>
      <c r="C56" s="42">
        <v>0.08</v>
      </c>
      <c r="D56" s="35"/>
      <c r="E56" s="32"/>
      <c r="F56" s="32"/>
      <c r="G56" s="32"/>
      <c r="H56" s="32"/>
      <c r="I56" s="32"/>
      <c r="J56" s="32"/>
      <c r="K56" s="32"/>
      <c r="L56" s="32"/>
      <c r="M56" s="32"/>
      <c r="N56" s="32"/>
    </row>
    <row r="57" spans="2:14" ht="12.6">
      <c r="B57" s="34"/>
      <c r="C57" s="28"/>
      <c r="D57" s="35"/>
      <c r="E57" s="32"/>
      <c r="F57" s="32"/>
      <c r="G57" s="32"/>
      <c r="H57" s="32"/>
      <c r="I57" s="32"/>
      <c r="J57" s="32"/>
      <c r="K57" s="32"/>
      <c r="L57" s="32"/>
      <c r="M57" s="32"/>
      <c r="N57" s="32"/>
    </row>
    <row r="58" spans="2:14">
      <c r="B58" s="43" t="s">
        <v>168</v>
      </c>
      <c r="C58" s="43"/>
      <c r="D58" s="43"/>
      <c r="E58" s="43"/>
      <c r="F58" s="43"/>
      <c r="G58" s="26"/>
      <c r="H58" s="26"/>
      <c r="I58" s="26"/>
      <c r="J58" s="26"/>
      <c r="K58" s="26"/>
      <c r="L58" s="26"/>
      <c r="M58" s="26"/>
      <c r="N58" s="26"/>
    </row>
    <row r="59" spans="2:14">
      <c r="B59" s="18" t="s">
        <v>169</v>
      </c>
      <c r="C59" s="27"/>
      <c r="D59" s="32"/>
      <c r="E59" s="32"/>
      <c r="F59" s="32"/>
      <c r="G59" s="26"/>
      <c r="H59" s="26"/>
      <c r="I59" s="26"/>
      <c r="J59" s="26"/>
      <c r="K59" s="26"/>
      <c r="L59" s="26"/>
      <c r="M59" s="26"/>
      <c r="N59" s="26"/>
    </row>
    <row r="60" spans="2:14">
      <c r="B60" s="27" t="s">
        <v>336</v>
      </c>
      <c r="C60" s="219">
        <f>2138.1-180</f>
        <v>1958.1</v>
      </c>
      <c r="D60" s="32"/>
      <c r="E60" s="32"/>
      <c r="F60" s="32"/>
      <c r="G60" s="26"/>
      <c r="H60" s="26"/>
      <c r="I60" s="26"/>
      <c r="J60" s="26"/>
      <c r="K60" s="26"/>
      <c r="L60" s="26"/>
      <c r="M60" s="26"/>
      <c r="N60" s="26"/>
    </row>
    <row r="61" spans="2:14">
      <c r="B61" s="27" t="s">
        <v>170</v>
      </c>
      <c r="C61" s="44">
        <v>38</v>
      </c>
      <c r="D61" s="32"/>
      <c r="E61" s="32"/>
      <c r="F61" s="32"/>
      <c r="G61" s="26"/>
      <c r="H61" s="26"/>
      <c r="I61" s="26"/>
      <c r="J61" s="26"/>
      <c r="K61" s="26"/>
      <c r="L61" s="26"/>
      <c r="M61" s="26"/>
      <c r="N61" s="26"/>
    </row>
    <row r="62" spans="2:14">
      <c r="B62" s="32"/>
      <c r="C62" s="45"/>
      <c r="D62" s="32"/>
      <c r="E62" s="32"/>
      <c r="F62" s="32"/>
      <c r="G62" s="26"/>
      <c r="H62" s="26"/>
      <c r="I62" s="26"/>
      <c r="J62" s="26"/>
      <c r="K62" s="26"/>
      <c r="L62" s="26"/>
      <c r="M62" s="26"/>
      <c r="N62" s="26"/>
    </row>
    <row r="63" spans="2:14">
      <c r="B63" s="32" t="s">
        <v>171</v>
      </c>
      <c r="C63" s="46">
        <v>1.52</v>
      </c>
      <c r="D63" s="32"/>
      <c r="E63" s="32"/>
      <c r="F63" s="32"/>
      <c r="G63" s="26"/>
      <c r="H63" s="26"/>
      <c r="I63" s="26"/>
      <c r="J63" s="26"/>
      <c r="K63" s="26"/>
      <c r="L63" s="26"/>
      <c r="M63" s="26"/>
      <c r="N63" s="26"/>
    </row>
    <row r="64" spans="2:14">
      <c r="B64" s="32" t="s">
        <v>172</v>
      </c>
      <c r="C64" s="47">
        <v>0.02</v>
      </c>
      <c r="D64" s="32"/>
      <c r="E64" s="32"/>
      <c r="F64" s="32"/>
      <c r="G64" s="26"/>
      <c r="H64" s="26"/>
      <c r="I64" s="26"/>
      <c r="J64" s="26"/>
      <c r="K64" s="26"/>
      <c r="L64" s="26"/>
      <c r="M64" s="26"/>
      <c r="N64" s="26"/>
    </row>
    <row r="65" spans="2:14">
      <c r="B65" s="32" t="s">
        <v>173</v>
      </c>
      <c r="C65" s="48">
        <v>0.06</v>
      </c>
      <c r="D65" s="32"/>
      <c r="E65" s="32"/>
      <c r="F65" s="32"/>
      <c r="G65" s="26"/>
      <c r="H65" s="26"/>
      <c r="I65" s="26"/>
      <c r="J65" s="26"/>
      <c r="K65" s="26"/>
      <c r="L65" s="26"/>
      <c r="M65" s="26"/>
      <c r="N65" s="26"/>
    </row>
    <row r="66" spans="2:14">
      <c r="B66" s="49" t="s">
        <v>174</v>
      </c>
      <c r="C66" s="157">
        <f>C63*(1+(1-C70)*(H30/G30))</f>
        <v>1.541072468208978</v>
      </c>
      <c r="D66" s="27"/>
      <c r="E66" s="32"/>
      <c r="F66" s="32"/>
      <c r="G66" s="26"/>
      <c r="H66" s="26"/>
      <c r="I66" s="26"/>
      <c r="J66" s="26"/>
      <c r="K66" s="26"/>
      <c r="L66" s="26"/>
      <c r="M66" s="26"/>
      <c r="N66" s="26"/>
    </row>
    <row r="67" spans="2:14">
      <c r="B67" s="32"/>
      <c r="C67" s="45"/>
      <c r="D67" s="32"/>
      <c r="E67" s="32"/>
      <c r="F67" s="32"/>
      <c r="G67" s="26"/>
      <c r="H67" s="26"/>
      <c r="I67" s="26"/>
      <c r="J67" s="26"/>
      <c r="K67" s="26"/>
      <c r="L67" s="26"/>
      <c r="M67" s="26"/>
      <c r="N67" s="26"/>
    </row>
    <row r="68" spans="2:14">
      <c r="B68" s="2" t="s">
        <v>175</v>
      </c>
      <c r="C68" s="45"/>
      <c r="D68" s="32"/>
      <c r="E68" s="32"/>
      <c r="F68" s="32"/>
      <c r="G68" s="26"/>
      <c r="H68" s="26"/>
      <c r="I68" s="26"/>
      <c r="J68" s="26"/>
      <c r="K68" s="26"/>
      <c r="L68" s="26"/>
      <c r="M68" s="26"/>
      <c r="N68" s="26"/>
    </row>
    <row r="69" spans="2:14">
      <c r="B69" s="32" t="s">
        <v>176</v>
      </c>
      <c r="C69" s="50">
        <v>3.6499999999999998E-2</v>
      </c>
      <c r="D69" s="32"/>
      <c r="E69" s="32"/>
      <c r="F69" s="32"/>
      <c r="G69" s="26"/>
      <c r="H69" s="26"/>
      <c r="I69" s="26"/>
      <c r="J69" s="26"/>
      <c r="K69" s="26"/>
      <c r="L69" s="26"/>
      <c r="M69" s="26"/>
      <c r="N69" s="26"/>
    </row>
    <row r="70" spans="2:14">
      <c r="B70" s="34" t="s">
        <v>159</v>
      </c>
      <c r="C70" s="51">
        <f>C46</f>
        <v>0.35</v>
      </c>
      <c r="D70" s="32"/>
      <c r="E70" s="32"/>
      <c r="F70" s="32"/>
      <c r="G70" s="26"/>
      <c r="H70" s="26"/>
      <c r="I70" s="26"/>
      <c r="J70" s="26"/>
      <c r="K70" s="26"/>
      <c r="L70" s="26"/>
      <c r="M70" s="26"/>
      <c r="N70" s="26"/>
    </row>
    <row r="71" spans="2:14">
      <c r="B71" s="32"/>
      <c r="C71" s="30"/>
      <c r="D71" s="32"/>
      <c r="E71" s="32"/>
      <c r="F71" s="32"/>
      <c r="G71" s="26"/>
      <c r="H71" s="26"/>
      <c r="I71" s="26"/>
      <c r="J71" s="26"/>
      <c r="K71" s="26"/>
      <c r="L71" s="26"/>
      <c r="M71" s="26"/>
      <c r="N71" s="26"/>
    </row>
    <row r="72" spans="2:14">
      <c r="B72" s="2" t="s">
        <v>177</v>
      </c>
      <c r="C72" s="45"/>
      <c r="D72" s="32"/>
      <c r="E72" s="32"/>
      <c r="F72" s="32"/>
      <c r="G72" s="26"/>
      <c r="H72" s="26"/>
      <c r="I72" s="26"/>
      <c r="J72" s="26"/>
      <c r="K72" s="26"/>
      <c r="L72" s="26"/>
      <c r="M72" s="26"/>
      <c r="N72" s="26"/>
    </row>
    <row r="73" spans="2:14">
      <c r="B73" s="32" t="s">
        <v>178</v>
      </c>
      <c r="C73" s="46">
        <v>0</v>
      </c>
      <c r="D73" s="32"/>
      <c r="E73" s="32"/>
      <c r="F73" s="32"/>
      <c r="G73" s="26"/>
      <c r="H73" s="26"/>
      <c r="I73" s="26"/>
      <c r="J73" s="26"/>
      <c r="K73" s="26"/>
      <c r="L73" s="26"/>
      <c r="M73" s="26"/>
      <c r="N73" s="26"/>
    </row>
    <row r="74" spans="2:14">
      <c r="B74" s="32" t="s">
        <v>179</v>
      </c>
      <c r="C74" s="46">
        <v>70</v>
      </c>
      <c r="D74" s="32"/>
      <c r="E74" s="32"/>
      <c r="F74" s="32"/>
      <c r="G74" s="26"/>
      <c r="H74" s="26"/>
      <c r="I74" s="26"/>
      <c r="J74" s="26"/>
      <c r="K74" s="26"/>
      <c r="L74" s="26"/>
      <c r="M74" s="26"/>
      <c r="N74" s="26"/>
    </row>
    <row r="75" spans="2:14">
      <c r="B75" s="32" t="s">
        <v>180</v>
      </c>
      <c r="C75" s="46">
        <v>5</v>
      </c>
      <c r="D75" s="32"/>
      <c r="E75" s="32"/>
      <c r="F75" s="32"/>
      <c r="G75" s="26"/>
      <c r="H75" s="26"/>
      <c r="I75" s="26"/>
      <c r="J75" s="26"/>
      <c r="K75" s="26"/>
      <c r="L75" s="26"/>
      <c r="M75" s="26"/>
      <c r="N75" s="26"/>
    </row>
    <row r="76" spans="2:14">
      <c r="B76" s="32"/>
      <c r="C76" s="32"/>
      <c r="D76" s="32"/>
      <c r="E76" s="32"/>
      <c r="F76" s="32"/>
      <c r="G76" s="26"/>
      <c r="H76" s="26"/>
      <c r="I76" s="26"/>
      <c r="J76" s="26"/>
      <c r="K76" s="26"/>
      <c r="L76" s="26"/>
      <c r="M76" s="26"/>
      <c r="N76" s="26"/>
    </row>
    <row r="77" spans="2:14">
      <c r="G77" s="26"/>
      <c r="H77" s="26"/>
      <c r="I77" s="26"/>
      <c r="J77" s="26"/>
      <c r="K77" s="26"/>
      <c r="L77" s="26"/>
      <c r="M77" s="26"/>
      <c r="N77" s="26"/>
    </row>
    <row r="78" spans="2:14">
      <c r="G78" s="26"/>
      <c r="H78" s="26"/>
      <c r="I78" s="26"/>
      <c r="J78" s="26"/>
      <c r="K78" s="26"/>
      <c r="L78" s="26"/>
      <c r="M78" s="26"/>
      <c r="N78" s="26"/>
    </row>
    <row r="79" spans="2:14">
      <c r="G79" s="26"/>
      <c r="H79" s="26"/>
      <c r="I79" s="26"/>
      <c r="J79" s="26"/>
      <c r="K79" s="26"/>
      <c r="L79" s="26"/>
      <c r="M79" s="26"/>
      <c r="N79" s="26"/>
    </row>
    <row r="80" spans="2:14">
      <c r="G80" s="26"/>
      <c r="H80" s="26"/>
      <c r="I80" s="26"/>
      <c r="J80" s="26"/>
      <c r="K80" s="26"/>
      <c r="L80" s="26"/>
      <c r="M80" s="26"/>
      <c r="N80" s="26"/>
    </row>
  </sheetData>
  <mergeCells count="1">
    <mergeCell ref="E51:F51"/>
  </mergeCells>
  <pageMargins left="0.75" right="0.75" top="1" bottom="1" header="0.5" footer="0.5"/>
  <pageSetup orientation="portrait" r:id="rId1"/>
  <headerFooter alignWithMargins="0"/>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J28"/>
  <sheetViews>
    <sheetView zoomScale="90" zoomScaleNormal="90" workbookViewId="0"/>
  </sheetViews>
  <sheetFormatPr baseColWidth="10" defaultColWidth="8.88671875" defaultRowHeight="12.3"/>
  <cols>
    <col min="1" max="1" width="4.109375" style="16" customWidth="1"/>
    <col min="2" max="2" width="13.77734375" style="16" customWidth="1"/>
    <col min="3" max="3" width="11.88671875" customWidth="1"/>
    <col min="4" max="4" width="12.5546875" style="25" bestFit="1" customWidth="1"/>
    <col min="5" max="5" width="11.6640625" customWidth="1"/>
    <col min="6" max="8" width="11.109375" bestFit="1" customWidth="1"/>
    <col min="9" max="9" width="11.33203125" bestFit="1" customWidth="1"/>
    <col min="10" max="10" width="11.109375" bestFit="1" customWidth="1"/>
  </cols>
  <sheetData>
    <row r="2" spans="1:10">
      <c r="B2" s="167" t="s">
        <v>330</v>
      </c>
      <c r="I2" s="3"/>
      <c r="J2" s="3"/>
    </row>
    <row r="3" spans="1:10">
      <c r="B3" s="167"/>
      <c r="I3" s="3"/>
      <c r="J3" s="3"/>
    </row>
    <row r="4" spans="1:10">
      <c r="B4" s="167" t="s">
        <v>331</v>
      </c>
      <c r="I4" s="3"/>
      <c r="J4" s="3"/>
    </row>
    <row r="5" spans="1:10">
      <c r="I5" s="53"/>
      <c r="J5" s="53"/>
    </row>
    <row r="6" spans="1:10" ht="13.2" customHeight="1">
      <c r="A6" s="18"/>
      <c r="B6" s="224"/>
      <c r="C6" s="95"/>
      <c r="D6" s="226"/>
      <c r="E6" s="354" t="s">
        <v>112</v>
      </c>
      <c r="F6" s="355"/>
      <c r="G6" s="356" t="s">
        <v>124</v>
      </c>
      <c r="H6" s="357"/>
      <c r="I6" s="356" t="s">
        <v>188</v>
      </c>
      <c r="J6" s="357"/>
    </row>
    <row r="7" spans="1:10" ht="26.4" customHeight="1">
      <c r="A7" s="18"/>
      <c r="B7" s="222" t="s">
        <v>111</v>
      </c>
      <c r="C7" s="103" t="s">
        <v>86</v>
      </c>
      <c r="D7" s="227" t="s">
        <v>339</v>
      </c>
      <c r="E7" s="20" t="s">
        <v>113</v>
      </c>
      <c r="F7" s="15" t="s">
        <v>114</v>
      </c>
      <c r="G7" s="11" t="s">
        <v>113</v>
      </c>
      <c r="H7" s="10" t="s">
        <v>114</v>
      </c>
      <c r="I7" s="11" t="s">
        <v>113</v>
      </c>
      <c r="J7" s="10" t="s">
        <v>114</v>
      </c>
    </row>
    <row r="8" spans="1:10">
      <c r="A8" s="17"/>
      <c r="B8" s="225" t="s">
        <v>105</v>
      </c>
      <c r="C8" s="9" t="s">
        <v>116</v>
      </c>
      <c r="D8" s="230">
        <v>224.39</v>
      </c>
      <c r="E8" s="23">
        <v>1.2894570728106971</v>
      </c>
      <c r="F8" s="23">
        <v>0.94399899778017538</v>
      </c>
      <c r="G8" s="19">
        <v>177.70266378689706</v>
      </c>
      <c r="H8" s="19">
        <v>109.45853658536586</v>
      </c>
      <c r="I8" s="19">
        <v>1.6155350701311195</v>
      </c>
      <c r="J8" s="19">
        <v>1.2598801700165414</v>
      </c>
    </row>
    <row r="9" spans="1:10">
      <c r="A9" s="17"/>
      <c r="B9" s="225" t="s">
        <v>106</v>
      </c>
      <c r="C9" s="8" t="s">
        <v>75</v>
      </c>
      <c r="D9" s="231">
        <v>553.16999999999996</v>
      </c>
      <c r="E9" s="23">
        <v>2.4538004843386441</v>
      </c>
      <c r="F9" s="23">
        <v>1.8470054739498365</v>
      </c>
      <c r="G9" s="19">
        <v>12.776096061589724</v>
      </c>
      <c r="H9" s="19">
        <v>11.144935202873953</v>
      </c>
      <c r="I9" s="19">
        <v>3.2708957725472261</v>
      </c>
      <c r="J9" s="19">
        <v>2.7700921418251676</v>
      </c>
    </row>
    <row r="10" spans="1:10">
      <c r="A10" s="17"/>
      <c r="B10" s="225" t="s">
        <v>107</v>
      </c>
      <c r="C10" s="8" t="s">
        <v>120</v>
      </c>
      <c r="D10" s="231">
        <v>16.54</v>
      </c>
      <c r="E10" s="23">
        <v>1.5951032508486536</v>
      </c>
      <c r="F10" s="23">
        <v>1.3826827998238085</v>
      </c>
      <c r="G10" s="19">
        <v>9.0175035868005651</v>
      </c>
      <c r="H10" s="19">
        <v>8.4518573807199857</v>
      </c>
      <c r="I10" s="19">
        <v>1.9465195127143566</v>
      </c>
      <c r="J10" s="19">
        <v>1.8411893843643909</v>
      </c>
    </row>
    <row r="11" spans="1:10">
      <c r="A11" s="17"/>
      <c r="B11" s="225" t="s">
        <v>108</v>
      </c>
      <c r="C11" s="8" t="s">
        <v>76</v>
      </c>
      <c r="D11" s="231">
        <v>611.11</v>
      </c>
      <c r="E11" s="23">
        <v>4.7182308926646179</v>
      </c>
      <c r="F11" s="23">
        <v>3.6332433605046854</v>
      </c>
      <c r="G11" s="19">
        <v>14.48917329368788</v>
      </c>
      <c r="H11" s="19">
        <v>12.388783630006168</v>
      </c>
      <c r="I11" s="19">
        <v>5.4388613898292739</v>
      </c>
      <c r="J11" s="19">
        <v>4.5735929885033588</v>
      </c>
    </row>
    <row r="12" spans="1:10">
      <c r="A12" s="17"/>
      <c r="B12" s="225" t="s">
        <v>83</v>
      </c>
      <c r="C12" s="8" t="s">
        <v>77</v>
      </c>
      <c r="D12" s="231">
        <v>12.17</v>
      </c>
      <c r="E12" s="23">
        <v>4.2024650940921333</v>
      </c>
      <c r="F12" s="23">
        <v>2.9043742713486931</v>
      </c>
      <c r="G12" s="19">
        <v>69.190809968847361</v>
      </c>
      <c r="H12" s="19">
        <v>17.917327293318234</v>
      </c>
      <c r="I12" s="19">
        <v>3.3985542584899124</v>
      </c>
      <c r="J12" s="19">
        <v>2.640107164734053</v>
      </c>
    </row>
    <row r="13" spans="1:10">
      <c r="A13" s="17"/>
      <c r="B13" s="225" t="s">
        <v>82</v>
      </c>
      <c r="C13" s="8" t="s">
        <v>78</v>
      </c>
      <c r="D13" s="231">
        <v>110.56</v>
      </c>
      <c r="E13" s="23">
        <v>10.732493870766191</v>
      </c>
      <c r="F13" s="23">
        <v>7.2789468407325328</v>
      </c>
      <c r="G13" s="19">
        <v>173.3903621328771</v>
      </c>
      <c r="H13" s="19">
        <v>96.550996869335961</v>
      </c>
      <c r="I13" s="19">
        <v>12.70542529296945</v>
      </c>
      <c r="J13" s="19">
        <v>8.6421355512816582</v>
      </c>
    </row>
    <row r="14" spans="1:10">
      <c r="A14" s="17"/>
      <c r="B14" s="225" t="s">
        <v>109</v>
      </c>
      <c r="C14" s="8" t="s">
        <v>121</v>
      </c>
      <c r="D14" s="231">
        <v>30.21</v>
      </c>
      <c r="E14" s="23">
        <v>2.8250424384410855</v>
      </c>
      <c r="F14" s="23">
        <v>2.4589458715607213</v>
      </c>
      <c r="G14" s="19">
        <v>11.161168340070413</v>
      </c>
      <c r="H14" s="19">
        <v>10.012205965564625</v>
      </c>
      <c r="I14" s="19">
        <v>3.4123431817963601</v>
      </c>
      <c r="J14" s="19">
        <v>3.1553280395935448</v>
      </c>
    </row>
    <row r="15" spans="1:10">
      <c r="A15" s="17"/>
      <c r="B15" s="225" t="s">
        <v>110</v>
      </c>
      <c r="C15" s="8" t="s">
        <v>122</v>
      </c>
      <c r="D15" s="231">
        <v>15.4</v>
      </c>
      <c r="E15" s="23">
        <v>2.8256519904098201</v>
      </c>
      <c r="F15" s="23">
        <v>2.6206911538278099</v>
      </c>
      <c r="G15" s="19">
        <v>17.070834245675488</v>
      </c>
      <c r="H15" s="19">
        <v>15.017628084914859</v>
      </c>
      <c r="I15" s="19">
        <v>4.1099484945194211</v>
      </c>
      <c r="J15" s="19">
        <v>3.9629501595153829</v>
      </c>
    </row>
    <row r="16" spans="1:10">
      <c r="A16" s="18"/>
      <c r="B16" s="49" t="s">
        <v>84</v>
      </c>
      <c r="C16" s="8" t="s">
        <v>115</v>
      </c>
      <c r="D16" s="231">
        <v>8.56</v>
      </c>
      <c r="E16" s="23">
        <v>5.867188673307898</v>
      </c>
      <c r="F16" s="23">
        <v>4.8692647825384405</v>
      </c>
      <c r="G16" s="19">
        <v>33.422319077453928</v>
      </c>
      <c r="H16" s="19">
        <v>25.117370892018783</v>
      </c>
      <c r="I16" s="19">
        <v>4.5232299581993098</v>
      </c>
      <c r="J16" s="19">
        <v>3.7303908064735194</v>
      </c>
    </row>
    <row r="17" spans="1:10">
      <c r="A17" s="18"/>
      <c r="B17" s="8"/>
      <c r="C17" s="8"/>
      <c r="D17" s="56"/>
      <c r="E17" s="211"/>
      <c r="F17" s="211"/>
      <c r="G17" s="212"/>
      <c r="H17" s="212"/>
      <c r="I17" s="212"/>
      <c r="J17" s="212"/>
    </row>
    <row r="18" spans="1:10">
      <c r="A18" s="18"/>
      <c r="B18" s="223"/>
      <c r="C18" s="8"/>
      <c r="D18" s="56" t="s">
        <v>1</v>
      </c>
      <c r="E18" s="213">
        <f t="shared" ref="E18:J18" si="0">AVERAGE(E8:E16)</f>
        <v>4.0566037519644151</v>
      </c>
      <c r="F18" s="213">
        <f t="shared" si="0"/>
        <v>3.1043503946740785</v>
      </c>
      <c r="G18" s="213">
        <f t="shared" si="0"/>
        <v>57.58010338821105</v>
      </c>
      <c r="H18" s="213">
        <f t="shared" si="0"/>
        <v>34.006626878235387</v>
      </c>
      <c r="I18" s="213">
        <f t="shared" si="0"/>
        <v>4.491256992355158</v>
      </c>
      <c r="J18" s="213">
        <f t="shared" si="0"/>
        <v>3.6195184895897352</v>
      </c>
    </row>
    <row r="19" spans="1:10">
      <c r="A19" s="18"/>
      <c r="B19" s="223"/>
      <c r="C19" s="8"/>
      <c r="D19" s="56" t="s">
        <v>2</v>
      </c>
      <c r="E19" s="213">
        <f t="shared" ref="E19:J19" si="1">MEDIAN(E8:E16)</f>
        <v>2.8256519904098201</v>
      </c>
      <c r="F19" s="213">
        <f t="shared" si="1"/>
        <v>2.6206911538278099</v>
      </c>
      <c r="G19" s="213">
        <f t="shared" si="1"/>
        <v>17.070834245675488</v>
      </c>
      <c r="H19" s="213">
        <f t="shared" si="1"/>
        <v>15.017628084914859</v>
      </c>
      <c r="I19" s="213">
        <f t="shared" si="1"/>
        <v>3.4123431817963601</v>
      </c>
      <c r="J19" s="213">
        <f t="shared" si="1"/>
        <v>3.1553280395935448</v>
      </c>
    </row>
    <row r="20" spans="1:10">
      <c r="B20" s="8"/>
      <c r="C20" s="8"/>
      <c r="D20" s="56"/>
      <c r="E20" s="8"/>
      <c r="F20" s="8"/>
      <c r="G20" s="8"/>
      <c r="H20" s="8"/>
      <c r="I20" s="8"/>
      <c r="J20" s="8"/>
    </row>
    <row r="21" spans="1:10">
      <c r="B21" s="8" t="s">
        <v>337</v>
      </c>
      <c r="C21" s="229" t="s">
        <v>338</v>
      </c>
      <c r="D21" s="57">
        <v>34</v>
      </c>
      <c r="E21" s="213">
        <v>10.052571770687107</v>
      </c>
      <c r="F21" s="213">
        <v>7.1804084076336485</v>
      </c>
      <c r="G21" s="213">
        <v>51.515151515151516</v>
      </c>
      <c r="H21" s="213">
        <v>39.080459770114942</v>
      </c>
      <c r="I21" s="213">
        <v>9.9944031888098817</v>
      </c>
      <c r="J21" s="213">
        <v>7.1388594205784877</v>
      </c>
    </row>
    <row r="22" spans="1:10">
      <c r="B22" s="8"/>
      <c r="C22" s="56"/>
      <c r="D22" s="57">
        <v>38</v>
      </c>
      <c r="E22" s="213">
        <v>11.228383910547093</v>
      </c>
      <c r="F22" s="213">
        <v>8.0202742218193528</v>
      </c>
      <c r="G22" s="213">
        <v>57.575757575757571</v>
      </c>
      <c r="H22" s="213">
        <v>43.678160919540232</v>
      </c>
      <c r="I22" s="213">
        <v>11.170215328669869</v>
      </c>
      <c r="J22" s="213">
        <v>7.9787252347641928</v>
      </c>
    </row>
    <row r="23" spans="1:10">
      <c r="B23"/>
      <c r="C23" s="25"/>
      <c r="D23" s="220"/>
      <c r="E23" s="221"/>
      <c r="F23" s="221"/>
      <c r="G23" s="221"/>
      <c r="H23" s="221"/>
      <c r="I23" s="221"/>
      <c r="J23" s="221"/>
    </row>
    <row r="24" spans="1:10">
      <c r="B24" s="209" t="s">
        <v>335</v>
      </c>
      <c r="C24" s="228"/>
      <c r="D24" s="214" t="s">
        <v>113</v>
      </c>
      <c r="E24" s="214" t="s">
        <v>114</v>
      </c>
    </row>
    <row r="25" spans="1:10">
      <c r="B25" s="210" t="s">
        <v>332</v>
      </c>
      <c r="C25" s="210"/>
      <c r="D25" s="215">
        <v>0.66</v>
      </c>
      <c r="E25" s="215">
        <v>0.87</v>
      </c>
    </row>
    <row r="26" spans="1:10">
      <c r="B26" s="32" t="s">
        <v>333</v>
      </c>
      <c r="C26" s="25"/>
      <c r="D26" s="216">
        <f>'Ex11 (revised)'!E14</f>
        <v>7273.5599999999986</v>
      </c>
      <c r="E26" s="216">
        <f>'Ex11 (revised)'!F14</f>
        <v>10182.983999999997</v>
      </c>
    </row>
    <row r="27" spans="1:10">
      <c r="B27" s="32" t="s">
        <v>334</v>
      </c>
      <c r="C27" s="25"/>
      <c r="D27" s="217">
        <f>'Ex11 (revised)'!C41-'Ex11 (revised)'!C42</f>
        <v>-413</v>
      </c>
      <c r="E27" s="217">
        <f>D27</f>
        <v>-413</v>
      </c>
    </row>
    <row r="28" spans="1:10">
      <c r="B28" s="32" t="s">
        <v>354</v>
      </c>
      <c r="C28" s="25"/>
      <c r="D28" s="218">
        <f>'Ex11 (revised)'!C43</f>
        <v>1958.1</v>
      </c>
      <c r="E28" s="218">
        <f>D28</f>
        <v>1958.1</v>
      </c>
    </row>
  </sheetData>
  <mergeCells count="3">
    <mergeCell ref="E6:F6"/>
    <mergeCell ref="G6:H6"/>
    <mergeCell ref="I6:J6"/>
  </mergeCells>
  <phoneticPr fontId="6" type="noConversion"/>
  <pageMargins left="0.75" right="0.75" top="1" bottom="1" header="0.5" footer="0.5"/>
  <pageSetup orientation="portrait" horizontalDpi="1200" verticalDpi="12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B9716-33D5-4EB6-8FF1-F0A5EF99366D}">
  <dimension ref="A1:AF271"/>
  <sheetViews>
    <sheetView zoomScale="89" zoomScaleNormal="98" workbookViewId="0">
      <selection activeCell="D239" sqref="D239"/>
    </sheetView>
  </sheetViews>
  <sheetFormatPr baseColWidth="10" defaultColWidth="9.109375" defaultRowHeight="12.9" outlineLevelRow="1"/>
  <cols>
    <col min="1" max="1" width="2.33203125" style="360" customWidth="1"/>
    <col min="2" max="2" width="36.44140625" style="360" customWidth="1"/>
    <col min="3" max="3" width="1.88671875" style="360" bestFit="1" customWidth="1"/>
    <col min="4" max="16" width="11.71875" style="360" customWidth="1"/>
    <col min="17" max="18" width="9.109375" style="360"/>
    <col min="19" max="19" width="14.71875" style="360" bestFit="1" customWidth="1"/>
    <col min="20" max="16384" width="9.109375" style="360"/>
  </cols>
  <sheetData>
    <row r="1" spans="1:16" ht="18.600000000000001" thickBot="1">
      <c r="A1" s="358" t="s">
        <v>645</v>
      </c>
      <c r="B1" s="359"/>
      <c r="C1" s="359"/>
      <c r="D1" s="359"/>
      <c r="E1" s="359"/>
      <c r="F1" s="359"/>
      <c r="G1" s="359"/>
      <c r="H1" s="359"/>
      <c r="I1" s="359"/>
      <c r="J1" s="359"/>
      <c r="K1" s="359"/>
      <c r="L1" s="359"/>
      <c r="M1" s="359"/>
      <c r="N1" s="359"/>
      <c r="O1" s="359"/>
      <c r="P1" s="359"/>
    </row>
    <row r="2" spans="1:16" ht="15.9" thickTop="1">
      <c r="A2" s="361" t="s">
        <v>193</v>
      </c>
    </row>
    <row r="3" spans="1:16">
      <c r="B3" s="362"/>
      <c r="C3" s="362"/>
      <c r="D3" s="363" t="s">
        <v>646</v>
      </c>
      <c r="E3" s="363"/>
      <c r="F3" s="363"/>
      <c r="G3" s="364" t="s">
        <v>647</v>
      </c>
      <c r="H3" s="365"/>
      <c r="I3" s="365"/>
      <c r="J3" s="365"/>
      <c r="K3" s="365"/>
      <c r="L3" s="365"/>
      <c r="M3" s="365"/>
      <c r="N3" s="365"/>
      <c r="O3" s="365"/>
      <c r="P3" s="365"/>
    </row>
    <row r="4" spans="1:16" ht="14.4">
      <c r="B4" s="366" t="s">
        <v>648</v>
      </c>
      <c r="C4" s="367"/>
      <c r="D4" s="368" t="s">
        <v>7</v>
      </c>
      <c r="E4" s="368" t="s">
        <v>8</v>
      </c>
      <c r="F4" s="368" t="s">
        <v>9</v>
      </c>
      <c r="G4" s="368">
        <v>2012</v>
      </c>
      <c r="H4" s="368">
        <f t="shared" ref="H4:P4" si="0">G4+1</f>
        <v>2013</v>
      </c>
      <c r="I4" s="368">
        <f t="shared" si="0"/>
        <v>2014</v>
      </c>
      <c r="J4" s="368">
        <f t="shared" si="0"/>
        <v>2015</v>
      </c>
      <c r="K4" s="368">
        <f t="shared" si="0"/>
        <v>2016</v>
      </c>
      <c r="L4" s="368">
        <f t="shared" si="0"/>
        <v>2017</v>
      </c>
      <c r="M4" s="368">
        <f t="shared" si="0"/>
        <v>2018</v>
      </c>
      <c r="N4" s="368">
        <f t="shared" si="0"/>
        <v>2019</v>
      </c>
      <c r="O4" s="368">
        <f t="shared" si="0"/>
        <v>2020</v>
      </c>
      <c r="P4" s="368">
        <f t="shared" si="0"/>
        <v>2021</v>
      </c>
    </row>
    <row r="5" spans="1:16" ht="6" customHeight="1">
      <c r="B5" s="369"/>
      <c r="C5" s="367"/>
      <c r="D5" s="370"/>
      <c r="E5" s="370"/>
      <c r="F5" s="370"/>
      <c r="G5" s="370"/>
    </row>
    <row r="6" spans="1:16" ht="12" customHeight="1">
      <c r="B6" s="371" t="s">
        <v>123</v>
      </c>
      <c r="C6" s="372"/>
      <c r="D6" s="373">
        <v>777</v>
      </c>
      <c r="E6" s="373">
        <v>1974</v>
      </c>
      <c r="F6" s="373">
        <v>3711</v>
      </c>
      <c r="G6" s="373">
        <f t="shared" ref="G6:P6" si="1">(1+G255)*F6</f>
        <v>5195.3999999999996</v>
      </c>
      <c r="H6" s="373">
        <f t="shared" si="1"/>
        <v>7273.5599999999986</v>
      </c>
      <c r="I6" s="373">
        <f t="shared" si="1"/>
        <v>10182.983999999997</v>
      </c>
      <c r="J6" s="373">
        <f t="shared" si="1"/>
        <v>14256.177599999995</v>
      </c>
      <c r="K6" s="373">
        <f t="shared" si="1"/>
        <v>19958.648639999992</v>
      </c>
      <c r="L6" s="373">
        <f t="shared" si="1"/>
        <v>26425.25079935999</v>
      </c>
      <c r="M6" s="373">
        <f t="shared" si="1"/>
        <v>32978.712997601266</v>
      </c>
      <c r="N6" s="373">
        <f t="shared" si="1"/>
        <v>38651.05163318869</v>
      </c>
      <c r="O6" s="373">
        <f t="shared" si="1"/>
        <v>42361.55258997481</v>
      </c>
      <c r="P6" s="373">
        <f t="shared" si="1"/>
        <v>43208.783641774309</v>
      </c>
    </row>
    <row r="7" spans="1:16" ht="3.6" customHeight="1">
      <c r="B7" s="371"/>
      <c r="C7" s="372"/>
      <c r="D7" s="374"/>
      <c r="E7" s="374"/>
      <c r="F7" s="374"/>
      <c r="G7" s="374"/>
      <c r="H7" s="374"/>
      <c r="I7" s="374"/>
      <c r="J7" s="374"/>
      <c r="K7" s="374"/>
      <c r="L7" s="374"/>
      <c r="M7" s="374"/>
      <c r="N7" s="374"/>
      <c r="O7" s="374"/>
      <c r="P7" s="374"/>
    </row>
    <row r="8" spans="1:16" ht="12" customHeight="1">
      <c r="B8" s="371" t="s">
        <v>649</v>
      </c>
      <c r="C8" s="375"/>
      <c r="D8" s="373">
        <v>-515</v>
      </c>
      <c r="E8" s="373">
        <v>-942</v>
      </c>
      <c r="F8" s="373">
        <v>-1955</v>
      </c>
      <c r="G8" s="373">
        <f t="shared" ref="G8:P8" si="2">G10-G6</f>
        <v>-2801.0009999999997</v>
      </c>
      <c r="H8" s="373">
        <f t="shared" si="2"/>
        <v>-4011.0027999999993</v>
      </c>
      <c r="I8" s="373">
        <f t="shared" si="2"/>
        <v>-5740.845879999998</v>
      </c>
      <c r="J8" s="373">
        <f t="shared" si="2"/>
        <v>-8212.802975999999</v>
      </c>
      <c r="K8" s="373">
        <f t="shared" si="2"/>
        <v>-11743.790407999995</v>
      </c>
      <c r="L8" s="373">
        <f t="shared" si="2"/>
        <v>-15874.305404070396</v>
      </c>
      <c r="M8" s="373">
        <f t="shared" si="2"/>
        <v>-20217.390720320094</v>
      </c>
      <c r="N8" s="373">
        <f t="shared" si="2"/>
        <v>-24170.915803334319</v>
      </c>
      <c r="O8" s="373">
        <f t="shared" si="2"/>
        <v>-27013.166451969024</v>
      </c>
      <c r="P8" s="373">
        <f t="shared" si="2"/>
        <v>-28085.7093671533</v>
      </c>
    </row>
    <row r="9" spans="1:16" ht="4.2" customHeight="1">
      <c r="B9" s="371"/>
      <c r="C9" s="375"/>
      <c r="D9" s="376"/>
      <c r="E9" s="376"/>
      <c r="F9" s="376"/>
      <c r="G9" s="376"/>
      <c r="H9" s="376"/>
      <c r="I9" s="376"/>
      <c r="J9" s="376"/>
      <c r="K9" s="376"/>
      <c r="L9" s="376"/>
      <c r="M9" s="376"/>
      <c r="N9" s="376"/>
      <c r="O9" s="376"/>
      <c r="P9" s="376"/>
    </row>
    <row r="10" spans="1:16" ht="12" customHeight="1">
      <c r="B10" s="377" t="s">
        <v>650</v>
      </c>
      <c r="C10" s="378"/>
      <c r="D10" s="379">
        <f>D6+D8</f>
        <v>262</v>
      </c>
      <c r="E10" s="379">
        <f>E6+E8</f>
        <v>1032</v>
      </c>
      <c r="F10" s="379">
        <f>F6+F8</f>
        <v>1756</v>
      </c>
      <c r="G10" s="379">
        <f t="shared" ref="G10:P10" si="3">G256*G6</f>
        <v>2394.3989999999999</v>
      </c>
      <c r="H10" s="379">
        <f t="shared" si="3"/>
        <v>3262.5571999999993</v>
      </c>
      <c r="I10" s="379">
        <f t="shared" si="3"/>
        <v>4442.1381199999987</v>
      </c>
      <c r="J10" s="379">
        <f t="shared" si="3"/>
        <v>6043.3746239999973</v>
      </c>
      <c r="K10" s="379">
        <f t="shared" si="3"/>
        <v>8214.8582319999969</v>
      </c>
      <c r="L10" s="379">
        <f t="shared" si="3"/>
        <v>10550.945395289595</v>
      </c>
      <c r="M10" s="379">
        <f t="shared" si="3"/>
        <v>12761.32227728117</v>
      </c>
      <c r="N10" s="379">
        <f t="shared" si="3"/>
        <v>14480.135829854369</v>
      </c>
      <c r="O10" s="379">
        <f t="shared" si="3"/>
        <v>15348.386138005786</v>
      </c>
      <c r="P10" s="379">
        <f t="shared" si="3"/>
        <v>15123.074274621007</v>
      </c>
    </row>
    <row r="11" spans="1:16" ht="7.2" customHeight="1">
      <c r="B11" s="371"/>
      <c r="C11" s="375"/>
      <c r="D11" s="373"/>
      <c r="E11" s="373"/>
      <c r="F11" s="373"/>
      <c r="G11" s="373"/>
      <c r="H11" s="373"/>
      <c r="I11" s="373"/>
      <c r="J11" s="373"/>
      <c r="K11" s="373"/>
      <c r="L11" s="373"/>
      <c r="M11" s="373"/>
      <c r="N11" s="373"/>
      <c r="O11" s="373"/>
      <c r="P11" s="373"/>
    </row>
    <row r="12" spans="1:16" ht="12" customHeight="1">
      <c r="B12" s="371" t="s">
        <v>442</v>
      </c>
      <c r="C12" s="375"/>
      <c r="D12" s="373">
        <v>-10</v>
      </c>
      <c r="E12" s="373">
        <v>-22</v>
      </c>
      <c r="F12" s="373">
        <v>-42</v>
      </c>
      <c r="G12" s="373">
        <f>-G221</f>
        <v>-61.020699064880809</v>
      </c>
      <c r="H12" s="373">
        <f t="shared" ref="H12:P12" si="4">-H221</f>
        <v>-83.79343608662883</v>
      </c>
      <c r="I12" s="373">
        <f t="shared" si="4"/>
        <v>-132.262971905017</v>
      </c>
      <c r="J12" s="373">
        <f t="shared" si="4"/>
        <v>-206.05844466996589</v>
      </c>
      <c r="K12" s="373">
        <f t="shared" si="4"/>
        <v>-307.26098511923715</v>
      </c>
      <c r="L12" s="373">
        <f t="shared" si="4"/>
        <v>-432.0757364117826</v>
      </c>
      <c r="M12" s="373">
        <f t="shared" si="4"/>
        <v>-578.55297113268443</v>
      </c>
      <c r="N12" s="373">
        <f t="shared" si="4"/>
        <v>-756.32825598818772</v>
      </c>
      <c r="O12" s="373">
        <f t="shared" si="4"/>
        <v>-958.12361020016749</v>
      </c>
      <c r="P12" s="373">
        <f t="shared" si="4"/>
        <v>-1164.6733529714425</v>
      </c>
    </row>
    <row r="13" spans="1:16" ht="12" customHeight="1">
      <c r="B13" s="371" t="s">
        <v>443</v>
      </c>
      <c r="C13" s="375"/>
      <c r="D13" s="376">
        <v>2</v>
      </c>
      <c r="E13" s="376">
        <v>-2</v>
      </c>
      <c r="F13" s="376">
        <v>-19</v>
      </c>
      <c r="G13" s="376">
        <f t="shared" ref="G13:P13" si="5">-G225+G241</f>
        <v>56.514370723075643</v>
      </c>
      <c r="H13" s="376">
        <f t="shared" si="5"/>
        <v>97.15355617205698</v>
      </c>
      <c r="I13" s="376">
        <f t="shared" si="5"/>
        <v>93.656494543423676</v>
      </c>
      <c r="J13" s="376">
        <f t="shared" si="5"/>
        <v>93.752363064835166</v>
      </c>
      <c r="K13" s="376">
        <f t="shared" si="5"/>
        <v>94.520825335347979</v>
      </c>
      <c r="L13" s="376">
        <f t="shared" si="5"/>
        <v>107.8074704398536</v>
      </c>
      <c r="M13" s="376">
        <f t="shared" si="5"/>
        <v>145.66488148635185</v>
      </c>
      <c r="N13" s="376">
        <f t="shared" si="5"/>
        <v>213.0292433114723</v>
      </c>
      <c r="O13" s="376">
        <f t="shared" si="5"/>
        <v>326.38548691459738</v>
      </c>
      <c r="P13" s="376">
        <f t="shared" si="5"/>
        <v>496.41828061322019</v>
      </c>
    </row>
    <row r="14" spans="1:16" ht="12" customHeight="1">
      <c r="B14" s="371" t="s">
        <v>17</v>
      </c>
      <c r="C14" s="380"/>
      <c r="D14" s="373">
        <f>D12+D13</f>
        <v>-8</v>
      </c>
      <c r="E14" s="373">
        <f>E12+E13</f>
        <v>-24</v>
      </c>
      <c r="F14" s="373">
        <f>F12+F13</f>
        <v>-61</v>
      </c>
      <c r="G14" s="373">
        <f>G12+G13</f>
        <v>-4.5063283418051654</v>
      </c>
      <c r="H14" s="373">
        <f t="shared" ref="H14:P14" si="6">H12+H13</f>
        <v>13.36012008542815</v>
      </c>
      <c r="I14" s="373">
        <f t="shared" si="6"/>
        <v>-38.606477361593321</v>
      </c>
      <c r="J14" s="373">
        <f t="shared" si="6"/>
        <v>-112.30608160513073</v>
      </c>
      <c r="K14" s="373">
        <f t="shared" si="6"/>
        <v>-212.74015978388917</v>
      </c>
      <c r="L14" s="373">
        <f t="shared" si="6"/>
        <v>-324.268265971929</v>
      </c>
      <c r="M14" s="373">
        <f t="shared" si="6"/>
        <v>-432.88808964633256</v>
      </c>
      <c r="N14" s="373">
        <f t="shared" si="6"/>
        <v>-543.29901267671539</v>
      </c>
      <c r="O14" s="373">
        <f t="shared" si="6"/>
        <v>-631.73812328557005</v>
      </c>
      <c r="P14" s="373">
        <f t="shared" si="6"/>
        <v>-668.25507235822226</v>
      </c>
    </row>
    <row r="15" spans="1:16" ht="6" customHeight="1">
      <c r="B15" s="371"/>
      <c r="C15" s="375"/>
      <c r="D15" s="376"/>
      <c r="E15" s="376"/>
      <c r="F15" s="376"/>
      <c r="G15" s="376"/>
      <c r="H15" s="376"/>
      <c r="I15" s="376"/>
      <c r="J15" s="376"/>
      <c r="K15" s="376"/>
      <c r="L15" s="376"/>
      <c r="M15" s="376"/>
      <c r="N15" s="376"/>
      <c r="O15" s="376"/>
      <c r="P15" s="376"/>
    </row>
    <row r="16" spans="1:16" ht="12" customHeight="1">
      <c r="B16" s="371" t="s">
        <v>18</v>
      </c>
      <c r="C16" s="375"/>
      <c r="D16" s="373">
        <f>D10+D14</f>
        <v>254</v>
      </c>
      <c r="E16" s="373">
        <f>E10+E14</f>
        <v>1008</v>
      </c>
      <c r="F16" s="373">
        <f>F10+F14</f>
        <v>1695</v>
      </c>
      <c r="G16" s="373">
        <f t="shared" ref="G16:P16" si="7">G10+G14</f>
        <v>2389.8926716581946</v>
      </c>
      <c r="H16" s="373">
        <f t="shared" si="7"/>
        <v>3275.9173200854275</v>
      </c>
      <c r="I16" s="373">
        <f t="shared" si="7"/>
        <v>4403.5316426384052</v>
      </c>
      <c r="J16" s="373">
        <f t="shared" si="7"/>
        <v>5931.0685423948662</v>
      </c>
      <c r="K16" s="373">
        <f t="shared" si="7"/>
        <v>8002.118072216108</v>
      </c>
      <c r="L16" s="373">
        <f t="shared" si="7"/>
        <v>10226.677129317666</v>
      </c>
      <c r="M16" s="373">
        <f t="shared" si="7"/>
        <v>12328.434187634837</v>
      </c>
      <c r="N16" s="373">
        <f t="shared" si="7"/>
        <v>13936.836817177653</v>
      </c>
      <c r="O16" s="373">
        <f t="shared" si="7"/>
        <v>14716.648014720216</v>
      </c>
      <c r="P16" s="373">
        <f t="shared" si="7"/>
        <v>14454.819202262785</v>
      </c>
    </row>
    <row r="17" spans="2:16" ht="12" customHeight="1">
      <c r="B17" s="371" t="s">
        <v>0</v>
      </c>
      <c r="C17" s="375"/>
      <c r="D17" s="373">
        <v>-25</v>
      </c>
      <c r="E17" s="373">
        <v>-402</v>
      </c>
      <c r="F17" s="373">
        <v>-695</v>
      </c>
      <c r="G17" s="373">
        <f>-G249</f>
        <v>-955.95706866327782</v>
      </c>
      <c r="H17" s="373">
        <f t="shared" ref="H17:P17" si="8">-H249</f>
        <v>-1310.366928034171</v>
      </c>
      <c r="I17" s="373">
        <f t="shared" si="8"/>
        <v>-1761.4126570553622</v>
      </c>
      <c r="J17" s="373">
        <f t="shared" si="8"/>
        <v>-2372.4274169579467</v>
      </c>
      <c r="K17" s="373">
        <f t="shared" si="8"/>
        <v>-3200.8472288864432</v>
      </c>
      <c r="L17" s="373">
        <f t="shared" si="8"/>
        <v>-3988.4040804338902</v>
      </c>
      <c r="M17" s="373">
        <f t="shared" si="8"/>
        <v>-4684.8049913012383</v>
      </c>
      <c r="N17" s="373">
        <f t="shared" si="8"/>
        <v>-5156.629622355731</v>
      </c>
      <c r="O17" s="373">
        <f t="shared" si="8"/>
        <v>-5297.9932852992779</v>
      </c>
      <c r="P17" s="373">
        <f t="shared" si="8"/>
        <v>-5059.186720791974</v>
      </c>
    </row>
    <row r="18" spans="2:16" ht="5.0999999999999996" customHeight="1">
      <c r="B18" s="371"/>
      <c r="C18" s="375"/>
      <c r="D18" s="376"/>
      <c r="E18" s="376"/>
      <c r="F18" s="376"/>
      <c r="G18" s="376"/>
      <c r="H18" s="376"/>
      <c r="I18" s="376"/>
      <c r="J18" s="376"/>
      <c r="K18" s="376"/>
      <c r="L18" s="376"/>
      <c r="M18" s="376"/>
      <c r="N18" s="376"/>
      <c r="O18" s="376"/>
      <c r="P18" s="376"/>
    </row>
    <row r="19" spans="2:16" ht="12" customHeight="1">
      <c r="B19" s="377" t="s">
        <v>128</v>
      </c>
      <c r="C19" s="381"/>
      <c r="D19" s="379">
        <f>D16+D17</f>
        <v>229</v>
      </c>
      <c r="E19" s="379">
        <f>E16+E17</f>
        <v>606</v>
      </c>
      <c r="F19" s="379">
        <f>F16+F17</f>
        <v>1000</v>
      </c>
      <c r="G19" s="379">
        <f t="shared" ref="G19:P19" si="9">G16+G17</f>
        <v>1433.9356029949167</v>
      </c>
      <c r="H19" s="379">
        <f t="shared" si="9"/>
        <v>1965.5503920512565</v>
      </c>
      <c r="I19" s="379">
        <f t="shared" si="9"/>
        <v>2642.118985583043</v>
      </c>
      <c r="J19" s="379">
        <f t="shared" si="9"/>
        <v>3558.6411254369195</v>
      </c>
      <c r="K19" s="379">
        <f t="shared" si="9"/>
        <v>4801.2708433296648</v>
      </c>
      <c r="L19" s="379">
        <f t="shared" si="9"/>
        <v>6238.273048883776</v>
      </c>
      <c r="M19" s="379">
        <f t="shared" si="9"/>
        <v>7643.6291963335989</v>
      </c>
      <c r="N19" s="379">
        <f t="shared" si="9"/>
        <v>8780.2071948219218</v>
      </c>
      <c r="O19" s="379">
        <f t="shared" si="9"/>
        <v>9418.6547294209377</v>
      </c>
      <c r="P19" s="379">
        <f t="shared" si="9"/>
        <v>9395.6324814708096</v>
      </c>
    </row>
    <row r="20" spans="2:16" ht="12" hidden="1" customHeight="1" outlineLevel="1">
      <c r="B20" s="362" t="s">
        <v>651</v>
      </c>
      <c r="C20" s="362"/>
      <c r="D20" s="373">
        <f>'[1]IPO P&amp;L'!C29</f>
        <v>107</v>
      </c>
      <c r="E20" s="373">
        <f>'[1]IPO P&amp;L'!D29</f>
        <v>234</v>
      </c>
      <c r="F20" s="373">
        <f>'[1]IPO P&amp;L'!E29</f>
        <v>332</v>
      </c>
      <c r="G20" s="362"/>
      <c r="H20" s="362"/>
      <c r="I20" s="362"/>
      <c r="J20" s="362"/>
      <c r="K20" s="362"/>
      <c r="L20" s="362"/>
      <c r="M20" s="362"/>
      <c r="N20" s="362"/>
      <c r="O20" s="362"/>
      <c r="P20" s="362"/>
    </row>
    <row r="21" spans="2:16" ht="12" hidden="1" customHeight="1" outlineLevel="1">
      <c r="B21" s="362" t="s">
        <v>652</v>
      </c>
      <c r="C21" s="362"/>
      <c r="D21" s="373">
        <f>D19-D20</f>
        <v>122</v>
      </c>
      <c r="E21" s="373">
        <f>E19-E20</f>
        <v>372</v>
      </c>
      <c r="F21" s="373">
        <f>F19-F20</f>
        <v>668</v>
      </c>
      <c r="G21" s="373"/>
      <c r="H21" s="373"/>
      <c r="I21" s="373"/>
      <c r="J21" s="373"/>
      <c r="K21" s="373"/>
      <c r="L21" s="373"/>
      <c r="M21" s="373"/>
      <c r="N21" s="373"/>
      <c r="O21" s="373"/>
      <c r="P21" s="373"/>
    </row>
    <row r="22" spans="2:16" ht="7.5" hidden="1" customHeight="1" outlineLevel="1">
      <c r="B22" s="362"/>
      <c r="C22" s="362"/>
      <c r="D22" s="362"/>
      <c r="E22" s="362"/>
      <c r="F22" s="362"/>
      <c r="G22" s="362"/>
    </row>
    <row r="23" spans="2:16" ht="12" hidden="1" customHeight="1" outlineLevel="1">
      <c r="B23" s="382" t="s">
        <v>342</v>
      </c>
      <c r="C23" s="362"/>
      <c r="D23" s="362"/>
      <c r="E23" s="362"/>
      <c r="F23" s="362"/>
      <c r="G23" s="362"/>
    </row>
    <row r="24" spans="2:16" ht="12" hidden="1" customHeight="1" outlineLevel="1">
      <c r="B24" s="383" t="s">
        <v>21</v>
      </c>
      <c r="C24" s="384"/>
      <c r="D24" s="385">
        <v>1020</v>
      </c>
      <c r="E24" s="385">
        <v>1107</v>
      </c>
      <c r="F24" s="385">
        <v>1294</v>
      </c>
      <c r="G24" s="385"/>
    </row>
    <row r="25" spans="2:16" ht="12" hidden="1" customHeight="1" outlineLevel="1">
      <c r="B25" s="383" t="s">
        <v>22</v>
      </c>
      <c r="C25" s="386"/>
      <c r="D25" s="385">
        <v>1366</v>
      </c>
      <c r="E25" s="385">
        <v>1414</v>
      </c>
      <c r="F25" s="385">
        <v>1508</v>
      </c>
      <c r="G25" s="385"/>
    </row>
    <row r="26" spans="2:16" ht="7.2" hidden="1" customHeight="1" outlineLevel="1">
      <c r="C26" s="362"/>
      <c r="D26" s="362"/>
      <c r="E26" s="362"/>
      <c r="F26" s="362"/>
      <c r="G26" s="362"/>
    </row>
    <row r="27" spans="2:16" hidden="1" outlineLevel="1">
      <c r="B27" s="382" t="s">
        <v>653</v>
      </c>
      <c r="C27" s="362"/>
      <c r="D27" s="362"/>
      <c r="E27" s="362"/>
      <c r="F27" s="362"/>
      <c r="G27" s="362"/>
    </row>
    <row r="28" spans="2:16" ht="12" hidden="1" customHeight="1" outlineLevel="1">
      <c r="B28" s="383" t="s">
        <v>21</v>
      </c>
      <c r="C28" s="384"/>
      <c r="D28" s="387">
        <f>D21/D24</f>
        <v>0.11960784313725491</v>
      </c>
      <c r="E28" s="387">
        <f>E21/E24</f>
        <v>0.33604336043360433</v>
      </c>
      <c r="F28" s="387">
        <f>F21/F24</f>
        <v>0.51622874806800623</v>
      </c>
      <c r="G28" s="384"/>
    </row>
    <row r="29" spans="2:16" ht="12" hidden="1" customHeight="1" outlineLevel="1">
      <c r="B29" s="383" t="s">
        <v>22</v>
      </c>
      <c r="C29" s="386"/>
      <c r="D29" s="388">
        <v>0.1</v>
      </c>
      <c r="E29" s="388">
        <v>0.28000000000000003</v>
      </c>
      <c r="F29" s="388">
        <v>0.46</v>
      </c>
      <c r="G29" s="384"/>
    </row>
    <row r="30" spans="2:16" ht="12" customHeight="1" collapsed="1">
      <c r="B30" s="383"/>
      <c r="C30" s="386"/>
      <c r="D30" s="388"/>
      <c r="E30" s="388"/>
      <c r="F30" s="388"/>
      <c r="G30" s="384"/>
    </row>
    <row r="31" spans="2:16" ht="12" customHeight="1">
      <c r="B31" s="377" t="s">
        <v>654</v>
      </c>
      <c r="C31" s="386"/>
      <c r="D31" s="379">
        <f>D84+D10</f>
        <v>340</v>
      </c>
      <c r="E31" s="379">
        <f>E84+E10</f>
        <v>1171</v>
      </c>
      <c r="F31" s="379">
        <f>F84+F10</f>
        <v>2079</v>
      </c>
      <c r="G31" s="379">
        <f t="shared" ref="G31:P31" si="10">G84+G10</f>
        <v>2922.6690464363637</v>
      </c>
      <c r="H31" s="379">
        <f t="shared" si="10"/>
        <v>4133.0196339636359</v>
      </c>
      <c r="I31" s="379">
        <f t="shared" si="10"/>
        <v>5750.5420595636351</v>
      </c>
      <c r="J31" s="379">
        <f t="shared" si="10"/>
        <v>7885.2188090327245</v>
      </c>
      <c r="K31" s="379">
        <f t="shared" si="10"/>
        <v>10726.313011336724</v>
      </c>
      <c r="L31" s="379">
        <f t="shared" si="10"/>
        <v>13877.354618970967</v>
      </c>
      <c r="M31" s="379">
        <f t="shared" si="10"/>
        <v>16821.71163208576</v>
      </c>
      <c r="N31" s="379">
        <f t="shared" si="10"/>
        <v>19183.611689683628</v>
      </c>
      <c r="O31" s="379">
        <f t="shared" si="10"/>
        <v>20971.838169936225</v>
      </c>
      <c r="P31" s="379">
        <f t="shared" si="10"/>
        <v>21575.229015275858</v>
      </c>
    </row>
    <row r="32" spans="2:16" ht="12" customHeight="1">
      <c r="B32" s="383"/>
      <c r="C32" s="386"/>
      <c r="D32" s="388"/>
      <c r="E32" s="388"/>
      <c r="F32" s="388"/>
      <c r="G32" s="384"/>
    </row>
    <row r="33" spans="2:16" ht="12" customHeight="1">
      <c r="B33" s="383"/>
      <c r="C33" s="386"/>
      <c r="D33" s="388"/>
      <c r="E33" s="388"/>
      <c r="F33" s="388"/>
      <c r="G33" s="384"/>
    </row>
    <row r="34" spans="2:16">
      <c r="B34" s="362"/>
      <c r="C34" s="362"/>
      <c r="D34" s="363" t="s">
        <v>646</v>
      </c>
      <c r="E34" s="363"/>
      <c r="F34" s="363"/>
      <c r="G34" s="364" t="s">
        <v>647</v>
      </c>
      <c r="H34" s="365"/>
      <c r="I34" s="365"/>
      <c r="J34" s="365"/>
      <c r="K34" s="365"/>
      <c r="L34" s="365"/>
      <c r="M34" s="365"/>
      <c r="N34" s="365"/>
      <c r="O34" s="365"/>
      <c r="P34" s="365"/>
    </row>
    <row r="35" spans="2:16" ht="14.4">
      <c r="B35" s="366" t="s">
        <v>655</v>
      </c>
      <c r="C35" s="367"/>
      <c r="D35" s="368" t="s">
        <v>7</v>
      </c>
      <c r="E35" s="368" t="s">
        <v>8</v>
      </c>
      <c r="F35" s="368" t="s">
        <v>9</v>
      </c>
      <c r="G35" s="368">
        <v>2012</v>
      </c>
      <c r="H35" s="368">
        <f t="shared" ref="H35:P35" si="11">G35+1</f>
        <v>2013</v>
      </c>
      <c r="I35" s="368">
        <f t="shared" si="11"/>
        <v>2014</v>
      </c>
      <c r="J35" s="368">
        <f t="shared" si="11"/>
        <v>2015</v>
      </c>
      <c r="K35" s="368">
        <f t="shared" si="11"/>
        <v>2016</v>
      </c>
      <c r="L35" s="368">
        <f t="shared" si="11"/>
        <v>2017</v>
      </c>
      <c r="M35" s="368">
        <f t="shared" si="11"/>
        <v>2018</v>
      </c>
      <c r="N35" s="368">
        <f t="shared" si="11"/>
        <v>2019</v>
      </c>
      <c r="O35" s="368">
        <f t="shared" si="11"/>
        <v>2020</v>
      </c>
      <c r="P35" s="368">
        <f t="shared" si="11"/>
        <v>2021</v>
      </c>
    </row>
    <row r="36" spans="2:16" ht="6" customHeight="1">
      <c r="B36" s="369"/>
      <c r="C36" s="367"/>
      <c r="D36" s="370"/>
      <c r="E36" s="370"/>
      <c r="F36" s="370"/>
      <c r="G36" s="370"/>
    </row>
    <row r="37" spans="2:16" ht="12" customHeight="1">
      <c r="B37" s="389" t="s">
        <v>465</v>
      </c>
      <c r="C37" s="386"/>
      <c r="D37" s="373"/>
      <c r="E37" s="373"/>
      <c r="F37" s="373"/>
      <c r="G37" s="373"/>
      <c r="H37" s="373"/>
      <c r="I37" s="373"/>
      <c r="J37" s="373"/>
      <c r="K37" s="373"/>
      <c r="L37" s="373"/>
      <c r="M37" s="373"/>
      <c r="N37" s="373"/>
      <c r="O37" s="373"/>
      <c r="P37" s="373"/>
    </row>
    <row r="38" spans="2:16" ht="12" customHeight="1">
      <c r="B38" s="390" t="s">
        <v>466</v>
      </c>
      <c r="C38" s="386"/>
      <c r="D38" s="373"/>
      <c r="E38" s="373"/>
      <c r="F38" s="373"/>
      <c r="G38" s="373"/>
      <c r="H38" s="373"/>
      <c r="I38" s="373"/>
      <c r="J38" s="373"/>
      <c r="K38" s="373"/>
      <c r="L38" s="373"/>
      <c r="M38" s="373"/>
      <c r="N38" s="373"/>
      <c r="O38" s="373"/>
      <c r="P38" s="373"/>
    </row>
    <row r="39" spans="2:16" ht="12" customHeight="1">
      <c r="B39" s="371" t="s">
        <v>467</v>
      </c>
      <c r="C39" s="386"/>
      <c r="D39" s="373">
        <v>633</v>
      </c>
      <c r="E39" s="373">
        <v>1785</v>
      </c>
      <c r="F39" s="373">
        <v>1512</v>
      </c>
      <c r="G39" s="391">
        <f>G104</f>
        <v>2461.1636919545481</v>
      </c>
      <c r="H39" s="391">
        <f t="shared" ref="H39:P39" si="12">H104</f>
        <v>3394.0254575454537</v>
      </c>
      <c r="I39" s="391">
        <f t="shared" si="12"/>
        <v>4796.2424255454525</v>
      </c>
      <c r="J39" s="391">
        <f t="shared" si="12"/>
        <v>6921.6644887090888</v>
      </c>
      <c r="K39" s="391">
        <f t="shared" si="12"/>
        <v>10081.571935829088</v>
      </c>
      <c r="L39" s="391">
        <f t="shared" si="12"/>
        <v>13753.356003086283</v>
      </c>
      <c r="M39" s="391">
        <f t="shared" si="12"/>
        <v>17785.721957339181</v>
      </c>
      <c r="N39" s="391">
        <f t="shared" si="12"/>
        <v>21509.159062902629</v>
      </c>
      <c r="O39" s="391">
        <f t="shared" si="12"/>
        <v>23640.788635387584</v>
      </c>
      <c r="P39" s="391">
        <f t="shared" si="12"/>
        <v>23883.661805669188</v>
      </c>
    </row>
    <row r="40" spans="2:16" ht="12" customHeight="1">
      <c r="B40" s="371" t="s">
        <v>468</v>
      </c>
      <c r="C40" s="386"/>
      <c r="D40" s="373"/>
      <c r="E40" s="373">
        <v>0</v>
      </c>
      <c r="F40" s="373">
        <v>2396</v>
      </c>
      <c r="G40" s="391">
        <f t="shared" ref="G40:P40" si="13">F40-G91</f>
        <v>8685.9160964100847</v>
      </c>
      <c r="H40" s="391">
        <f t="shared" si="13"/>
        <v>9233.224726530847</v>
      </c>
      <c r="I40" s="391">
        <f t="shared" si="13"/>
        <v>10205.77454592564</v>
      </c>
      <c r="J40" s="391">
        <f t="shared" si="13"/>
        <v>12026.593862719048</v>
      </c>
      <c r="K40" s="391">
        <f t="shared" si="13"/>
        <v>14201.057515327346</v>
      </c>
      <c r="L40" s="391">
        <f t="shared" si="13"/>
        <v>18212.605935319796</v>
      </c>
      <c r="M40" s="391">
        <f t="shared" si="13"/>
        <v>23722.467168076437</v>
      </c>
      <c r="N40" s="391">
        <f t="shared" si="13"/>
        <v>31066.772137033018</v>
      </c>
      <c r="O40" s="391">
        <f t="shared" si="13"/>
        <v>41369.625640730126</v>
      </c>
      <c r="P40" s="391">
        <f t="shared" si="13"/>
        <v>54316.177953965722</v>
      </c>
    </row>
    <row r="41" spans="2:16" ht="12" customHeight="1">
      <c r="B41" s="371" t="s">
        <v>387</v>
      </c>
      <c r="C41" s="386"/>
      <c r="D41" s="373"/>
      <c r="E41" s="373">
        <v>373</v>
      </c>
      <c r="F41" s="373">
        <v>547</v>
      </c>
      <c r="G41" s="373">
        <f>G111</f>
        <v>782.8684931506848</v>
      </c>
      <c r="H41" s="373">
        <f t="shared" ref="H41:P42" si="14">H111</f>
        <v>1096.0158904109587</v>
      </c>
      <c r="I41" s="373">
        <f t="shared" si="14"/>
        <v>1534.4222465753419</v>
      </c>
      <c r="J41" s="373">
        <f t="shared" si="14"/>
        <v>2148.1911452054787</v>
      </c>
      <c r="K41" s="373">
        <f t="shared" si="14"/>
        <v>3007.46760328767</v>
      </c>
      <c r="L41" s="373">
        <f t="shared" si="14"/>
        <v>3981.8871067528748</v>
      </c>
      <c r="M41" s="373">
        <f t="shared" si="14"/>
        <v>4969.3951092275884</v>
      </c>
      <c r="N41" s="373">
        <f t="shared" si="14"/>
        <v>5824.1310680147344</v>
      </c>
      <c r="O41" s="373">
        <f t="shared" si="14"/>
        <v>6383.2476505441491</v>
      </c>
      <c r="P41" s="373">
        <f t="shared" si="14"/>
        <v>6510.9126035550325</v>
      </c>
    </row>
    <row r="42" spans="2:16" ht="12" customHeight="1">
      <c r="B42" s="371" t="s">
        <v>388</v>
      </c>
      <c r="C42" s="386"/>
      <c r="D42" s="376"/>
      <c r="E42" s="376">
        <v>88</v>
      </c>
      <c r="F42" s="376">
        <v>149</v>
      </c>
      <c r="G42" s="376">
        <f>G112</f>
        <v>221.84748094228235</v>
      </c>
      <c r="H42" s="376">
        <f t="shared" si="14"/>
        <v>310.58647331919519</v>
      </c>
      <c r="I42" s="376">
        <f t="shared" si="14"/>
        <v>434.82106264687332</v>
      </c>
      <c r="J42" s="376">
        <f t="shared" si="14"/>
        <v>608.74948770562253</v>
      </c>
      <c r="K42" s="376">
        <f t="shared" si="14"/>
        <v>852.24928278787161</v>
      </c>
      <c r="L42" s="376">
        <f t="shared" si="14"/>
        <v>1128.3780504111419</v>
      </c>
      <c r="M42" s="376">
        <f t="shared" si="14"/>
        <v>1408.2158069131051</v>
      </c>
      <c r="N42" s="376">
        <f t="shared" si="14"/>
        <v>1650.4289257021596</v>
      </c>
      <c r="O42" s="376">
        <f t="shared" si="14"/>
        <v>1808.8701025695673</v>
      </c>
      <c r="P42" s="376">
        <f t="shared" si="14"/>
        <v>1845.0475046209585</v>
      </c>
    </row>
    <row r="43" spans="2:16" ht="12" customHeight="1">
      <c r="B43" s="371" t="s">
        <v>473</v>
      </c>
      <c r="C43" s="386"/>
      <c r="D43" s="373"/>
      <c r="E43" s="373">
        <f>SUM(E39:E42)</f>
        <v>2246</v>
      </c>
      <c r="F43" s="373">
        <f>SUM(F39:F42)</f>
        <v>4604</v>
      </c>
      <c r="G43" s="373">
        <f>SUM(G39:G42)</f>
        <v>12151.795762457601</v>
      </c>
      <c r="H43" s="373">
        <f t="shared" ref="H43:P43" si="15">SUM(H39:H42)</f>
        <v>14033.852547806455</v>
      </c>
      <c r="I43" s="373">
        <f t="shared" si="15"/>
        <v>16971.260280693306</v>
      </c>
      <c r="J43" s="373">
        <f t="shared" si="15"/>
        <v>21705.198984339237</v>
      </c>
      <c r="K43" s="373">
        <f t="shared" si="15"/>
        <v>28142.346337231975</v>
      </c>
      <c r="L43" s="373">
        <f t="shared" si="15"/>
        <v>37076.227095570095</v>
      </c>
      <c r="M43" s="373">
        <f t="shared" si="15"/>
        <v>47885.800041556315</v>
      </c>
      <c r="N43" s="373">
        <f t="shared" si="15"/>
        <v>60050.491193652539</v>
      </c>
      <c r="O43" s="373">
        <f t="shared" si="15"/>
        <v>73202.532029231414</v>
      </c>
      <c r="P43" s="373">
        <f t="shared" si="15"/>
        <v>86555.7998678109</v>
      </c>
    </row>
    <row r="44" spans="2:16" ht="6.9" customHeight="1">
      <c r="B44" s="371"/>
      <c r="C44" s="386"/>
      <c r="D44" s="373"/>
      <c r="E44" s="373"/>
      <c r="F44" s="373"/>
      <c r="G44" s="373"/>
      <c r="H44" s="373"/>
      <c r="I44" s="373"/>
      <c r="J44" s="373"/>
      <c r="K44" s="373"/>
      <c r="L44" s="373"/>
      <c r="M44" s="373"/>
      <c r="N44" s="373"/>
      <c r="O44" s="373"/>
      <c r="P44" s="373"/>
    </row>
    <row r="45" spans="2:16" ht="12" customHeight="1">
      <c r="B45" s="371" t="s">
        <v>24</v>
      </c>
      <c r="C45" s="386"/>
      <c r="D45" s="373"/>
      <c r="E45" s="373">
        <v>574</v>
      </c>
      <c r="F45" s="373">
        <v>1475</v>
      </c>
      <c r="G45" s="373">
        <f>G140</f>
        <v>2574.9505590181816</v>
      </c>
      <c r="H45" s="373">
        <f t="shared" ref="H45:P45" si="16">H140</f>
        <v>3606.084738872727</v>
      </c>
      <c r="I45" s="373">
        <f t="shared" si="16"/>
        <v>4975.770075090908</v>
      </c>
      <c r="J45" s="373">
        <f t="shared" si="16"/>
        <v>6170.1229413454521</v>
      </c>
      <c r="K45" s="373">
        <f t="shared" si="16"/>
        <v>7895.3240207781782</v>
      </c>
      <c r="L45" s="373">
        <f t="shared" si="16"/>
        <v>9124.5287311285374</v>
      </c>
      <c r="M45" s="373">
        <f t="shared" si="16"/>
        <v>10727.010891073543</v>
      </c>
      <c r="N45" s="373">
        <f t="shared" si="16"/>
        <v>12669.771298848187</v>
      </c>
      <c r="O45" s="373">
        <f t="shared" si="16"/>
        <v>14375.418046782062</v>
      </c>
      <c r="P45" s="373">
        <f t="shared" si="16"/>
        <v>15056.868428272577</v>
      </c>
    </row>
    <row r="46" spans="2:16" ht="12" customHeight="1">
      <c r="B46" s="371" t="s">
        <v>474</v>
      </c>
      <c r="C46" s="386"/>
      <c r="D46" s="373"/>
      <c r="E46" s="373">
        <v>96</v>
      </c>
      <c r="F46" s="373">
        <v>162</v>
      </c>
      <c r="G46" s="373">
        <f>G169</f>
        <v>377.62685454545453</v>
      </c>
      <c r="H46" s="373">
        <f t="shared" ref="H46:P46" si="17">H169</f>
        <v>585.36264072727261</v>
      </c>
      <c r="I46" s="373">
        <f t="shared" si="17"/>
        <v>758.50888494545427</v>
      </c>
      <c r="J46" s="373">
        <f t="shared" si="17"/>
        <v>858.67090565818137</v>
      </c>
      <c r="K46" s="373">
        <f t="shared" si="17"/>
        <v>1012.9177476887266</v>
      </c>
      <c r="L46" s="373">
        <f t="shared" si="17"/>
        <v>1213.8489575417943</v>
      </c>
      <c r="M46" s="373">
        <f t="shared" si="17"/>
        <v>1487.1457823604264</v>
      </c>
      <c r="N46" s="373">
        <f t="shared" si="17"/>
        <v>1798.0988087304904</v>
      </c>
      <c r="O46" s="373">
        <f t="shared" si="17"/>
        <v>2094.0794950616455</v>
      </c>
      <c r="P46" s="373">
        <f t="shared" si="17"/>
        <v>2305.9675920179134</v>
      </c>
    </row>
    <row r="47" spans="2:16" ht="12" customHeight="1">
      <c r="B47" s="371" t="s">
        <v>389</v>
      </c>
      <c r="C47" s="386"/>
      <c r="D47" s="373"/>
      <c r="E47" s="373">
        <v>74</v>
      </c>
      <c r="F47" s="373">
        <v>90</v>
      </c>
      <c r="G47" s="373">
        <f>G113</f>
        <v>134.00183412621081</v>
      </c>
      <c r="H47" s="373">
        <f t="shared" ref="H47:P47" si="18">H113</f>
        <v>187.60256777669508</v>
      </c>
      <c r="I47" s="373">
        <f t="shared" si="18"/>
        <v>262.64359488737313</v>
      </c>
      <c r="J47" s="373">
        <f t="shared" si="18"/>
        <v>367.70103284232226</v>
      </c>
      <c r="K47" s="373">
        <f t="shared" si="18"/>
        <v>514.7814459792512</v>
      </c>
      <c r="L47" s="373">
        <f t="shared" si="18"/>
        <v>681.57063447652854</v>
      </c>
      <c r="M47" s="373">
        <f t="shared" si="18"/>
        <v>850.6001518267077</v>
      </c>
      <c r="N47" s="373">
        <f t="shared" si="18"/>
        <v>996.90337794090158</v>
      </c>
      <c r="O47" s="373">
        <f t="shared" si="18"/>
        <v>1092.6061022232282</v>
      </c>
      <c r="P47" s="373">
        <f t="shared" si="18"/>
        <v>1114.4582242676927</v>
      </c>
    </row>
    <row r="48" spans="2:16" ht="6.6" customHeight="1">
      <c r="B48" s="371"/>
      <c r="C48" s="386"/>
      <c r="D48" s="376"/>
      <c r="E48" s="376"/>
      <c r="F48" s="376"/>
      <c r="G48" s="376"/>
      <c r="H48" s="376"/>
      <c r="I48" s="376"/>
      <c r="J48" s="376"/>
      <c r="K48" s="376"/>
      <c r="L48" s="376"/>
      <c r="M48" s="376"/>
      <c r="N48" s="376"/>
      <c r="O48" s="376"/>
      <c r="P48" s="376"/>
    </row>
    <row r="49" spans="2:16" ht="12" customHeight="1">
      <c r="B49" s="377" t="s">
        <v>125</v>
      </c>
      <c r="C49" s="386"/>
      <c r="D49" s="379">
        <v>1109</v>
      </c>
      <c r="E49" s="379">
        <f>E43+E45+E46+E47</f>
        <v>2990</v>
      </c>
      <c r="F49" s="379">
        <f>F43+F45+F46+F47</f>
        <v>6331</v>
      </c>
      <c r="G49" s="379">
        <f t="shared" ref="G49:P49" si="19">G43+G45+G46+G47</f>
        <v>15238.375010147449</v>
      </c>
      <c r="H49" s="379">
        <f t="shared" si="19"/>
        <v>18412.902495183149</v>
      </c>
      <c r="I49" s="379">
        <f t="shared" si="19"/>
        <v>22968.182835617041</v>
      </c>
      <c r="J49" s="379">
        <f t="shared" si="19"/>
        <v>29101.693864185196</v>
      </c>
      <c r="K49" s="379">
        <f t="shared" si="19"/>
        <v>37565.36955167813</v>
      </c>
      <c r="L49" s="379">
        <f t="shared" si="19"/>
        <v>48096.17541871695</v>
      </c>
      <c r="M49" s="379">
        <f t="shared" si="19"/>
        <v>60950.556866816994</v>
      </c>
      <c r="N49" s="379">
        <f t="shared" si="19"/>
        <v>75515.26467917212</v>
      </c>
      <c r="O49" s="379">
        <f t="shared" si="19"/>
        <v>90764.635673298355</v>
      </c>
      <c r="P49" s="379">
        <f t="shared" si="19"/>
        <v>105033.09411236909</v>
      </c>
    </row>
    <row r="50" spans="2:16" ht="7.8" customHeight="1">
      <c r="B50" s="371"/>
      <c r="C50" s="386"/>
      <c r="D50" s="373"/>
      <c r="E50" s="373"/>
      <c r="F50" s="373"/>
      <c r="G50" s="373"/>
      <c r="H50" s="373"/>
      <c r="I50" s="373"/>
      <c r="J50" s="373"/>
      <c r="K50" s="373"/>
      <c r="L50" s="373"/>
      <c r="M50" s="373"/>
      <c r="N50" s="373"/>
      <c r="O50" s="373"/>
      <c r="P50" s="373"/>
    </row>
    <row r="51" spans="2:16" ht="12" customHeight="1">
      <c r="B51" s="389" t="s">
        <v>475</v>
      </c>
      <c r="C51" s="386"/>
      <c r="D51" s="373"/>
      <c r="E51" s="373"/>
      <c r="F51" s="373"/>
      <c r="G51" s="373"/>
      <c r="H51" s="373"/>
      <c r="I51" s="373"/>
      <c r="J51" s="373"/>
      <c r="K51" s="373"/>
      <c r="L51" s="373"/>
      <c r="M51" s="373"/>
      <c r="N51" s="373"/>
      <c r="O51" s="373"/>
      <c r="P51" s="373"/>
    </row>
    <row r="52" spans="2:16" ht="12" customHeight="1">
      <c r="B52" s="390" t="s">
        <v>476</v>
      </c>
      <c r="C52" s="386"/>
      <c r="D52" s="373"/>
      <c r="E52" s="373"/>
      <c r="F52" s="373"/>
      <c r="G52" s="373"/>
      <c r="H52" s="373"/>
      <c r="I52" s="373"/>
      <c r="J52" s="373"/>
      <c r="K52" s="373"/>
      <c r="L52" s="373"/>
      <c r="M52" s="373"/>
      <c r="N52" s="373"/>
      <c r="O52" s="373"/>
      <c r="P52" s="373"/>
    </row>
    <row r="53" spans="2:16" ht="12" customHeight="1">
      <c r="B53" s="371" t="s">
        <v>390</v>
      </c>
      <c r="C53" s="386"/>
      <c r="D53" s="373"/>
      <c r="E53" s="373">
        <v>29</v>
      </c>
      <c r="F53" s="373">
        <v>63</v>
      </c>
      <c r="G53" s="373">
        <f t="shared" ref="G53:P56" si="20">G114</f>
        <v>83.056690891949884</v>
      </c>
      <c r="H53" s="373">
        <f t="shared" si="20"/>
        <v>115.2539585422203</v>
      </c>
      <c r="I53" s="373">
        <f t="shared" si="20"/>
        <v>157.29088863984686</v>
      </c>
      <c r="J53" s="373">
        <f t="shared" si="20"/>
        <v>216.56039834099741</v>
      </c>
      <c r="K53" s="373">
        <f t="shared" si="20"/>
        <v>299.68807437753117</v>
      </c>
      <c r="L53" s="373">
        <f t="shared" si="20"/>
        <v>393.65126402488505</v>
      </c>
      <c r="M53" s="373">
        <f t="shared" si="20"/>
        <v>497.25933071275074</v>
      </c>
      <c r="N53" s="373">
        <f t="shared" si="20"/>
        <v>590.77319524389384</v>
      </c>
      <c r="O53" s="373">
        <f t="shared" si="20"/>
        <v>650.22306553094302</v>
      </c>
      <c r="P53" s="373">
        <f t="shared" si="20"/>
        <v>635.50652959872684</v>
      </c>
    </row>
    <row r="54" spans="2:16" ht="12" customHeight="1">
      <c r="B54" s="371" t="s">
        <v>391</v>
      </c>
      <c r="C54" s="386"/>
      <c r="D54" s="373"/>
      <c r="E54" s="373">
        <v>75</v>
      </c>
      <c r="F54" s="373">
        <v>171</v>
      </c>
      <c r="G54" s="373">
        <f t="shared" si="20"/>
        <v>225.43958956386399</v>
      </c>
      <c r="H54" s="373">
        <f t="shared" si="20"/>
        <v>312.83217318602658</v>
      </c>
      <c r="I54" s="373">
        <f t="shared" si="20"/>
        <v>426.9324120224415</v>
      </c>
      <c r="J54" s="373">
        <f t="shared" si="20"/>
        <v>587.806795496993</v>
      </c>
      <c r="K54" s="373">
        <f t="shared" si="20"/>
        <v>813.43905902472738</v>
      </c>
      <c r="L54" s="373">
        <f t="shared" si="20"/>
        <v>1068.4820023532593</v>
      </c>
      <c r="M54" s="373">
        <f t="shared" si="20"/>
        <v>1349.7038976488948</v>
      </c>
      <c r="N54" s="373">
        <f t="shared" si="20"/>
        <v>1603.5272442334258</v>
      </c>
      <c r="O54" s="373">
        <f t="shared" si="20"/>
        <v>1764.8911778697022</v>
      </c>
      <c r="P54" s="373">
        <f t="shared" si="20"/>
        <v>1724.9462946251153</v>
      </c>
    </row>
    <row r="55" spans="2:16" ht="12" customHeight="1">
      <c r="B55" s="371" t="s">
        <v>392</v>
      </c>
      <c r="C55" s="386"/>
      <c r="D55" s="373"/>
      <c r="E55" s="373">
        <v>137</v>
      </c>
      <c r="F55" s="373">
        <v>296</v>
      </c>
      <c r="G55" s="373">
        <f t="shared" si="20"/>
        <v>390.23461117487568</v>
      </c>
      <c r="H55" s="373">
        <f t="shared" si="20"/>
        <v>541.51066235709868</v>
      </c>
      <c r="I55" s="373">
        <f t="shared" si="20"/>
        <v>739.01750853007422</v>
      </c>
      <c r="J55" s="373">
        <f t="shared" si="20"/>
        <v>1017.4901255386546</v>
      </c>
      <c r="K55" s="373">
        <f t="shared" si="20"/>
        <v>1408.0582542182417</v>
      </c>
      <c r="L55" s="373">
        <f t="shared" si="20"/>
        <v>1849.5360976407298</v>
      </c>
      <c r="M55" s="373">
        <f t="shared" si="20"/>
        <v>2336.3295538249877</v>
      </c>
      <c r="N55" s="373">
        <f t="shared" si="20"/>
        <v>2775.6962824157549</v>
      </c>
      <c r="O55" s="373">
        <f t="shared" si="20"/>
        <v>3055.0163078914147</v>
      </c>
      <c r="P55" s="373">
        <f t="shared" si="20"/>
        <v>2985.8719485908437</v>
      </c>
    </row>
    <row r="56" spans="2:16" ht="12" customHeight="1">
      <c r="B56" s="371" t="s">
        <v>393</v>
      </c>
      <c r="C56" s="386"/>
      <c r="D56" s="373"/>
      <c r="E56" s="373">
        <v>42</v>
      </c>
      <c r="F56" s="373">
        <v>90</v>
      </c>
      <c r="G56" s="373">
        <f t="shared" si="20"/>
        <v>118.65241555992841</v>
      </c>
      <c r="H56" s="373">
        <f t="shared" si="20"/>
        <v>164.64851220317189</v>
      </c>
      <c r="I56" s="373">
        <f t="shared" si="20"/>
        <v>224.70126948549552</v>
      </c>
      <c r="J56" s="373">
        <f t="shared" si="20"/>
        <v>309.37199762999632</v>
      </c>
      <c r="K56" s="373">
        <f t="shared" si="20"/>
        <v>428.12582053933016</v>
      </c>
      <c r="L56" s="373">
        <f t="shared" si="20"/>
        <v>562.35894860697852</v>
      </c>
      <c r="M56" s="373">
        <f t="shared" si="20"/>
        <v>710.37047244678672</v>
      </c>
      <c r="N56" s="373">
        <f t="shared" si="20"/>
        <v>843.9617074912768</v>
      </c>
      <c r="O56" s="373">
        <f t="shared" si="20"/>
        <v>928.89009361563285</v>
      </c>
      <c r="P56" s="373">
        <f t="shared" si="20"/>
        <v>907.866470855324</v>
      </c>
    </row>
    <row r="57" spans="2:16" ht="12" customHeight="1">
      <c r="B57" s="371" t="s">
        <v>477</v>
      </c>
      <c r="C57" s="386"/>
      <c r="D57" s="392"/>
      <c r="E57" s="376">
        <v>106</v>
      </c>
      <c r="F57" s="376">
        <v>279</v>
      </c>
      <c r="G57" s="393">
        <f>F57</f>
        <v>279</v>
      </c>
      <c r="H57" s="393">
        <f t="shared" ref="H57:P57" si="21">G57</f>
        <v>279</v>
      </c>
      <c r="I57" s="393">
        <f t="shared" si="21"/>
        <v>279</v>
      </c>
      <c r="J57" s="393">
        <f t="shared" si="21"/>
        <v>279</v>
      </c>
      <c r="K57" s="393">
        <f t="shared" si="21"/>
        <v>279</v>
      </c>
      <c r="L57" s="393">
        <f t="shared" si="21"/>
        <v>279</v>
      </c>
      <c r="M57" s="393">
        <f t="shared" si="21"/>
        <v>279</v>
      </c>
      <c r="N57" s="393">
        <f t="shared" si="21"/>
        <v>279</v>
      </c>
      <c r="O57" s="393">
        <f t="shared" si="21"/>
        <v>279</v>
      </c>
      <c r="P57" s="393">
        <f t="shared" si="21"/>
        <v>279</v>
      </c>
    </row>
    <row r="58" spans="2:16" ht="12" customHeight="1">
      <c r="B58" s="371" t="s">
        <v>478</v>
      </c>
      <c r="C58" s="386"/>
      <c r="D58" s="373"/>
      <c r="E58" s="373">
        <f t="shared" ref="E58:P58" si="22">SUM(E53:E57)</f>
        <v>389</v>
      </c>
      <c r="F58" s="373">
        <f t="shared" si="22"/>
        <v>899</v>
      </c>
      <c r="G58" s="373">
        <f t="shared" si="22"/>
        <v>1096.3833071906179</v>
      </c>
      <c r="H58" s="373">
        <f t="shared" si="22"/>
        <v>1413.2453062885174</v>
      </c>
      <c r="I58" s="373">
        <f t="shared" si="22"/>
        <v>1826.942078677858</v>
      </c>
      <c r="J58" s="373">
        <f t="shared" si="22"/>
        <v>2410.2293170066414</v>
      </c>
      <c r="K58" s="373">
        <f t="shared" si="22"/>
        <v>3228.3112081598306</v>
      </c>
      <c r="L58" s="373">
        <f t="shared" si="22"/>
        <v>4153.0283126258528</v>
      </c>
      <c r="M58" s="373">
        <f t="shared" si="22"/>
        <v>5172.6632546334204</v>
      </c>
      <c r="N58" s="373">
        <f t="shared" si="22"/>
        <v>6092.9584293843509</v>
      </c>
      <c r="O58" s="373">
        <f t="shared" si="22"/>
        <v>6678.0206449076923</v>
      </c>
      <c r="P58" s="373">
        <f t="shared" si="22"/>
        <v>6533.1912436700095</v>
      </c>
    </row>
    <row r="59" spans="2:16" ht="12" customHeight="1">
      <c r="B59" s="371"/>
      <c r="C59" s="386"/>
      <c r="D59" s="373"/>
      <c r="E59" s="373"/>
      <c r="F59" s="373"/>
      <c r="G59" s="373"/>
      <c r="H59" s="373"/>
      <c r="I59" s="373"/>
      <c r="J59" s="373"/>
      <c r="K59" s="373"/>
      <c r="L59" s="373"/>
      <c r="M59" s="373"/>
      <c r="N59" s="373"/>
      <c r="O59" s="373"/>
      <c r="P59" s="373"/>
    </row>
    <row r="60" spans="2:16" ht="12" customHeight="1">
      <c r="B60" s="371" t="s">
        <v>479</v>
      </c>
      <c r="C60" s="386"/>
      <c r="D60" s="373"/>
      <c r="E60" s="373">
        <v>117</v>
      </c>
      <c r="F60" s="373">
        <v>398</v>
      </c>
      <c r="G60" s="373">
        <f t="shared" ref="G60:P61" si="23">G94+F60</f>
        <v>569.51747662202047</v>
      </c>
      <c r="H60" s="373">
        <f t="shared" si="23"/>
        <v>967.31842554370019</v>
      </c>
      <c r="I60" s="373">
        <f t="shared" si="23"/>
        <v>1781.2558720817249</v>
      </c>
      <c r="J60" s="373">
        <f t="shared" si="23"/>
        <v>2812.2052446674224</v>
      </c>
      <c r="K60" s="373">
        <f t="shared" si="23"/>
        <v>4311.3193833135056</v>
      </c>
      <c r="L60" s="373">
        <f t="shared" si="23"/>
        <v>5932.5740269810585</v>
      </c>
      <c r="M60" s="373">
        <f t="shared" si="23"/>
        <v>7973.2502513360523</v>
      </c>
      <c r="N60" s="373">
        <f t="shared" si="23"/>
        <v>10376.956148368641</v>
      </c>
      <c r="O60" s="373">
        <f t="shared" si="23"/>
        <v>13018.134106635542</v>
      </c>
      <c r="P60" s="373">
        <f t="shared" si="23"/>
        <v>15540.699717650514</v>
      </c>
    </row>
    <row r="61" spans="2:16" ht="12" customHeight="1">
      <c r="B61" s="371" t="s">
        <v>480</v>
      </c>
      <c r="C61" s="386"/>
      <c r="D61" s="373"/>
      <c r="E61" s="373">
        <v>250</v>
      </c>
      <c r="F61" s="373">
        <v>0</v>
      </c>
      <c r="G61" s="373">
        <f t="shared" si="23"/>
        <v>0</v>
      </c>
      <c r="H61" s="373">
        <f t="shared" si="23"/>
        <v>0</v>
      </c>
      <c r="I61" s="373">
        <f t="shared" si="23"/>
        <v>0</v>
      </c>
      <c r="J61" s="373">
        <f t="shared" si="23"/>
        <v>0</v>
      </c>
      <c r="K61" s="373">
        <f t="shared" si="23"/>
        <v>0</v>
      </c>
      <c r="L61" s="373">
        <f t="shared" si="23"/>
        <v>0</v>
      </c>
      <c r="M61" s="373">
        <f t="shared" si="23"/>
        <v>0</v>
      </c>
      <c r="N61" s="373">
        <f t="shared" si="23"/>
        <v>0</v>
      </c>
      <c r="O61" s="373">
        <f t="shared" si="23"/>
        <v>0</v>
      </c>
      <c r="P61" s="373">
        <f t="shared" si="23"/>
        <v>0</v>
      </c>
    </row>
    <row r="62" spans="2:16" ht="12" customHeight="1">
      <c r="B62" s="371" t="s">
        <v>394</v>
      </c>
      <c r="C62" s="386"/>
      <c r="D62" s="373"/>
      <c r="E62" s="373">
        <v>72</v>
      </c>
      <c r="F62" s="373">
        <v>135</v>
      </c>
      <c r="G62" s="373">
        <f>G118</f>
        <v>177.97862333989261</v>
      </c>
      <c r="H62" s="373">
        <f t="shared" ref="H62:P62" si="24">H118</f>
        <v>246.97276830475781</v>
      </c>
      <c r="I62" s="373">
        <f t="shared" si="24"/>
        <v>337.05190422824325</v>
      </c>
      <c r="J62" s="373">
        <f t="shared" si="24"/>
        <v>464.05799644499439</v>
      </c>
      <c r="K62" s="373">
        <f t="shared" si="24"/>
        <v>642.18873080899516</v>
      </c>
      <c r="L62" s="373">
        <f t="shared" si="24"/>
        <v>843.53842291046772</v>
      </c>
      <c r="M62" s="373">
        <f t="shared" si="24"/>
        <v>1065.5557086701799</v>
      </c>
      <c r="N62" s="373">
        <f t="shared" si="24"/>
        <v>1265.942561236915</v>
      </c>
      <c r="O62" s="373">
        <f t="shared" si="24"/>
        <v>1393.335140423449</v>
      </c>
      <c r="P62" s="373">
        <f t="shared" si="24"/>
        <v>1361.7997062829859</v>
      </c>
    </row>
    <row r="63" spans="2:16" ht="5.7" customHeight="1">
      <c r="B63" s="371"/>
      <c r="C63" s="386"/>
      <c r="D63" s="376"/>
      <c r="E63" s="376"/>
      <c r="F63" s="376"/>
      <c r="G63" s="376"/>
      <c r="H63" s="376"/>
      <c r="I63" s="376"/>
      <c r="J63" s="376"/>
      <c r="K63" s="376"/>
      <c r="L63" s="376"/>
      <c r="M63" s="376"/>
      <c r="N63" s="376"/>
      <c r="O63" s="376"/>
      <c r="P63" s="376"/>
    </row>
    <row r="64" spans="2:16" ht="12" customHeight="1">
      <c r="B64" s="377" t="s">
        <v>126</v>
      </c>
      <c r="C64" s="386"/>
      <c r="D64" s="379">
        <v>241</v>
      </c>
      <c r="E64" s="379">
        <f>E58+E60+E61+E62</f>
        <v>828</v>
      </c>
      <c r="F64" s="379">
        <f>F58+F60+F61+F62</f>
        <v>1432</v>
      </c>
      <c r="G64" s="379">
        <f>G58+G60+G61+G62</f>
        <v>1843.879407152531</v>
      </c>
      <c r="H64" s="379">
        <f t="shared" ref="H64:P64" si="25">H58+H60+H61+H62</f>
        <v>2627.5365001369755</v>
      </c>
      <c r="I64" s="379">
        <f t="shared" si="25"/>
        <v>3945.249854987826</v>
      </c>
      <c r="J64" s="379">
        <f t="shared" si="25"/>
        <v>5686.4925581190582</v>
      </c>
      <c r="K64" s="379">
        <f t="shared" si="25"/>
        <v>8181.819322282332</v>
      </c>
      <c r="L64" s="379">
        <f t="shared" si="25"/>
        <v>10929.140762517378</v>
      </c>
      <c r="M64" s="379">
        <f t="shared" si="25"/>
        <v>14211.469214639652</v>
      </c>
      <c r="N64" s="379">
        <f t="shared" si="25"/>
        <v>17735.857138989908</v>
      </c>
      <c r="O64" s="379">
        <f t="shared" si="25"/>
        <v>21089.489891966681</v>
      </c>
      <c r="P64" s="379">
        <f t="shared" si="25"/>
        <v>23435.690667603511</v>
      </c>
    </row>
    <row r="65" spans="2:16" ht="12" customHeight="1">
      <c r="B65" s="371"/>
      <c r="C65" s="386"/>
      <c r="D65" s="373"/>
      <c r="E65" s="373"/>
      <c r="F65" s="373"/>
      <c r="G65" s="373"/>
      <c r="H65" s="373"/>
      <c r="I65" s="373"/>
      <c r="J65" s="373"/>
      <c r="K65" s="373"/>
      <c r="L65" s="373"/>
      <c r="M65" s="373"/>
      <c r="N65" s="373"/>
      <c r="O65" s="373"/>
      <c r="P65" s="373"/>
    </row>
    <row r="66" spans="2:16" ht="12" customHeight="1">
      <c r="B66" s="390" t="s">
        <v>481</v>
      </c>
      <c r="C66" s="386"/>
      <c r="D66" s="373"/>
      <c r="E66" s="373"/>
      <c r="F66" s="373"/>
      <c r="G66" s="373"/>
      <c r="H66" s="373"/>
      <c r="I66" s="373"/>
      <c r="J66" s="373"/>
      <c r="K66" s="373"/>
      <c r="L66" s="373"/>
      <c r="M66" s="373"/>
      <c r="N66" s="373"/>
      <c r="O66" s="373"/>
      <c r="P66" s="373"/>
    </row>
    <row r="67" spans="2:16" ht="12" customHeight="1">
      <c r="B67" s="371" t="s">
        <v>656</v>
      </c>
      <c r="C67" s="386"/>
      <c r="D67" s="373"/>
      <c r="E67" s="373">
        <v>615</v>
      </c>
      <c r="F67" s="373">
        <v>615</v>
      </c>
      <c r="G67" s="394">
        <f>F67-G68</f>
        <v>0</v>
      </c>
      <c r="H67" s="394">
        <f>G67</f>
        <v>0</v>
      </c>
      <c r="I67" s="394">
        <f t="shared" ref="I67:P68" si="26">H67</f>
        <v>0</v>
      </c>
      <c r="J67" s="394">
        <f t="shared" si="26"/>
        <v>0</v>
      </c>
      <c r="K67" s="394">
        <f t="shared" si="26"/>
        <v>0</v>
      </c>
      <c r="L67" s="394">
        <f t="shared" si="26"/>
        <v>0</v>
      </c>
      <c r="M67" s="394">
        <f t="shared" si="26"/>
        <v>0</v>
      </c>
      <c r="N67" s="394">
        <f t="shared" si="26"/>
        <v>0</v>
      </c>
      <c r="O67" s="394">
        <f t="shared" si="26"/>
        <v>0</v>
      </c>
      <c r="P67" s="394">
        <f t="shared" si="26"/>
        <v>0</v>
      </c>
    </row>
    <row r="68" spans="2:16" ht="12" customHeight="1">
      <c r="B68" s="371" t="s">
        <v>657</v>
      </c>
      <c r="C68" s="386"/>
      <c r="D68" s="373"/>
      <c r="E68" s="373">
        <v>0</v>
      </c>
      <c r="F68" s="373">
        <v>0</v>
      </c>
      <c r="G68" s="394">
        <f>F67</f>
        <v>615</v>
      </c>
      <c r="H68" s="394">
        <f>G68</f>
        <v>615</v>
      </c>
      <c r="I68" s="394">
        <f t="shared" si="26"/>
        <v>615</v>
      </c>
      <c r="J68" s="394">
        <f t="shared" si="26"/>
        <v>615</v>
      </c>
      <c r="K68" s="394">
        <f t="shared" si="26"/>
        <v>615</v>
      </c>
      <c r="L68" s="394">
        <f t="shared" si="26"/>
        <v>615</v>
      </c>
      <c r="M68" s="394">
        <f t="shared" si="26"/>
        <v>615</v>
      </c>
      <c r="N68" s="394">
        <f t="shared" si="26"/>
        <v>615</v>
      </c>
      <c r="O68" s="394">
        <f t="shared" si="26"/>
        <v>615</v>
      </c>
      <c r="P68" s="394">
        <f t="shared" si="26"/>
        <v>615</v>
      </c>
    </row>
    <row r="69" spans="2:16" ht="12" customHeight="1">
      <c r="B69" s="371" t="s">
        <v>509</v>
      </c>
      <c r="C69" s="386"/>
      <c r="D69" s="373"/>
      <c r="E69" s="373">
        <v>947</v>
      </c>
      <c r="F69" s="373">
        <v>2684</v>
      </c>
      <c r="G69" s="391">
        <f t="shared" ref="G69:P69" si="27">F69+G83+G98</f>
        <v>9745.5600000000013</v>
      </c>
      <c r="H69" s="391">
        <f t="shared" si="27"/>
        <v>10170.880000000001</v>
      </c>
      <c r="I69" s="391">
        <f t="shared" si="27"/>
        <v>10766.328000000001</v>
      </c>
      <c r="J69" s="391">
        <f t="shared" si="27"/>
        <v>11599.9552</v>
      </c>
      <c r="K69" s="391">
        <f t="shared" si="27"/>
        <v>12767.03328</v>
      </c>
      <c r="L69" s="391">
        <f t="shared" si="27"/>
        <v>14312.244657919999</v>
      </c>
      <c r="M69" s="391">
        <f t="shared" si="27"/>
        <v>16240.668457564158</v>
      </c>
      <c r="N69" s="391">
        <f t="shared" si="27"/>
        <v>18500.781150747112</v>
      </c>
      <c r="O69" s="391">
        <f t="shared" si="27"/>
        <v>20977.864662475633</v>
      </c>
      <c r="P69" s="391">
        <f t="shared" si="27"/>
        <v>23504.489844438722</v>
      </c>
    </row>
    <row r="70" spans="2:16" ht="12" customHeight="1">
      <c r="B70" s="371" t="s">
        <v>510</v>
      </c>
      <c r="C70" s="386"/>
      <c r="D70" s="373"/>
      <c r="E70" s="373">
        <v>-6</v>
      </c>
      <c r="F70" s="373">
        <v>-6</v>
      </c>
      <c r="G70" s="394">
        <f t="shared" ref="G70:P70" si="28">F70</f>
        <v>-6</v>
      </c>
      <c r="H70" s="394">
        <f t="shared" si="28"/>
        <v>-6</v>
      </c>
      <c r="I70" s="394">
        <f t="shared" si="28"/>
        <v>-6</v>
      </c>
      <c r="J70" s="394">
        <f t="shared" si="28"/>
        <v>-6</v>
      </c>
      <c r="K70" s="394">
        <f t="shared" si="28"/>
        <v>-6</v>
      </c>
      <c r="L70" s="394">
        <f t="shared" si="28"/>
        <v>-6</v>
      </c>
      <c r="M70" s="394">
        <f t="shared" si="28"/>
        <v>-6</v>
      </c>
      <c r="N70" s="394">
        <f t="shared" si="28"/>
        <v>-6</v>
      </c>
      <c r="O70" s="394">
        <f t="shared" si="28"/>
        <v>-6</v>
      </c>
      <c r="P70" s="394">
        <f t="shared" si="28"/>
        <v>-6</v>
      </c>
    </row>
    <row r="71" spans="2:16" ht="12" customHeight="1">
      <c r="B71" s="371" t="s">
        <v>511</v>
      </c>
      <c r="C71" s="386"/>
      <c r="D71" s="373"/>
      <c r="E71" s="373">
        <v>606</v>
      </c>
      <c r="F71" s="373">
        <v>1606</v>
      </c>
      <c r="G71" s="373">
        <f>F71+G19+G99</f>
        <v>3039.9356029949167</v>
      </c>
      <c r="H71" s="373">
        <f t="shared" ref="H71:P71" si="29">G71+H19+H99</f>
        <v>5005.4859950461732</v>
      </c>
      <c r="I71" s="373">
        <f t="shared" si="29"/>
        <v>7647.6049806292158</v>
      </c>
      <c r="J71" s="373">
        <f t="shared" si="29"/>
        <v>11206.246106066135</v>
      </c>
      <c r="K71" s="373">
        <f t="shared" si="29"/>
        <v>16007.5169493958</v>
      </c>
      <c r="L71" s="373">
        <f t="shared" si="29"/>
        <v>22245.789998279575</v>
      </c>
      <c r="M71" s="373">
        <f t="shared" si="29"/>
        <v>29889.419194613176</v>
      </c>
      <c r="N71" s="373">
        <f t="shared" si="29"/>
        <v>38669.6263894351</v>
      </c>
      <c r="O71" s="373">
        <f t="shared" si="29"/>
        <v>48088.281118856037</v>
      </c>
      <c r="P71" s="373">
        <f t="shared" si="29"/>
        <v>57483.91360032685</v>
      </c>
    </row>
    <row r="72" spans="2:16" ht="6.9" customHeight="1">
      <c r="B72" s="371"/>
      <c r="C72" s="386"/>
      <c r="D72" s="376"/>
      <c r="E72" s="376"/>
      <c r="F72" s="376"/>
      <c r="G72" s="376"/>
      <c r="H72" s="376"/>
      <c r="I72" s="376"/>
      <c r="J72" s="376"/>
      <c r="K72" s="376"/>
      <c r="L72" s="376"/>
      <c r="M72" s="376"/>
      <c r="N72" s="376"/>
      <c r="O72" s="376"/>
      <c r="P72" s="376"/>
    </row>
    <row r="73" spans="2:16" ht="12" customHeight="1">
      <c r="B73" s="377" t="s">
        <v>512</v>
      </c>
      <c r="C73" s="386"/>
      <c r="D73" s="379">
        <v>868</v>
      </c>
      <c r="E73" s="379">
        <f t="shared" ref="E73:P73" si="30">SUM(E67:E71)</f>
        <v>2162</v>
      </c>
      <c r="F73" s="379">
        <f t="shared" si="30"/>
        <v>4899</v>
      </c>
      <c r="G73" s="379">
        <f t="shared" si="30"/>
        <v>13394.495602994917</v>
      </c>
      <c r="H73" s="379">
        <f t="shared" si="30"/>
        <v>15785.365995046173</v>
      </c>
      <c r="I73" s="379">
        <f t="shared" si="30"/>
        <v>19022.932980629215</v>
      </c>
      <c r="J73" s="379">
        <f t="shared" si="30"/>
        <v>23415.201306066134</v>
      </c>
      <c r="K73" s="379">
        <f t="shared" si="30"/>
        <v>29383.550229395798</v>
      </c>
      <c r="L73" s="379">
        <f t="shared" si="30"/>
        <v>37167.034656199576</v>
      </c>
      <c r="M73" s="379">
        <f t="shared" si="30"/>
        <v>46739.087652177332</v>
      </c>
      <c r="N73" s="379">
        <f t="shared" si="30"/>
        <v>57779.407540182212</v>
      </c>
      <c r="O73" s="379">
        <f t="shared" si="30"/>
        <v>69675.145781331667</v>
      </c>
      <c r="P73" s="379">
        <f t="shared" si="30"/>
        <v>81597.403444765572</v>
      </c>
    </row>
    <row r="74" spans="2:16" ht="6.9" customHeight="1">
      <c r="B74" s="371"/>
      <c r="C74" s="386"/>
      <c r="D74" s="376"/>
      <c r="E74" s="376"/>
      <c r="F74" s="376"/>
      <c r="G74" s="376"/>
      <c r="H74" s="376"/>
      <c r="I74" s="376"/>
      <c r="J74" s="376"/>
      <c r="K74" s="376"/>
      <c r="L74" s="376"/>
      <c r="M74" s="376"/>
      <c r="N74" s="376"/>
      <c r="O74" s="376"/>
      <c r="P74" s="376"/>
    </row>
    <row r="75" spans="2:16" ht="12" customHeight="1">
      <c r="B75" s="377" t="s">
        <v>513</v>
      </c>
      <c r="C75" s="386"/>
      <c r="D75" s="379">
        <f t="shared" ref="D75:P75" si="31">D64+D73</f>
        <v>1109</v>
      </c>
      <c r="E75" s="379">
        <f t="shared" si="31"/>
        <v>2990</v>
      </c>
      <c r="F75" s="379">
        <f t="shared" si="31"/>
        <v>6331</v>
      </c>
      <c r="G75" s="379">
        <f t="shared" si="31"/>
        <v>15238.375010147449</v>
      </c>
      <c r="H75" s="379">
        <f t="shared" si="31"/>
        <v>18412.902495183149</v>
      </c>
      <c r="I75" s="379">
        <f t="shared" si="31"/>
        <v>22968.182835617041</v>
      </c>
      <c r="J75" s="379">
        <f t="shared" si="31"/>
        <v>29101.693864185192</v>
      </c>
      <c r="K75" s="379">
        <f t="shared" si="31"/>
        <v>37565.36955167813</v>
      </c>
      <c r="L75" s="379">
        <f t="shared" si="31"/>
        <v>48096.175418716957</v>
      </c>
      <c r="M75" s="379">
        <f t="shared" si="31"/>
        <v>60950.556866816987</v>
      </c>
      <c r="N75" s="379">
        <f t="shared" si="31"/>
        <v>75515.26467917212</v>
      </c>
      <c r="O75" s="379">
        <f t="shared" si="31"/>
        <v>90764.635673298355</v>
      </c>
      <c r="P75" s="379">
        <f t="shared" si="31"/>
        <v>105033.09411236909</v>
      </c>
    </row>
    <row r="76" spans="2:16" ht="12" customHeight="1">
      <c r="B76" s="395" t="s">
        <v>658</v>
      </c>
      <c r="C76" s="386"/>
      <c r="D76" s="396">
        <f t="shared" ref="D76:P76" si="32">D49-D64-D73</f>
        <v>0</v>
      </c>
      <c r="E76" s="396">
        <f t="shared" si="32"/>
        <v>0</v>
      </c>
      <c r="F76" s="396">
        <f t="shared" si="32"/>
        <v>0</v>
      </c>
      <c r="G76" s="396">
        <f t="shared" si="32"/>
        <v>0</v>
      </c>
      <c r="H76" s="396">
        <f t="shared" si="32"/>
        <v>0</v>
      </c>
      <c r="I76" s="396">
        <f t="shared" si="32"/>
        <v>0</v>
      </c>
      <c r="J76" s="396">
        <f t="shared" si="32"/>
        <v>0</v>
      </c>
      <c r="K76" s="396">
        <f t="shared" si="32"/>
        <v>0</v>
      </c>
      <c r="L76" s="396">
        <f t="shared" si="32"/>
        <v>0</v>
      </c>
      <c r="M76" s="396">
        <f t="shared" si="32"/>
        <v>0</v>
      </c>
      <c r="N76" s="396">
        <f t="shared" si="32"/>
        <v>0</v>
      </c>
      <c r="O76" s="396">
        <f t="shared" si="32"/>
        <v>0</v>
      </c>
      <c r="P76" s="396">
        <f t="shared" si="32"/>
        <v>0</v>
      </c>
    </row>
    <row r="77" spans="2:16" ht="12" customHeight="1">
      <c r="B77" s="383"/>
      <c r="C77" s="386"/>
      <c r="D77" s="373"/>
      <c r="E77" s="373"/>
      <c r="F77" s="373"/>
      <c r="G77" s="373"/>
      <c r="H77" s="373"/>
      <c r="I77" s="373"/>
      <c r="J77" s="373"/>
      <c r="K77" s="373"/>
      <c r="L77" s="373"/>
      <c r="M77" s="373"/>
      <c r="N77" s="373"/>
      <c r="O77" s="373"/>
      <c r="P77" s="373"/>
    </row>
    <row r="78" spans="2:16">
      <c r="B78" s="362"/>
      <c r="C78" s="362"/>
      <c r="D78" s="363" t="s">
        <v>646</v>
      </c>
      <c r="E78" s="363"/>
      <c r="F78" s="363"/>
      <c r="G78" s="364" t="s">
        <v>647</v>
      </c>
      <c r="H78" s="365"/>
      <c r="I78" s="365"/>
      <c r="J78" s="365"/>
      <c r="K78" s="365"/>
      <c r="L78" s="365"/>
      <c r="M78" s="365"/>
      <c r="N78" s="365"/>
      <c r="O78" s="365"/>
      <c r="P78" s="365"/>
    </row>
    <row r="79" spans="2:16" ht="14.4">
      <c r="B79" s="366" t="s">
        <v>659</v>
      </c>
      <c r="C79" s="367"/>
      <c r="D79" s="368" t="s">
        <v>7</v>
      </c>
      <c r="E79" s="368" t="s">
        <v>8</v>
      </c>
      <c r="F79" s="368" t="s">
        <v>9</v>
      </c>
      <c r="G79" s="368">
        <v>2012</v>
      </c>
      <c r="H79" s="368">
        <f t="shared" ref="H79:P79" si="33">G79+1</f>
        <v>2013</v>
      </c>
      <c r="I79" s="368">
        <f t="shared" si="33"/>
        <v>2014</v>
      </c>
      <c r="J79" s="368">
        <f t="shared" si="33"/>
        <v>2015</v>
      </c>
      <c r="K79" s="368">
        <f t="shared" si="33"/>
        <v>2016</v>
      </c>
      <c r="L79" s="368">
        <f t="shared" si="33"/>
        <v>2017</v>
      </c>
      <c r="M79" s="368">
        <f t="shared" si="33"/>
        <v>2018</v>
      </c>
      <c r="N79" s="368">
        <f t="shared" si="33"/>
        <v>2019</v>
      </c>
      <c r="O79" s="368">
        <f t="shared" si="33"/>
        <v>2020</v>
      </c>
      <c r="P79" s="368">
        <f t="shared" si="33"/>
        <v>2021</v>
      </c>
    </row>
    <row r="80" spans="2:16" ht="6" customHeight="1">
      <c r="B80" s="369"/>
      <c r="C80" s="367"/>
      <c r="D80" s="370"/>
      <c r="E80" s="370"/>
      <c r="F80" s="370"/>
      <c r="G80" s="370"/>
    </row>
    <row r="81" spans="2:16" ht="12" customHeight="1">
      <c r="B81" s="397" t="s">
        <v>660</v>
      </c>
    </row>
    <row r="82" spans="2:16" ht="12" customHeight="1">
      <c r="B82" s="360" t="s">
        <v>661</v>
      </c>
      <c r="D82" s="398">
        <f>D19</f>
        <v>229</v>
      </c>
      <c r="E82" s="398">
        <f>E19</f>
        <v>606</v>
      </c>
      <c r="F82" s="398">
        <f>F19</f>
        <v>1000</v>
      </c>
      <c r="G82" s="398">
        <f t="shared" ref="G82:P82" si="34">G19</f>
        <v>1433.9356029949167</v>
      </c>
      <c r="H82" s="398">
        <f t="shared" si="34"/>
        <v>1965.5503920512565</v>
      </c>
      <c r="I82" s="398">
        <f t="shared" si="34"/>
        <v>2642.118985583043</v>
      </c>
      <c r="J82" s="398">
        <f t="shared" si="34"/>
        <v>3558.6411254369195</v>
      </c>
      <c r="K82" s="398">
        <f t="shared" si="34"/>
        <v>4801.2708433296648</v>
      </c>
      <c r="L82" s="398">
        <f t="shared" si="34"/>
        <v>6238.273048883776</v>
      </c>
      <c r="M82" s="398">
        <f t="shared" si="34"/>
        <v>7643.6291963335989</v>
      </c>
      <c r="N82" s="398">
        <f t="shared" si="34"/>
        <v>8780.2071948219218</v>
      </c>
      <c r="O82" s="398">
        <f t="shared" si="34"/>
        <v>9418.6547294209377</v>
      </c>
      <c r="P82" s="398">
        <f t="shared" si="34"/>
        <v>9395.6324814708096</v>
      </c>
    </row>
    <row r="83" spans="2:16" ht="12" customHeight="1">
      <c r="B83" s="360" t="s">
        <v>662</v>
      </c>
      <c r="D83" s="398">
        <v>27</v>
      </c>
      <c r="E83" s="398">
        <v>20</v>
      </c>
      <c r="F83" s="398">
        <v>217</v>
      </c>
      <c r="G83" s="398">
        <f>G245</f>
        <v>303.79999999999995</v>
      </c>
      <c r="H83" s="398">
        <f t="shared" ref="H83:P83" si="35">H245</f>
        <v>425.31999999999994</v>
      </c>
      <c r="I83" s="398">
        <f t="shared" si="35"/>
        <v>595.44799999999987</v>
      </c>
      <c r="J83" s="398">
        <f t="shared" si="35"/>
        <v>833.62719999999979</v>
      </c>
      <c r="K83" s="398">
        <f t="shared" si="35"/>
        <v>1167.0780799999995</v>
      </c>
      <c r="L83" s="398">
        <f t="shared" si="35"/>
        <v>1545.2113779199994</v>
      </c>
      <c r="M83" s="398">
        <f t="shared" si="35"/>
        <v>1928.4237996441591</v>
      </c>
      <c r="N83" s="398">
        <f t="shared" si="35"/>
        <v>2260.1126931829549</v>
      </c>
      <c r="O83" s="398">
        <f t="shared" si="35"/>
        <v>2477.0835117285192</v>
      </c>
      <c r="P83" s="398">
        <f t="shared" si="35"/>
        <v>2526.6251819630897</v>
      </c>
    </row>
    <row r="84" spans="2:16" ht="12" customHeight="1">
      <c r="B84" s="360" t="s">
        <v>381</v>
      </c>
      <c r="D84" s="398">
        <v>78</v>
      </c>
      <c r="E84" s="398">
        <v>139</v>
      </c>
      <c r="F84" s="398">
        <v>323</v>
      </c>
      <c r="G84" s="398">
        <f>G191</f>
        <v>528.27004643636371</v>
      </c>
      <c r="H84" s="398">
        <f t="shared" ref="H84:P84" si="36">H191</f>
        <v>870.46243396363639</v>
      </c>
      <c r="I84" s="398">
        <f t="shared" si="36"/>
        <v>1308.4039395636364</v>
      </c>
      <c r="J84" s="398">
        <f t="shared" si="36"/>
        <v>1841.8441850327272</v>
      </c>
      <c r="K84" s="398">
        <f t="shared" si="36"/>
        <v>2511.4547793367269</v>
      </c>
      <c r="L84" s="398">
        <f t="shared" si="36"/>
        <v>3326.4092236813722</v>
      </c>
      <c r="M84" s="398">
        <f t="shared" si="36"/>
        <v>4060.3893548045903</v>
      </c>
      <c r="N84" s="398">
        <f t="shared" si="36"/>
        <v>4703.4758598292583</v>
      </c>
      <c r="O84" s="398">
        <f t="shared" si="36"/>
        <v>5623.4520319304393</v>
      </c>
      <c r="P84" s="398">
        <f t="shared" si="36"/>
        <v>6452.1547406548507</v>
      </c>
    </row>
    <row r="85" spans="2:16" ht="12" customHeight="1">
      <c r="B85" s="360" t="s">
        <v>663</v>
      </c>
      <c r="D85" s="398">
        <v>-33</v>
      </c>
      <c r="E85" s="398">
        <v>-293</v>
      </c>
      <c r="F85" s="398">
        <v>-606</v>
      </c>
      <c r="G85" s="398">
        <f>-G145</f>
        <v>-1584.07746</v>
      </c>
      <c r="H85" s="398">
        <f t="shared" ref="H85:P85" si="37">-H145</f>
        <v>-1818.3899999999996</v>
      </c>
      <c r="I85" s="398">
        <f t="shared" si="37"/>
        <v>-2545.7459999999992</v>
      </c>
      <c r="J85" s="398">
        <f t="shared" si="37"/>
        <v>-2851.2355199999993</v>
      </c>
      <c r="K85" s="398">
        <f t="shared" si="37"/>
        <v>-3991.7297279999984</v>
      </c>
      <c r="L85" s="398">
        <f t="shared" si="37"/>
        <v>-4228.0401278975987</v>
      </c>
      <c r="M85" s="398">
        <f t="shared" si="37"/>
        <v>-5276.5940796162022</v>
      </c>
      <c r="N85" s="398">
        <f t="shared" si="37"/>
        <v>-6184.1682613101902</v>
      </c>
      <c r="O85" s="398">
        <f t="shared" si="37"/>
        <v>-6777.8484143959695</v>
      </c>
      <c r="P85" s="398">
        <f t="shared" si="37"/>
        <v>-6481.3175462661466</v>
      </c>
    </row>
    <row r="86" spans="2:16" ht="12" customHeight="1">
      <c r="B86" s="360" t="s">
        <v>664</v>
      </c>
      <c r="D86" s="398">
        <v>3</v>
      </c>
      <c r="E86" s="398">
        <v>-22</v>
      </c>
      <c r="F86" s="398">
        <v>-24</v>
      </c>
      <c r="G86" s="398">
        <f>-G174</f>
        <v>-259.77</v>
      </c>
      <c r="H86" s="398">
        <f t="shared" ref="H86:P86" si="38">-H174</f>
        <v>-290.94239999999996</v>
      </c>
      <c r="I86" s="398">
        <f t="shared" si="38"/>
        <v>-305.48951999999991</v>
      </c>
      <c r="J86" s="398">
        <f t="shared" si="38"/>
        <v>-285.1235519999999</v>
      </c>
      <c r="K86" s="398">
        <f t="shared" si="38"/>
        <v>-399.17297279999985</v>
      </c>
      <c r="L86" s="398">
        <f t="shared" si="38"/>
        <v>-528.50501598719984</v>
      </c>
      <c r="M86" s="398">
        <f t="shared" si="38"/>
        <v>-659.57425995202527</v>
      </c>
      <c r="N86" s="398">
        <f t="shared" si="38"/>
        <v>-773.02103266377378</v>
      </c>
      <c r="O86" s="398">
        <f t="shared" si="38"/>
        <v>-847.23105179949619</v>
      </c>
      <c r="P86" s="398">
        <f t="shared" si="38"/>
        <v>-864.17567283548624</v>
      </c>
    </row>
    <row r="87" spans="2:16" ht="12" customHeight="1">
      <c r="B87" s="360" t="s">
        <v>665</v>
      </c>
      <c r="D87" s="398">
        <f>D120</f>
        <v>-179</v>
      </c>
      <c r="E87" s="398">
        <f>E120</f>
        <v>-70</v>
      </c>
      <c r="F87" s="398">
        <f>F120</f>
        <v>149</v>
      </c>
      <c r="G87" s="398">
        <f>G120</f>
        <v>-112.35587768866742</v>
      </c>
      <c r="H87" s="398">
        <f t="shared" ref="H87:P87" si="39">H120</f>
        <v>-69.630979224906127</v>
      </c>
      <c r="I87" s="398">
        <f t="shared" si="39"/>
        <v>-133.90606428991327</v>
      </c>
      <c r="J87" s="398">
        <f t="shared" si="39"/>
        <v>-182.46143109830064</v>
      </c>
      <c r="K87" s="398">
        <f t="shared" si="39"/>
        <v>-253.64404078417965</v>
      </c>
      <c r="L87" s="398">
        <f t="shared" si="39"/>
        <v>-291.27066301825744</v>
      </c>
      <c r="M87" s="398">
        <f t="shared" si="39"/>
        <v>-194.72304855957555</v>
      </c>
      <c r="N87" s="398">
        <f t="shared" si="39"/>
        <v>-122.5702763727295</v>
      </c>
      <c r="O87" s="398">
        <f t="shared" si="39"/>
        <v>-100.80568896927343</v>
      </c>
      <c r="P87" s="398">
        <f t="shared" si="39"/>
        <v>-362.0593124848856</v>
      </c>
    </row>
    <row r="88" spans="2:16" ht="12" customHeight="1">
      <c r="B88" s="399" t="s">
        <v>666</v>
      </c>
      <c r="D88" s="400">
        <f>D90-(D82+D83+D84+D85+D86+D87+D89)</f>
        <v>-32</v>
      </c>
      <c r="E88" s="400">
        <f>E90-(E82+E83+E84+E85+E86+E87+E89)</f>
        <v>-6</v>
      </c>
      <c r="F88" s="400">
        <f>F90-(F82+F83+F84+F85+F86+F87+F89)</f>
        <v>-137</v>
      </c>
      <c r="G88" s="401">
        <v>0</v>
      </c>
      <c r="H88" s="401">
        <v>0</v>
      </c>
      <c r="I88" s="401">
        <v>0</v>
      </c>
      <c r="J88" s="401">
        <v>0</v>
      </c>
      <c r="K88" s="401">
        <v>0</v>
      </c>
      <c r="L88" s="401">
        <v>0</v>
      </c>
      <c r="M88" s="401">
        <v>0</v>
      </c>
      <c r="N88" s="401">
        <v>0</v>
      </c>
      <c r="O88" s="401">
        <v>0</v>
      </c>
      <c r="P88" s="401">
        <v>0</v>
      </c>
    </row>
    <row r="89" spans="2:16" ht="12" customHeight="1">
      <c r="B89" s="360" t="s">
        <v>442</v>
      </c>
      <c r="D89" s="392">
        <f t="shared" ref="D89:P89" si="40">-D12</f>
        <v>10</v>
      </c>
      <c r="E89" s="392">
        <f t="shared" si="40"/>
        <v>22</v>
      </c>
      <c r="F89" s="392">
        <f t="shared" si="40"/>
        <v>42</v>
      </c>
      <c r="G89" s="392">
        <f t="shared" si="40"/>
        <v>61.020699064880809</v>
      </c>
      <c r="H89" s="392">
        <f t="shared" si="40"/>
        <v>83.79343608662883</v>
      </c>
      <c r="I89" s="392">
        <f t="shared" si="40"/>
        <v>132.262971905017</v>
      </c>
      <c r="J89" s="392">
        <f t="shared" si="40"/>
        <v>206.05844466996589</v>
      </c>
      <c r="K89" s="392">
        <f t="shared" si="40"/>
        <v>307.26098511923715</v>
      </c>
      <c r="L89" s="392">
        <f t="shared" si="40"/>
        <v>432.0757364117826</v>
      </c>
      <c r="M89" s="392">
        <f t="shared" si="40"/>
        <v>578.55297113268443</v>
      </c>
      <c r="N89" s="392">
        <f t="shared" si="40"/>
        <v>756.32825598818772</v>
      </c>
      <c r="O89" s="392">
        <f t="shared" si="40"/>
        <v>958.12361020016749</v>
      </c>
      <c r="P89" s="392">
        <f t="shared" si="40"/>
        <v>1164.6733529714425</v>
      </c>
    </row>
    <row r="90" spans="2:16" ht="12" customHeight="1">
      <c r="B90" s="402" t="s">
        <v>660</v>
      </c>
      <c r="D90" s="403">
        <f>D92-D91</f>
        <v>103</v>
      </c>
      <c r="E90" s="403">
        <f>E92-E91</f>
        <v>396</v>
      </c>
      <c r="F90" s="403">
        <f>F92-F91</f>
        <v>964</v>
      </c>
      <c r="G90" s="403">
        <f>SUM(G82:G89)</f>
        <v>370.82301080749374</v>
      </c>
      <c r="H90" s="403">
        <f t="shared" ref="H90:P90" si="41">SUM(H82:H89)</f>
        <v>1166.1628828766161</v>
      </c>
      <c r="I90" s="403">
        <f t="shared" si="41"/>
        <v>1693.0923127617839</v>
      </c>
      <c r="J90" s="403">
        <f t="shared" si="41"/>
        <v>3121.3504520413126</v>
      </c>
      <c r="K90" s="403">
        <f t="shared" si="41"/>
        <v>4142.5179462014503</v>
      </c>
      <c r="L90" s="403">
        <f t="shared" si="41"/>
        <v>6494.1535799938747</v>
      </c>
      <c r="M90" s="403">
        <f t="shared" si="41"/>
        <v>8080.1039337872289</v>
      </c>
      <c r="N90" s="403">
        <f t="shared" si="41"/>
        <v>9420.3644334756282</v>
      </c>
      <c r="O90" s="403">
        <f t="shared" si="41"/>
        <v>10751.428728115327</v>
      </c>
      <c r="P90" s="403">
        <f t="shared" si="41"/>
        <v>11831.533225473671</v>
      </c>
    </row>
    <row r="91" spans="2:16" ht="12" customHeight="1">
      <c r="B91" s="360" t="s">
        <v>667</v>
      </c>
      <c r="D91" s="392">
        <v>0</v>
      </c>
      <c r="E91" s="392">
        <v>0</v>
      </c>
      <c r="F91" s="392">
        <v>-2396</v>
      </c>
      <c r="G91" s="404">
        <f t="shared" ref="G91:P91" si="42">-G230+G231</f>
        <v>-6289.9160964100856</v>
      </c>
      <c r="H91" s="404">
        <f t="shared" si="42"/>
        <v>-547.30863012076156</v>
      </c>
      <c r="I91" s="404">
        <f t="shared" si="42"/>
        <v>-972.54981939479273</v>
      </c>
      <c r="J91" s="404">
        <f t="shared" si="42"/>
        <v>-1820.819316793408</v>
      </c>
      <c r="K91" s="404">
        <f t="shared" si="42"/>
        <v>-2174.4636526082968</v>
      </c>
      <c r="L91" s="404">
        <f t="shared" si="42"/>
        <v>-4011.5484199924513</v>
      </c>
      <c r="M91" s="404">
        <f t="shared" si="42"/>
        <v>-5509.8612327566389</v>
      </c>
      <c r="N91" s="404">
        <f t="shared" si="42"/>
        <v>-7344.3049689565814</v>
      </c>
      <c r="O91" s="404">
        <f t="shared" si="42"/>
        <v>-10302.853503697106</v>
      </c>
      <c r="P91" s="404">
        <f t="shared" si="42"/>
        <v>-12946.552313235596</v>
      </c>
    </row>
    <row r="92" spans="2:16" ht="12" customHeight="1">
      <c r="B92" s="402" t="s">
        <v>668</v>
      </c>
      <c r="D92" s="403">
        <f>'[1]IPO Cash Flow'!C26+'[1]IPO Cash Flow'!C37+D89</f>
        <v>103</v>
      </c>
      <c r="E92" s="403">
        <f>'[1]IPO Cash Flow'!D26+'[1]IPO Cash Flow'!D37+E89</f>
        <v>396</v>
      </c>
      <c r="F92" s="403">
        <f>'[1]IPO Cash Flow'!E26+'[1]IPO Cash Flow'!E37+F89</f>
        <v>-1432</v>
      </c>
      <c r="G92" s="403">
        <f>G90+G91</f>
        <v>-5919.0930856025916</v>
      </c>
      <c r="H92" s="403">
        <f t="shared" ref="H92:P92" si="43">H90+H91</f>
        <v>618.85425275585453</v>
      </c>
      <c r="I92" s="403">
        <f t="shared" si="43"/>
        <v>720.54249336699115</v>
      </c>
      <c r="J92" s="403">
        <f t="shared" si="43"/>
        <v>1300.5311352479046</v>
      </c>
      <c r="K92" s="403">
        <f t="shared" si="43"/>
        <v>1968.0542935931535</v>
      </c>
      <c r="L92" s="403">
        <f t="shared" si="43"/>
        <v>2482.6051600014234</v>
      </c>
      <c r="M92" s="403">
        <f t="shared" si="43"/>
        <v>2570.2427010305901</v>
      </c>
      <c r="N92" s="403">
        <f t="shared" si="43"/>
        <v>2076.0594645190467</v>
      </c>
      <c r="O92" s="403">
        <f t="shared" si="43"/>
        <v>448.57522441822039</v>
      </c>
      <c r="P92" s="403">
        <f t="shared" si="43"/>
        <v>-1115.0190877619243</v>
      </c>
    </row>
    <row r="93" spans="2:16" ht="12" customHeight="1">
      <c r="B93" s="397" t="s">
        <v>669</v>
      </c>
      <c r="D93" s="398"/>
      <c r="E93" s="398"/>
      <c r="F93" s="398"/>
    </row>
    <row r="94" spans="2:16" ht="12" customHeight="1">
      <c r="B94" s="360" t="s">
        <v>670</v>
      </c>
      <c r="D94" s="398">
        <v>-48</v>
      </c>
      <c r="E94" s="398">
        <v>-90</v>
      </c>
      <c r="F94" s="398">
        <v>-181</v>
      </c>
      <c r="G94" s="398">
        <f>G209+G208</f>
        <v>171.51747662202047</v>
      </c>
      <c r="H94" s="398">
        <f t="shared" ref="H94:P94" si="44">H209+H208</f>
        <v>397.80094892167978</v>
      </c>
      <c r="I94" s="398">
        <f t="shared" si="44"/>
        <v>813.93744653802469</v>
      </c>
      <c r="J94" s="398">
        <f t="shared" si="44"/>
        <v>1030.9493725856978</v>
      </c>
      <c r="K94" s="398">
        <f t="shared" si="44"/>
        <v>1499.1141386460833</v>
      </c>
      <c r="L94" s="398">
        <f t="shared" si="44"/>
        <v>1621.2546436675527</v>
      </c>
      <c r="M94" s="398">
        <f t="shared" si="44"/>
        <v>2040.676224354994</v>
      </c>
      <c r="N94" s="398">
        <f t="shared" si="44"/>
        <v>2403.7058970325893</v>
      </c>
      <c r="O94" s="398">
        <f t="shared" si="44"/>
        <v>2641.177958266901</v>
      </c>
      <c r="P94" s="398">
        <f t="shared" si="44"/>
        <v>2522.5656110149716</v>
      </c>
    </row>
    <row r="95" spans="2:16" ht="12" customHeight="1">
      <c r="B95" s="360" t="s">
        <v>671</v>
      </c>
      <c r="D95" s="398">
        <v>0</v>
      </c>
      <c r="E95" s="398">
        <v>250</v>
      </c>
      <c r="F95" s="398">
        <v>-250</v>
      </c>
      <c r="G95" s="398">
        <f>G199+G200</f>
        <v>0</v>
      </c>
      <c r="H95" s="398">
        <f t="shared" ref="H95:P95" si="45">H199+H200</f>
        <v>0</v>
      </c>
      <c r="I95" s="398">
        <f t="shared" si="45"/>
        <v>0</v>
      </c>
      <c r="J95" s="398">
        <f t="shared" si="45"/>
        <v>0</v>
      </c>
      <c r="K95" s="398">
        <f t="shared" si="45"/>
        <v>0</v>
      </c>
      <c r="L95" s="398">
        <f t="shared" si="45"/>
        <v>0</v>
      </c>
      <c r="M95" s="398">
        <f t="shared" si="45"/>
        <v>0</v>
      </c>
      <c r="N95" s="398">
        <f t="shared" si="45"/>
        <v>0</v>
      </c>
      <c r="O95" s="398">
        <f t="shared" si="45"/>
        <v>0</v>
      </c>
      <c r="P95" s="398">
        <f t="shared" si="45"/>
        <v>0</v>
      </c>
    </row>
    <row r="96" spans="2:16" ht="12" customHeight="1">
      <c r="B96" s="360" t="s">
        <v>442</v>
      </c>
      <c r="D96" s="398">
        <f>-D89</f>
        <v>-10</v>
      </c>
      <c r="E96" s="398">
        <f>-E89</f>
        <v>-22</v>
      </c>
      <c r="F96" s="398">
        <f>-F89</f>
        <v>-42</v>
      </c>
      <c r="G96" s="398">
        <f t="shared" ref="G96:P96" si="46">-G89</f>
        <v>-61.020699064880809</v>
      </c>
      <c r="H96" s="398">
        <f t="shared" si="46"/>
        <v>-83.79343608662883</v>
      </c>
      <c r="I96" s="398">
        <f t="shared" si="46"/>
        <v>-132.262971905017</v>
      </c>
      <c r="J96" s="398">
        <f t="shared" si="46"/>
        <v>-206.05844466996589</v>
      </c>
      <c r="K96" s="398">
        <f t="shared" si="46"/>
        <v>-307.26098511923715</v>
      </c>
      <c r="L96" s="398">
        <f t="shared" si="46"/>
        <v>-432.0757364117826</v>
      </c>
      <c r="M96" s="398">
        <f t="shared" si="46"/>
        <v>-578.55297113268443</v>
      </c>
      <c r="N96" s="398">
        <f t="shared" si="46"/>
        <v>-756.32825598818772</v>
      </c>
      <c r="O96" s="398">
        <f t="shared" si="46"/>
        <v>-958.12361020016749</v>
      </c>
      <c r="P96" s="398">
        <f t="shared" si="46"/>
        <v>-1164.6733529714425</v>
      </c>
    </row>
    <row r="97" spans="2:16" ht="12" customHeight="1">
      <c r="B97" s="360" t="s">
        <v>672</v>
      </c>
      <c r="D97" s="398">
        <v>200</v>
      </c>
      <c r="E97" s="398">
        <v>0</v>
      </c>
      <c r="F97" s="398">
        <v>0</v>
      </c>
      <c r="G97" s="398">
        <v>0</v>
      </c>
      <c r="H97" s="398">
        <v>0</v>
      </c>
      <c r="I97" s="398">
        <v>0</v>
      </c>
      <c r="J97" s="398">
        <v>0</v>
      </c>
      <c r="K97" s="398">
        <v>0</v>
      </c>
      <c r="L97" s="398">
        <v>0</v>
      </c>
      <c r="M97" s="398">
        <v>0</v>
      </c>
      <c r="N97" s="398">
        <v>0</v>
      </c>
      <c r="O97" s="398">
        <v>0</v>
      </c>
      <c r="P97" s="398">
        <v>0</v>
      </c>
    </row>
    <row r="98" spans="2:16" ht="12" customHeight="1">
      <c r="B98" s="360" t="s">
        <v>673</v>
      </c>
      <c r="D98" s="398">
        <v>60</v>
      </c>
      <c r="E98" s="398">
        <v>621</v>
      </c>
      <c r="F98" s="398">
        <v>1459</v>
      </c>
      <c r="G98" s="405">
        <f>'[1]Financials (Ex2)'!L60</f>
        <v>6757.76</v>
      </c>
      <c r="H98" s="398">
        <v>0</v>
      </c>
      <c r="I98" s="398">
        <v>0</v>
      </c>
      <c r="J98" s="398">
        <v>0</v>
      </c>
      <c r="K98" s="398">
        <v>0</v>
      </c>
      <c r="L98" s="398">
        <v>0</v>
      </c>
      <c r="M98" s="398">
        <v>0</v>
      </c>
      <c r="N98" s="398">
        <v>0</v>
      </c>
      <c r="O98" s="398">
        <v>0</v>
      </c>
      <c r="P98" s="398">
        <v>0</v>
      </c>
    </row>
    <row r="99" spans="2:16" ht="12" customHeight="1">
      <c r="B99" s="360" t="s">
        <v>674</v>
      </c>
      <c r="D99" s="398">
        <v>0</v>
      </c>
      <c r="E99" s="398">
        <v>0</v>
      </c>
      <c r="F99" s="398">
        <v>0</v>
      </c>
      <c r="G99" s="398">
        <v>0</v>
      </c>
      <c r="H99" s="398">
        <v>0</v>
      </c>
      <c r="I99" s="398">
        <v>0</v>
      </c>
      <c r="J99" s="398">
        <v>0</v>
      </c>
      <c r="K99" s="398">
        <v>0</v>
      </c>
      <c r="L99" s="398">
        <v>0</v>
      </c>
      <c r="M99" s="398">
        <v>0</v>
      </c>
      <c r="N99" s="398">
        <v>0</v>
      </c>
      <c r="O99" s="398">
        <v>0</v>
      </c>
      <c r="P99" s="398">
        <v>0</v>
      </c>
    </row>
    <row r="100" spans="2:16" ht="12" customHeight="1">
      <c r="B100" s="399" t="s">
        <v>675</v>
      </c>
      <c r="D100" s="406">
        <f>D101-SUM(D94:D99)</f>
        <v>31</v>
      </c>
      <c r="E100" s="406">
        <f>E101-SUM(E94:E99)</f>
        <v>-3</v>
      </c>
      <c r="F100" s="406">
        <f>F101-SUM(F94:F99)</f>
        <v>173</v>
      </c>
      <c r="G100" s="407"/>
      <c r="H100" s="407"/>
      <c r="I100" s="407"/>
      <c r="J100" s="407"/>
      <c r="K100" s="407"/>
      <c r="L100" s="407"/>
      <c r="M100" s="407"/>
      <c r="N100" s="407"/>
      <c r="O100" s="407"/>
      <c r="P100" s="407"/>
    </row>
    <row r="101" spans="2:16" ht="12" customHeight="1">
      <c r="B101" s="402" t="s">
        <v>669</v>
      </c>
      <c r="D101" s="408">
        <f>D102-D92</f>
        <v>233</v>
      </c>
      <c r="E101" s="408">
        <f>E102-E92</f>
        <v>756</v>
      </c>
      <c r="F101" s="408">
        <f>F102-F92</f>
        <v>1159</v>
      </c>
      <c r="G101" s="408">
        <f>SUM(G94:G100)</f>
        <v>6868.2567775571397</v>
      </c>
      <c r="H101" s="408">
        <f t="shared" ref="H101:P101" si="47">SUM(H94:H100)</f>
        <v>314.00751283505093</v>
      </c>
      <c r="I101" s="408">
        <f t="shared" si="47"/>
        <v>681.67447463300766</v>
      </c>
      <c r="J101" s="408">
        <f t="shared" si="47"/>
        <v>824.89092791573194</v>
      </c>
      <c r="K101" s="408">
        <f t="shared" si="47"/>
        <v>1191.8531535268462</v>
      </c>
      <c r="L101" s="408">
        <f t="shared" si="47"/>
        <v>1189.1789072557701</v>
      </c>
      <c r="M101" s="408">
        <f t="shared" si="47"/>
        <v>1462.1232532223096</v>
      </c>
      <c r="N101" s="408">
        <f t="shared" si="47"/>
        <v>1647.3776410444016</v>
      </c>
      <c r="O101" s="408">
        <f t="shared" si="47"/>
        <v>1683.0543480667334</v>
      </c>
      <c r="P101" s="408">
        <f t="shared" si="47"/>
        <v>1357.8922580435292</v>
      </c>
    </row>
    <row r="102" spans="2:16" ht="12" customHeight="1">
      <c r="B102" s="402" t="s">
        <v>676</v>
      </c>
      <c r="D102" s="403">
        <f>'[1]IPO Cash Flow'!C53</f>
        <v>336</v>
      </c>
      <c r="E102" s="403">
        <f>'[1]IPO Cash Flow'!D53</f>
        <v>1152</v>
      </c>
      <c r="F102" s="403">
        <f>'[1]IPO Cash Flow'!E53</f>
        <v>-273</v>
      </c>
      <c r="G102" s="403">
        <f>G92+G101</f>
        <v>949.16369195454809</v>
      </c>
      <c r="H102" s="403">
        <f t="shared" ref="H102:P102" si="48">H92+H101</f>
        <v>932.86176559090541</v>
      </c>
      <c r="I102" s="403">
        <f t="shared" si="48"/>
        <v>1402.2169679999988</v>
      </c>
      <c r="J102" s="403">
        <f t="shared" si="48"/>
        <v>2125.4220631636363</v>
      </c>
      <c r="K102" s="403">
        <f t="shared" si="48"/>
        <v>3159.9074471199997</v>
      </c>
      <c r="L102" s="403">
        <f t="shared" si="48"/>
        <v>3671.7840672571938</v>
      </c>
      <c r="M102" s="403">
        <f t="shared" si="48"/>
        <v>4032.3659542528994</v>
      </c>
      <c r="N102" s="403">
        <f t="shared" si="48"/>
        <v>3723.4371055634483</v>
      </c>
      <c r="O102" s="403">
        <f t="shared" si="48"/>
        <v>2131.6295724849538</v>
      </c>
      <c r="P102" s="403">
        <f t="shared" si="48"/>
        <v>242.87317028160487</v>
      </c>
    </row>
    <row r="103" spans="2:16" ht="12" customHeight="1">
      <c r="B103" s="360" t="s">
        <v>677</v>
      </c>
      <c r="D103" s="398">
        <f>'[1]IPO Cash Flow'!C55</f>
        <v>297</v>
      </c>
      <c r="E103" s="398">
        <f t="shared" ref="E103:P103" si="49">D104</f>
        <v>633</v>
      </c>
      <c r="F103" s="398">
        <f t="shared" si="49"/>
        <v>1785</v>
      </c>
      <c r="G103" s="398">
        <f t="shared" si="49"/>
        <v>1512</v>
      </c>
      <c r="H103" s="398">
        <f t="shared" si="49"/>
        <v>2461.1636919545481</v>
      </c>
      <c r="I103" s="398">
        <f t="shared" si="49"/>
        <v>3394.0254575454537</v>
      </c>
      <c r="J103" s="398">
        <f t="shared" si="49"/>
        <v>4796.2424255454525</v>
      </c>
      <c r="K103" s="398">
        <f t="shared" si="49"/>
        <v>6921.6644887090888</v>
      </c>
      <c r="L103" s="398">
        <f t="shared" si="49"/>
        <v>10081.571935829088</v>
      </c>
      <c r="M103" s="398">
        <f t="shared" si="49"/>
        <v>13753.356003086283</v>
      </c>
      <c r="N103" s="398">
        <f t="shared" si="49"/>
        <v>17785.721957339181</v>
      </c>
      <c r="O103" s="398">
        <f t="shared" si="49"/>
        <v>21509.159062902629</v>
      </c>
      <c r="P103" s="398">
        <f t="shared" si="49"/>
        <v>23640.788635387584</v>
      </c>
    </row>
    <row r="104" spans="2:16" ht="12" customHeight="1">
      <c r="B104" s="360" t="s">
        <v>678</v>
      </c>
      <c r="D104" s="398">
        <f>'[1]IPO Cash Flow'!C56</f>
        <v>633</v>
      </c>
      <c r="E104" s="398">
        <f>E39</f>
        <v>1785</v>
      </c>
      <c r="F104" s="398">
        <f>F39</f>
        <v>1512</v>
      </c>
      <c r="G104" s="398">
        <f t="shared" ref="G104:P104" si="50">G102+G103</f>
        <v>2461.1636919545481</v>
      </c>
      <c r="H104" s="398">
        <f t="shared" si="50"/>
        <v>3394.0254575454537</v>
      </c>
      <c r="I104" s="398">
        <f t="shared" si="50"/>
        <v>4796.2424255454525</v>
      </c>
      <c r="J104" s="398">
        <f t="shared" si="50"/>
        <v>6921.6644887090888</v>
      </c>
      <c r="K104" s="398">
        <f t="shared" si="50"/>
        <v>10081.571935829088</v>
      </c>
      <c r="L104" s="398">
        <f t="shared" si="50"/>
        <v>13753.356003086283</v>
      </c>
      <c r="M104" s="398">
        <f t="shared" si="50"/>
        <v>17785.721957339181</v>
      </c>
      <c r="N104" s="398">
        <f t="shared" si="50"/>
        <v>21509.159062902629</v>
      </c>
      <c r="O104" s="398">
        <f t="shared" si="50"/>
        <v>23640.788635387584</v>
      </c>
      <c r="P104" s="398">
        <f t="shared" si="50"/>
        <v>23883.661805669188</v>
      </c>
    </row>
    <row r="105" spans="2:16" ht="12" customHeight="1">
      <c r="B105" s="409" t="s">
        <v>658</v>
      </c>
      <c r="D105" s="410">
        <f t="shared" ref="D105:P105" si="51">D104-D103-D102</f>
        <v>0</v>
      </c>
      <c r="E105" s="410">
        <f t="shared" si="51"/>
        <v>0</v>
      </c>
      <c r="F105" s="410">
        <f t="shared" si="51"/>
        <v>0</v>
      </c>
      <c r="G105" s="410">
        <f t="shared" si="51"/>
        <v>0</v>
      </c>
      <c r="H105" s="410">
        <f t="shared" si="51"/>
        <v>0</v>
      </c>
      <c r="I105" s="410">
        <f t="shared" si="51"/>
        <v>0</v>
      </c>
      <c r="J105" s="410">
        <f t="shared" si="51"/>
        <v>0</v>
      </c>
      <c r="K105" s="410">
        <f t="shared" si="51"/>
        <v>0</v>
      </c>
      <c r="L105" s="410">
        <f t="shared" si="51"/>
        <v>0</v>
      </c>
      <c r="M105" s="410">
        <f t="shared" si="51"/>
        <v>0</v>
      </c>
      <c r="N105" s="410">
        <f t="shared" si="51"/>
        <v>0</v>
      </c>
      <c r="O105" s="410">
        <f t="shared" si="51"/>
        <v>0</v>
      </c>
      <c r="P105" s="410">
        <f t="shared" si="51"/>
        <v>-9.0949470177292824E-13</v>
      </c>
    </row>
    <row r="106" spans="2:16" ht="12" customHeight="1"/>
    <row r="107" spans="2:16" ht="12" customHeight="1">
      <c r="D107" s="363" t="s">
        <v>646</v>
      </c>
      <c r="E107" s="363"/>
      <c r="F107" s="363"/>
      <c r="G107" s="364" t="s">
        <v>647</v>
      </c>
      <c r="H107" s="365"/>
      <c r="I107" s="365"/>
      <c r="J107" s="365"/>
      <c r="K107" s="365"/>
      <c r="L107" s="365"/>
      <c r="M107" s="365"/>
      <c r="N107" s="365"/>
      <c r="O107" s="365"/>
      <c r="P107" s="365"/>
    </row>
    <row r="108" spans="2:16" ht="12" customHeight="1">
      <c r="B108" s="411" t="s">
        <v>679</v>
      </c>
      <c r="D108" s="368" t="s">
        <v>7</v>
      </c>
      <c r="E108" s="368" t="s">
        <v>8</v>
      </c>
      <c r="F108" s="368" t="s">
        <v>9</v>
      </c>
      <c r="G108" s="368">
        <v>2012</v>
      </c>
      <c r="H108" s="368">
        <f t="shared" ref="H108:P108" si="52">G108+1</f>
        <v>2013</v>
      </c>
      <c r="I108" s="368">
        <f t="shared" si="52"/>
        <v>2014</v>
      </c>
      <c r="J108" s="368">
        <f t="shared" si="52"/>
        <v>2015</v>
      </c>
      <c r="K108" s="368">
        <f t="shared" si="52"/>
        <v>2016</v>
      </c>
      <c r="L108" s="368">
        <f t="shared" si="52"/>
        <v>2017</v>
      </c>
      <c r="M108" s="368">
        <f t="shared" si="52"/>
        <v>2018</v>
      </c>
      <c r="N108" s="368">
        <f t="shared" si="52"/>
        <v>2019</v>
      </c>
      <c r="O108" s="368">
        <f t="shared" si="52"/>
        <v>2020</v>
      </c>
      <c r="P108" s="368">
        <f t="shared" si="52"/>
        <v>2021</v>
      </c>
    </row>
    <row r="109" spans="2:16" ht="12" customHeight="1">
      <c r="B109" s="412"/>
    </row>
    <row r="110" spans="2:16" ht="12" customHeight="1">
      <c r="B110" s="413" t="s">
        <v>23</v>
      </c>
      <c r="E110" s="398"/>
    </row>
    <row r="111" spans="2:16" ht="12" customHeight="1">
      <c r="B111" s="360" t="s">
        <v>387</v>
      </c>
      <c r="D111" s="398">
        <v>164</v>
      </c>
      <c r="E111" s="398">
        <f>E41</f>
        <v>373</v>
      </c>
      <c r="F111" s="398">
        <f>F41</f>
        <v>547</v>
      </c>
      <c r="G111" s="398">
        <f t="shared" ref="G111:P111" si="53">G$6/365*G131</f>
        <v>782.8684931506848</v>
      </c>
      <c r="H111" s="398">
        <f t="shared" si="53"/>
        <v>1096.0158904109587</v>
      </c>
      <c r="I111" s="398">
        <f t="shared" si="53"/>
        <v>1534.4222465753419</v>
      </c>
      <c r="J111" s="398">
        <f t="shared" si="53"/>
        <v>2148.1911452054787</v>
      </c>
      <c r="K111" s="398">
        <f t="shared" si="53"/>
        <v>3007.46760328767</v>
      </c>
      <c r="L111" s="398">
        <f t="shared" si="53"/>
        <v>3981.8871067528748</v>
      </c>
      <c r="M111" s="398">
        <f t="shared" si="53"/>
        <v>4969.3951092275884</v>
      </c>
      <c r="N111" s="398">
        <f t="shared" si="53"/>
        <v>5824.1310680147344</v>
      </c>
      <c r="O111" s="398">
        <f t="shared" si="53"/>
        <v>6383.2476505441491</v>
      </c>
      <c r="P111" s="398">
        <f t="shared" si="53"/>
        <v>6510.9126035550325</v>
      </c>
    </row>
    <row r="112" spans="2:16" ht="12" customHeight="1">
      <c r="B112" s="371" t="s">
        <v>388</v>
      </c>
      <c r="D112" s="398">
        <v>50</v>
      </c>
      <c r="E112" s="398">
        <f>E42</f>
        <v>88</v>
      </c>
      <c r="F112" s="398">
        <f>F42</f>
        <v>149</v>
      </c>
      <c r="G112" s="398">
        <f t="shared" ref="G112:P112" si="54">G$6/365*G132*F112/(F112+F113)</f>
        <v>221.84748094228235</v>
      </c>
      <c r="H112" s="398">
        <f t="shared" si="54"/>
        <v>310.58647331919519</v>
      </c>
      <c r="I112" s="398">
        <f t="shared" si="54"/>
        <v>434.82106264687332</v>
      </c>
      <c r="J112" s="398">
        <f t="shared" si="54"/>
        <v>608.74948770562253</v>
      </c>
      <c r="K112" s="398">
        <f t="shared" si="54"/>
        <v>852.24928278787161</v>
      </c>
      <c r="L112" s="398">
        <f t="shared" si="54"/>
        <v>1128.3780504111419</v>
      </c>
      <c r="M112" s="398">
        <f t="shared" si="54"/>
        <v>1408.2158069131051</v>
      </c>
      <c r="N112" s="398">
        <f t="shared" si="54"/>
        <v>1650.4289257021596</v>
      </c>
      <c r="O112" s="398">
        <f t="shared" si="54"/>
        <v>1808.8701025695673</v>
      </c>
      <c r="P112" s="398">
        <f t="shared" si="54"/>
        <v>1845.0475046209585</v>
      </c>
    </row>
    <row r="113" spans="2:16" ht="12" customHeight="1">
      <c r="B113" s="371" t="s">
        <v>389</v>
      </c>
      <c r="D113" s="398">
        <v>91</v>
      </c>
      <c r="E113" s="398">
        <f>E47</f>
        <v>74</v>
      </c>
      <c r="F113" s="398">
        <f>F47</f>
        <v>90</v>
      </c>
      <c r="G113" s="398">
        <f t="shared" ref="G113:P113" si="55">G$6/365*G132*F113/(F112+F113)</f>
        <v>134.00183412621081</v>
      </c>
      <c r="H113" s="398">
        <f t="shared" si="55"/>
        <v>187.60256777669508</v>
      </c>
      <c r="I113" s="398">
        <f t="shared" si="55"/>
        <v>262.64359488737313</v>
      </c>
      <c r="J113" s="398">
        <f t="shared" si="55"/>
        <v>367.70103284232226</v>
      </c>
      <c r="K113" s="398">
        <f t="shared" si="55"/>
        <v>514.7814459792512</v>
      </c>
      <c r="L113" s="398">
        <f t="shared" si="55"/>
        <v>681.57063447652854</v>
      </c>
      <c r="M113" s="398">
        <f t="shared" si="55"/>
        <v>850.6001518267077</v>
      </c>
      <c r="N113" s="398">
        <f t="shared" si="55"/>
        <v>996.90337794090158</v>
      </c>
      <c r="O113" s="398">
        <f t="shared" si="55"/>
        <v>1092.6061022232282</v>
      </c>
      <c r="P113" s="398">
        <f t="shared" si="55"/>
        <v>1114.4582242676927</v>
      </c>
    </row>
    <row r="114" spans="2:16" ht="12" customHeight="1">
      <c r="B114" s="360" t="s">
        <v>390</v>
      </c>
      <c r="D114" s="398">
        <v>17</v>
      </c>
      <c r="E114" s="398">
        <f t="shared" ref="E114:F117" si="56">E53</f>
        <v>29</v>
      </c>
      <c r="F114" s="398">
        <f t="shared" si="56"/>
        <v>63</v>
      </c>
      <c r="G114" s="398">
        <f t="shared" ref="G114:P114" si="57">((-G8+G83+G84)/365)*G$133*F114/SUM(F114:F118)</f>
        <v>83.056690891949884</v>
      </c>
      <c r="H114" s="398">
        <f t="shared" si="57"/>
        <v>115.2539585422203</v>
      </c>
      <c r="I114" s="398">
        <f t="shared" si="57"/>
        <v>157.29088863984686</v>
      </c>
      <c r="J114" s="398">
        <f t="shared" si="57"/>
        <v>216.56039834099741</v>
      </c>
      <c r="K114" s="398">
        <f t="shared" si="57"/>
        <v>299.68807437753117</v>
      </c>
      <c r="L114" s="398">
        <f t="shared" si="57"/>
        <v>393.65126402488505</v>
      </c>
      <c r="M114" s="398">
        <f t="shared" si="57"/>
        <v>497.25933071275074</v>
      </c>
      <c r="N114" s="398">
        <f t="shared" si="57"/>
        <v>590.77319524389384</v>
      </c>
      <c r="O114" s="398">
        <f t="shared" si="57"/>
        <v>650.22306553094302</v>
      </c>
      <c r="P114" s="398">
        <f t="shared" si="57"/>
        <v>635.50652959872684</v>
      </c>
    </row>
    <row r="115" spans="2:16" ht="12" customHeight="1">
      <c r="B115" s="371" t="s">
        <v>391</v>
      </c>
      <c r="D115" s="398">
        <v>0</v>
      </c>
      <c r="E115" s="398">
        <f t="shared" si="56"/>
        <v>75</v>
      </c>
      <c r="F115" s="398">
        <f t="shared" si="56"/>
        <v>171</v>
      </c>
      <c r="G115" s="398">
        <f t="shared" ref="G115:P115" si="58">((-G8+G83+G84)/365)*G$133*F115/SUM(F114:F118)</f>
        <v>225.43958956386399</v>
      </c>
      <c r="H115" s="398">
        <f t="shared" si="58"/>
        <v>312.83217318602658</v>
      </c>
      <c r="I115" s="398">
        <f t="shared" si="58"/>
        <v>426.9324120224415</v>
      </c>
      <c r="J115" s="398">
        <f t="shared" si="58"/>
        <v>587.806795496993</v>
      </c>
      <c r="K115" s="398">
        <f t="shared" si="58"/>
        <v>813.43905902472738</v>
      </c>
      <c r="L115" s="398">
        <f t="shared" si="58"/>
        <v>1068.4820023532593</v>
      </c>
      <c r="M115" s="398">
        <f t="shared" si="58"/>
        <v>1349.7038976488948</v>
      </c>
      <c r="N115" s="398">
        <f t="shared" si="58"/>
        <v>1603.5272442334258</v>
      </c>
      <c r="O115" s="398">
        <f t="shared" si="58"/>
        <v>1764.8911778697022</v>
      </c>
      <c r="P115" s="398">
        <f t="shared" si="58"/>
        <v>1724.9462946251153</v>
      </c>
    </row>
    <row r="116" spans="2:16" ht="12" customHeight="1">
      <c r="B116" s="371" t="s">
        <v>392</v>
      </c>
      <c r="D116" s="398">
        <v>117</v>
      </c>
      <c r="E116" s="398">
        <f t="shared" si="56"/>
        <v>137</v>
      </c>
      <c r="F116" s="398">
        <f t="shared" si="56"/>
        <v>296</v>
      </c>
      <c r="G116" s="398">
        <f t="shared" ref="G116:P116" si="59">((-G8+G83+G84)/365)*G$133*F116/SUM(F114:F118)</f>
        <v>390.23461117487568</v>
      </c>
      <c r="H116" s="398">
        <f t="shared" si="59"/>
        <v>541.51066235709868</v>
      </c>
      <c r="I116" s="398">
        <f t="shared" si="59"/>
        <v>739.01750853007422</v>
      </c>
      <c r="J116" s="398">
        <f t="shared" si="59"/>
        <v>1017.4901255386546</v>
      </c>
      <c r="K116" s="398">
        <f t="shared" si="59"/>
        <v>1408.0582542182417</v>
      </c>
      <c r="L116" s="398">
        <f t="shared" si="59"/>
        <v>1849.5360976407298</v>
      </c>
      <c r="M116" s="398">
        <f t="shared" si="59"/>
        <v>2336.3295538249877</v>
      </c>
      <c r="N116" s="398">
        <f t="shared" si="59"/>
        <v>2775.6962824157549</v>
      </c>
      <c r="O116" s="398">
        <f t="shared" si="59"/>
        <v>3055.0163078914147</v>
      </c>
      <c r="P116" s="398">
        <f t="shared" si="59"/>
        <v>2985.8719485908437</v>
      </c>
    </row>
    <row r="117" spans="2:16" ht="12" customHeight="1">
      <c r="B117" s="371" t="s">
        <v>393</v>
      </c>
      <c r="D117" s="398">
        <v>5</v>
      </c>
      <c r="E117" s="398">
        <f t="shared" si="56"/>
        <v>42</v>
      </c>
      <c r="F117" s="398">
        <f t="shared" si="56"/>
        <v>90</v>
      </c>
      <c r="G117" s="398">
        <f t="shared" ref="G117:P117" si="60">((-G8+G83+G84)/365)*G$133*F117/SUM(F114:F118)</f>
        <v>118.65241555992841</v>
      </c>
      <c r="H117" s="398">
        <f t="shared" si="60"/>
        <v>164.64851220317189</v>
      </c>
      <c r="I117" s="398">
        <f t="shared" si="60"/>
        <v>224.70126948549552</v>
      </c>
      <c r="J117" s="398">
        <f t="shared" si="60"/>
        <v>309.37199762999632</v>
      </c>
      <c r="K117" s="398">
        <f t="shared" si="60"/>
        <v>428.12582053933016</v>
      </c>
      <c r="L117" s="398">
        <f t="shared" si="60"/>
        <v>562.35894860697852</v>
      </c>
      <c r="M117" s="398">
        <f t="shared" si="60"/>
        <v>710.37047244678672</v>
      </c>
      <c r="N117" s="398">
        <f t="shared" si="60"/>
        <v>843.9617074912768</v>
      </c>
      <c r="O117" s="398">
        <f t="shared" si="60"/>
        <v>928.89009361563285</v>
      </c>
      <c r="P117" s="398">
        <f t="shared" si="60"/>
        <v>907.866470855324</v>
      </c>
    </row>
    <row r="118" spans="2:16" ht="12" customHeight="1">
      <c r="B118" s="360" t="s">
        <v>394</v>
      </c>
      <c r="D118" s="398">
        <v>56</v>
      </c>
      <c r="E118" s="398">
        <f>E62</f>
        <v>72</v>
      </c>
      <c r="F118" s="398">
        <f>F62</f>
        <v>135</v>
      </c>
      <c r="G118" s="398">
        <f t="shared" ref="G118:P118" si="61">((-G8+G83+G84)/365)*G$133*F118/SUM(F114:F118)</f>
        <v>177.97862333989261</v>
      </c>
      <c r="H118" s="398">
        <f t="shared" si="61"/>
        <v>246.97276830475781</v>
      </c>
      <c r="I118" s="398">
        <f t="shared" si="61"/>
        <v>337.05190422824325</v>
      </c>
      <c r="J118" s="398">
        <f t="shared" si="61"/>
        <v>464.05799644499439</v>
      </c>
      <c r="K118" s="398">
        <f t="shared" si="61"/>
        <v>642.18873080899516</v>
      </c>
      <c r="L118" s="398">
        <f t="shared" si="61"/>
        <v>843.53842291046772</v>
      </c>
      <c r="M118" s="398">
        <f t="shared" si="61"/>
        <v>1065.5557086701799</v>
      </c>
      <c r="N118" s="398">
        <f t="shared" si="61"/>
        <v>1265.942561236915</v>
      </c>
      <c r="O118" s="398">
        <f t="shared" si="61"/>
        <v>1393.335140423449</v>
      </c>
      <c r="P118" s="398">
        <f t="shared" si="61"/>
        <v>1361.7997062829859</v>
      </c>
    </row>
    <row r="119" spans="2:16" ht="12" customHeight="1">
      <c r="B119" s="402" t="s">
        <v>680</v>
      </c>
      <c r="D119" s="403">
        <f t="shared" ref="D119:P119" si="62">SUM(D111:D113)-SUM(D114:D118)</f>
        <v>110</v>
      </c>
      <c r="E119" s="403">
        <f t="shared" si="62"/>
        <v>180</v>
      </c>
      <c r="F119" s="403">
        <f t="shared" si="62"/>
        <v>31</v>
      </c>
      <c r="G119" s="403">
        <f t="shared" si="62"/>
        <v>143.35587768866742</v>
      </c>
      <c r="H119" s="403">
        <f t="shared" si="62"/>
        <v>212.98685691357355</v>
      </c>
      <c r="I119" s="403">
        <f t="shared" si="62"/>
        <v>346.89292120348682</v>
      </c>
      <c r="J119" s="403">
        <f t="shared" si="62"/>
        <v>529.35435230178746</v>
      </c>
      <c r="K119" s="403">
        <f t="shared" si="62"/>
        <v>782.99839308596711</v>
      </c>
      <c r="L119" s="403">
        <f t="shared" si="62"/>
        <v>1074.2690561042245</v>
      </c>
      <c r="M119" s="403">
        <f t="shared" si="62"/>
        <v>1268.9921046638001</v>
      </c>
      <c r="N119" s="403">
        <f t="shared" si="62"/>
        <v>1391.5623810365296</v>
      </c>
      <c r="O119" s="403">
        <f t="shared" si="62"/>
        <v>1492.368070005803</v>
      </c>
      <c r="P119" s="403">
        <f t="shared" si="62"/>
        <v>1854.4273824906886</v>
      </c>
    </row>
    <row r="120" spans="2:16" ht="12" customHeight="1">
      <c r="B120" s="402" t="s">
        <v>665</v>
      </c>
      <c r="D120" s="403">
        <f>SUM('[1]IPO Cash Flow'!C17:C24)</f>
        <v>-179</v>
      </c>
      <c r="E120" s="403">
        <f t="shared" ref="E120:P120" si="63">D119-E119</f>
        <v>-70</v>
      </c>
      <c r="F120" s="403">
        <f t="shared" si="63"/>
        <v>149</v>
      </c>
      <c r="G120" s="403">
        <f t="shared" si="63"/>
        <v>-112.35587768866742</v>
      </c>
      <c r="H120" s="403">
        <f t="shared" si="63"/>
        <v>-69.630979224906127</v>
      </c>
      <c r="I120" s="403">
        <f t="shared" si="63"/>
        <v>-133.90606428991327</v>
      </c>
      <c r="J120" s="403">
        <f t="shared" si="63"/>
        <v>-182.46143109830064</v>
      </c>
      <c r="K120" s="403">
        <f t="shared" si="63"/>
        <v>-253.64404078417965</v>
      </c>
      <c r="L120" s="403">
        <f t="shared" si="63"/>
        <v>-291.27066301825744</v>
      </c>
      <c r="M120" s="403">
        <f t="shared" si="63"/>
        <v>-194.72304855957555</v>
      </c>
      <c r="N120" s="403">
        <f t="shared" si="63"/>
        <v>-122.5702763727295</v>
      </c>
      <c r="O120" s="403">
        <f t="shared" si="63"/>
        <v>-100.80568896927343</v>
      </c>
      <c r="P120" s="403">
        <f t="shared" si="63"/>
        <v>-362.0593124848856</v>
      </c>
    </row>
    <row r="121" spans="2:16" ht="12" customHeight="1">
      <c r="B121" s="360" t="s">
        <v>681</v>
      </c>
      <c r="D121" s="398">
        <v>-112</v>
      </c>
      <c r="E121" s="398">
        <f t="shared" ref="E121:P123" si="64">D111-E111</f>
        <v>-209</v>
      </c>
      <c r="F121" s="398">
        <f t="shared" si="64"/>
        <v>-174</v>
      </c>
      <c r="G121" s="398">
        <f t="shared" si="64"/>
        <v>-235.8684931506848</v>
      </c>
      <c r="H121" s="398">
        <f t="shared" si="64"/>
        <v>-313.14739726027392</v>
      </c>
      <c r="I121" s="398">
        <f t="shared" si="64"/>
        <v>-438.40635616438317</v>
      </c>
      <c r="J121" s="398">
        <f t="shared" si="64"/>
        <v>-613.76889863013685</v>
      </c>
      <c r="K121" s="398">
        <f t="shared" si="64"/>
        <v>-859.27645808219131</v>
      </c>
      <c r="L121" s="398">
        <f t="shared" si="64"/>
        <v>-974.4195034652048</v>
      </c>
      <c r="M121" s="398">
        <f t="shared" si="64"/>
        <v>-987.50800247471352</v>
      </c>
      <c r="N121" s="398">
        <f t="shared" si="64"/>
        <v>-854.73595878714605</v>
      </c>
      <c r="O121" s="398">
        <f t="shared" si="64"/>
        <v>-559.1165825294147</v>
      </c>
      <c r="P121" s="398">
        <f t="shared" si="64"/>
        <v>-127.66495301088344</v>
      </c>
    </row>
    <row r="122" spans="2:16" ht="12" customHeight="1">
      <c r="B122" s="360" t="s">
        <v>682</v>
      </c>
      <c r="D122" s="398">
        <v>-30</v>
      </c>
      <c r="E122" s="398">
        <f t="shared" si="64"/>
        <v>-38</v>
      </c>
      <c r="F122" s="398">
        <f t="shared" si="64"/>
        <v>-61</v>
      </c>
      <c r="G122" s="398">
        <f t="shared" si="64"/>
        <v>-72.847480942282345</v>
      </c>
      <c r="H122" s="398">
        <f t="shared" si="64"/>
        <v>-88.738992376912847</v>
      </c>
      <c r="I122" s="398">
        <f t="shared" si="64"/>
        <v>-124.23458932767812</v>
      </c>
      <c r="J122" s="398">
        <f t="shared" si="64"/>
        <v>-173.92842505874921</v>
      </c>
      <c r="K122" s="398">
        <f t="shared" si="64"/>
        <v>-243.49979508224908</v>
      </c>
      <c r="L122" s="398">
        <f t="shared" si="64"/>
        <v>-276.12876762327028</v>
      </c>
      <c r="M122" s="398">
        <f t="shared" si="64"/>
        <v>-279.83775650196321</v>
      </c>
      <c r="N122" s="398">
        <f t="shared" si="64"/>
        <v>-242.21311878905453</v>
      </c>
      <c r="O122" s="398">
        <f t="shared" si="64"/>
        <v>-158.44117686740765</v>
      </c>
      <c r="P122" s="398">
        <f t="shared" si="64"/>
        <v>-36.177402051391255</v>
      </c>
    </row>
    <row r="123" spans="2:16" ht="12" customHeight="1">
      <c r="B123" s="360" t="s">
        <v>683</v>
      </c>
      <c r="D123" s="398">
        <v>-59</v>
      </c>
      <c r="E123" s="398">
        <f t="shared" si="64"/>
        <v>17</v>
      </c>
      <c r="F123" s="398">
        <f t="shared" si="64"/>
        <v>-16</v>
      </c>
      <c r="G123" s="398">
        <f t="shared" si="64"/>
        <v>-44.001834126210809</v>
      </c>
      <c r="H123" s="398">
        <f t="shared" si="64"/>
        <v>-53.600733650484273</v>
      </c>
      <c r="I123" s="398">
        <f t="shared" si="64"/>
        <v>-75.041027110678044</v>
      </c>
      <c r="J123" s="398">
        <f t="shared" si="64"/>
        <v>-105.05743795494914</v>
      </c>
      <c r="K123" s="398">
        <f t="shared" si="64"/>
        <v>-147.08041313692894</v>
      </c>
      <c r="L123" s="398">
        <f t="shared" si="64"/>
        <v>-166.78918849727734</v>
      </c>
      <c r="M123" s="398">
        <f t="shared" si="64"/>
        <v>-169.02951735017916</v>
      </c>
      <c r="N123" s="398">
        <f t="shared" si="64"/>
        <v>-146.30322611419388</v>
      </c>
      <c r="O123" s="398">
        <f t="shared" si="64"/>
        <v>-95.702724282326585</v>
      </c>
      <c r="P123" s="398">
        <f t="shared" si="64"/>
        <v>-21.852122044464522</v>
      </c>
    </row>
    <row r="124" spans="2:16" ht="12" customHeight="1">
      <c r="B124" s="360" t="s">
        <v>684</v>
      </c>
      <c r="D124" s="398">
        <v>-7</v>
      </c>
      <c r="E124" s="398">
        <f t="shared" ref="E124:P128" si="65">E114-D114</f>
        <v>12</v>
      </c>
      <c r="F124" s="398">
        <f t="shared" si="65"/>
        <v>34</v>
      </c>
      <c r="G124" s="398">
        <f t="shared" si="65"/>
        <v>20.056690891949884</v>
      </c>
      <c r="H124" s="398">
        <f t="shared" si="65"/>
        <v>32.197267650270419</v>
      </c>
      <c r="I124" s="398">
        <f t="shared" si="65"/>
        <v>42.036930097626552</v>
      </c>
      <c r="J124" s="398">
        <f t="shared" si="65"/>
        <v>59.269509701150554</v>
      </c>
      <c r="K124" s="398">
        <f t="shared" si="65"/>
        <v>83.127676036533757</v>
      </c>
      <c r="L124" s="398">
        <f t="shared" si="65"/>
        <v>93.963189647353886</v>
      </c>
      <c r="M124" s="398">
        <f t="shared" si="65"/>
        <v>103.60806668786569</v>
      </c>
      <c r="N124" s="398">
        <f t="shared" si="65"/>
        <v>93.513864531143099</v>
      </c>
      <c r="O124" s="398">
        <f t="shared" si="65"/>
        <v>59.44987028704918</v>
      </c>
      <c r="P124" s="398">
        <f t="shared" si="65"/>
        <v>-14.716535932216175</v>
      </c>
    </row>
    <row r="125" spans="2:16" ht="12" customHeight="1">
      <c r="B125" s="371" t="s">
        <v>685</v>
      </c>
      <c r="D125" s="398">
        <v>0</v>
      </c>
      <c r="E125" s="398">
        <f t="shared" si="65"/>
        <v>75</v>
      </c>
      <c r="F125" s="398">
        <f t="shared" si="65"/>
        <v>96</v>
      </c>
      <c r="G125" s="398">
        <f t="shared" si="65"/>
        <v>54.43958956386399</v>
      </c>
      <c r="H125" s="398">
        <f t="shared" si="65"/>
        <v>87.39258362216259</v>
      </c>
      <c r="I125" s="398">
        <f t="shared" si="65"/>
        <v>114.10023883641492</v>
      </c>
      <c r="J125" s="398">
        <f t="shared" si="65"/>
        <v>160.87438347455151</v>
      </c>
      <c r="K125" s="398">
        <f t="shared" si="65"/>
        <v>225.63226352773438</v>
      </c>
      <c r="L125" s="398">
        <f t="shared" si="65"/>
        <v>255.04294332853192</v>
      </c>
      <c r="M125" s="398">
        <f t="shared" si="65"/>
        <v>281.22189529563548</v>
      </c>
      <c r="N125" s="398">
        <f t="shared" si="65"/>
        <v>253.82334658453101</v>
      </c>
      <c r="O125" s="398">
        <f t="shared" si="65"/>
        <v>161.36393363627644</v>
      </c>
      <c r="P125" s="398">
        <f t="shared" si="65"/>
        <v>-39.94488324458689</v>
      </c>
    </row>
    <row r="126" spans="2:16" ht="12" customHeight="1">
      <c r="B126" s="371" t="s">
        <v>686</v>
      </c>
      <c r="D126" s="398">
        <v>27</v>
      </c>
      <c r="E126" s="398">
        <f t="shared" si="65"/>
        <v>20</v>
      </c>
      <c r="F126" s="398">
        <f t="shared" si="65"/>
        <v>159</v>
      </c>
      <c r="G126" s="398">
        <f t="shared" si="65"/>
        <v>94.234611174875681</v>
      </c>
      <c r="H126" s="398">
        <f t="shared" si="65"/>
        <v>151.276051182223</v>
      </c>
      <c r="I126" s="398">
        <f t="shared" si="65"/>
        <v>197.50684617297554</v>
      </c>
      <c r="J126" s="398">
        <f t="shared" si="65"/>
        <v>278.47261700858041</v>
      </c>
      <c r="K126" s="398">
        <f t="shared" si="65"/>
        <v>390.56812867958706</v>
      </c>
      <c r="L126" s="398">
        <f t="shared" si="65"/>
        <v>441.47784342248815</v>
      </c>
      <c r="M126" s="398">
        <f t="shared" si="65"/>
        <v>486.79345618425782</v>
      </c>
      <c r="N126" s="398">
        <f t="shared" si="65"/>
        <v>439.36672859076725</v>
      </c>
      <c r="O126" s="398">
        <f t="shared" si="65"/>
        <v>279.3200254756598</v>
      </c>
      <c r="P126" s="398">
        <f t="shared" si="65"/>
        <v>-69.144359300571068</v>
      </c>
    </row>
    <row r="127" spans="2:16" ht="12" customHeight="1">
      <c r="B127" s="371" t="s">
        <v>687</v>
      </c>
      <c r="D127" s="398">
        <v>1</v>
      </c>
      <c r="E127" s="398">
        <f t="shared" si="65"/>
        <v>37</v>
      </c>
      <c r="F127" s="398">
        <f t="shared" si="65"/>
        <v>48</v>
      </c>
      <c r="G127" s="398">
        <f t="shared" si="65"/>
        <v>28.652415559928414</v>
      </c>
      <c r="H127" s="398">
        <f t="shared" si="65"/>
        <v>45.996096643243476</v>
      </c>
      <c r="I127" s="398">
        <f t="shared" si="65"/>
        <v>60.052757282323626</v>
      </c>
      <c r="J127" s="398">
        <f t="shared" si="65"/>
        <v>84.670728144500799</v>
      </c>
      <c r="K127" s="398">
        <f t="shared" si="65"/>
        <v>118.75382290933385</v>
      </c>
      <c r="L127" s="398">
        <f t="shared" si="65"/>
        <v>134.23312806764835</v>
      </c>
      <c r="M127" s="398">
        <f t="shared" si="65"/>
        <v>148.01152383980821</v>
      </c>
      <c r="N127" s="398">
        <f t="shared" si="65"/>
        <v>133.59123504449008</v>
      </c>
      <c r="O127" s="398">
        <f t="shared" si="65"/>
        <v>84.928386124356052</v>
      </c>
      <c r="P127" s="398">
        <f t="shared" si="65"/>
        <v>-21.023622760308854</v>
      </c>
    </row>
    <row r="128" spans="2:16" ht="12" customHeight="1">
      <c r="B128" s="360" t="s">
        <v>688</v>
      </c>
      <c r="D128" s="398">
        <v>1</v>
      </c>
      <c r="E128" s="398">
        <f t="shared" si="65"/>
        <v>16</v>
      </c>
      <c r="F128" s="398">
        <f t="shared" si="65"/>
        <v>63</v>
      </c>
      <c r="G128" s="398">
        <f t="shared" si="65"/>
        <v>42.978623339892607</v>
      </c>
      <c r="H128" s="398">
        <f t="shared" si="65"/>
        <v>68.9941449648652</v>
      </c>
      <c r="I128" s="398">
        <f t="shared" si="65"/>
        <v>90.079135923485438</v>
      </c>
      <c r="J128" s="398">
        <f t="shared" si="65"/>
        <v>127.00609221675114</v>
      </c>
      <c r="K128" s="398">
        <f t="shared" si="65"/>
        <v>178.13073436400077</v>
      </c>
      <c r="L128" s="398">
        <f t="shared" si="65"/>
        <v>201.34969210147256</v>
      </c>
      <c r="M128" s="398">
        <f t="shared" si="65"/>
        <v>222.01728575971219</v>
      </c>
      <c r="N128" s="398">
        <f t="shared" si="65"/>
        <v>200.38685256673512</v>
      </c>
      <c r="O128" s="398">
        <f t="shared" si="65"/>
        <v>127.39257918653402</v>
      </c>
      <c r="P128" s="398">
        <f t="shared" si="65"/>
        <v>-31.535434140463167</v>
      </c>
    </row>
    <row r="129" spans="2:16" ht="12" customHeight="1">
      <c r="B129" s="414" t="s">
        <v>658</v>
      </c>
      <c r="D129" s="410">
        <f t="shared" ref="D129:P129" si="66">SUM(D121:D128)-D120</f>
        <v>0</v>
      </c>
      <c r="E129" s="410">
        <f t="shared" si="66"/>
        <v>0</v>
      </c>
      <c r="F129" s="410">
        <f t="shared" si="66"/>
        <v>0</v>
      </c>
      <c r="G129" s="410">
        <f t="shared" si="66"/>
        <v>0</v>
      </c>
      <c r="H129" s="410">
        <f t="shared" si="66"/>
        <v>-1.9895196601282805E-13</v>
      </c>
      <c r="I129" s="410">
        <f t="shared" si="66"/>
        <v>0</v>
      </c>
      <c r="J129" s="410">
        <f t="shared" si="66"/>
        <v>0</v>
      </c>
      <c r="K129" s="410">
        <f t="shared" si="66"/>
        <v>3.4106051316484809E-13</v>
      </c>
      <c r="L129" s="410">
        <f t="shared" si="66"/>
        <v>0</v>
      </c>
      <c r="M129" s="410">
        <f t="shared" si="66"/>
        <v>-9.0949470177292824E-13</v>
      </c>
      <c r="N129" s="410">
        <f t="shared" si="66"/>
        <v>1.5916157281026244E-12</v>
      </c>
      <c r="O129" s="410">
        <f t="shared" si="66"/>
        <v>0</v>
      </c>
      <c r="P129" s="410">
        <f t="shared" si="66"/>
        <v>0</v>
      </c>
    </row>
    <row r="130" spans="2:16" ht="12" customHeight="1">
      <c r="B130" s="409"/>
    </row>
    <row r="131" spans="2:16" ht="12" customHeight="1">
      <c r="B131" s="415" t="s">
        <v>689</v>
      </c>
      <c r="D131" s="416">
        <f>D111/(D6/365)</f>
        <v>77.039897039897042</v>
      </c>
      <c r="E131" s="416">
        <f>E111/(E6/365)</f>
        <v>68.969098277608921</v>
      </c>
      <c r="F131" s="416">
        <f>F111/(F6/365)</f>
        <v>53.800862301266505</v>
      </c>
      <c r="G131" s="417">
        <v>55</v>
      </c>
      <c r="H131" s="417">
        <f>G131</f>
        <v>55</v>
      </c>
      <c r="I131" s="417">
        <f t="shared" ref="I131:P132" si="67">H131</f>
        <v>55</v>
      </c>
      <c r="J131" s="417">
        <f t="shared" si="67"/>
        <v>55</v>
      </c>
      <c r="K131" s="417">
        <f t="shared" si="67"/>
        <v>55</v>
      </c>
      <c r="L131" s="417">
        <f t="shared" si="67"/>
        <v>55</v>
      </c>
      <c r="M131" s="417">
        <f t="shared" si="67"/>
        <v>55</v>
      </c>
      <c r="N131" s="417">
        <f t="shared" si="67"/>
        <v>55</v>
      </c>
      <c r="O131" s="417">
        <f t="shared" si="67"/>
        <v>55</v>
      </c>
      <c r="P131" s="417">
        <f t="shared" si="67"/>
        <v>55</v>
      </c>
    </row>
    <row r="132" spans="2:16">
      <c r="B132" s="360" t="s">
        <v>690</v>
      </c>
      <c r="D132" s="416">
        <f>(D112+D113)/(D6/365)</f>
        <v>66.235521235521247</v>
      </c>
      <c r="E132" s="416">
        <f>(E112+E113)/(E6/365)</f>
        <v>29.954407294832826</v>
      </c>
      <c r="F132" s="416">
        <f>(F112+F113)/(F6/365)</f>
        <v>23.507140932363246</v>
      </c>
      <c r="G132" s="417">
        <v>25</v>
      </c>
      <c r="H132" s="417">
        <f>G132</f>
        <v>25</v>
      </c>
      <c r="I132" s="417">
        <f t="shared" si="67"/>
        <v>25</v>
      </c>
      <c r="J132" s="417">
        <f t="shared" si="67"/>
        <v>25</v>
      </c>
      <c r="K132" s="417">
        <f t="shared" si="67"/>
        <v>25</v>
      </c>
      <c r="L132" s="417">
        <f t="shared" si="67"/>
        <v>25</v>
      </c>
      <c r="M132" s="417">
        <f t="shared" si="67"/>
        <v>25</v>
      </c>
      <c r="N132" s="417">
        <f t="shared" si="67"/>
        <v>25</v>
      </c>
      <c r="O132" s="417">
        <f t="shared" si="67"/>
        <v>25</v>
      </c>
      <c r="P132" s="417">
        <f t="shared" si="67"/>
        <v>25</v>
      </c>
    </row>
    <row r="133" spans="2:16">
      <c r="B133" s="415" t="s">
        <v>691</v>
      </c>
      <c r="D133" s="416">
        <f>(D114+D115+D116+D117+D118)/((-D8+D83+D84)/365)</f>
        <v>114.79838709677421</v>
      </c>
      <c r="E133" s="416">
        <f>(E114+E115+E116+E117+E118)/((-E8+E83+E84)/365)</f>
        <v>117.68846503178928</v>
      </c>
      <c r="F133" s="416">
        <f>(F114+F115+F116+F117+F118)/((-F8+F83+F84)/365)</f>
        <v>110.45090180360721</v>
      </c>
      <c r="G133" s="417">
        <v>100</v>
      </c>
      <c r="H133" s="417">
        <v>95</v>
      </c>
      <c r="I133" s="417">
        <v>90</v>
      </c>
      <c r="J133" s="417">
        <v>87</v>
      </c>
      <c r="K133" s="417">
        <v>85</v>
      </c>
      <c r="L133" s="417">
        <v>83</v>
      </c>
      <c r="M133" s="417">
        <v>83</v>
      </c>
      <c r="N133" s="417">
        <v>83</v>
      </c>
      <c r="O133" s="417">
        <v>81</v>
      </c>
      <c r="P133" s="417">
        <v>75</v>
      </c>
    </row>
    <row r="134" spans="2:16">
      <c r="G134" s="418"/>
    </row>
    <row r="135" spans="2:16" ht="12" customHeight="1">
      <c r="D135" s="363" t="s">
        <v>646</v>
      </c>
      <c r="E135" s="363"/>
      <c r="F135" s="363"/>
      <c r="G135" s="364" t="s">
        <v>647</v>
      </c>
      <c r="H135" s="365"/>
      <c r="I135" s="365"/>
      <c r="J135" s="365"/>
      <c r="K135" s="365"/>
      <c r="L135" s="365"/>
      <c r="M135" s="365"/>
      <c r="N135" s="365"/>
      <c r="O135" s="365"/>
      <c r="P135" s="365"/>
    </row>
    <row r="136" spans="2:16" ht="12" customHeight="1">
      <c r="B136" s="413" t="s">
        <v>692</v>
      </c>
      <c r="D136" s="368" t="s">
        <v>7</v>
      </c>
      <c r="E136" s="368" t="s">
        <v>8</v>
      </c>
      <c r="F136" s="368" t="s">
        <v>9</v>
      </c>
      <c r="G136" s="368">
        <v>2012</v>
      </c>
      <c r="H136" s="368">
        <f t="shared" ref="H136:P136" si="68">G136+1</f>
        <v>2013</v>
      </c>
      <c r="I136" s="368">
        <f t="shared" si="68"/>
        <v>2014</v>
      </c>
      <c r="J136" s="368">
        <f t="shared" si="68"/>
        <v>2015</v>
      </c>
      <c r="K136" s="368">
        <f t="shared" si="68"/>
        <v>2016</v>
      </c>
      <c r="L136" s="368">
        <f t="shared" si="68"/>
        <v>2017</v>
      </c>
      <c r="M136" s="368">
        <f t="shared" si="68"/>
        <v>2018</v>
      </c>
      <c r="N136" s="368">
        <f t="shared" si="68"/>
        <v>2019</v>
      </c>
      <c r="O136" s="368">
        <f t="shared" si="68"/>
        <v>2020</v>
      </c>
      <c r="P136" s="368">
        <f t="shared" si="68"/>
        <v>2021</v>
      </c>
    </row>
    <row r="137" spans="2:16" ht="6.9" customHeight="1"/>
    <row r="138" spans="2:16">
      <c r="B138" s="360" t="s">
        <v>693</v>
      </c>
      <c r="D138" s="398"/>
      <c r="E138" s="398">
        <v>820</v>
      </c>
      <c r="F138" s="398">
        <v>1925</v>
      </c>
      <c r="G138" s="398">
        <f t="shared" ref="G138:P138" si="69">F138+G145</f>
        <v>3509.07746</v>
      </c>
      <c r="H138" s="398">
        <f t="shared" si="69"/>
        <v>5327.4674599999998</v>
      </c>
      <c r="I138" s="398">
        <f t="shared" si="69"/>
        <v>7873.213459999999</v>
      </c>
      <c r="J138" s="398">
        <f t="shared" si="69"/>
        <v>10724.448979999997</v>
      </c>
      <c r="K138" s="398">
        <f t="shared" si="69"/>
        <v>14716.178707999996</v>
      </c>
      <c r="L138" s="398">
        <f t="shared" si="69"/>
        <v>18944.218835897595</v>
      </c>
      <c r="M138" s="398">
        <f t="shared" si="69"/>
        <v>24220.812915513798</v>
      </c>
      <c r="N138" s="398">
        <f t="shared" si="69"/>
        <v>30404.981176823989</v>
      </c>
      <c r="O138" s="398">
        <f t="shared" si="69"/>
        <v>37182.829591219961</v>
      </c>
      <c r="P138" s="398">
        <f t="shared" si="69"/>
        <v>43664.147137486107</v>
      </c>
    </row>
    <row r="139" spans="2:16">
      <c r="B139" s="360" t="s">
        <v>694</v>
      </c>
      <c r="D139" s="398"/>
      <c r="E139" s="398"/>
      <c r="F139" s="392">
        <v>-450</v>
      </c>
      <c r="G139" s="392">
        <f t="shared" ref="G139:P139" si="70">F139-G160</f>
        <v>-934.12690098181815</v>
      </c>
      <c r="H139" s="392">
        <f t="shared" si="70"/>
        <v>-1721.3827211272728</v>
      </c>
      <c r="I139" s="392">
        <f t="shared" si="70"/>
        <v>-2897.443384909091</v>
      </c>
      <c r="J139" s="392">
        <f t="shared" si="70"/>
        <v>-4554.3260386545453</v>
      </c>
      <c r="K139" s="392">
        <f t="shared" si="70"/>
        <v>-6820.8546872218176</v>
      </c>
      <c r="L139" s="392">
        <f t="shared" si="70"/>
        <v>-9819.6901047690571</v>
      </c>
      <c r="M139" s="392">
        <f t="shared" si="70"/>
        <v>-13493.802024440254</v>
      </c>
      <c r="N139" s="392">
        <f t="shared" si="70"/>
        <v>-17735.209877975802</v>
      </c>
      <c r="O139" s="392">
        <f t="shared" si="70"/>
        <v>-22807.411544437899</v>
      </c>
      <c r="P139" s="392">
        <f t="shared" si="70"/>
        <v>-28607.27870921353</v>
      </c>
    </row>
    <row r="140" spans="2:16">
      <c r="B140" s="402" t="s">
        <v>695</v>
      </c>
      <c r="C140" s="402"/>
      <c r="D140" s="403"/>
      <c r="E140" s="403"/>
      <c r="F140" s="403">
        <f t="shared" ref="F140:P140" si="71">F138+F139</f>
        <v>1475</v>
      </c>
      <c r="G140" s="403">
        <f t="shared" si="71"/>
        <v>2574.9505590181816</v>
      </c>
      <c r="H140" s="403">
        <f t="shared" si="71"/>
        <v>3606.084738872727</v>
      </c>
      <c r="I140" s="403">
        <f t="shared" si="71"/>
        <v>4975.770075090908</v>
      </c>
      <c r="J140" s="403">
        <f t="shared" si="71"/>
        <v>6170.1229413454521</v>
      </c>
      <c r="K140" s="403">
        <f t="shared" si="71"/>
        <v>7895.3240207781782</v>
      </c>
      <c r="L140" s="403">
        <f t="shared" si="71"/>
        <v>9124.5287311285374</v>
      </c>
      <c r="M140" s="403">
        <f t="shared" si="71"/>
        <v>10727.010891073543</v>
      </c>
      <c r="N140" s="403">
        <f t="shared" si="71"/>
        <v>12669.771298848187</v>
      </c>
      <c r="O140" s="403">
        <f t="shared" si="71"/>
        <v>14375.418046782062</v>
      </c>
      <c r="P140" s="403">
        <f t="shared" si="71"/>
        <v>15056.868428272577</v>
      </c>
    </row>
    <row r="141" spans="2:16">
      <c r="D141" s="398"/>
      <c r="E141" s="398"/>
      <c r="F141" s="398"/>
    </row>
    <row r="142" spans="2:16">
      <c r="B142" s="402" t="s">
        <v>696</v>
      </c>
      <c r="C142" s="402"/>
      <c r="D142" s="403"/>
      <c r="E142" s="403"/>
      <c r="F142" s="403">
        <f>-(-F84-F171)</f>
        <v>343</v>
      </c>
      <c r="G142" s="403">
        <f t="shared" ref="G142:L142" si="72">F142</f>
        <v>343</v>
      </c>
      <c r="H142" s="403">
        <f t="shared" si="72"/>
        <v>343</v>
      </c>
      <c r="I142" s="403">
        <f t="shared" si="72"/>
        <v>343</v>
      </c>
      <c r="J142" s="403">
        <f t="shared" si="72"/>
        <v>343</v>
      </c>
      <c r="K142" s="403">
        <f t="shared" si="72"/>
        <v>343</v>
      </c>
      <c r="L142" s="403">
        <f t="shared" si="72"/>
        <v>343</v>
      </c>
      <c r="M142" s="403">
        <f>L142*0.5</f>
        <v>171.5</v>
      </c>
      <c r="N142" s="403">
        <v>0</v>
      </c>
      <c r="O142" s="403">
        <v>0</v>
      </c>
      <c r="P142" s="403">
        <v>0</v>
      </c>
    </row>
    <row r="143" spans="2:16">
      <c r="B143" s="360" t="s">
        <v>697</v>
      </c>
      <c r="D143" s="398"/>
      <c r="E143" s="398"/>
      <c r="F143" s="419">
        <f>1/(F142/F138)</f>
        <v>5.612244897959183</v>
      </c>
      <c r="G143" s="398"/>
    </row>
    <row r="144" spans="2:16">
      <c r="F144" s="398"/>
      <c r="G144" s="398"/>
    </row>
    <row r="145" spans="2:16">
      <c r="B145" s="402" t="s">
        <v>698</v>
      </c>
      <c r="C145" s="402"/>
      <c r="D145" s="403">
        <f>-D85</f>
        <v>33</v>
      </c>
      <c r="E145" s="403">
        <f>-E85</f>
        <v>293</v>
      </c>
      <c r="F145" s="403">
        <f>-F85</f>
        <v>606</v>
      </c>
      <c r="G145" s="403">
        <f>G$6*G146</f>
        <v>1584.07746</v>
      </c>
      <c r="H145" s="403">
        <f t="shared" ref="H145:P145" si="73">H6*H146</f>
        <v>1818.3899999999996</v>
      </c>
      <c r="I145" s="403">
        <f t="shared" si="73"/>
        <v>2545.7459999999992</v>
      </c>
      <c r="J145" s="403">
        <f t="shared" si="73"/>
        <v>2851.2355199999993</v>
      </c>
      <c r="K145" s="403">
        <f t="shared" si="73"/>
        <v>3991.7297279999984</v>
      </c>
      <c r="L145" s="403">
        <f t="shared" si="73"/>
        <v>4228.0401278975987</v>
      </c>
      <c r="M145" s="403">
        <f t="shared" si="73"/>
        <v>5276.5940796162022</v>
      </c>
      <c r="N145" s="403">
        <f t="shared" si="73"/>
        <v>6184.1682613101902</v>
      </c>
      <c r="O145" s="403">
        <f t="shared" si="73"/>
        <v>6777.8484143959695</v>
      </c>
      <c r="P145" s="403">
        <f t="shared" si="73"/>
        <v>6481.3175462661466</v>
      </c>
    </row>
    <row r="146" spans="2:16">
      <c r="B146" s="420" t="s">
        <v>699</v>
      </c>
      <c r="D146" s="421">
        <f>D145/D6</f>
        <v>4.2471042471042469E-2</v>
      </c>
      <c r="E146" s="421">
        <f>E145/E6</f>
        <v>0.14842958459979735</v>
      </c>
      <c r="F146" s="421">
        <f>F145/F6</f>
        <v>0.16329830234438156</v>
      </c>
      <c r="G146" s="422">
        <v>0.3049</v>
      </c>
      <c r="H146" s="422">
        <v>0.25</v>
      </c>
      <c r="I146" s="422">
        <v>0.25</v>
      </c>
      <c r="J146" s="422">
        <v>0.2</v>
      </c>
      <c r="K146" s="422">
        <v>0.2</v>
      </c>
      <c r="L146" s="422">
        <v>0.16</v>
      </c>
      <c r="M146" s="422">
        <v>0.16</v>
      </c>
      <c r="N146" s="422">
        <f t="shared" ref="N146:O146" si="74">M146</f>
        <v>0.16</v>
      </c>
      <c r="O146" s="422">
        <f t="shared" si="74"/>
        <v>0.16</v>
      </c>
      <c r="P146" s="422">
        <v>0.15</v>
      </c>
    </row>
    <row r="148" spans="2:16">
      <c r="B148" s="423" t="s">
        <v>700</v>
      </c>
      <c r="D148" s="398"/>
      <c r="E148" s="424" t="s">
        <v>698</v>
      </c>
      <c r="F148" s="424" t="s">
        <v>701</v>
      </c>
    </row>
    <row r="149" spans="2:16">
      <c r="B149" s="360" t="s">
        <v>702</v>
      </c>
      <c r="D149" s="398"/>
      <c r="E149" s="401">
        <f>G145</f>
        <v>1584.07746</v>
      </c>
      <c r="F149" s="425">
        <f>$F$143</f>
        <v>5.612244897959183</v>
      </c>
      <c r="G149" s="398">
        <f>$E149/$F149*0.5</f>
        <v>141.12690098181821</v>
      </c>
      <c r="H149" s="398">
        <f t="shared" ref="H149:P152" si="75">$E149/$F149</f>
        <v>282.25380196363642</v>
      </c>
      <c r="I149" s="398">
        <f t="shared" si="75"/>
        <v>282.25380196363642</v>
      </c>
      <c r="J149" s="398">
        <f t="shared" si="75"/>
        <v>282.25380196363642</v>
      </c>
      <c r="K149" s="398">
        <f t="shared" si="75"/>
        <v>282.25380196363642</v>
      </c>
      <c r="L149" s="398">
        <f t="shared" si="75"/>
        <v>282.25380196363642</v>
      </c>
      <c r="M149" s="398">
        <f t="shared" si="75"/>
        <v>282.25380196363642</v>
      </c>
    </row>
    <row r="150" spans="2:16">
      <c r="B150" s="360" t="s">
        <v>703</v>
      </c>
      <c r="D150" s="398"/>
      <c r="E150" s="401">
        <f>H145</f>
        <v>1818.3899999999996</v>
      </c>
      <c r="F150" s="425">
        <f t="shared" ref="F150:F158" si="76">$F$143</f>
        <v>5.612244897959183</v>
      </c>
      <c r="G150" s="398"/>
      <c r="H150" s="398">
        <f>$E150/$F150*0.5</f>
        <v>162.00201818181816</v>
      </c>
      <c r="I150" s="398">
        <f t="shared" si="75"/>
        <v>324.00403636363632</v>
      </c>
      <c r="J150" s="398">
        <f t="shared" si="75"/>
        <v>324.00403636363632</v>
      </c>
      <c r="K150" s="398">
        <f t="shared" si="75"/>
        <v>324.00403636363632</v>
      </c>
      <c r="L150" s="398">
        <f t="shared" si="75"/>
        <v>324.00403636363632</v>
      </c>
      <c r="M150" s="398">
        <f t="shared" si="75"/>
        <v>324.00403636363632</v>
      </c>
      <c r="N150" s="398">
        <f t="shared" si="75"/>
        <v>324.00403636363632</v>
      </c>
    </row>
    <row r="151" spans="2:16">
      <c r="B151" s="360" t="s">
        <v>704</v>
      </c>
      <c r="D151" s="398"/>
      <c r="E151" s="401">
        <f>I145</f>
        <v>2545.7459999999992</v>
      </c>
      <c r="F151" s="425">
        <f t="shared" si="76"/>
        <v>5.612244897959183</v>
      </c>
      <c r="G151" s="398"/>
      <c r="I151" s="398">
        <f>$E151/$F151*0.5</f>
        <v>226.8028254545454</v>
      </c>
      <c r="J151" s="398">
        <f t="shared" si="75"/>
        <v>453.6056509090908</v>
      </c>
      <c r="K151" s="398">
        <f t="shared" si="75"/>
        <v>453.6056509090908</v>
      </c>
      <c r="L151" s="398">
        <f t="shared" si="75"/>
        <v>453.6056509090908</v>
      </c>
      <c r="M151" s="398">
        <f t="shared" si="75"/>
        <v>453.6056509090908</v>
      </c>
      <c r="N151" s="398">
        <f t="shared" si="75"/>
        <v>453.6056509090908</v>
      </c>
      <c r="O151" s="398">
        <f t="shared" si="75"/>
        <v>453.6056509090908</v>
      </c>
    </row>
    <row r="152" spans="2:16">
      <c r="B152" s="360" t="s">
        <v>705</v>
      </c>
      <c r="D152" s="398"/>
      <c r="E152" s="401">
        <f>J145</f>
        <v>2851.2355199999993</v>
      </c>
      <c r="F152" s="425">
        <f t="shared" si="76"/>
        <v>5.612244897959183</v>
      </c>
      <c r="G152" s="398"/>
      <c r="J152" s="398">
        <f>$E152/$F152*0.5</f>
        <v>254.01916450909087</v>
      </c>
      <c r="K152" s="398">
        <f t="shared" si="75"/>
        <v>508.03832901818174</v>
      </c>
      <c r="L152" s="398">
        <f t="shared" si="75"/>
        <v>508.03832901818174</v>
      </c>
      <c r="M152" s="398">
        <f t="shared" si="75"/>
        <v>508.03832901818174</v>
      </c>
      <c r="N152" s="398">
        <f t="shared" si="75"/>
        <v>508.03832901818174</v>
      </c>
      <c r="O152" s="398">
        <f t="shared" si="75"/>
        <v>508.03832901818174</v>
      </c>
      <c r="P152" s="398">
        <f t="shared" si="75"/>
        <v>508.03832901818174</v>
      </c>
    </row>
    <row r="153" spans="2:16">
      <c r="B153" s="360" t="s">
        <v>706</v>
      </c>
      <c r="D153" s="398"/>
      <c r="E153" s="401">
        <f>K145</f>
        <v>3991.7297279999984</v>
      </c>
      <c r="F153" s="425">
        <f t="shared" si="76"/>
        <v>5.612244897959183</v>
      </c>
      <c r="G153" s="398"/>
      <c r="K153" s="398">
        <f>$E153/$F153*0.5</f>
        <v>355.62683031272718</v>
      </c>
      <c r="L153" s="398">
        <f>$E153/$F153</f>
        <v>711.25366062545436</v>
      </c>
      <c r="M153" s="398">
        <f>$E153/$F153</f>
        <v>711.25366062545436</v>
      </c>
      <c r="N153" s="398">
        <f>$E153/$F153</f>
        <v>711.25366062545436</v>
      </c>
      <c r="O153" s="398">
        <f>$E153/$F153</f>
        <v>711.25366062545436</v>
      </c>
      <c r="P153" s="398">
        <f>$E153/$F153</f>
        <v>711.25366062545436</v>
      </c>
    </row>
    <row r="154" spans="2:16">
      <c r="B154" s="360" t="s">
        <v>707</v>
      </c>
      <c r="D154" s="398"/>
      <c r="E154" s="401">
        <f>L145</f>
        <v>4228.0401278975987</v>
      </c>
      <c r="F154" s="425">
        <f t="shared" si="76"/>
        <v>5.612244897959183</v>
      </c>
      <c r="G154" s="398"/>
      <c r="L154" s="398">
        <f>$E154/$F154*0.5</f>
        <v>376.67993866724066</v>
      </c>
      <c r="M154" s="398">
        <f>$E154/$F154</f>
        <v>753.35987733448133</v>
      </c>
      <c r="N154" s="398">
        <f>$E154/$F154</f>
        <v>753.35987733448133</v>
      </c>
      <c r="O154" s="398">
        <f>$E154/$F154</f>
        <v>753.35987733448133</v>
      </c>
      <c r="P154" s="398">
        <f>$E154/$F154</f>
        <v>753.35987733448133</v>
      </c>
    </row>
    <row r="155" spans="2:16">
      <c r="B155" s="360" t="s">
        <v>708</v>
      </c>
      <c r="D155" s="398"/>
      <c r="E155" s="401">
        <f>M145</f>
        <v>5276.5940796162022</v>
      </c>
      <c r="F155" s="425">
        <f t="shared" si="76"/>
        <v>5.612244897959183</v>
      </c>
      <c r="G155" s="398"/>
      <c r="M155" s="398">
        <f>$E155/$F155*0.5</f>
        <v>470.09656345671624</v>
      </c>
      <c r="N155" s="398">
        <f>$E155/$F155</f>
        <v>940.19312691343248</v>
      </c>
      <c r="O155" s="398">
        <f>$E155/$F155</f>
        <v>940.19312691343248</v>
      </c>
      <c r="P155" s="398">
        <f>$E155/$F155</f>
        <v>940.19312691343248</v>
      </c>
    </row>
    <row r="156" spans="2:16">
      <c r="B156" s="360" t="s">
        <v>709</v>
      </c>
      <c r="D156" s="398"/>
      <c r="E156" s="401">
        <f>N145</f>
        <v>6184.1682613101902</v>
      </c>
      <c r="F156" s="425">
        <f t="shared" si="76"/>
        <v>5.612244897959183</v>
      </c>
      <c r="G156" s="398"/>
      <c r="N156" s="398">
        <f>$E156/$F156*0.5</f>
        <v>550.95317237127153</v>
      </c>
      <c r="O156" s="398">
        <f>$E156/$F156</f>
        <v>1101.9063447425431</v>
      </c>
      <c r="P156" s="398">
        <f>$E156/$F156</f>
        <v>1101.9063447425431</v>
      </c>
    </row>
    <row r="157" spans="2:16">
      <c r="B157" s="360" t="s">
        <v>710</v>
      </c>
      <c r="D157" s="398"/>
      <c r="E157" s="401">
        <f>O145</f>
        <v>6777.8484143959695</v>
      </c>
      <c r="F157" s="425">
        <f t="shared" si="76"/>
        <v>5.612244897959183</v>
      </c>
      <c r="G157" s="398"/>
      <c r="O157" s="398">
        <f>$E157/$F157*0.5</f>
        <v>603.84467691891371</v>
      </c>
      <c r="P157" s="398">
        <f>$E157/$F157</f>
        <v>1207.6893538378274</v>
      </c>
    </row>
    <row r="158" spans="2:16">
      <c r="B158" s="360" t="s">
        <v>711</v>
      </c>
      <c r="D158" s="398"/>
      <c r="E158" s="401">
        <f>P145</f>
        <v>6481.3175462661466</v>
      </c>
      <c r="F158" s="425">
        <f t="shared" si="76"/>
        <v>5.612244897959183</v>
      </c>
      <c r="G158" s="392"/>
      <c r="H158" s="426"/>
      <c r="I158" s="426"/>
      <c r="J158" s="426"/>
      <c r="K158" s="426"/>
      <c r="L158" s="426"/>
      <c r="M158" s="426"/>
      <c r="N158" s="426"/>
      <c r="O158" s="426"/>
      <c r="P158" s="392">
        <f>$E158/$F158*0.5</f>
        <v>577.42647230371131</v>
      </c>
    </row>
    <row r="159" spans="2:16">
      <c r="B159" s="402" t="s">
        <v>700</v>
      </c>
      <c r="C159" s="402"/>
      <c r="D159" s="403"/>
      <c r="E159" s="403"/>
      <c r="F159" s="403"/>
      <c r="G159" s="427">
        <f>SUM(G149:G158)</f>
        <v>141.12690098181821</v>
      </c>
      <c r="H159" s="427">
        <f t="shared" ref="H159:P159" si="77">SUM(H149:H158)</f>
        <v>444.25582014545455</v>
      </c>
      <c r="I159" s="427">
        <f t="shared" si="77"/>
        <v>833.06066378181822</v>
      </c>
      <c r="J159" s="427">
        <f t="shared" si="77"/>
        <v>1313.8826537454545</v>
      </c>
      <c r="K159" s="427">
        <f t="shared" si="77"/>
        <v>1923.5286485672725</v>
      </c>
      <c r="L159" s="427">
        <f t="shared" si="77"/>
        <v>2655.83541754724</v>
      </c>
      <c r="M159" s="427">
        <f t="shared" si="77"/>
        <v>3502.611919671197</v>
      </c>
      <c r="N159" s="427">
        <f t="shared" si="77"/>
        <v>4241.4078535355484</v>
      </c>
      <c r="O159" s="427">
        <f t="shared" si="77"/>
        <v>5072.2016664620978</v>
      </c>
      <c r="P159" s="427">
        <f t="shared" si="77"/>
        <v>5799.8671647756319</v>
      </c>
    </row>
    <row r="160" spans="2:16">
      <c r="B160" s="402" t="s">
        <v>712</v>
      </c>
      <c r="C160" s="402"/>
      <c r="D160" s="403"/>
      <c r="E160" s="403"/>
      <c r="F160" s="403"/>
      <c r="G160" s="403">
        <f t="shared" ref="G160:P160" si="78">G142+G159</f>
        <v>484.12690098181821</v>
      </c>
      <c r="H160" s="403">
        <f t="shared" si="78"/>
        <v>787.25582014545455</v>
      </c>
      <c r="I160" s="403">
        <f t="shared" si="78"/>
        <v>1176.0606637818182</v>
      </c>
      <c r="J160" s="403">
        <f t="shared" si="78"/>
        <v>1656.8826537454545</v>
      </c>
      <c r="K160" s="403">
        <f t="shared" si="78"/>
        <v>2266.5286485672723</v>
      </c>
      <c r="L160" s="403">
        <f t="shared" si="78"/>
        <v>2998.83541754724</v>
      </c>
      <c r="M160" s="403">
        <f t="shared" si="78"/>
        <v>3674.111919671197</v>
      </c>
      <c r="N160" s="403">
        <f t="shared" si="78"/>
        <v>4241.4078535355484</v>
      </c>
      <c r="O160" s="403">
        <f t="shared" si="78"/>
        <v>5072.2016664620978</v>
      </c>
      <c r="P160" s="403">
        <f t="shared" si="78"/>
        <v>5799.8671647756319</v>
      </c>
    </row>
    <row r="161" spans="2:16">
      <c r="D161" s="398"/>
      <c r="E161" s="398"/>
      <c r="F161" s="398"/>
      <c r="G161" s="398"/>
    </row>
    <row r="162" spans="2:16">
      <c r="D162" s="363" t="s">
        <v>646</v>
      </c>
      <c r="E162" s="363"/>
      <c r="F162" s="363"/>
      <c r="G162" s="364" t="s">
        <v>647</v>
      </c>
      <c r="H162" s="365"/>
      <c r="I162" s="365"/>
      <c r="J162" s="365"/>
      <c r="K162" s="365"/>
      <c r="L162" s="365"/>
      <c r="M162" s="365"/>
      <c r="N162" s="365"/>
      <c r="O162" s="365"/>
      <c r="P162" s="365"/>
    </row>
    <row r="163" spans="2:16" ht="14.4">
      <c r="B163" s="413" t="s">
        <v>713</v>
      </c>
      <c r="D163" s="368" t="s">
        <v>7</v>
      </c>
      <c r="E163" s="368" t="s">
        <v>8</v>
      </c>
      <c r="F163" s="368" t="s">
        <v>9</v>
      </c>
      <c r="G163" s="368">
        <v>2012</v>
      </c>
      <c r="H163" s="368">
        <f t="shared" ref="H163:P163" si="79">G163+1</f>
        <v>2013</v>
      </c>
      <c r="I163" s="368">
        <f t="shared" si="79"/>
        <v>2014</v>
      </c>
      <c r="J163" s="368">
        <f t="shared" si="79"/>
        <v>2015</v>
      </c>
      <c r="K163" s="368">
        <f t="shared" si="79"/>
        <v>2016</v>
      </c>
      <c r="L163" s="368">
        <f t="shared" si="79"/>
        <v>2017</v>
      </c>
      <c r="M163" s="368">
        <f t="shared" si="79"/>
        <v>2018</v>
      </c>
      <c r="N163" s="368">
        <f t="shared" si="79"/>
        <v>2019</v>
      </c>
      <c r="O163" s="368">
        <f t="shared" si="79"/>
        <v>2020</v>
      </c>
      <c r="P163" s="368">
        <f t="shared" si="79"/>
        <v>2021</v>
      </c>
    </row>
    <row r="164" spans="2:16" ht="6.9" customHeight="1"/>
    <row r="165" spans="2:16">
      <c r="B165" s="360" t="s">
        <v>714</v>
      </c>
      <c r="E165" s="398"/>
      <c r="F165" s="398">
        <f>51+18+43</f>
        <v>112</v>
      </c>
      <c r="G165" s="398">
        <f>F165+G174</f>
        <v>371.77</v>
      </c>
      <c r="H165" s="398">
        <f t="shared" ref="H165:P165" si="80">G165+H174</f>
        <v>662.71239999999989</v>
      </c>
      <c r="I165" s="398">
        <f t="shared" si="80"/>
        <v>968.20191999999975</v>
      </c>
      <c r="J165" s="398">
        <f t="shared" si="80"/>
        <v>1253.3254719999995</v>
      </c>
      <c r="K165" s="398">
        <f t="shared" si="80"/>
        <v>1652.4984447999993</v>
      </c>
      <c r="L165" s="398">
        <f t="shared" si="80"/>
        <v>2181.0034607871994</v>
      </c>
      <c r="M165" s="398">
        <f t="shared" si="80"/>
        <v>2840.5777207392248</v>
      </c>
      <c r="N165" s="398">
        <f t="shared" si="80"/>
        <v>3613.5987534029987</v>
      </c>
      <c r="O165" s="398">
        <f t="shared" si="80"/>
        <v>4460.8298052024948</v>
      </c>
      <c r="P165" s="398">
        <f t="shared" si="80"/>
        <v>5325.0054780379814</v>
      </c>
    </row>
    <row r="166" spans="2:16">
      <c r="B166" s="360" t="s">
        <v>715</v>
      </c>
      <c r="F166" s="392">
        <v>-32</v>
      </c>
      <c r="G166" s="392">
        <f>F166-G189</f>
        <v>-76.143145454545447</v>
      </c>
      <c r="H166" s="392">
        <f t="shared" ref="H166:P166" si="81">G166-H189</f>
        <v>-159.34975927272728</v>
      </c>
      <c r="I166" s="392">
        <f t="shared" si="81"/>
        <v>-291.69303505454548</v>
      </c>
      <c r="J166" s="392">
        <f t="shared" si="81"/>
        <v>-476.65456634181817</v>
      </c>
      <c r="K166" s="392">
        <f t="shared" si="81"/>
        <v>-721.58069711127268</v>
      </c>
      <c r="L166" s="392">
        <f t="shared" si="81"/>
        <v>-1049.1545032454051</v>
      </c>
      <c r="M166" s="392">
        <f t="shared" si="81"/>
        <v>-1435.4319383787983</v>
      </c>
      <c r="N166" s="392">
        <f t="shared" si="81"/>
        <v>-1897.4999446725083</v>
      </c>
      <c r="O166" s="392">
        <f t="shared" si="81"/>
        <v>-2448.7503101408493</v>
      </c>
      <c r="P166" s="392">
        <f t="shared" si="81"/>
        <v>-3101.0378860200681</v>
      </c>
    </row>
    <row r="167" spans="2:16">
      <c r="B167" s="360" t="s">
        <v>716</v>
      </c>
      <c r="F167" s="398">
        <f>F165+F166</f>
        <v>80</v>
      </c>
      <c r="G167" s="398">
        <f>G165+G166</f>
        <v>295.62685454545453</v>
      </c>
      <c r="H167" s="398">
        <f t="shared" ref="H167:P167" si="82">H165+H166</f>
        <v>503.36264072727261</v>
      </c>
      <c r="I167" s="398">
        <f t="shared" si="82"/>
        <v>676.50888494545427</v>
      </c>
      <c r="J167" s="398">
        <f t="shared" si="82"/>
        <v>776.67090565818137</v>
      </c>
      <c r="K167" s="398">
        <f t="shared" si="82"/>
        <v>930.91774768872665</v>
      </c>
      <c r="L167" s="398">
        <f t="shared" si="82"/>
        <v>1131.8489575417943</v>
      </c>
      <c r="M167" s="398">
        <f t="shared" si="82"/>
        <v>1405.1457823604264</v>
      </c>
      <c r="N167" s="398">
        <f t="shared" si="82"/>
        <v>1716.0988087304904</v>
      </c>
      <c r="O167" s="398">
        <f t="shared" si="82"/>
        <v>2012.0794950616455</v>
      </c>
      <c r="P167" s="398">
        <f t="shared" si="82"/>
        <v>2223.9675920179134</v>
      </c>
    </row>
    <row r="168" spans="2:16">
      <c r="B168" s="360" t="s">
        <v>717</v>
      </c>
      <c r="F168" s="392">
        <v>82</v>
      </c>
      <c r="G168" s="392">
        <f>F168</f>
        <v>82</v>
      </c>
      <c r="H168" s="392">
        <f t="shared" ref="H168:P168" si="83">G168</f>
        <v>82</v>
      </c>
      <c r="I168" s="392">
        <f t="shared" si="83"/>
        <v>82</v>
      </c>
      <c r="J168" s="392">
        <f t="shared" si="83"/>
        <v>82</v>
      </c>
      <c r="K168" s="392">
        <f t="shared" si="83"/>
        <v>82</v>
      </c>
      <c r="L168" s="392">
        <f t="shared" si="83"/>
        <v>82</v>
      </c>
      <c r="M168" s="392">
        <f t="shared" si="83"/>
        <v>82</v>
      </c>
      <c r="N168" s="392">
        <f t="shared" si="83"/>
        <v>82</v>
      </c>
      <c r="O168" s="392">
        <f t="shared" si="83"/>
        <v>82</v>
      </c>
      <c r="P168" s="392">
        <f t="shared" si="83"/>
        <v>82</v>
      </c>
    </row>
    <row r="169" spans="2:16">
      <c r="B169" s="402" t="s">
        <v>713</v>
      </c>
      <c r="C169" s="402"/>
      <c r="D169" s="402"/>
      <c r="E169" s="402"/>
      <c r="F169" s="403">
        <f>F167+F168</f>
        <v>162</v>
      </c>
      <c r="G169" s="403">
        <f>G167+G168</f>
        <v>377.62685454545453</v>
      </c>
      <c r="H169" s="403">
        <f t="shared" ref="H169:P169" si="84">H167+H168</f>
        <v>585.36264072727261</v>
      </c>
      <c r="I169" s="403">
        <f t="shared" si="84"/>
        <v>758.50888494545427</v>
      </c>
      <c r="J169" s="403">
        <f t="shared" si="84"/>
        <v>858.67090565818137</v>
      </c>
      <c r="K169" s="403">
        <f t="shared" si="84"/>
        <v>1012.9177476887266</v>
      </c>
      <c r="L169" s="403">
        <f t="shared" si="84"/>
        <v>1213.8489575417943</v>
      </c>
      <c r="M169" s="403">
        <f t="shared" si="84"/>
        <v>1487.1457823604264</v>
      </c>
      <c r="N169" s="403">
        <f t="shared" si="84"/>
        <v>1798.0988087304904</v>
      </c>
      <c r="O169" s="403">
        <f t="shared" si="84"/>
        <v>2094.0794950616455</v>
      </c>
      <c r="P169" s="403">
        <f t="shared" si="84"/>
        <v>2305.9675920179134</v>
      </c>
    </row>
    <row r="170" spans="2:16">
      <c r="F170" s="398"/>
      <c r="G170" s="398"/>
    </row>
    <row r="171" spans="2:16">
      <c r="B171" s="402" t="s">
        <v>718</v>
      </c>
      <c r="C171" s="402"/>
      <c r="D171" s="403"/>
      <c r="E171" s="403"/>
      <c r="F171" s="403">
        <f>-(F166+12)</f>
        <v>20</v>
      </c>
      <c r="G171" s="428">
        <v>21</v>
      </c>
      <c r="H171" s="428">
        <v>11</v>
      </c>
      <c r="I171" s="428">
        <v>7</v>
      </c>
      <c r="J171" s="428">
        <v>7</v>
      </c>
      <c r="K171" s="428">
        <v>6</v>
      </c>
      <c r="L171" s="428">
        <v>6</v>
      </c>
      <c r="M171" s="428">
        <f>K171/J171*L171</f>
        <v>5.1428571428571423</v>
      </c>
      <c r="N171" s="428">
        <f>M171</f>
        <v>5.1428571428571423</v>
      </c>
      <c r="O171" s="428">
        <f>M171/L171*N171</f>
        <v>4.408163265306122</v>
      </c>
      <c r="P171" s="428">
        <f>O171/N171*O171</f>
        <v>3.778425655976676</v>
      </c>
    </row>
    <row r="172" spans="2:16">
      <c r="B172" s="360" t="s">
        <v>697</v>
      </c>
      <c r="D172" s="398"/>
      <c r="E172" s="398"/>
      <c r="F172" s="419">
        <f>1/(F171/F165)</f>
        <v>5.6</v>
      </c>
      <c r="G172" s="398"/>
    </row>
    <row r="173" spans="2:16">
      <c r="D173" s="398"/>
      <c r="E173" s="398"/>
      <c r="F173" s="398"/>
      <c r="G173" s="398"/>
    </row>
    <row r="174" spans="2:16">
      <c r="B174" s="402" t="s">
        <v>719</v>
      </c>
      <c r="C174" s="402"/>
      <c r="D174" s="429" t="s">
        <v>720</v>
      </c>
      <c r="E174" s="403">
        <f>-E86</f>
        <v>22</v>
      </c>
      <c r="F174" s="403">
        <f>-F86</f>
        <v>24</v>
      </c>
      <c r="G174" s="403">
        <f>G$6*G175</f>
        <v>259.77</v>
      </c>
      <c r="H174" s="403">
        <f t="shared" ref="H174:P174" si="85">H$6*H175</f>
        <v>290.94239999999996</v>
      </c>
      <c r="I174" s="403">
        <f t="shared" si="85"/>
        <v>305.48951999999991</v>
      </c>
      <c r="J174" s="403">
        <f t="shared" si="85"/>
        <v>285.1235519999999</v>
      </c>
      <c r="K174" s="403">
        <f t="shared" si="85"/>
        <v>399.17297279999985</v>
      </c>
      <c r="L174" s="403">
        <f t="shared" si="85"/>
        <v>528.50501598719984</v>
      </c>
      <c r="M174" s="403">
        <f t="shared" si="85"/>
        <v>659.57425995202527</v>
      </c>
      <c r="N174" s="403">
        <f t="shared" si="85"/>
        <v>773.02103266377378</v>
      </c>
      <c r="O174" s="403">
        <f t="shared" si="85"/>
        <v>847.23105179949619</v>
      </c>
      <c r="P174" s="403">
        <f t="shared" si="85"/>
        <v>864.17567283548624</v>
      </c>
    </row>
    <row r="175" spans="2:16">
      <c r="B175" s="420" t="s">
        <v>699</v>
      </c>
      <c r="D175" s="430" t="s">
        <v>720</v>
      </c>
      <c r="E175" s="421">
        <f>E174/E19</f>
        <v>3.6303630363036306E-2</v>
      </c>
      <c r="F175" s="421">
        <f>F174/F19</f>
        <v>2.4E-2</v>
      </c>
      <c r="G175" s="431">
        <v>0.05</v>
      </c>
      <c r="H175" s="431">
        <v>0.04</v>
      </c>
      <c r="I175" s="431">
        <v>0.03</v>
      </c>
      <c r="J175" s="431">
        <v>0.02</v>
      </c>
      <c r="K175" s="431">
        <f t="shared" ref="K175:P175" si="86">J175</f>
        <v>0.02</v>
      </c>
      <c r="L175" s="431">
        <f t="shared" si="86"/>
        <v>0.02</v>
      </c>
      <c r="M175" s="431">
        <f t="shared" si="86"/>
        <v>0.02</v>
      </c>
      <c r="N175" s="431">
        <f t="shared" si="86"/>
        <v>0.02</v>
      </c>
      <c r="O175" s="431">
        <f t="shared" si="86"/>
        <v>0.02</v>
      </c>
      <c r="P175" s="431">
        <f t="shared" si="86"/>
        <v>0.02</v>
      </c>
    </row>
    <row r="176" spans="2:16">
      <c r="D176" s="398"/>
      <c r="E176" s="398"/>
      <c r="F176" s="398"/>
      <c r="G176" s="398"/>
    </row>
    <row r="177" spans="2:16">
      <c r="B177" s="423" t="s">
        <v>721</v>
      </c>
      <c r="D177" s="398"/>
      <c r="E177" s="424" t="s">
        <v>722</v>
      </c>
      <c r="F177" s="424" t="s">
        <v>723</v>
      </c>
    </row>
    <row r="178" spans="2:16">
      <c r="B178" s="360" t="s">
        <v>702</v>
      </c>
      <c r="D178" s="398"/>
      <c r="E178" s="401">
        <f>G174</f>
        <v>259.77</v>
      </c>
      <c r="F178" s="425">
        <f>$F$143</f>
        <v>5.612244897959183</v>
      </c>
      <c r="G178" s="398">
        <f>$E178/$F178*0.5</f>
        <v>23.143145454545454</v>
      </c>
      <c r="H178" s="398">
        <f t="shared" ref="H178:L178" si="87">$E178/$F178</f>
        <v>46.286290909090908</v>
      </c>
      <c r="I178" s="398">
        <f t="shared" si="87"/>
        <v>46.286290909090908</v>
      </c>
      <c r="J178" s="398">
        <f t="shared" si="87"/>
        <v>46.286290909090908</v>
      </c>
      <c r="K178" s="398">
        <f t="shared" si="87"/>
        <v>46.286290909090908</v>
      </c>
      <c r="L178" s="398">
        <f t="shared" si="87"/>
        <v>46.286290909090908</v>
      </c>
      <c r="M178" s="398"/>
    </row>
    <row r="179" spans="2:16">
      <c r="B179" s="360" t="s">
        <v>703</v>
      </c>
      <c r="D179" s="398"/>
      <c r="E179" s="401">
        <f>H174</f>
        <v>290.94239999999996</v>
      </c>
      <c r="F179" s="425">
        <f t="shared" ref="F179:F187" si="88">$F$143</f>
        <v>5.612244897959183</v>
      </c>
      <c r="G179" s="398"/>
      <c r="H179" s="398">
        <f>$E179/$F179*0.5</f>
        <v>25.92032290909091</v>
      </c>
      <c r="I179" s="398">
        <f>$E179/$F179</f>
        <v>51.840645818181819</v>
      </c>
      <c r="J179" s="398">
        <f>$E179/$F179</f>
        <v>51.840645818181819</v>
      </c>
      <c r="K179" s="398">
        <f>$E179/$F179</f>
        <v>51.840645818181819</v>
      </c>
      <c r="L179" s="398">
        <f>$E179/$F179</f>
        <v>51.840645818181819</v>
      </c>
      <c r="M179" s="398">
        <f>$E179/$F179</f>
        <v>51.840645818181819</v>
      </c>
      <c r="N179" s="398"/>
    </row>
    <row r="180" spans="2:16">
      <c r="B180" s="360" t="s">
        <v>704</v>
      </c>
      <c r="D180" s="398"/>
      <c r="E180" s="401">
        <f>I174</f>
        <v>305.48951999999991</v>
      </c>
      <c r="F180" s="425">
        <f t="shared" si="88"/>
        <v>5.612244897959183</v>
      </c>
      <c r="G180" s="398"/>
      <c r="I180" s="398">
        <f>$E180/$F180*0.5</f>
        <v>27.21633905454545</v>
      </c>
      <c r="J180" s="398">
        <f>$E180/$F180</f>
        <v>54.432678109090901</v>
      </c>
      <c r="K180" s="398">
        <f>$E180/$F180</f>
        <v>54.432678109090901</v>
      </c>
      <c r="L180" s="398">
        <f>$E180/$F180</f>
        <v>54.432678109090901</v>
      </c>
      <c r="M180" s="398">
        <f>$E180/$F180</f>
        <v>54.432678109090901</v>
      </c>
      <c r="N180" s="398">
        <f>$E180/$F180</f>
        <v>54.432678109090901</v>
      </c>
      <c r="O180" s="398"/>
    </row>
    <row r="181" spans="2:16">
      <c r="B181" s="360" t="s">
        <v>705</v>
      </c>
      <c r="D181" s="398"/>
      <c r="E181" s="401">
        <f>J174</f>
        <v>285.1235519999999</v>
      </c>
      <c r="F181" s="425">
        <f t="shared" si="88"/>
        <v>5.612244897959183</v>
      </c>
      <c r="G181" s="398"/>
      <c r="J181" s="398">
        <f>$E181/$F181*0.5</f>
        <v>25.401916450909084</v>
      </c>
      <c r="K181" s="398">
        <f>$E181/$F181</f>
        <v>50.803832901818168</v>
      </c>
      <c r="L181" s="398">
        <f>$E181/$F181</f>
        <v>50.803832901818168</v>
      </c>
      <c r="M181" s="398">
        <f>$E181/$F181</f>
        <v>50.803832901818168</v>
      </c>
      <c r="N181" s="398">
        <f>$E181/$F181</f>
        <v>50.803832901818168</v>
      </c>
      <c r="O181" s="398">
        <f>$E181/$F181</f>
        <v>50.803832901818168</v>
      </c>
      <c r="P181" s="398"/>
    </row>
    <row r="182" spans="2:16">
      <c r="B182" s="360" t="s">
        <v>706</v>
      </c>
      <c r="D182" s="398"/>
      <c r="E182" s="401">
        <f>K174</f>
        <v>399.17297279999985</v>
      </c>
      <c r="F182" s="425">
        <f t="shared" si="88"/>
        <v>5.612244897959183</v>
      </c>
      <c r="G182" s="398"/>
      <c r="K182" s="398">
        <f>$E182/$F182*0.5</f>
        <v>35.562683031272719</v>
      </c>
      <c r="L182" s="398">
        <f>$E182/$F182</f>
        <v>71.125366062545439</v>
      </c>
      <c r="M182" s="398">
        <f>$E182/$F182</f>
        <v>71.125366062545439</v>
      </c>
      <c r="N182" s="398">
        <f>$E182/$F182</f>
        <v>71.125366062545439</v>
      </c>
      <c r="O182" s="398">
        <f>$E182/$F182</f>
        <v>71.125366062545439</v>
      </c>
      <c r="P182" s="398">
        <f>$E182/$F182</f>
        <v>71.125366062545439</v>
      </c>
    </row>
    <row r="183" spans="2:16">
      <c r="B183" s="360" t="s">
        <v>707</v>
      </c>
      <c r="D183" s="398"/>
      <c r="E183" s="401">
        <f>L174</f>
        <v>528.50501598719984</v>
      </c>
      <c r="F183" s="425">
        <f t="shared" si="88"/>
        <v>5.612244897959183</v>
      </c>
      <c r="G183" s="398"/>
      <c r="L183" s="398">
        <f>$E183/$F183*0.5</f>
        <v>47.084992333405083</v>
      </c>
      <c r="M183" s="398">
        <f>$E183/$F183</f>
        <v>94.169984666810166</v>
      </c>
      <c r="N183" s="398">
        <f>$E183/$F183</f>
        <v>94.169984666810166</v>
      </c>
      <c r="O183" s="398">
        <f>$E183/$F183</f>
        <v>94.169984666810166</v>
      </c>
      <c r="P183" s="398">
        <f>$E183/$F183</f>
        <v>94.169984666810166</v>
      </c>
    </row>
    <row r="184" spans="2:16">
      <c r="B184" s="360" t="s">
        <v>708</v>
      </c>
      <c r="D184" s="398"/>
      <c r="E184" s="401">
        <f>M174</f>
        <v>659.57425995202527</v>
      </c>
      <c r="F184" s="425">
        <f t="shared" si="88"/>
        <v>5.612244897959183</v>
      </c>
      <c r="G184" s="398"/>
      <c r="M184" s="398">
        <f>$E184/$F184*0.5</f>
        <v>58.76207043208953</v>
      </c>
      <c r="N184" s="398">
        <f>$E184/$F184</f>
        <v>117.52414086417906</v>
      </c>
      <c r="O184" s="398">
        <f>$E184/$F184</f>
        <v>117.52414086417906</v>
      </c>
      <c r="P184" s="398">
        <f>$E184/$F184</f>
        <v>117.52414086417906</v>
      </c>
    </row>
    <row r="185" spans="2:16">
      <c r="B185" s="360" t="s">
        <v>709</v>
      </c>
      <c r="D185" s="398"/>
      <c r="E185" s="401">
        <f>N174</f>
        <v>773.02103266377378</v>
      </c>
      <c r="F185" s="425">
        <f t="shared" si="88"/>
        <v>5.612244897959183</v>
      </c>
      <c r="G185" s="398"/>
      <c r="N185" s="398">
        <f>$E185/$F185*0.5</f>
        <v>68.869146546408942</v>
      </c>
      <c r="O185" s="398">
        <f>$E185/$F185</f>
        <v>137.73829309281788</v>
      </c>
      <c r="P185" s="398">
        <f>$E185/$F185</f>
        <v>137.73829309281788</v>
      </c>
    </row>
    <row r="186" spans="2:16">
      <c r="B186" s="360" t="s">
        <v>710</v>
      </c>
      <c r="D186" s="398"/>
      <c r="E186" s="401">
        <f>O174</f>
        <v>847.23105179949619</v>
      </c>
      <c r="F186" s="425">
        <f t="shared" si="88"/>
        <v>5.612244897959183</v>
      </c>
      <c r="G186" s="398"/>
      <c r="O186" s="398">
        <f>$E186/$F186*0.5</f>
        <v>75.480584614864213</v>
      </c>
      <c r="P186" s="398">
        <f>$E186/$F186</f>
        <v>150.96116922972843</v>
      </c>
    </row>
    <row r="187" spans="2:16">
      <c r="B187" s="360" t="s">
        <v>711</v>
      </c>
      <c r="D187" s="398"/>
      <c r="E187" s="401">
        <f>P174</f>
        <v>864.17567283548624</v>
      </c>
      <c r="F187" s="425">
        <f t="shared" si="88"/>
        <v>5.612244897959183</v>
      </c>
      <c r="G187" s="392"/>
      <c r="H187" s="426"/>
      <c r="I187" s="426"/>
      <c r="J187" s="426"/>
      <c r="K187" s="426"/>
      <c r="L187" s="426"/>
      <c r="M187" s="426"/>
      <c r="N187" s="426"/>
      <c r="O187" s="426"/>
      <c r="P187" s="392">
        <f>$E187/$F187*0.5</f>
        <v>76.990196307161511</v>
      </c>
    </row>
    <row r="188" spans="2:16">
      <c r="B188" s="402" t="s">
        <v>724</v>
      </c>
      <c r="C188" s="402"/>
      <c r="D188" s="403"/>
      <c r="E188" s="403"/>
      <c r="F188" s="403"/>
      <c r="G188" s="427">
        <f>SUM(G178:G187)</f>
        <v>23.143145454545454</v>
      </c>
      <c r="H188" s="427">
        <f t="shared" ref="H188:P188" si="89">SUM(H178:H187)</f>
        <v>72.206613818181822</v>
      </c>
      <c r="I188" s="427">
        <f t="shared" si="89"/>
        <v>125.34327578181816</v>
      </c>
      <c r="J188" s="427">
        <f t="shared" si="89"/>
        <v>177.96153128727269</v>
      </c>
      <c r="K188" s="427">
        <f t="shared" si="89"/>
        <v>238.92613076945449</v>
      </c>
      <c r="L188" s="427">
        <f t="shared" si="89"/>
        <v>321.57380613413227</v>
      </c>
      <c r="M188" s="427">
        <f t="shared" si="89"/>
        <v>381.13457799053606</v>
      </c>
      <c r="N188" s="427">
        <f t="shared" si="89"/>
        <v>456.92514915085269</v>
      </c>
      <c r="O188" s="427">
        <f t="shared" si="89"/>
        <v>546.84220220303496</v>
      </c>
      <c r="P188" s="427">
        <f t="shared" si="89"/>
        <v>648.50915022324239</v>
      </c>
    </row>
    <row r="189" spans="2:16">
      <c r="B189" s="402" t="s">
        <v>725</v>
      </c>
      <c r="C189" s="402"/>
      <c r="D189" s="403"/>
      <c r="E189" s="403"/>
      <c r="F189" s="403"/>
      <c r="G189" s="403">
        <f t="shared" ref="G189:P189" si="90">G171+G188</f>
        <v>44.143145454545454</v>
      </c>
      <c r="H189" s="403">
        <f t="shared" si="90"/>
        <v>83.206613818181822</v>
      </c>
      <c r="I189" s="403">
        <f t="shared" si="90"/>
        <v>132.34327578181816</v>
      </c>
      <c r="J189" s="403">
        <f t="shared" si="90"/>
        <v>184.96153128727269</v>
      </c>
      <c r="K189" s="403">
        <f t="shared" si="90"/>
        <v>244.92613076945449</v>
      </c>
      <c r="L189" s="403">
        <f t="shared" si="90"/>
        <v>327.57380613413227</v>
      </c>
      <c r="M189" s="403">
        <f t="shared" si="90"/>
        <v>386.27743513339323</v>
      </c>
      <c r="N189" s="403">
        <f t="shared" si="90"/>
        <v>462.06800629370986</v>
      </c>
      <c r="O189" s="403">
        <f t="shared" si="90"/>
        <v>551.2503654683411</v>
      </c>
      <c r="P189" s="403">
        <f t="shared" si="90"/>
        <v>652.28757587921905</v>
      </c>
    </row>
    <row r="190" spans="2:16" ht="6.9" customHeight="1">
      <c r="D190" s="392"/>
      <c r="E190" s="392"/>
      <c r="F190" s="392"/>
      <c r="G190" s="392"/>
      <c r="H190" s="392"/>
      <c r="I190" s="392"/>
      <c r="J190" s="392"/>
      <c r="K190" s="392"/>
      <c r="L190" s="392"/>
      <c r="M190" s="392"/>
      <c r="N190" s="392"/>
      <c r="O190" s="392"/>
      <c r="P190" s="392"/>
    </row>
    <row r="191" spans="2:16">
      <c r="B191" s="402" t="s">
        <v>726</v>
      </c>
      <c r="D191" s="403">
        <f>D84</f>
        <v>78</v>
      </c>
      <c r="E191" s="403">
        <f>E84</f>
        <v>139</v>
      </c>
      <c r="F191" s="403">
        <f>F84</f>
        <v>323</v>
      </c>
      <c r="G191" s="403">
        <f t="shared" ref="G191:P191" si="91">G160+G189</f>
        <v>528.27004643636371</v>
      </c>
      <c r="H191" s="403">
        <f t="shared" si="91"/>
        <v>870.46243396363639</v>
      </c>
      <c r="I191" s="403">
        <f t="shared" si="91"/>
        <v>1308.4039395636364</v>
      </c>
      <c r="J191" s="403">
        <f t="shared" si="91"/>
        <v>1841.8441850327272</v>
      </c>
      <c r="K191" s="403">
        <f t="shared" si="91"/>
        <v>2511.4547793367269</v>
      </c>
      <c r="L191" s="403">
        <f t="shared" si="91"/>
        <v>3326.4092236813722</v>
      </c>
      <c r="M191" s="403">
        <f t="shared" si="91"/>
        <v>4060.3893548045903</v>
      </c>
      <c r="N191" s="403">
        <f t="shared" si="91"/>
        <v>4703.4758598292583</v>
      </c>
      <c r="O191" s="403">
        <f t="shared" si="91"/>
        <v>5623.4520319304393</v>
      </c>
      <c r="P191" s="403">
        <f t="shared" si="91"/>
        <v>6452.1547406548507</v>
      </c>
    </row>
    <row r="192" spans="2:16">
      <c r="D192" s="398"/>
      <c r="E192" s="398"/>
      <c r="F192" s="398"/>
      <c r="G192" s="398"/>
    </row>
    <row r="193" spans="2:32">
      <c r="D193" s="363" t="s">
        <v>646</v>
      </c>
      <c r="E193" s="363"/>
      <c r="F193" s="363"/>
      <c r="G193" s="364" t="s">
        <v>647</v>
      </c>
      <c r="H193" s="365"/>
      <c r="I193" s="365"/>
      <c r="J193" s="365"/>
      <c r="K193" s="365"/>
      <c r="L193" s="365"/>
      <c r="M193" s="365"/>
      <c r="N193" s="365"/>
      <c r="O193" s="365"/>
      <c r="P193" s="365"/>
    </row>
    <row r="194" spans="2:32" ht="14.4">
      <c r="D194" s="368" t="s">
        <v>7</v>
      </c>
      <c r="E194" s="368" t="s">
        <v>8</v>
      </c>
      <c r="F194" s="368" t="s">
        <v>9</v>
      </c>
      <c r="G194" s="368">
        <v>2012</v>
      </c>
      <c r="H194" s="368">
        <f t="shared" ref="H194:P194" si="92">G194+1</f>
        <v>2013</v>
      </c>
      <c r="I194" s="368">
        <f t="shared" si="92"/>
        <v>2014</v>
      </c>
      <c r="J194" s="368">
        <f t="shared" si="92"/>
        <v>2015</v>
      </c>
      <c r="K194" s="368">
        <f t="shared" si="92"/>
        <v>2016</v>
      </c>
      <c r="L194" s="368">
        <f t="shared" si="92"/>
        <v>2017</v>
      </c>
      <c r="M194" s="368">
        <f t="shared" si="92"/>
        <v>2018</v>
      </c>
      <c r="N194" s="368">
        <f t="shared" si="92"/>
        <v>2019</v>
      </c>
      <c r="O194" s="368">
        <f t="shared" si="92"/>
        <v>2020</v>
      </c>
      <c r="P194" s="368">
        <f t="shared" si="92"/>
        <v>2021</v>
      </c>
    </row>
    <row r="195" spans="2:32" ht="6.6" customHeight="1">
      <c r="D195" s="370"/>
      <c r="E195" s="370"/>
      <c r="F195" s="370"/>
      <c r="G195" s="370"/>
      <c r="H195" s="370"/>
      <c r="I195" s="370"/>
      <c r="J195" s="370"/>
      <c r="K195" s="370"/>
      <c r="L195" s="370"/>
      <c r="M195" s="370"/>
      <c r="N195" s="370"/>
      <c r="O195" s="370"/>
      <c r="P195" s="370"/>
    </row>
    <row r="196" spans="2:32" ht="13.5">
      <c r="B196" s="413" t="s">
        <v>727</v>
      </c>
      <c r="D196" s="398"/>
      <c r="E196" s="398"/>
      <c r="F196" s="398"/>
      <c r="G196" s="398"/>
    </row>
    <row r="197" spans="2:32" ht="13.5">
      <c r="B197" s="413" t="s">
        <v>728</v>
      </c>
      <c r="D197" s="398"/>
      <c r="E197" s="398"/>
      <c r="F197" s="398"/>
      <c r="G197" s="398"/>
    </row>
    <row r="198" spans="2:32">
      <c r="B198" s="360" t="s">
        <v>729</v>
      </c>
      <c r="D198" s="398">
        <v>0</v>
      </c>
      <c r="E198" s="398">
        <f>D201</f>
        <v>0</v>
      </c>
      <c r="F198" s="398">
        <f>E201</f>
        <v>250</v>
      </c>
      <c r="G198" s="398">
        <f>F201</f>
        <v>0</v>
      </c>
      <c r="H198" s="398">
        <f t="shared" ref="H198:P198" si="93">G201</f>
        <v>0</v>
      </c>
      <c r="I198" s="398">
        <f t="shared" si="93"/>
        <v>0</v>
      </c>
      <c r="J198" s="398">
        <f t="shared" si="93"/>
        <v>0</v>
      </c>
      <c r="K198" s="398">
        <f t="shared" si="93"/>
        <v>0</v>
      </c>
      <c r="L198" s="398">
        <f t="shared" si="93"/>
        <v>0</v>
      </c>
      <c r="M198" s="398">
        <f t="shared" si="93"/>
        <v>0</v>
      </c>
      <c r="N198" s="398">
        <f t="shared" si="93"/>
        <v>0</v>
      </c>
      <c r="O198" s="398">
        <f t="shared" si="93"/>
        <v>0</v>
      </c>
      <c r="P198" s="398">
        <f t="shared" si="93"/>
        <v>0</v>
      </c>
    </row>
    <row r="199" spans="2:32">
      <c r="B199" s="360" t="s">
        <v>730</v>
      </c>
      <c r="D199" s="398">
        <v>0</v>
      </c>
      <c r="E199" s="398">
        <f>E95</f>
        <v>250</v>
      </c>
      <c r="F199" s="398">
        <v>0</v>
      </c>
      <c r="G199" s="405">
        <v>0</v>
      </c>
      <c r="H199" s="405">
        <v>0</v>
      </c>
      <c r="I199" s="405">
        <v>0</v>
      </c>
      <c r="J199" s="405">
        <v>0</v>
      </c>
      <c r="K199" s="405">
        <v>0</v>
      </c>
      <c r="L199" s="405">
        <v>0</v>
      </c>
      <c r="M199" s="405">
        <v>0</v>
      </c>
      <c r="N199" s="405">
        <v>0</v>
      </c>
      <c r="O199" s="405">
        <v>0</v>
      </c>
      <c r="P199" s="405">
        <v>0</v>
      </c>
    </row>
    <row r="200" spans="2:32">
      <c r="B200" s="360" t="s">
        <v>731</v>
      </c>
      <c r="D200" s="392">
        <v>0</v>
      </c>
      <c r="E200" s="392">
        <v>0</v>
      </c>
      <c r="F200" s="392">
        <f>F95</f>
        <v>-250</v>
      </c>
      <c r="G200" s="404">
        <v>0</v>
      </c>
      <c r="H200" s="404">
        <v>0</v>
      </c>
      <c r="I200" s="404">
        <v>0</v>
      </c>
      <c r="J200" s="404">
        <v>0</v>
      </c>
      <c r="K200" s="404">
        <v>0</v>
      </c>
      <c r="L200" s="404">
        <v>0</v>
      </c>
      <c r="M200" s="404">
        <v>0</v>
      </c>
      <c r="N200" s="404">
        <v>0</v>
      </c>
      <c r="O200" s="404">
        <v>0</v>
      </c>
      <c r="P200" s="404">
        <v>0</v>
      </c>
    </row>
    <row r="201" spans="2:32">
      <c r="B201" s="402" t="s">
        <v>732</v>
      </c>
      <c r="C201" s="402"/>
      <c r="D201" s="403">
        <f>D198+D199+D200</f>
        <v>0</v>
      </c>
      <c r="E201" s="403">
        <f>E198+E199+E200</f>
        <v>250</v>
      </c>
      <c r="F201" s="403">
        <f>F198+F199+F200</f>
        <v>0</v>
      </c>
      <c r="G201" s="403">
        <f>G198+G199+G200</f>
        <v>0</v>
      </c>
      <c r="H201" s="403">
        <f t="shared" ref="H201:P201" si="94">H198+H199+H200</f>
        <v>0</v>
      </c>
      <c r="I201" s="403">
        <f t="shared" si="94"/>
        <v>0</v>
      </c>
      <c r="J201" s="403">
        <f t="shared" si="94"/>
        <v>0</v>
      </c>
      <c r="K201" s="403">
        <f t="shared" si="94"/>
        <v>0</v>
      </c>
      <c r="L201" s="403">
        <f t="shared" si="94"/>
        <v>0</v>
      </c>
      <c r="M201" s="403">
        <f t="shared" si="94"/>
        <v>0</v>
      </c>
      <c r="N201" s="403">
        <f t="shared" si="94"/>
        <v>0</v>
      </c>
      <c r="O201" s="403">
        <f t="shared" si="94"/>
        <v>0</v>
      </c>
      <c r="P201" s="403">
        <f t="shared" si="94"/>
        <v>0</v>
      </c>
    </row>
    <row r="202" spans="2:32">
      <c r="D202" s="398"/>
      <c r="E202" s="398"/>
      <c r="F202" s="398"/>
      <c r="G202" s="398"/>
    </row>
    <row r="203" spans="2:32">
      <c r="B203" s="402" t="s">
        <v>733</v>
      </c>
      <c r="D203" s="398"/>
      <c r="E203" s="398">
        <f>E201*E204/12*9+1/12*9</f>
        <v>9.1875</v>
      </c>
      <c r="F203" s="398">
        <f>E201*F204/12*2+1/12*3</f>
        <v>2.125</v>
      </c>
      <c r="G203" s="398">
        <f>((F201+G201)/2)*G204</f>
        <v>0</v>
      </c>
      <c r="H203" s="398">
        <f t="shared" ref="H203:P203" si="95">((G201+H201)/2)*H204</f>
        <v>0</v>
      </c>
      <c r="I203" s="398">
        <f t="shared" si="95"/>
        <v>0</v>
      </c>
      <c r="J203" s="398">
        <f t="shared" si="95"/>
        <v>0</v>
      </c>
      <c r="K203" s="398">
        <f t="shared" si="95"/>
        <v>0</v>
      </c>
      <c r="L203" s="398">
        <f t="shared" si="95"/>
        <v>0</v>
      </c>
      <c r="M203" s="398">
        <f t="shared" si="95"/>
        <v>0</v>
      </c>
      <c r="N203" s="398">
        <f t="shared" si="95"/>
        <v>0</v>
      </c>
      <c r="O203" s="398">
        <f t="shared" si="95"/>
        <v>0</v>
      </c>
      <c r="P203" s="398">
        <f t="shared" si="95"/>
        <v>0</v>
      </c>
    </row>
    <row r="204" spans="2:32">
      <c r="B204" s="360" t="s">
        <v>734</v>
      </c>
      <c r="E204" s="432">
        <v>4.4999999999999998E-2</v>
      </c>
      <c r="F204" s="432">
        <v>4.4999999999999998E-2</v>
      </c>
      <c r="G204" s="432">
        <f>0.5%+0.01+0.001</f>
        <v>1.6E-2</v>
      </c>
      <c r="H204" s="432">
        <f>G204</f>
        <v>1.6E-2</v>
      </c>
      <c r="I204" s="432">
        <f t="shared" ref="I204:P204" si="96">H204</f>
        <v>1.6E-2</v>
      </c>
      <c r="J204" s="432">
        <f t="shared" si="96"/>
        <v>1.6E-2</v>
      </c>
      <c r="K204" s="432">
        <f t="shared" si="96"/>
        <v>1.6E-2</v>
      </c>
      <c r="L204" s="432">
        <f t="shared" si="96"/>
        <v>1.6E-2</v>
      </c>
      <c r="M204" s="432">
        <f t="shared" si="96"/>
        <v>1.6E-2</v>
      </c>
      <c r="N204" s="432">
        <f t="shared" si="96"/>
        <v>1.6E-2</v>
      </c>
      <c r="O204" s="432">
        <f t="shared" si="96"/>
        <v>1.6E-2</v>
      </c>
      <c r="P204" s="432">
        <f t="shared" si="96"/>
        <v>1.6E-2</v>
      </c>
    </row>
    <row r="205" spans="2:32">
      <c r="D205" s="398"/>
      <c r="E205" s="398"/>
      <c r="F205" s="398"/>
      <c r="G205" s="398"/>
      <c r="Y205" s="433" t="s">
        <v>735</v>
      </c>
      <c r="Z205" s="434"/>
      <c r="AA205" s="434"/>
      <c r="AB205" s="434"/>
      <c r="AC205" s="434"/>
    </row>
    <row r="206" spans="2:32" ht="13.5">
      <c r="B206" s="413" t="s">
        <v>736</v>
      </c>
      <c r="D206" s="398"/>
      <c r="E206" s="398"/>
      <c r="F206" s="398"/>
      <c r="G206" s="398"/>
      <c r="S206" s="360" t="s">
        <v>737</v>
      </c>
      <c r="T206" s="423">
        <v>2012</v>
      </c>
      <c r="U206" s="423">
        <v>2013</v>
      </c>
      <c r="V206" s="423">
        <v>2014</v>
      </c>
      <c r="W206" s="423">
        <v>2015</v>
      </c>
      <c r="X206" s="423">
        <v>2016</v>
      </c>
      <c r="Y206" s="435">
        <f>X206+1</f>
        <v>2017</v>
      </c>
      <c r="Z206" s="435">
        <f>Y206+1</f>
        <v>2018</v>
      </c>
      <c r="AA206" s="435">
        <f>Z206+1</f>
        <v>2019</v>
      </c>
      <c r="AB206" s="435">
        <f>AA206+1</f>
        <v>2020</v>
      </c>
      <c r="AC206" s="435">
        <f>AB206+1</f>
        <v>2021</v>
      </c>
      <c r="AD206" s="424" t="s">
        <v>738</v>
      </c>
      <c r="AE206" s="424" t="s">
        <v>739</v>
      </c>
      <c r="AF206" s="436" t="s">
        <v>118</v>
      </c>
    </row>
    <row r="207" spans="2:32">
      <c r="B207" s="360" t="s">
        <v>740</v>
      </c>
      <c r="D207" s="398">
        <v>0</v>
      </c>
      <c r="E207" s="398">
        <f>D210</f>
        <v>95</v>
      </c>
      <c r="F207" s="398">
        <f>E210</f>
        <v>223</v>
      </c>
      <c r="G207" s="398">
        <f>F210</f>
        <v>677</v>
      </c>
      <c r="H207" s="398">
        <f t="shared" ref="H207:P207" si="97">G210</f>
        <v>848.51747662202035</v>
      </c>
      <c r="I207" s="398">
        <f t="shared" si="97"/>
        <v>1246.3184255437002</v>
      </c>
      <c r="J207" s="398">
        <f t="shared" si="97"/>
        <v>2060.2558720817246</v>
      </c>
      <c r="K207" s="398">
        <f t="shared" si="97"/>
        <v>3091.2052446674224</v>
      </c>
      <c r="L207" s="398">
        <f t="shared" si="97"/>
        <v>4590.3193833135056</v>
      </c>
      <c r="M207" s="398">
        <f t="shared" si="97"/>
        <v>6211.5740269810585</v>
      </c>
      <c r="N207" s="398">
        <f t="shared" si="97"/>
        <v>8252.2502513360523</v>
      </c>
      <c r="O207" s="398">
        <f t="shared" si="97"/>
        <v>10655.956148368643</v>
      </c>
      <c r="P207" s="398">
        <f t="shared" si="97"/>
        <v>13297.134106635545</v>
      </c>
      <c r="S207" s="360" t="s">
        <v>184</v>
      </c>
      <c r="T207" s="401">
        <v>322</v>
      </c>
      <c r="U207" s="401">
        <v>228</v>
      </c>
      <c r="V207" s="401">
        <v>109</v>
      </c>
      <c r="W207" s="401">
        <v>17</v>
      </c>
      <c r="X207" s="401">
        <v>11</v>
      </c>
      <c r="Y207" s="437">
        <f>X207</f>
        <v>11</v>
      </c>
      <c r="Z207" s="437">
        <f>Y207/X207*Y207</f>
        <v>11</v>
      </c>
      <c r="AA207" s="437">
        <f>Z207/Y207*Z207</f>
        <v>11</v>
      </c>
      <c r="AB207" s="437">
        <f>AA207/Z207*AA207</f>
        <v>11</v>
      </c>
      <c r="AC207" s="437">
        <f>AB207/AA207*AB207</f>
        <v>11</v>
      </c>
      <c r="AD207" s="398">
        <f>-SUM(Y207:AC207)+AE207</f>
        <v>75</v>
      </c>
      <c r="AE207" s="401">
        <v>130</v>
      </c>
      <c r="AF207" s="398">
        <f>SUM(T207:X207)+AE207</f>
        <v>817</v>
      </c>
    </row>
    <row r="208" spans="2:32">
      <c r="B208" s="360" t="s">
        <v>741</v>
      </c>
      <c r="D208" s="398">
        <v>0</v>
      </c>
      <c r="E208" s="398">
        <f>E210-E207</f>
        <v>128</v>
      </c>
      <c r="F208" s="398">
        <f>F210-F207</f>
        <v>454</v>
      </c>
      <c r="G208" s="405">
        <f t="shared" ref="G208:P208" si="98">G145*G216</f>
        <v>633.63098400000001</v>
      </c>
      <c r="H208" s="405">
        <f t="shared" si="98"/>
        <v>727.35599999999988</v>
      </c>
      <c r="I208" s="405">
        <f t="shared" si="98"/>
        <v>1018.2983999999997</v>
      </c>
      <c r="J208" s="405">
        <f t="shared" si="98"/>
        <v>1140.4942079999998</v>
      </c>
      <c r="K208" s="405">
        <f t="shared" si="98"/>
        <v>1596.6918911999994</v>
      </c>
      <c r="L208" s="405">
        <f t="shared" si="98"/>
        <v>1691.2160511590396</v>
      </c>
      <c r="M208" s="405">
        <f t="shared" si="98"/>
        <v>2110.6376318464809</v>
      </c>
      <c r="N208" s="405">
        <f t="shared" si="98"/>
        <v>2473.6673045240764</v>
      </c>
      <c r="O208" s="405">
        <f t="shared" si="98"/>
        <v>2711.1393657583881</v>
      </c>
      <c r="P208" s="405">
        <f t="shared" si="98"/>
        <v>2592.5270185064587</v>
      </c>
      <c r="S208" s="360" t="s">
        <v>742</v>
      </c>
      <c r="T208" s="438">
        <v>180</v>
      </c>
      <c r="U208" s="438">
        <v>130</v>
      </c>
      <c r="V208" s="438">
        <v>113</v>
      </c>
      <c r="W208" s="438">
        <v>102</v>
      </c>
      <c r="X208" s="438">
        <v>95</v>
      </c>
      <c r="Y208" s="439">
        <f>AE208/5</f>
        <v>65</v>
      </c>
      <c r="Z208" s="439">
        <f>Y208</f>
        <v>65</v>
      </c>
      <c r="AA208" s="439">
        <f>Z208</f>
        <v>65</v>
      </c>
      <c r="AB208" s="439">
        <f>AA208</f>
        <v>65</v>
      </c>
      <c r="AC208" s="439">
        <f>AB208</f>
        <v>65</v>
      </c>
      <c r="AD208" s="440">
        <f>-SUM(Y208:AC208)+AE208</f>
        <v>0</v>
      </c>
      <c r="AE208" s="438">
        <v>325</v>
      </c>
      <c r="AF208" s="440">
        <f>SUM(T208:X208)+AE208</f>
        <v>945</v>
      </c>
    </row>
    <row r="209" spans="2:32">
      <c r="B209" s="360" t="s">
        <v>743</v>
      </c>
      <c r="D209" s="392">
        <v>0</v>
      </c>
      <c r="E209" s="392">
        <v>0</v>
      </c>
      <c r="F209" s="392">
        <f>F107</f>
        <v>0</v>
      </c>
      <c r="G209" s="404">
        <f t="shared" ref="G209:P209" si="99">-T213</f>
        <v>-462.11350737797954</v>
      </c>
      <c r="H209" s="404">
        <f t="shared" si="99"/>
        <v>-329.5550510783201</v>
      </c>
      <c r="I209" s="404">
        <f t="shared" si="99"/>
        <v>-204.36095346197504</v>
      </c>
      <c r="J209" s="404">
        <f t="shared" si="99"/>
        <v>-109.54483541430193</v>
      </c>
      <c r="K209" s="404">
        <f t="shared" si="99"/>
        <v>-97.577752553916</v>
      </c>
      <c r="L209" s="404">
        <f t="shared" si="99"/>
        <v>-69.961407491486952</v>
      </c>
      <c r="M209" s="404">
        <f t="shared" si="99"/>
        <v>-69.961407491486952</v>
      </c>
      <c r="N209" s="404">
        <f t="shared" si="99"/>
        <v>-69.961407491486952</v>
      </c>
      <c r="O209" s="404">
        <f t="shared" si="99"/>
        <v>-69.961407491486952</v>
      </c>
      <c r="P209" s="404">
        <f t="shared" si="99"/>
        <v>-69.961407491486952</v>
      </c>
      <c r="S209" s="360" t="s">
        <v>118</v>
      </c>
      <c r="T209" s="398">
        <f t="shared" ref="T209:AF209" si="100">T207+T208</f>
        <v>502</v>
      </c>
      <c r="U209" s="398">
        <f t="shared" si="100"/>
        <v>358</v>
      </c>
      <c r="V209" s="398">
        <f t="shared" si="100"/>
        <v>222</v>
      </c>
      <c r="W209" s="398">
        <f t="shared" si="100"/>
        <v>119</v>
      </c>
      <c r="X209" s="398">
        <f t="shared" si="100"/>
        <v>106</v>
      </c>
      <c r="Y209" s="400">
        <f t="shared" si="100"/>
        <v>76</v>
      </c>
      <c r="Z209" s="400">
        <f t="shared" si="100"/>
        <v>76</v>
      </c>
      <c r="AA209" s="400">
        <f t="shared" si="100"/>
        <v>76</v>
      </c>
      <c r="AB209" s="400">
        <f t="shared" si="100"/>
        <v>76</v>
      </c>
      <c r="AC209" s="400">
        <f t="shared" si="100"/>
        <v>76</v>
      </c>
      <c r="AD209" s="398">
        <f t="shared" si="100"/>
        <v>75</v>
      </c>
      <c r="AE209" s="398">
        <f t="shared" si="100"/>
        <v>455</v>
      </c>
      <c r="AF209" s="398">
        <f t="shared" si="100"/>
        <v>1762</v>
      </c>
    </row>
    <row r="210" spans="2:32">
      <c r="B210" s="402" t="s">
        <v>744</v>
      </c>
      <c r="C210" s="402"/>
      <c r="D210" s="403">
        <v>95</v>
      </c>
      <c r="E210" s="403">
        <f>E57+E60</f>
        <v>223</v>
      </c>
      <c r="F210" s="403">
        <f>F57+F60</f>
        <v>677</v>
      </c>
      <c r="G210" s="403">
        <f>G207+G208+G209</f>
        <v>848.51747662202035</v>
      </c>
      <c r="H210" s="403">
        <f t="shared" ref="H210:P210" si="101">H207+H208+H209</f>
        <v>1246.3184255437002</v>
      </c>
      <c r="I210" s="403">
        <f t="shared" si="101"/>
        <v>2060.2558720817246</v>
      </c>
      <c r="J210" s="403">
        <f t="shared" si="101"/>
        <v>3091.2052446674224</v>
      </c>
      <c r="K210" s="403">
        <f t="shared" si="101"/>
        <v>4590.3193833135056</v>
      </c>
      <c r="L210" s="403">
        <f t="shared" si="101"/>
        <v>6211.5740269810585</v>
      </c>
      <c r="M210" s="403">
        <f t="shared" si="101"/>
        <v>8252.2502513360523</v>
      </c>
      <c r="N210" s="403">
        <f t="shared" si="101"/>
        <v>10655.956148368643</v>
      </c>
      <c r="O210" s="403">
        <f t="shared" si="101"/>
        <v>13297.134106635545</v>
      </c>
      <c r="P210" s="403">
        <f t="shared" si="101"/>
        <v>15819.699717650517</v>
      </c>
    </row>
    <row r="211" spans="2:32">
      <c r="B211" s="360" t="s">
        <v>745</v>
      </c>
      <c r="C211" s="402"/>
      <c r="D211" s="403"/>
      <c r="E211" s="398">
        <f t="shared" ref="E211:P211" si="102">E57</f>
        <v>106</v>
      </c>
      <c r="F211" s="398">
        <f t="shared" si="102"/>
        <v>279</v>
      </c>
      <c r="G211" s="398">
        <f t="shared" si="102"/>
        <v>279</v>
      </c>
      <c r="H211" s="398">
        <f t="shared" si="102"/>
        <v>279</v>
      </c>
      <c r="I211" s="398">
        <f t="shared" si="102"/>
        <v>279</v>
      </c>
      <c r="J211" s="398">
        <f t="shared" si="102"/>
        <v>279</v>
      </c>
      <c r="K211" s="398">
        <f t="shared" si="102"/>
        <v>279</v>
      </c>
      <c r="L211" s="398">
        <f t="shared" si="102"/>
        <v>279</v>
      </c>
      <c r="M211" s="398">
        <f t="shared" si="102"/>
        <v>279</v>
      </c>
      <c r="N211" s="398">
        <f t="shared" si="102"/>
        <v>279</v>
      </c>
      <c r="O211" s="398">
        <f t="shared" si="102"/>
        <v>279</v>
      </c>
      <c r="P211" s="398">
        <f t="shared" si="102"/>
        <v>279</v>
      </c>
      <c r="S211" s="360" t="s">
        <v>746</v>
      </c>
      <c r="T211" s="441">
        <f t="shared" ref="T211:AE211" si="103">T209/$AF209*$AF211</f>
        <v>39.886492622020434</v>
      </c>
      <c r="U211" s="441">
        <f t="shared" si="103"/>
        <v>28.444948921679909</v>
      </c>
      <c r="V211" s="441">
        <f t="shared" si="103"/>
        <v>17.639046538024971</v>
      </c>
      <c r="W211" s="441">
        <f t="shared" si="103"/>
        <v>9.4551645856980695</v>
      </c>
      <c r="X211" s="441">
        <f t="shared" si="103"/>
        <v>8.4222474460839951</v>
      </c>
      <c r="Y211" s="441">
        <f t="shared" si="103"/>
        <v>6.0385925085130534</v>
      </c>
      <c r="Z211" s="441">
        <f t="shared" si="103"/>
        <v>6.0385925085130534</v>
      </c>
      <c r="AA211" s="441">
        <f t="shared" si="103"/>
        <v>6.0385925085130534</v>
      </c>
      <c r="AB211" s="441">
        <f t="shared" si="103"/>
        <v>6.0385925085130534</v>
      </c>
      <c r="AC211" s="441">
        <f t="shared" si="103"/>
        <v>6.0385925085130534</v>
      </c>
      <c r="AD211" s="441">
        <f t="shared" si="103"/>
        <v>5.9591373439273552</v>
      </c>
      <c r="AE211" s="441">
        <f t="shared" si="103"/>
        <v>36.152099886492621</v>
      </c>
      <c r="AF211" s="401">
        <v>140</v>
      </c>
    </row>
    <row r="212" spans="2:32">
      <c r="B212" s="360" t="s">
        <v>747</v>
      </c>
      <c r="C212" s="402"/>
      <c r="D212" s="403"/>
      <c r="E212" s="398">
        <f t="shared" ref="E212:P212" si="104">E60</f>
        <v>117</v>
      </c>
      <c r="F212" s="398">
        <f t="shared" si="104"/>
        <v>398</v>
      </c>
      <c r="G212" s="398">
        <f t="shared" si="104"/>
        <v>569.51747662202047</v>
      </c>
      <c r="H212" s="398">
        <f t="shared" si="104"/>
        <v>967.31842554370019</v>
      </c>
      <c r="I212" s="398">
        <f t="shared" si="104"/>
        <v>1781.2558720817249</v>
      </c>
      <c r="J212" s="398">
        <f t="shared" si="104"/>
        <v>2812.2052446674224</v>
      </c>
      <c r="K212" s="398">
        <f t="shared" si="104"/>
        <v>4311.3193833135056</v>
      </c>
      <c r="L212" s="398">
        <f t="shared" si="104"/>
        <v>5932.5740269810585</v>
      </c>
      <c r="M212" s="398">
        <f t="shared" si="104"/>
        <v>7973.2502513360523</v>
      </c>
      <c r="N212" s="398">
        <f t="shared" si="104"/>
        <v>10376.956148368641</v>
      </c>
      <c r="O212" s="398">
        <f t="shared" si="104"/>
        <v>13018.134106635542</v>
      </c>
      <c r="P212" s="398">
        <f t="shared" si="104"/>
        <v>15540.699717650514</v>
      </c>
      <c r="T212" s="441"/>
      <c r="U212" s="441"/>
      <c r="V212" s="441"/>
      <c r="W212" s="441"/>
      <c r="X212" s="441"/>
      <c r="Y212" s="441"/>
      <c r="Z212" s="441"/>
      <c r="AA212" s="441"/>
      <c r="AB212" s="441"/>
      <c r="AC212" s="441"/>
      <c r="AD212" s="441"/>
      <c r="AE212" s="441"/>
      <c r="AF212" s="442"/>
    </row>
    <row r="213" spans="2:32">
      <c r="B213" s="414" t="s">
        <v>658</v>
      </c>
      <c r="C213" s="402"/>
      <c r="D213" s="403"/>
      <c r="E213" s="410">
        <f t="shared" ref="E213:P213" si="105">E212+E211-E210</f>
        <v>0</v>
      </c>
      <c r="F213" s="410">
        <f t="shared" si="105"/>
        <v>0</v>
      </c>
      <c r="G213" s="410">
        <f t="shared" si="105"/>
        <v>0</v>
      </c>
      <c r="H213" s="410">
        <f t="shared" si="105"/>
        <v>0</v>
      </c>
      <c r="I213" s="410">
        <f t="shared" si="105"/>
        <v>0</v>
      </c>
      <c r="J213" s="410">
        <f t="shared" si="105"/>
        <v>0</v>
      </c>
      <c r="K213" s="410">
        <f t="shared" si="105"/>
        <v>0</v>
      </c>
      <c r="L213" s="410">
        <f t="shared" si="105"/>
        <v>0</v>
      </c>
      <c r="M213" s="410">
        <f t="shared" si="105"/>
        <v>0</v>
      </c>
      <c r="N213" s="410">
        <f t="shared" si="105"/>
        <v>0</v>
      </c>
      <c r="O213" s="410">
        <f t="shared" si="105"/>
        <v>0</v>
      </c>
      <c r="P213" s="410">
        <f t="shared" si="105"/>
        <v>0</v>
      </c>
      <c r="S213" s="360" t="s">
        <v>748</v>
      </c>
      <c r="T213" s="398">
        <f>T209-T211</f>
        <v>462.11350737797954</v>
      </c>
      <c r="U213" s="398">
        <f t="shared" ref="U213:AF213" si="106">U209-U211</f>
        <v>329.5550510783201</v>
      </c>
      <c r="V213" s="398">
        <f t="shared" si="106"/>
        <v>204.36095346197504</v>
      </c>
      <c r="W213" s="398">
        <f t="shared" si="106"/>
        <v>109.54483541430193</v>
      </c>
      <c r="X213" s="398">
        <f t="shared" si="106"/>
        <v>97.577752553916</v>
      </c>
      <c r="Y213" s="398">
        <f t="shared" si="106"/>
        <v>69.961407491486952</v>
      </c>
      <c r="Z213" s="398">
        <f t="shared" si="106"/>
        <v>69.961407491486952</v>
      </c>
      <c r="AA213" s="398">
        <f t="shared" si="106"/>
        <v>69.961407491486952</v>
      </c>
      <c r="AB213" s="398">
        <f t="shared" si="106"/>
        <v>69.961407491486952</v>
      </c>
      <c r="AC213" s="398">
        <f t="shared" si="106"/>
        <v>69.961407491486952</v>
      </c>
      <c r="AD213" s="398">
        <f t="shared" si="106"/>
        <v>69.040862656072647</v>
      </c>
      <c r="AE213" s="398">
        <f t="shared" si="106"/>
        <v>418.84790011350736</v>
      </c>
      <c r="AF213" s="398">
        <f t="shared" si="106"/>
        <v>1622</v>
      </c>
    </row>
    <row r="214" spans="2:32">
      <c r="D214" s="398"/>
      <c r="E214" s="398"/>
      <c r="F214" s="398"/>
      <c r="G214" s="398"/>
    </row>
    <row r="215" spans="2:32">
      <c r="B215" s="360" t="s">
        <v>749</v>
      </c>
      <c r="E215" s="443">
        <f t="shared" ref="E215:P215" si="107">(E57+E60)/E138</f>
        <v>0.27195121951219514</v>
      </c>
      <c r="F215" s="443">
        <f t="shared" si="107"/>
        <v>0.35168831168831166</v>
      </c>
      <c r="G215" s="443">
        <f t="shared" si="107"/>
        <v>0.24180642527680779</v>
      </c>
      <c r="H215" s="443">
        <f t="shared" si="107"/>
        <v>0.2339420061973875</v>
      </c>
      <c r="I215" s="443">
        <f t="shared" si="107"/>
        <v>0.26167915839560196</v>
      </c>
      <c r="J215" s="443">
        <f t="shared" si="107"/>
        <v>0.28823907414098426</v>
      </c>
      <c r="K215" s="443">
        <f t="shared" si="107"/>
        <v>0.31192332428105946</v>
      </c>
      <c r="L215" s="443">
        <f t="shared" si="107"/>
        <v>0.32788757777706218</v>
      </c>
      <c r="M215" s="443">
        <f t="shared" si="107"/>
        <v>0.3407090538257847</v>
      </c>
      <c r="N215" s="443">
        <f t="shared" si="107"/>
        <v>0.35046744763292531</v>
      </c>
      <c r="O215" s="443">
        <f t="shared" si="107"/>
        <v>0.35761490593430828</v>
      </c>
      <c r="P215" s="443">
        <f t="shared" si="107"/>
        <v>0.3623041042766445</v>
      </c>
    </row>
    <row r="216" spans="2:32">
      <c r="B216" s="360" t="s">
        <v>750</v>
      </c>
      <c r="E216" s="443"/>
      <c r="F216" s="443"/>
      <c r="G216" s="444">
        <v>0.4</v>
      </c>
      <c r="H216" s="444">
        <f>G216</f>
        <v>0.4</v>
      </c>
      <c r="I216" s="444">
        <f t="shared" ref="I216:P216" si="108">H216</f>
        <v>0.4</v>
      </c>
      <c r="J216" s="444">
        <f t="shared" si="108"/>
        <v>0.4</v>
      </c>
      <c r="K216" s="444">
        <f t="shared" si="108"/>
        <v>0.4</v>
      </c>
      <c r="L216" s="444">
        <f t="shared" si="108"/>
        <v>0.4</v>
      </c>
      <c r="M216" s="444">
        <f t="shared" si="108"/>
        <v>0.4</v>
      </c>
      <c r="N216" s="444">
        <f t="shared" si="108"/>
        <v>0.4</v>
      </c>
      <c r="O216" s="444">
        <f t="shared" si="108"/>
        <v>0.4</v>
      </c>
      <c r="P216" s="444">
        <f t="shared" si="108"/>
        <v>0.4</v>
      </c>
    </row>
    <row r="217" spans="2:32">
      <c r="D217" s="398"/>
      <c r="E217" s="398"/>
      <c r="F217" s="398"/>
      <c r="G217" s="398"/>
    </row>
    <row r="218" spans="2:32">
      <c r="B218" s="402" t="s">
        <v>751</v>
      </c>
      <c r="D218" s="398">
        <f>D221-D203</f>
        <v>10</v>
      </c>
      <c r="E218" s="398">
        <f>E221-E203</f>
        <v>12.8125</v>
      </c>
      <c r="F218" s="398">
        <f>F221-F203</f>
        <v>39.875</v>
      </c>
      <c r="G218" s="398">
        <f>G219*((F210+G210)/2)</f>
        <v>61.020699064880809</v>
      </c>
      <c r="H218" s="398">
        <f t="shared" ref="H218:P218" si="109">H219*((G210+H210)/2)</f>
        <v>83.79343608662883</v>
      </c>
      <c r="I218" s="398">
        <f t="shared" si="109"/>
        <v>132.262971905017</v>
      </c>
      <c r="J218" s="398">
        <f t="shared" si="109"/>
        <v>206.05844466996589</v>
      </c>
      <c r="K218" s="398">
        <f t="shared" si="109"/>
        <v>307.26098511923715</v>
      </c>
      <c r="L218" s="398">
        <f t="shared" si="109"/>
        <v>432.0757364117826</v>
      </c>
      <c r="M218" s="398">
        <f t="shared" si="109"/>
        <v>578.55297113268443</v>
      </c>
      <c r="N218" s="398">
        <f t="shared" si="109"/>
        <v>756.32825598818772</v>
      </c>
      <c r="O218" s="398">
        <f t="shared" si="109"/>
        <v>958.12361020016749</v>
      </c>
      <c r="P218" s="398">
        <f t="shared" si="109"/>
        <v>1164.6733529714425</v>
      </c>
    </row>
    <row r="219" spans="2:32">
      <c r="B219" s="360" t="s">
        <v>734</v>
      </c>
      <c r="D219" s="445">
        <f>D218/((56+D210)/2)</f>
        <v>0.13245033112582782</v>
      </c>
      <c r="E219" s="445">
        <f>E218/((D210+E210)/2)</f>
        <v>8.0581761006289304E-2</v>
      </c>
      <c r="F219" s="445">
        <f>F218/((E210+F210)/2)</f>
        <v>8.8611111111111113E-2</v>
      </c>
      <c r="G219" s="432">
        <v>0.08</v>
      </c>
      <c r="H219" s="432">
        <f>G219</f>
        <v>0.08</v>
      </c>
      <c r="I219" s="432">
        <f t="shared" ref="I219:P219" si="110">H219</f>
        <v>0.08</v>
      </c>
      <c r="J219" s="432">
        <f t="shared" si="110"/>
        <v>0.08</v>
      </c>
      <c r="K219" s="432">
        <f t="shared" si="110"/>
        <v>0.08</v>
      </c>
      <c r="L219" s="432">
        <f t="shared" si="110"/>
        <v>0.08</v>
      </c>
      <c r="M219" s="432">
        <f t="shared" si="110"/>
        <v>0.08</v>
      </c>
      <c r="N219" s="432">
        <f t="shared" si="110"/>
        <v>0.08</v>
      </c>
      <c r="O219" s="432">
        <f t="shared" si="110"/>
        <v>0.08</v>
      </c>
      <c r="P219" s="432">
        <f t="shared" si="110"/>
        <v>0.08</v>
      </c>
    </row>
    <row r="220" spans="2:32">
      <c r="D220" s="398"/>
      <c r="E220" s="398"/>
      <c r="F220" s="398"/>
      <c r="G220" s="398"/>
    </row>
    <row r="221" spans="2:32">
      <c r="B221" s="402" t="s">
        <v>752</v>
      </c>
      <c r="D221" s="403">
        <f>-D12</f>
        <v>10</v>
      </c>
      <c r="E221" s="403">
        <f>-E12</f>
        <v>22</v>
      </c>
      <c r="F221" s="403">
        <f>-F12</f>
        <v>42</v>
      </c>
      <c r="G221" s="403">
        <f>G203+G218</f>
        <v>61.020699064880809</v>
      </c>
      <c r="H221" s="403">
        <f t="shared" ref="H221:P221" si="111">H203+H218</f>
        <v>83.79343608662883</v>
      </c>
      <c r="I221" s="403">
        <f t="shared" si="111"/>
        <v>132.262971905017</v>
      </c>
      <c r="J221" s="403">
        <f t="shared" si="111"/>
        <v>206.05844466996589</v>
      </c>
      <c r="K221" s="403">
        <f t="shared" si="111"/>
        <v>307.26098511923715</v>
      </c>
      <c r="L221" s="403">
        <f t="shared" si="111"/>
        <v>432.0757364117826</v>
      </c>
      <c r="M221" s="403">
        <f t="shared" si="111"/>
        <v>578.55297113268443</v>
      </c>
      <c r="N221" s="403">
        <f t="shared" si="111"/>
        <v>756.32825598818772</v>
      </c>
      <c r="O221" s="403">
        <f t="shared" si="111"/>
        <v>958.12361020016749</v>
      </c>
      <c r="P221" s="403">
        <f t="shared" si="111"/>
        <v>1164.6733529714425</v>
      </c>
    </row>
    <row r="222" spans="2:32">
      <c r="B222" s="360" t="s">
        <v>734</v>
      </c>
      <c r="D222" s="446">
        <f>D221/((56+D201+D210)/2)</f>
        <v>0.13245033112582782</v>
      </c>
      <c r="E222" s="446">
        <f>E221/((D201+D210+E201+E210)/2)</f>
        <v>7.746478873239436E-2</v>
      </c>
      <c r="F222" s="446">
        <f>F221/((E201+E210+F201+F210)/2)</f>
        <v>7.3043478260869571E-2</v>
      </c>
      <c r="G222" s="446">
        <f>G221/((F201+F210+G201+G210)/2)</f>
        <v>0.08</v>
      </c>
      <c r="H222" s="446">
        <f>H221/((G201+G210+H201+H210)/2)</f>
        <v>0.08</v>
      </c>
      <c r="I222" s="446">
        <f t="shared" ref="I222:P222" si="112">I221/((H201+H210+I201+I210)/2)</f>
        <v>0.08</v>
      </c>
      <c r="J222" s="446">
        <f t="shared" si="112"/>
        <v>0.08</v>
      </c>
      <c r="K222" s="446">
        <f t="shared" si="112"/>
        <v>0.08</v>
      </c>
      <c r="L222" s="446">
        <f t="shared" si="112"/>
        <v>0.08</v>
      </c>
      <c r="M222" s="446">
        <f t="shared" si="112"/>
        <v>0.08</v>
      </c>
      <c r="N222" s="446">
        <f t="shared" si="112"/>
        <v>0.08</v>
      </c>
      <c r="O222" s="446">
        <f t="shared" si="112"/>
        <v>0.08</v>
      </c>
      <c r="P222" s="446">
        <f t="shared" si="112"/>
        <v>0.08</v>
      </c>
    </row>
    <row r="223" spans="2:32">
      <c r="D223" s="398"/>
      <c r="E223" s="398"/>
      <c r="F223" s="398"/>
      <c r="G223" s="398"/>
    </row>
    <row r="224" spans="2:32" ht="13.5">
      <c r="B224" s="413" t="s">
        <v>753</v>
      </c>
      <c r="D224" s="398"/>
      <c r="E224" s="398"/>
      <c r="F224" s="398"/>
      <c r="G224" s="398"/>
    </row>
    <row r="225" spans="2:16">
      <c r="B225" s="360" t="s">
        <v>754</v>
      </c>
      <c r="D225" s="398">
        <f>-D13</f>
        <v>-2</v>
      </c>
      <c r="E225" s="398">
        <f t="shared" ref="E225:F225" si="113">-E13</f>
        <v>2</v>
      </c>
      <c r="F225" s="398">
        <f t="shared" si="113"/>
        <v>19</v>
      </c>
      <c r="G225" s="398">
        <f>G$6*G226</f>
        <v>26.599999999999998</v>
      </c>
      <c r="H225" s="398">
        <f t="shared" ref="H225:P225" si="114">H$6*H226</f>
        <v>37.239999999999995</v>
      </c>
      <c r="I225" s="398">
        <f t="shared" si="114"/>
        <v>52.135999999999981</v>
      </c>
      <c r="J225" s="398">
        <f t="shared" si="114"/>
        <v>72.99039999999998</v>
      </c>
      <c r="K225" s="398">
        <f t="shared" si="114"/>
        <v>102.18655999999996</v>
      </c>
      <c r="L225" s="398">
        <f t="shared" si="114"/>
        <v>135.29500543999995</v>
      </c>
      <c r="M225" s="398">
        <f t="shared" si="114"/>
        <v>168.84816678911992</v>
      </c>
      <c r="N225" s="398">
        <f t="shared" si="114"/>
        <v>197.89005147684858</v>
      </c>
      <c r="O225" s="398">
        <f t="shared" si="114"/>
        <v>216.88749641862609</v>
      </c>
      <c r="P225" s="398">
        <f t="shared" si="114"/>
        <v>221.2252463469986</v>
      </c>
    </row>
    <row r="226" spans="2:16">
      <c r="B226" s="360" t="s">
        <v>699</v>
      </c>
      <c r="D226" s="447">
        <f>D225/D6</f>
        <v>-2.5740025740025739E-3</v>
      </c>
      <c r="E226" s="447">
        <f t="shared" ref="E226:F226" si="115">E225/E6</f>
        <v>1.0131712259371835E-3</v>
      </c>
      <c r="F226" s="447">
        <f t="shared" si="115"/>
        <v>5.1199137698733493E-3</v>
      </c>
      <c r="G226" s="448">
        <f>F226</f>
        <v>5.1199137698733493E-3</v>
      </c>
      <c r="H226" s="448">
        <f t="shared" ref="H226:P226" si="116">G226</f>
        <v>5.1199137698733493E-3</v>
      </c>
      <c r="I226" s="448">
        <f t="shared" si="116"/>
        <v>5.1199137698733493E-3</v>
      </c>
      <c r="J226" s="448">
        <f t="shared" si="116"/>
        <v>5.1199137698733493E-3</v>
      </c>
      <c r="K226" s="448">
        <f t="shared" si="116"/>
        <v>5.1199137698733493E-3</v>
      </c>
      <c r="L226" s="448">
        <f t="shared" si="116"/>
        <v>5.1199137698733493E-3</v>
      </c>
      <c r="M226" s="448">
        <f t="shared" si="116"/>
        <v>5.1199137698733493E-3</v>
      </c>
      <c r="N226" s="448">
        <f t="shared" si="116"/>
        <v>5.1199137698733493E-3</v>
      </c>
      <c r="O226" s="448">
        <f t="shared" si="116"/>
        <v>5.1199137698733493E-3</v>
      </c>
      <c r="P226" s="448">
        <f t="shared" si="116"/>
        <v>5.1199137698733493E-3</v>
      </c>
    </row>
    <row r="227" spans="2:16">
      <c r="D227" s="398"/>
      <c r="E227" s="398"/>
      <c r="F227" s="398"/>
      <c r="G227" s="398"/>
    </row>
    <row r="228" spans="2:16" ht="13.5">
      <c r="B228" s="413" t="s">
        <v>755</v>
      </c>
      <c r="D228" s="398"/>
      <c r="E228" s="398"/>
      <c r="F228" s="398"/>
      <c r="G228" s="398"/>
    </row>
    <row r="229" spans="2:16">
      <c r="B229" s="360" t="s">
        <v>756</v>
      </c>
      <c r="D229" s="398">
        <v>0</v>
      </c>
      <c r="E229" s="398">
        <f>D232</f>
        <v>0</v>
      </c>
      <c r="F229" s="398">
        <f>E232</f>
        <v>0</v>
      </c>
      <c r="G229" s="398">
        <f>F232</f>
        <v>2396</v>
      </c>
      <c r="H229" s="398">
        <f t="shared" ref="H229:P229" si="117">G232</f>
        <v>8685.9160964100847</v>
      </c>
      <c r="I229" s="398">
        <f t="shared" si="117"/>
        <v>9233.224726530847</v>
      </c>
      <c r="J229" s="398">
        <f t="shared" si="117"/>
        <v>10205.77454592564</v>
      </c>
      <c r="K229" s="398">
        <f t="shared" si="117"/>
        <v>12026.593862719048</v>
      </c>
      <c r="L229" s="398">
        <f t="shared" si="117"/>
        <v>14201.057515327346</v>
      </c>
      <c r="M229" s="398">
        <f t="shared" si="117"/>
        <v>18212.605935319796</v>
      </c>
      <c r="N229" s="398">
        <f t="shared" si="117"/>
        <v>23722.467168076437</v>
      </c>
      <c r="O229" s="398">
        <f t="shared" si="117"/>
        <v>31066.772137033018</v>
      </c>
      <c r="P229" s="398">
        <f t="shared" si="117"/>
        <v>41369.625640730126</v>
      </c>
    </row>
    <row r="230" spans="2:16">
      <c r="B230" s="360" t="s">
        <v>757</v>
      </c>
      <c r="D230" s="398">
        <v>0</v>
      </c>
      <c r="E230" s="398">
        <f>-E91</f>
        <v>0</v>
      </c>
      <c r="F230" s="398">
        <f>-F91</f>
        <v>2396</v>
      </c>
      <c r="G230" s="449">
        <f>-G238</f>
        <v>6289.9160964100856</v>
      </c>
      <c r="H230" s="449">
        <f t="shared" ref="H230:P230" si="118">-H238</f>
        <v>547.30863012076156</v>
      </c>
      <c r="I230" s="449">
        <f t="shared" si="118"/>
        <v>972.54981939479273</v>
      </c>
      <c r="J230" s="449">
        <f t="shared" si="118"/>
        <v>1820.819316793408</v>
      </c>
      <c r="K230" s="449">
        <f t="shared" si="118"/>
        <v>2174.4636526082968</v>
      </c>
      <c r="L230" s="449">
        <f t="shared" si="118"/>
        <v>4011.5484199924513</v>
      </c>
      <c r="M230" s="449">
        <f t="shared" si="118"/>
        <v>5509.8612327566389</v>
      </c>
      <c r="N230" s="449">
        <f t="shared" si="118"/>
        <v>7344.3049689565814</v>
      </c>
      <c r="O230" s="449">
        <f t="shared" si="118"/>
        <v>10302.853503697106</v>
      </c>
      <c r="P230" s="449">
        <f t="shared" si="118"/>
        <v>12946.552313235596</v>
      </c>
    </row>
    <row r="231" spans="2:16">
      <c r="B231" s="360" t="s">
        <v>758</v>
      </c>
      <c r="D231" s="392">
        <v>0</v>
      </c>
      <c r="E231" s="392">
        <v>0</v>
      </c>
      <c r="F231" s="392">
        <v>0</v>
      </c>
      <c r="G231" s="404">
        <v>0</v>
      </c>
      <c r="H231" s="404">
        <v>0</v>
      </c>
      <c r="I231" s="404">
        <v>0</v>
      </c>
      <c r="J231" s="404">
        <v>0</v>
      </c>
      <c r="K231" s="404">
        <v>0</v>
      </c>
      <c r="L231" s="404">
        <v>0</v>
      </c>
      <c r="M231" s="404">
        <v>0</v>
      </c>
      <c r="N231" s="404">
        <v>0</v>
      </c>
      <c r="O231" s="404">
        <v>0</v>
      </c>
      <c r="P231" s="404">
        <v>0</v>
      </c>
    </row>
    <row r="232" spans="2:16">
      <c r="B232" s="402" t="s">
        <v>759</v>
      </c>
      <c r="C232" s="402"/>
      <c r="D232" s="403">
        <f>D229+D230+D231</f>
        <v>0</v>
      </c>
      <c r="E232" s="403">
        <f>E229+E230+E231</f>
        <v>0</v>
      </c>
      <c r="F232" s="403">
        <f>F229+F230+F231</f>
        <v>2396</v>
      </c>
      <c r="G232" s="403">
        <f t="shared" ref="G232:P232" si="119">G229+G230+G231</f>
        <v>8685.9160964100847</v>
      </c>
      <c r="H232" s="403">
        <f t="shared" si="119"/>
        <v>9233.224726530847</v>
      </c>
      <c r="I232" s="403">
        <f t="shared" si="119"/>
        <v>10205.77454592564</v>
      </c>
      <c r="J232" s="403">
        <f t="shared" si="119"/>
        <v>12026.593862719048</v>
      </c>
      <c r="K232" s="403">
        <f t="shared" si="119"/>
        <v>14201.057515327346</v>
      </c>
      <c r="L232" s="403">
        <f t="shared" si="119"/>
        <v>18212.605935319796</v>
      </c>
      <c r="M232" s="403">
        <f t="shared" si="119"/>
        <v>23722.467168076437</v>
      </c>
      <c r="N232" s="403">
        <f t="shared" si="119"/>
        <v>31066.772137033018</v>
      </c>
      <c r="O232" s="403">
        <f t="shared" si="119"/>
        <v>41369.625640730126</v>
      </c>
      <c r="P232" s="403">
        <f t="shared" si="119"/>
        <v>54316.177953965722</v>
      </c>
    </row>
    <row r="233" spans="2:16">
      <c r="D233" s="398"/>
      <c r="E233" s="398"/>
      <c r="F233" s="398"/>
      <c r="G233" s="398"/>
    </row>
    <row r="234" spans="2:16">
      <c r="B234" s="360" t="s">
        <v>760</v>
      </c>
      <c r="D234" s="398">
        <f>D104</f>
        <v>633</v>
      </c>
      <c r="E234" s="398">
        <f>E104</f>
        <v>1785</v>
      </c>
      <c r="F234" s="398">
        <f>F104</f>
        <v>1512</v>
      </c>
      <c r="G234" s="398">
        <f t="shared" ref="G234:P234" si="120">G104</f>
        <v>2461.1636919545481</v>
      </c>
      <c r="H234" s="398">
        <f t="shared" si="120"/>
        <v>3394.0254575454537</v>
      </c>
      <c r="I234" s="398">
        <f t="shared" si="120"/>
        <v>4796.2424255454525</v>
      </c>
      <c r="J234" s="398">
        <f t="shared" si="120"/>
        <v>6921.6644887090888</v>
      </c>
      <c r="K234" s="398">
        <f t="shared" si="120"/>
        <v>10081.571935829088</v>
      </c>
      <c r="L234" s="398">
        <f t="shared" si="120"/>
        <v>13753.356003086283</v>
      </c>
      <c r="M234" s="398">
        <f t="shared" si="120"/>
        <v>17785.721957339181</v>
      </c>
      <c r="N234" s="398">
        <f t="shared" si="120"/>
        <v>21509.159062902629</v>
      </c>
      <c r="O234" s="398">
        <f t="shared" si="120"/>
        <v>23640.788635387584</v>
      </c>
      <c r="P234" s="398">
        <f t="shared" si="120"/>
        <v>23883.661805669188</v>
      </c>
    </row>
    <row r="235" spans="2:16">
      <c r="B235" s="360" t="s">
        <v>761</v>
      </c>
      <c r="D235" s="398">
        <f t="shared" ref="D235:P235" si="121">-(D8+D83+D84)/12</f>
        <v>34.166666666666664</v>
      </c>
      <c r="E235" s="398">
        <f t="shared" si="121"/>
        <v>65.25</v>
      </c>
      <c r="F235" s="398">
        <f t="shared" si="121"/>
        <v>117.91666666666667</v>
      </c>
      <c r="G235" s="398">
        <f t="shared" si="121"/>
        <v>164.07757946363634</v>
      </c>
      <c r="H235" s="398">
        <f t="shared" si="121"/>
        <v>226.26836383636359</v>
      </c>
      <c r="I235" s="398">
        <f t="shared" si="121"/>
        <v>319.7494950363635</v>
      </c>
      <c r="J235" s="398">
        <f t="shared" si="121"/>
        <v>461.44429924727268</v>
      </c>
      <c r="K235" s="398">
        <f t="shared" si="121"/>
        <v>672.10479572193901</v>
      </c>
      <c r="L235" s="398">
        <f t="shared" si="121"/>
        <v>916.89040020575203</v>
      </c>
      <c r="M235" s="398">
        <f t="shared" si="121"/>
        <v>1185.7147971559455</v>
      </c>
      <c r="N235" s="398">
        <f t="shared" si="121"/>
        <v>1433.9439375268421</v>
      </c>
      <c r="O235" s="398">
        <f t="shared" si="121"/>
        <v>1576.0525756925053</v>
      </c>
      <c r="P235" s="398">
        <f t="shared" si="121"/>
        <v>1592.2441203779465</v>
      </c>
    </row>
    <row r="236" spans="2:16">
      <c r="B236" s="360" t="s">
        <v>762</v>
      </c>
      <c r="D236" s="416">
        <f>D234/D235</f>
        <v>18.526829268292683</v>
      </c>
      <c r="E236" s="416">
        <f>E234/E235</f>
        <v>27.356321839080461</v>
      </c>
      <c r="F236" s="416">
        <f>F234/F235</f>
        <v>12.822614840989399</v>
      </c>
      <c r="G236" s="416">
        <f>G234/G235</f>
        <v>15.000000000000018</v>
      </c>
      <c r="H236" s="416">
        <f t="shared" ref="H236:P236" si="122">H234/H235</f>
        <v>15</v>
      </c>
      <c r="I236" s="416">
        <f t="shared" si="122"/>
        <v>15</v>
      </c>
      <c r="J236" s="416">
        <f t="shared" si="122"/>
        <v>14.999999999999996</v>
      </c>
      <c r="K236" s="416">
        <f t="shared" si="122"/>
        <v>15.000000000000004</v>
      </c>
      <c r="L236" s="416">
        <f t="shared" si="122"/>
        <v>15.000000000000002</v>
      </c>
      <c r="M236" s="416">
        <f t="shared" si="122"/>
        <v>15</v>
      </c>
      <c r="N236" s="416">
        <f t="shared" si="122"/>
        <v>14.999999999999998</v>
      </c>
      <c r="O236" s="416">
        <f t="shared" si="122"/>
        <v>15.000000000000002</v>
      </c>
      <c r="P236" s="416">
        <f t="shared" si="122"/>
        <v>14.999999999999995</v>
      </c>
    </row>
    <row r="237" spans="2:16">
      <c r="B237" s="450" t="s">
        <v>763</v>
      </c>
      <c r="C237" s="450"/>
      <c r="D237" s="451"/>
      <c r="E237" s="405"/>
      <c r="F237" s="405"/>
      <c r="G237" s="452">
        <v>15</v>
      </c>
      <c r="H237" s="452">
        <f>G237</f>
        <v>15</v>
      </c>
      <c r="I237" s="452">
        <f t="shared" ref="I237:P237" si="123">H237</f>
        <v>15</v>
      </c>
      <c r="J237" s="452">
        <f t="shared" si="123"/>
        <v>15</v>
      </c>
      <c r="K237" s="452">
        <f t="shared" si="123"/>
        <v>15</v>
      </c>
      <c r="L237" s="452">
        <f t="shared" si="123"/>
        <v>15</v>
      </c>
      <c r="M237" s="452">
        <f t="shared" si="123"/>
        <v>15</v>
      </c>
      <c r="N237" s="452">
        <f t="shared" si="123"/>
        <v>15</v>
      </c>
      <c r="O237" s="452">
        <f t="shared" si="123"/>
        <v>15</v>
      </c>
      <c r="P237" s="452">
        <f t="shared" si="123"/>
        <v>15</v>
      </c>
    </row>
    <row r="238" spans="2:16">
      <c r="B238" s="450" t="s">
        <v>764</v>
      </c>
      <c r="C238" s="450"/>
      <c r="D238" s="451"/>
      <c r="E238" s="405"/>
      <c r="F238" s="405"/>
      <c r="G238" s="449">
        <v>-6289.9160964100856</v>
      </c>
      <c r="H238" s="449">
        <v>-547.30863012076156</v>
      </c>
      <c r="I238" s="449">
        <v>-972.54981939479273</v>
      </c>
      <c r="J238" s="449">
        <v>-1820.819316793408</v>
      </c>
      <c r="K238" s="449">
        <v>-2174.4636526082968</v>
      </c>
      <c r="L238" s="449">
        <v>-4011.5484199924513</v>
      </c>
      <c r="M238" s="449">
        <v>-5509.8612327566389</v>
      </c>
      <c r="N238" s="449">
        <v>-7344.3049689565814</v>
      </c>
      <c r="O238" s="449">
        <v>-10302.853503697106</v>
      </c>
      <c r="P238" s="449">
        <v>-12946.552313235596</v>
      </c>
    </row>
    <row r="239" spans="2:16">
      <c r="B239" s="450"/>
      <c r="C239" s="450"/>
      <c r="D239" s="405"/>
      <c r="E239" s="405"/>
      <c r="F239" s="453" t="s">
        <v>765</v>
      </c>
      <c r="G239" s="454">
        <f>G236-G237</f>
        <v>1.7763568394002505E-14</v>
      </c>
      <c r="H239" s="454">
        <f t="shared" ref="H239:P239" si="124">H236-H237</f>
        <v>0</v>
      </c>
      <c r="I239" s="454">
        <f t="shared" si="124"/>
        <v>0</v>
      </c>
      <c r="J239" s="454">
        <f t="shared" si="124"/>
        <v>0</v>
      </c>
      <c r="K239" s="454">
        <f t="shared" si="124"/>
        <v>0</v>
      </c>
      <c r="L239" s="454">
        <f t="shared" si="124"/>
        <v>0</v>
      </c>
      <c r="M239" s="454">
        <f t="shared" si="124"/>
        <v>0</v>
      </c>
      <c r="N239" s="454">
        <f t="shared" si="124"/>
        <v>0</v>
      </c>
      <c r="O239" s="454">
        <f t="shared" si="124"/>
        <v>0</v>
      </c>
      <c r="P239" s="454">
        <f t="shared" si="124"/>
        <v>0</v>
      </c>
    </row>
    <row r="240" spans="2:16">
      <c r="D240" s="398"/>
      <c r="E240" s="398"/>
      <c r="F240" s="398"/>
      <c r="G240" s="398"/>
    </row>
    <row r="241" spans="2:19">
      <c r="B241" s="402" t="s">
        <v>766</v>
      </c>
      <c r="D241" s="398">
        <v>0</v>
      </c>
      <c r="E241" s="398">
        <v>0</v>
      </c>
      <c r="F241" s="398">
        <v>0</v>
      </c>
      <c r="G241" s="398">
        <f>((F232+G232)/2)*G242</f>
        <v>83.114370723075638</v>
      </c>
      <c r="H241" s="398">
        <f t="shared" ref="H241:P241" si="125">((G232+H232)/2)*H242</f>
        <v>134.39355617205698</v>
      </c>
      <c r="I241" s="398">
        <f t="shared" si="125"/>
        <v>145.79249454342366</v>
      </c>
      <c r="J241" s="398">
        <f t="shared" si="125"/>
        <v>166.74276306483515</v>
      </c>
      <c r="K241" s="398">
        <f t="shared" si="125"/>
        <v>196.70738533534794</v>
      </c>
      <c r="L241" s="398">
        <f t="shared" si="125"/>
        <v>243.10247587985356</v>
      </c>
      <c r="M241" s="398">
        <f t="shared" si="125"/>
        <v>314.51304827547176</v>
      </c>
      <c r="N241" s="398">
        <f t="shared" si="125"/>
        <v>410.91929478832088</v>
      </c>
      <c r="O241" s="398">
        <f t="shared" si="125"/>
        <v>543.27298333322346</v>
      </c>
      <c r="P241" s="398">
        <f t="shared" si="125"/>
        <v>717.64352696021876</v>
      </c>
    </row>
    <row r="242" spans="2:19">
      <c r="B242" s="360" t="s">
        <v>734</v>
      </c>
      <c r="D242" s="398"/>
      <c r="E242" s="398"/>
      <c r="F242" s="398"/>
      <c r="G242" s="432">
        <v>1.4999999999999999E-2</v>
      </c>
      <c r="H242" s="432">
        <f>G242</f>
        <v>1.4999999999999999E-2</v>
      </c>
      <c r="I242" s="432">
        <f t="shared" ref="I242:P242" si="126">H242</f>
        <v>1.4999999999999999E-2</v>
      </c>
      <c r="J242" s="432">
        <f t="shared" si="126"/>
        <v>1.4999999999999999E-2</v>
      </c>
      <c r="K242" s="432">
        <f t="shared" si="126"/>
        <v>1.4999999999999999E-2</v>
      </c>
      <c r="L242" s="432">
        <f t="shared" si="126"/>
        <v>1.4999999999999999E-2</v>
      </c>
      <c r="M242" s="432">
        <f t="shared" si="126"/>
        <v>1.4999999999999999E-2</v>
      </c>
      <c r="N242" s="432">
        <f t="shared" si="126"/>
        <v>1.4999999999999999E-2</v>
      </c>
      <c r="O242" s="432">
        <f t="shared" si="126"/>
        <v>1.4999999999999999E-2</v>
      </c>
      <c r="P242" s="432">
        <f t="shared" si="126"/>
        <v>1.4999999999999999E-2</v>
      </c>
    </row>
    <row r="243" spans="2:19">
      <c r="D243" s="398"/>
      <c r="E243" s="398"/>
      <c r="F243" s="398"/>
      <c r="G243" s="398"/>
    </row>
    <row r="244" spans="2:19" ht="13.5">
      <c r="B244" s="413" t="s">
        <v>767</v>
      </c>
      <c r="D244" s="398"/>
      <c r="E244" s="398"/>
      <c r="F244" s="398"/>
      <c r="G244" s="398"/>
    </row>
    <row r="245" spans="2:19">
      <c r="B245" s="360" t="s">
        <v>767</v>
      </c>
      <c r="D245" s="398">
        <f>D83</f>
        <v>27</v>
      </c>
      <c r="E245" s="398">
        <f>E83</f>
        <v>20</v>
      </c>
      <c r="F245" s="398">
        <f>F83</f>
        <v>217</v>
      </c>
      <c r="G245" s="398">
        <f>G$6*G246</f>
        <v>303.79999999999995</v>
      </c>
      <c r="H245" s="398">
        <f t="shared" ref="H245:P245" si="127">H$6*H246</f>
        <v>425.31999999999994</v>
      </c>
      <c r="I245" s="398">
        <f t="shared" si="127"/>
        <v>595.44799999999987</v>
      </c>
      <c r="J245" s="398">
        <f t="shared" si="127"/>
        <v>833.62719999999979</v>
      </c>
      <c r="K245" s="398">
        <f t="shared" si="127"/>
        <v>1167.0780799999995</v>
      </c>
      <c r="L245" s="398">
        <f t="shared" si="127"/>
        <v>1545.2113779199994</v>
      </c>
      <c r="M245" s="398">
        <f t="shared" si="127"/>
        <v>1928.4237996441591</v>
      </c>
      <c r="N245" s="398">
        <f t="shared" si="127"/>
        <v>2260.1126931829549</v>
      </c>
      <c r="O245" s="398">
        <f t="shared" si="127"/>
        <v>2477.0835117285192</v>
      </c>
      <c r="P245" s="398">
        <f t="shared" si="127"/>
        <v>2526.6251819630897</v>
      </c>
    </row>
    <row r="246" spans="2:19">
      <c r="B246" s="360" t="s">
        <v>699</v>
      </c>
      <c r="D246" s="443">
        <f>D245/D6</f>
        <v>3.4749034749034749E-2</v>
      </c>
      <c r="E246" s="443">
        <f>E245/E6</f>
        <v>1.0131712259371834E-2</v>
      </c>
      <c r="F246" s="443">
        <f>F245/F6</f>
        <v>5.8474804634869308E-2</v>
      </c>
      <c r="G246" s="422">
        <f>F246</f>
        <v>5.8474804634869308E-2</v>
      </c>
      <c r="H246" s="422">
        <f t="shared" ref="H246:P246" si="128">G246</f>
        <v>5.8474804634869308E-2</v>
      </c>
      <c r="I246" s="422">
        <f t="shared" si="128"/>
        <v>5.8474804634869308E-2</v>
      </c>
      <c r="J246" s="422">
        <f t="shared" si="128"/>
        <v>5.8474804634869308E-2</v>
      </c>
      <c r="K246" s="422">
        <f t="shared" si="128"/>
        <v>5.8474804634869308E-2</v>
      </c>
      <c r="L246" s="422">
        <f t="shared" si="128"/>
        <v>5.8474804634869308E-2</v>
      </c>
      <c r="M246" s="422">
        <f t="shared" si="128"/>
        <v>5.8474804634869308E-2</v>
      </c>
      <c r="N246" s="422">
        <f t="shared" si="128"/>
        <v>5.8474804634869308E-2</v>
      </c>
      <c r="O246" s="422">
        <f t="shared" si="128"/>
        <v>5.8474804634869308E-2</v>
      </c>
      <c r="P246" s="422">
        <f t="shared" si="128"/>
        <v>5.8474804634869308E-2</v>
      </c>
    </row>
    <row r="247" spans="2:19">
      <c r="D247" s="398"/>
      <c r="E247" s="398"/>
      <c r="F247" s="398"/>
      <c r="G247" s="398"/>
    </row>
    <row r="248" spans="2:19" ht="13.5">
      <c r="B248" s="413" t="s">
        <v>768</v>
      </c>
      <c r="D248" s="398"/>
      <c r="E248" s="398"/>
      <c r="F248" s="398"/>
      <c r="G248" s="398"/>
    </row>
    <row r="249" spans="2:19">
      <c r="B249" s="360" t="s">
        <v>769</v>
      </c>
      <c r="D249" s="398">
        <f>-D17</f>
        <v>25</v>
      </c>
      <c r="E249" s="398">
        <f>-E17</f>
        <v>402</v>
      </c>
      <c r="F249" s="398">
        <f>-F17</f>
        <v>695</v>
      </c>
      <c r="G249" s="398">
        <f t="shared" ref="G249:P249" si="129">G16*G250</f>
        <v>955.95706866327782</v>
      </c>
      <c r="H249" s="398">
        <f t="shared" si="129"/>
        <v>1310.366928034171</v>
      </c>
      <c r="I249" s="398">
        <f t="shared" si="129"/>
        <v>1761.4126570553622</v>
      </c>
      <c r="J249" s="398">
        <f t="shared" si="129"/>
        <v>2372.4274169579467</v>
      </c>
      <c r="K249" s="398">
        <f t="shared" si="129"/>
        <v>3200.8472288864432</v>
      </c>
      <c r="L249" s="398">
        <f t="shared" si="129"/>
        <v>3988.4040804338902</v>
      </c>
      <c r="M249" s="398">
        <f t="shared" si="129"/>
        <v>4684.8049913012383</v>
      </c>
      <c r="N249" s="398">
        <f t="shared" si="129"/>
        <v>5156.629622355731</v>
      </c>
      <c r="O249" s="398">
        <f t="shared" si="129"/>
        <v>5297.9932852992779</v>
      </c>
      <c r="P249" s="398">
        <f t="shared" si="129"/>
        <v>5059.186720791974</v>
      </c>
    </row>
    <row r="250" spans="2:19">
      <c r="B250" s="360" t="s">
        <v>770</v>
      </c>
      <c r="D250" s="443">
        <f>D249/D16</f>
        <v>9.8425196850393706E-2</v>
      </c>
      <c r="E250" s="443">
        <f>E249/E16</f>
        <v>0.39880952380952384</v>
      </c>
      <c r="F250" s="443">
        <f>F249/F16</f>
        <v>0.41002949852507375</v>
      </c>
      <c r="G250" s="431">
        <f>'[1]DCF (Ex11)'!D9</f>
        <v>0.4</v>
      </c>
      <c r="H250" s="431">
        <f>'[1]DCF (Ex11)'!E9</f>
        <v>0.4</v>
      </c>
      <c r="I250" s="431">
        <f>'[1]DCF (Ex11)'!F9</f>
        <v>0.4</v>
      </c>
      <c r="J250" s="431">
        <f>'[1]DCF (Ex11)'!G9</f>
        <v>0.4</v>
      </c>
      <c r="K250" s="431">
        <f>'[1]DCF (Ex11)'!H9</f>
        <v>0.4</v>
      </c>
      <c r="L250" s="431">
        <f>'[1]DCF (Ex11)'!I9</f>
        <v>0.39</v>
      </c>
      <c r="M250" s="431">
        <f>'[1]DCF (Ex11)'!J9</f>
        <v>0.38</v>
      </c>
      <c r="N250" s="431">
        <f>'[1]DCF (Ex11)'!K9</f>
        <v>0.37</v>
      </c>
      <c r="O250" s="431">
        <f>'[1]DCF (Ex11)'!L9</f>
        <v>0.36</v>
      </c>
      <c r="P250" s="431">
        <f>'[1]DCF (Ex11)'!M9</f>
        <v>0.35</v>
      </c>
    </row>
    <row r="251" spans="2:19">
      <c r="D251" s="398"/>
      <c r="E251" s="398"/>
      <c r="F251" s="398"/>
      <c r="G251" s="398"/>
    </row>
    <row r="252" spans="2:19">
      <c r="D252" s="363" t="s">
        <v>646</v>
      </c>
      <c r="E252" s="363"/>
      <c r="F252" s="363"/>
      <c r="G252" s="364" t="s">
        <v>647</v>
      </c>
      <c r="H252" s="365"/>
      <c r="I252" s="365"/>
      <c r="J252" s="365"/>
      <c r="K252" s="365"/>
      <c r="L252" s="365"/>
      <c r="M252" s="365"/>
      <c r="N252" s="365"/>
      <c r="O252" s="365"/>
      <c r="P252" s="365"/>
    </row>
    <row r="253" spans="2:19" ht="14.4">
      <c r="D253" s="368" t="s">
        <v>7</v>
      </c>
      <c r="E253" s="368" t="s">
        <v>8</v>
      </c>
      <c r="F253" s="368" t="s">
        <v>9</v>
      </c>
      <c r="G253" s="368">
        <v>2012</v>
      </c>
      <c r="H253" s="368">
        <f t="shared" ref="H253:P253" si="130">G253+1</f>
        <v>2013</v>
      </c>
      <c r="I253" s="368">
        <f t="shared" si="130"/>
        <v>2014</v>
      </c>
      <c r="J253" s="368">
        <f t="shared" si="130"/>
        <v>2015</v>
      </c>
      <c r="K253" s="368">
        <f t="shared" si="130"/>
        <v>2016</v>
      </c>
      <c r="L253" s="368">
        <f t="shared" si="130"/>
        <v>2017</v>
      </c>
      <c r="M253" s="368">
        <f t="shared" si="130"/>
        <v>2018</v>
      </c>
      <c r="N253" s="368">
        <f t="shared" si="130"/>
        <v>2019</v>
      </c>
      <c r="O253" s="368">
        <f t="shared" si="130"/>
        <v>2020</v>
      </c>
      <c r="P253" s="368">
        <f t="shared" si="130"/>
        <v>2021</v>
      </c>
    </row>
    <row r="254" spans="2:19" ht="13.5">
      <c r="B254" s="455" t="s">
        <v>771</v>
      </c>
      <c r="P254" s="456" t="s">
        <v>227</v>
      </c>
    </row>
    <row r="255" spans="2:19" ht="13.2" thickBot="1">
      <c r="B255" s="457" t="s">
        <v>772</v>
      </c>
      <c r="D255" s="443">
        <f>D6/272-1</f>
        <v>1.8566176470588234</v>
      </c>
      <c r="E255" s="443">
        <f>E6/D6-1</f>
        <v>1.5405405405405403</v>
      </c>
      <c r="F255" s="443">
        <f>F6/E6-1</f>
        <v>0.87993920972644379</v>
      </c>
      <c r="G255" s="458">
        <f>'[1]DCF (Ex11)'!D7</f>
        <v>0.4</v>
      </c>
      <c r="H255" s="458">
        <f>'[1]DCF (Ex11)'!E7</f>
        <v>0.4</v>
      </c>
      <c r="I255" s="458">
        <f>'[1]DCF (Ex11)'!F7</f>
        <v>0.4</v>
      </c>
      <c r="J255" s="458">
        <f>'[1]DCF (Ex11)'!G7</f>
        <v>0.4</v>
      </c>
      <c r="K255" s="444">
        <f>'[1]DCF (Ex11)'!H7*$R$255</f>
        <v>0.4</v>
      </c>
      <c r="L255" s="444">
        <f>'[1]DCF (Ex11)'!I7*$R$255</f>
        <v>0.32400000000000001</v>
      </c>
      <c r="M255" s="444">
        <f>'[1]DCF (Ex11)'!J7*$R$255</f>
        <v>0.24800000000000003</v>
      </c>
      <c r="N255" s="444">
        <f>'[1]DCF (Ex11)'!K7*$R$255</f>
        <v>0.17200000000000004</v>
      </c>
      <c r="O255" s="444">
        <f>'[1]DCF (Ex11)'!L7*$R$255</f>
        <v>9.600000000000003E-2</v>
      </c>
      <c r="P255" s="458">
        <f>'[1]DCF (Ex11)'!M7</f>
        <v>2.0000000000000018E-2</v>
      </c>
      <c r="R255" s="459">
        <v>1</v>
      </c>
      <c r="S255" s="444" t="s">
        <v>773</v>
      </c>
    </row>
    <row r="256" spans="2:19" ht="13.2" thickBot="1">
      <c r="B256" s="457" t="s">
        <v>774</v>
      </c>
      <c r="D256" s="443">
        <f>D10/D$6</f>
        <v>0.33719433719433717</v>
      </c>
      <c r="E256" s="443">
        <f>E10/E$6</f>
        <v>0.52279635258358659</v>
      </c>
      <c r="F256" s="447">
        <f>F10/F$6</f>
        <v>0.47318781999461063</v>
      </c>
      <c r="G256" s="460">
        <f t="shared" ref="G256:O256" si="131">F256-($F256-$P256)/10</f>
        <v>0.46086903799514956</v>
      </c>
      <c r="H256" s="458">
        <f t="shared" si="131"/>
        <v>0.44855025599568848</v>
      </c>
      <c r="I256" s="458">
        <f t="shared" si="131"/>
        <v>0.43623147399622741</v>
      </c>
      <c r="J256" s="458">
        <f t="shared" si="131"/>
        <v>0.42391269199676634</v>
      </c>
      <c r="K256" s="458">
        <f t="shared" si="131"/>
        <v>0.41159390999730527</v>
      </c>
      <c r="L256" s="458">
        <f t="shared" si="131"/>
        <v>0.3992751279978442</v>
      </c>
      <c r="M256" s="458">
        <f t="shared" si="131"/>
        <v>0.38695634599838313</v>
      </c>
      <c r="N256" s="458">
        <f t="shared" si="131"/>
        <v>0.37463756399892206</v>
      </c>
      <c r="O256" s="458">
        <f t="shared" si="131"/>
        <v>0.36231878199946099</v>
      </c>
      <c r="P256" s="461">
        <v>0.35</v>
      </c>
    </row>
    <row r="257" spans="2:16">
      <c r="B257" s="457" t="s">
        <v>775</v>
      </c>
      <c r="D257" s="443">
        <f t="shared" ref="D257:P257" si="132">D31/D$6</f>
        <v>0.43758043758043758</v>
      </c>
      <c r="E257" s="443">
        <f t="shared" si="132"/>
        <v>0.59321175278622085</v>
      </c>
      <c r="F257" s="443">
        <f t="shared" si="132"/>
        <v>0.56022635408245758</v>
      </c>
      <c r="G257" s="443">
        <f t="shared" si="132"/>
        <v>0.56254937953504325</v>
      </c>
      <c r="H257" s="443">
        <f t="shared" si="132"/>
        <v>0.56822513789171147</v>
      </c>
      <c r="I257" s="443">
        <f t="shared" si="132"/>
        <v>0.56472072032752252</v>
      </c>
      <c r="J257" s="443">
        <f t="shared" si="132"/>
        <v>0.55310890690873038</v>
      </c>
      <c r="K257" s="443">
        <f t="shared" si="132"/>
        <v>0.5374268170561235</v>
      </c>
      <c r="L257" s="443">
        <f t="shared" si="132"/>
        <v>0.52515507702606445</v>
      </c>
      <c r="M257" s="443">
        <f t="shared" si="132"/>
        <v>0.51007786851200965</v>
      </c>
      <c r="N257" s="443">
        <f t="shared" si="132"/>
        <v>0.49632832430388885</v>
      </c>
      <c r="O257" s="443">
        <f t="shared" si="132"/>
        <v>0.49506774156571809</v>
      </c>
      <c r="P257" s="443">
        <f t="shared" si="132"/>
        <v>0.49932507228499945</v>
      </c>
    </row>
    <row r="258" spans="2:16">
      <c r="B258" s="457" t="s">
        <v>776</v>
      </c>
      <c r="D258" s="443">
        <f t="shared" ref="D258:P258" si="133">D19/D$6</f>
        <v>0.29472329472329473</v>
      </c>
      <c r="E258" s="443">
        <f t="shared" si="133"/>
        <v>0.30699088145896658</v>
      </c>
      <c r="F258" s="443">
        <f t="shared" si="133"/>
        <v>0.2694691457828079</v>
      </c>
      <c r="G258" s="443">
        <f t="shared" si="133"/>
        <v>0.27600100146185413</v>
      </c>
      <c r="H258" s="443">
        <f t="shared" si="133"/>
        <v>0.27023223731587515</v>
      </c>
      <c r="I258" s="443">
        <f t="shared" si="133"/>
        <v>0.25946412029941751</v>
      </c>
      <c r="J258" s="443">
        <f t="shared" si="133"/>
        <v>0.24962098714573538</v>
      </c>
      <c r="K258" s="443">
        <f t="shared" si="133"/>
        <v>0.24056091822305192</v>
      </c>
      <c r="L258" s="443">
        <f t="shared" si="133"/>
        <v>0.236072425433134</v>
      </c>
      <c r="M258" s="443">
        <f t="shared" si="133"/>
        <v>0.23177463586555255</v>
      </c>
      <c r="N258" s="443">
        <f t="shared" si="133"/>
        <v>0.22716606208154444</v>
      </c>
      <c r="O258" s="443">
        <f t="shared" si="133"/>
        <v>0.22233969610570731</v>
      </c>
      <c r="P258" s="443">
        <f t="shared" si="133"/>
        <v>0.21744728014947173</v>
      </c>
    </row>
    <row r="259" spans="2:16">
      <c r="B259" s="457" t="s">
        <v>777</v>
      </c>
      <c r="D259" s="443">
        <f t="shared" ref="D259:P259" si="134">D145/D6</f>
        <v>4.2471042471042469E-2</v>
      </c>
      <c r="E259" s="443">
        <f t="shared" si="134"/>
        <v>0.14842958459979735</v>
      </c>
      <c r="F259" s="443">
        <f t="shared" si="134"/>
        <v>0.16329830234438156</v>
      </c>
      <c r="G259" s="443">
        <f t="shared" si="134"/>
        <v>0.3049</v>
      </c>
      <c r="H259" s="443">
        <f t="shared" si="134"/>
        <v>0.25</v>
      </c>
      <c r="I259" s="443">
        <f t="shared" si="134"/>
        <v>0.25</v>
      </c>
      <c r="J259" s="443">
        <f t="shared" si="134"/>
        <v>0.2</v>
      </c>
      <c r="K259" s="443">
        <f t="shared" si="134"/>
        <v>0.2</v>
      </c>
      <c r="L259" s="443">
        <f t="shared" si="134"/>
        <v>0.16</v>
      </c>
      <c r="M259" s="443">
        <f t="shared" si="134"/>
        <v>0.16</v>
      </c>
      <c r="N259" s="443">
        <f t="shared" si="134"/>
        <v>0.16</v>
      </c>
      <c r="O259" s="443">
        <f t="shared" si="134"/>
        <v>0.16</v>
      </c>
      <c r="P259" s="443">
        <f t="shared" si="134"/>
        <v>0.15</v>
      </c>
    </row>
    <row r="260" spans="2:16">
      <c r="B260" s="457" t="s">
        <v>778</v>
      </c>
      <c r="D260" s="443">
        <f t="shared" ref="D260:P260" si="135">D90/D$6</f>
        <v>0.13256113256113256</v>
      </c>
      <c r="E260" s="443">
        <f t="shared" si="135"/>
        <v>0.20060790273556231</v>
      </c>
      <c r="F260" s="443">
        <f t="shared" si="135"/>
        <v>0.25976825653462676</v>
      </c>
      <c r="G260" s="443">
        <f t="shared" si="135"/>
        <v>7.1375257113503052E-2</v>
      </c>
      <c r="H260" s="443">
        <f t="shared" si="135"/>
        <v>0.16032903872060122</v>
      </c>
      <c r="I260" s="443">
        <f t="shared" si="135"/>
        <v>0.16626681459597545</v>
      </c>
      <c r="J260" s="443">
        <f t="shared" si="135"/>
        <v>0.21894721990846366</v>
      </c>
      <c r="K260" s="443">
        <f t="shared" si="135"/>
        <v>0.20755503145134038</v>
      </c>
      <c r="L260" s="443">
        <f t="shared" si="135"/>
        <v>0.24575560812278688</v>
      </c>
      <c r="M260" s="443">
        <f t="shared" si="135"/>
        <v>0.24500968046797164</v>
      </c>
      <c r="N260" s="443">
        <f t="shared" si="135"/>
        <v>0.24372854127949775</v>
      </c>
      <c r="O260" s="443">
        <f t="shared" si="135"/>
        <v>0.25380157408724757</v>
      </c>
      <c r="P260" s="443">
        <f t="shared" si="135"/>
        <v>0.27382240897045129</v>
      </c>
    </row>
    <row r="261" spans="2:16">
      <c r="B261" s="457" t="s">
        <v>779</v>
      </c>
      <c r="D261" s="443">
        <f>D10/((505+D49)/2)</f>
        <v>0.32465923172242878</v>
      </c>
      <c r="E261" s="443">
        <f t="shared" ref="E261:P261" si="136">E10/((D49+E49)/2)</f>
        <v>0.50353744815808732</v>
      </c>
      <c r="F261" s="443">
        <f t="shared" si="136"/>
        <v>0.37678360690912993</v>
      </c>
      <c r="G261" s="443">
        <f t="shared" si="136"/>
        <v>0.22201839403075327</v>
      </c>
      <c r="H261" s="443">
        <f t="shared" si="136"/>
        <v>0.19390391342398144</v>
      </c>
      <c r="I261" s="443">
        <f t="shared" si="136"/>
        <v>0.21469413305569773</v>
      </c>
      <c r="J261" s="443">
        <f t="shared" si="136"/>
        <v>0.2321255592304082</v>
      </c>
      <c r="K261" s="443">
        <f t="shared" si="136"/>
        <v>0.24644428031144641</v>
      </c>
      <c r="L261" s="443">
        <f t="shared" si="136"/>
        <v>0.24634030121534786</v>
      </c>
      <c r="M261" s="443">
        <f t="shared" si="136"/>
        <v>0.23405235553260273</v>
      </c>
      <c r="N261" s="443">
        <f t="shared" si="136"/>
        <v>0.2122162995219217</v>
      </c>
      <c r="O261" s="443">
        <f t="shared" si="136"/>
        <v>0.18460903699690906</v>
      </c>
      <c r="P261" s="443">
        <f t="shared" si="136"/>
        <v>0.15447650277840994</v>
      </c>
    </row>
    <row r="262" spans="2:16">
      <c r="B262" s="457" t="s">
        <v>780</v>
      </c>
      <c r="D262" s="443">
        <f>D19/((335+D73)/2)</f>
        <v>0.38071487946799665</v>
      </c>
      <c r="E262" s="443">
        <f t="shared" ref="E262:P262" si="137">E19/((D73+E73)/2)</f>
        <v>0.4</v>
      </c>
      <c r="F262" s="443">
        <f t="shared" si="137"/>
        <v>0.283245999150262</v>
      </c>
      <c r="G262" s="443">
        <f t="shared" si="137"/>
        <v>0.15676999455043028</v>
      </c>
      <c r="H262" s="443">
        <f t="shared" si="137"/>
        <v>0.13471965145874498</v>
      </c>
      <c r="I262" s="443">
        <f t="shared" si="137"/>
        <v>0.15180971569046792</v>
      </c>
      <c r="J262" s="443">
        <f t="shared" si="137"/>
        <v>0.16770959351776113</v>
      </c>
      <c r="K262" s="443">
        <f t="shared" si="137"/>
        <v>0.18187062018331715</v>
      </c>
      <c r="L262" s="443">
        <f t="shared" si="137"/>
        <v>0.1874746272961465</v>
      </c>
      <c r="M262" s="443">
        <f t="shared" si="137"/>
        <v>0.1821947907029064</v>
      </c>
      <c r="N262" s="443">
        <f t="shared" si="137"/>
        <v>0.16801250685177807</v>
      </c>
      <c r="O262" s="443">
        <f t="shared" si="137"/>
        <v>0.1477962847770791</v>
      </c>
      <c r="P262" s="443">
        <f t="shared" si="137"/>
        <v>0.12422124872673057</v>
      </c>
    </row>
    <row r="263" spans="2:16">
      <c r="B263" s="457" t="s">
        <v>781</v>
      </c>
      <c r="D263" s="443">
        <f t="shared" ref="D263:F263" si="138">D222</f>
        <v>0.13245033112582782</v>
      </c>
      <c r="E263" s="443">
        <f t="shared" si="138"/>
        <v>7.746478873239436E-2</v>
      </c>
      <c r="F263" s="443">
        <f t="shared" si="138"/>
        <v>7.3043478260869571E-2</v>
      </c>
      <c r="G263" s="443">
        <f>G222</f>
        <v>0.08</v>
      </c>
      <c r="H263" s="443">
        <f t="shared" ref="H263:P263" si="139">H222</f>
        <v>0.08</v>
      </c>
      <c r="I263" s="443">
        <f t="shared" si="139"/>
        <v>0.08</v>
      </c>
      <c r="J263" s="443">
        <f t="shared" si="139"/>
        <v>0.08</v>
      </c>
      <c r="K263" s="443">
        <f t="shared" si="139"/>
        <v>0.08</v>
      </c>
      <c r="L263" s="443">
        <f t="shared" si="139"/>
        <v>0.08</v>
      </c>
      <c r="M263" s="443">
        <f t="shared" si="139"/>
        <v>0.08</v>
      </c>
      <c r="N263" s="443">
        <f t="shared" si="139"/>
        <v>0.08</v>
      </c>
      <c r="O263" s="443">
        <f t="shared" si="139"/>
        <v>0.08</v>
      </c>
      <c r="P263" s="443">
        <f t="shared" si="139"/>
        <v>0.08</v>
      </c>
    </row>
    <row r="264" spans="2:16">
      <c r="B264" s="457"/>
    </row>
    <row r="265" spans="2:16" ht="13.5">
      <c r="B265" s="462" t="s">
        <v>782</v>
      </c>
    </row>
    <row r="266" spans="2:16">
      <c r="B266" s="457" t="s">
        <v>783</v>
      </c>
      <c r="E266" s="443">
        <f t="shared" ref="E266:G266" si="140">(E57+E60+E61)/E73</f>
        <v>0.21877890841813136</v>
      </c>
      <c r="F266" s="443">
        <f t="shared" si="140"/>
        <v>0.13819146764645845</v>
      </c>
      <c r="G266" s="443">
        <f t="shared" si="140"/>
        <v>6.3348221670422422E-2</v>
      </c>
      <c r="H266" s="443">
        <f>(H57+H60+H61)/H73</f>
        <v>7.895404046601294E-2</v>
      </c>
      <c r="I266" s="443">
        <f t="shared" ref="I266:P266" si="141">(I57+I60+I61)/I73</f>
        <v>0.10830379701067415</v>
      </c>
      <c r="J266" s="443">
        <f t="shared" si="141"/>
        <v>0.13201702621564007</v>
      </c>
      <c r="K266" s="443">
        <f t="shared" si="141"/>
        <v>0.15622072035125534</v>
      </c>
      <c r="L266" s="443">
        <f t="shared" si="141"/>
        <v>0.16712589757130245</v>
      </c>
      <c r="M266" s="443">
        <f t="shared" si="141"/>
        <v>0.17655993443320075</v>
      </c>
      <c r="N266" s="443">
        <f t="shared" si="141"/>
        <v>0.1844248081110566</v>
      </c>
      <c r="O266" s="443">
        <f t="shared" si="141"/>
        <v>0.19084472601416924</v>
      </c>
      <c r="P266" s="443">
        <f t="shared" si="141"/>
        <v>0.19387503829529443</v>
      </c>
    </row>
    <row r="267" spans="2:16">
      <c r="B267" s="457" t="s">
        <v>784</v>
      </c>
      <c r="E267" s="443">
        <f t="shared" ref="E267:G267" si="142">(E57+E60+E61)/(E57+E60+E61+E73)</f>
        <v>0.17950664136622391</v>
      </c>
      <c r="F267" s="443">
        <f t="shared" si="142"/>
        <v>0.12141319942611191</v>
      </c>
      <c r="G267" s="443">
        <f t="shared" si="142"/>
        <v>5.9574295963845392E-2</v>
      </c>
      <c r="H267" s="443">
        <f>(H57+H60+H61)/(H57+H60+H61+H73)</f>
        <v>7.3176463041847231E-2</v>
      </c>
      <c r="I267" s="443">
        <f t="shared" ref="I267:P267" si="143">(I57+I60+I61)/(I57+I60+I61+I73)</f>
        <v>9.7720315767925739E-2</v>
      </c>
      <c r="J267" s="443">
        <f t="shared" si="143"/>
        <v>0.11662106060098421</v>
      </c>
      <c r="K267" s="443">
        <f t="shared" si="143"/>
        <v>0.13511323365991579</v>
      </c>
      <c r="L267" s="443">
        <f t="shared" si="143"/>
        <v>0.14319440423614826</v>
      </c>
      <c r="M267" s="443">
        <f t="shared" si="143"/>
        <v>0.15006454772595773</v>
      </c>
      <c r="N267" s="443">
        <f t="shared" si="143"/>
        <v>0.15570832934948467</v>
      </c>
      <c r="O267" s="443">
        <f t="shared" si="143"/>
        <v>0.16025995820037622</v>
      </c>
      <c r="P267" s="443">
        <f t="shared" si="143"/>
        <v>0.16239139949866441</v>
      </c>
    </row>
    <row r="268" spans="2:16">
      <c r="B268" s="457" t="s">
        <v>785</v>
      </c>
      <c r="E268" s="419">
        <f t="shared" ref="E268:G268" si="144">E10/-E12</f>
        <v>46.909090909090907</v>
      </c>
      <c r="F268" s="419">
        <f t="shared" si="144"/>
        <v>41.80952380952381</v>
      </c>
      <c r="G268" s="419">
        <f t="shared" si="144"/>
        <v>39.239127651653639</v>
      </c>
      <c r="H268" s="419">
        <f>H10/-H12</f>
        <v>38.935713253566114</v>
      </c>
      <c r="I268" s="419">
        <f t="shared" ref="I268:P268" si="145">I10/-I12</f>
        <v>33.585651796710458</v>
      </c>
      <c r="J268" s="419">
        <f t="shared" si="145"/>
        <v>29.328449186731394</v>
      </c>
      <c r="K268" s="419">
        <f t="shared" si="145"/>
        <v>26.735767408973516</v>
      </c>
      <c r="L268" s="419">
        <f t="shared" si="145"/>
        <v>24.419203639878059</v>
      </c>
      <c r="M268" s="419">
        <f t="shared" si="145"/>
        <v>22.057310071880192</v>
      </c>
      <c r="N268" s="419">
        <f t="shared" si="145"/>
        <v>19.145305910771789</v>
      </c>
      <c r="O268" s="419">
        <f t="shared" si="145"/>
        <v>16.01921294351494</v>
      </c>
      <c r="P268" s="419">
        <f t="shared" si="145"/>
        <v>12.98482036704743</v>
      </c>
    </row>
    <row r="269" spans="2:16">
      <c r="B269" s="457" t="s">
        <v>786</v>
      </c>
      <c r="E269" s="419">
        <f t="shared" ref="E269:G269" si="146">E31/-E12</f>
        <v>53.227272727272727</v>
      </c>
      <c r="F269" s="419">
        <f t="shared" si="146"/>
        <v>49.5</v>
      </c>
      <c r="G269" s="419">
        <f t="shared" si="146"/>
        <v>47.896354699719346</v>
      </c>
      <c r="H269" s="419">
        <f>H31/-H12</f>
        <v>49.32390682356985</v>
      </c>
      <c r="I269" s="419">
        <f t="shared" ref="I269:P269" si="147">I31/-I12</f>
        <v>43.478095015839472</v>
      </c>
      <c r="J269" s="419">
        <f t="shared" si="147"/>
        <v>38.266904429285141</v>
      </c>
      <c r="K269" s="419">
        <f t="shared" si="147"/>
        <v>34.909453301317185</v>
      </c>
      <c r="L269" s="419">
        <f t="shared" si="147"/>
        <v>32.117875292458876</v>
      </c>
      <c r="M269" s="419">
        <f t="shared" si="147"/>
        <v>29.075490873640153</v>
      </c>
      <c r="N269" s="419">
        <f t="shared" si="147"/>
        <v>25.364134603987658</v>
      </c>
      <c r="O269" s="419">
        <f t="shared" si="147"/>
        <v>21.888447322110004</v>
      </c>
      <c r="P269" s="419">
        <f t="shared" si="147"/>
        <v>18.524703909667689</v>
      </c>
    </row>
    <row r="270" spans="2:16">
      <c r="B270" s="457" t="s">
        <v>787</v>
      </c>
      <c r="E270" s="419">
        <f t="shared" ref="E270:G270" si="148">E90/-E12</f>
        <v>18</v>
      </c>
      <c r="F270" s="419">
        <f t="shared" si="148"/>
        <v>22.952380952380953</v>
      </c>
      <c r="G270" s="419">
        <f t="shared" si="148"/>
        <v>6.0770036477820888</v>
      </c>
      <c r="H270" s="419">
        <f>H90/-H12</f>
        <v>13.917114959589348</v>
      </c>
      <c r="I270" s="419">
        <f t="shared" ref="I270:P270" si="149">I90/-I12</f>
        <v>12.8009547069429</v>
      </c>
      <c r="J270" s="419">
        <f t="shared" si="149"/>
        <v>15.147889022653901</v>
      </c>
      <c r="K270" s="419">
        <f t="shared" si="149"/>
        <v>13.48208248630683</v>
      </c>
      <c r="L270" s="419">
        <f t="shared" si="149"/>
        <v>15.030127898236641</v>
      </c>
      <c r="M270" s="419">
        <f t="shared" si="149"/>
        <v>13.966057279021648</v>
      </c>
      <c r="N270" s="419">
        <f t="shared" si="149"/>
        <v>12.455391371260305</v>
      </c>
      <c r="O270" s="419">
        <f t="shared" si="149"/>
        <v>11.221337845822607</v>
      </c>
      <c r="P270" s="419">
        <f t="shared" si="149"/>
        <v>10.158670837010021</v>
      </c>
    </row>
    <row r="271" spans="2:16">
      <c r="B271" s="457" t="s">
        <v>788</v>
      </c>
      <c r="E271" s="419">
        <f t="shared" ref="E271:G271" si="150">(E57+E60+E61)/E31</f>
        <v>0.40392826643894109</v>
      </c>
      <c r="F271" s="419">
        <f t="shared" si="150"/>
        <v>0.32563732563732561</v>
      </c>
      <c r="G271" s="419">
        <f t="shared" si="150"/>
        <v>0.29032280533323651</v>
      </c>
      <c r="H271" s="419">
        <f>(H57+H60+H61)/H31</f>
        <v>0.30155153759781678</v>
      </c>
      <c r="I271" s="419">
        <f t="shared" ref="I271:P271" si="151">(I57+I60+I61)/I31</f>
        <v>0.35827159435436984</v>
      </c>
      <c r="J271" s="419">
        <f t="shared" si="151"/>
        <v>0.39202529689174459</v>
      </c>
      <c r="K271" s="419">
        <f t="shared" si="151"/>
        <v>0.42794941546661569</v>
      </c>
      <c r="L271" s="419">
        <f t="shared" si="151"/>
        <v>0.44760505136112599</v>
      </c>
      <c r="M271" s="419">
        <f t="shared" si="151"/>
        <v>0.49057137774230397</v>
      </c>
      <c r="N271" s="419">
        <f t="shared" si="151"/>
        <v>0.55547184340157885</v>
      </c>
      <c r="O271" s="419">
        <f t="shared" si="151"/>
        <v>0.63404714450340327</v>
      </c>
      <c r="P271" s="419">
        <f t="shared" si="151"/>
        <v>0.73323438219124948</v>
      </c>
    </row>
  </sheetData>
  <pageMargins left="0.75" right="0.75" top="1" bottom="1" header="0.5" footer="0.5"/>
  <pageSetup orientation="portrait" horizontalDpi="1200" verticalDpi="12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79017-77C2-438D-98E4-09545735A9A5}">
  <dimension ref="A1:O82"/>
  <sheetViews>
    <sheetView showGridLines="0" tabSelected="1" zoomScale="98" zoomScaleNormal="98" workbookViewId="0"/>
  </sheetViews>
  <sheetFormatPr baseColWidth="10" defaultRowHeight="12.3"/>
  <cols>
    <col min="1" max="1" width="43.38671875" customWidth="1"/>
    <col min="2" max="2" width="2.94140625" customWidth="1"/>
    <col min="3" max="3" width="16.6640625" style="283" customWidth="1"/>
    <col min="4" max="4" width="6.6640625" customWidth="1"/>
    <col min="5" max="5" width="5" customWidth="1"/>
    <col min="6" max="6" width="16.6640625" style="283" customWidth="1"/>
    <col min="7" max="7" width="6.6640625" customWidth="1"/>
    <col min="8" max="8" width="5" customWidth="1"/>
    <col min="9" max="9" width="16.6640625" customWidth="1"/>
    <col min="10" max="10" width="6.6640625" customWidth="1"/>
    <col min="12" max="12" width="16" bestFit="1" customWidth="1"/>
    <col min="13" max="13" width="14.71875" customWidth="1"/>
    <col min="14" max="14" width="11.38671875" customWidth="1"/>
    <col min="15" max="15" width="14.1640625" customWidth="1"/>
  </cols>
  <sheetData>
    <row r="1" spans="1:15" ht="15">
      <c r="C1" s="279" t="s">
        <v>572</v>
      </c>
      <c r="D1" s="280"/>
      <c r="E1" s="280"/>
      <c r="F1" s="279"/>
      <c r="G1" s="280"/>
      <c r="I1" s="281" t="s">
        <v>573</v>
      </c>
      <c r="J1" s="282"/>
      <c r="O1" s="12" t="s">
        <v>574</v>
      </c>
    </row>
    <row r="2" spans="1:15" ht="4.2" customHeight="1">
      <c r="O2" s="12"/>
    </row>
    <row r="3" spans="1:15" ht="14.4">
      <c r="B3" s="283"/>
      <c r="C3" s="284" t="s">
        <v>575</v>
      </c>
      <c r="D3" s="285"/>
      <c r="F3" s="286" t="s">
        <v>576</v>
      </c>
      <c r="G3" s="287"/>
      <c r="I3" s="288" t="s">
        <v>577</v>
      </c>
      <c r="J3" s="289"/>
      <c r="L3" s="284" t="s">
        <v>578</v>
      </c>
      <c r="M3" s="285"/>
      <c r="O3" s="290" t="s">
        <v>579</v>
      </c>
    </row>
    <row r="4" spans="1:15" ht="13.2" customHeight="1">
      <c r="A4" s="291" t="s">
        <v>580</v>
      </c>
      <c r="B4" s="283"/>
      <c r="C4" s="292"/>
      <c r="F4" s="292"/>
      <c r="I4" s="292"/>
    </row>
    <row r="5" spans="1:15">
      <c r="A5" s="32" t="s">
        <v>581</v>
      </c>
      <c r="C5" s="283">
        <v>180000000</v>
      </c>
      <c r="D5" s="293">
        <f>C5/C$7</f>
        <v>0.53346713163187665</v>
      </c>
      <c r="F5" s="283">
        <v>180000000</v>
      </c>
      <c r="G5" s="293">
        <f>F5/F$7</f>
        <v>0.42731632422070587</v>
      </c>
      <c r="I5" s="283">
        <v>27004761</v>
      </c>
      <c r="J5" s="293">
        <f>I5/I$7</f>
        <v>0.38578230000000002</v>
      </c>
      <c r="L5" s="283">
        <v>180000000</v>
      </c>
      <c r="O5" s="294">
        <f>F5/C5-1</f>
        <v>0</v>
      </c>
    </row>
    <row r="6" spans="1:15" ht="14.4">
      <c r="A6" s="32" t="s">
        <v>582</v>
      </c>
      <c r="C6" s="295">
        <f>157415352</f>
        <v>157415352</v>
      </c>
      <c r="D6" s="296">
        <f>C6/C$7</f>
        <v>0.46653286836812335</v>
      </c>
      <c r="F6" s="295">
        <v>241233615</v>
      </c>
      <c r="G6" s="296">
        <f>F6/F$7</f>
        <v>0.57268367577929413</v>
      </c>
      <c r="I6" s="295">
        <v>42995239</v>
      </c>
      <c r="J6" s="296">
        <f>I6/I$7</f>
        <v>0.61421769999999998</v>
      </c>
      <c r="L6" s="295">
        <f>157415352</f>
        <v>157415352</v>
      </c>
      <c r="O6" s="294">
        <f>F6/C6-1</f>
        <v>0.53246561999874076</v>
      </c>
    </row>
    <row r="7" spans="1:15">
      <c r="A7" s="2" t="s">
        <v>583</v>
      </c>
      <c r="B7" s="2"/>
      <c r="C7" s="297">
        <f>C5+C6</f>
        <v>337415352</v>
      </c>
      <c r="D7" s="298">
        <f>D5+D6</f>
        <v>1</v>
      </c>
      <c r="E7" s="2"/>
      <c r="F7" s="297">
        <f>F5+F6</f>
        <v>421233615</v>
      </c>
      <c r="G7" s="298">
        <f>G5+G6</f>
        <v>1</v>
      </c>
      <c r="H7" s="2"/>
      <c r="I7" s="297">
        <f>I5+I6</f>
        <v>70000000</v>
      </c>
      <c r="J7" s="298">
        <f>J5+J6</f>
        <v>1</v>
      </c>
      <c r="L7" s="297">
        <f>L5+L6</f>
        <v>337415352</v>
      </c>
      <c r="O7" s="294">
        <f>F7/C7-1</f>
        <v>0.24841271300542367</v>
      </c>
    </row>
    <row r="8" spans="1:15" ht="7.5" customHeight="1">
      <c r="L8" s="283"/>
    </row>
    <row r="9" spans="1:15">
      <c r="A9" t="s">
        <v>584</v>
      </c>
      <c r="I9" s="283"/>
      <c r="L9" s="283"/>
    </row>
    <row r="10" spans="1:15">
      <c r="A10" s="299" t="s">
        <v>585</v>
      </c>
      <c r="C10" s="283">
        <f>598396119</f>
        <v>598396119</v>
      </c>
      <c r="D10" s="293">
        <f>C10/C$12</f>
        <v>0.27987479854385228</v>
      </c>
      <c r="F10" s="283">
        <f>633492418</f>
        <v>633492418</v>
      </c>
      <c r="G10" s="293">
        <f>F10/F$12</f>
        <v>0.29628962694994998</v>
      </c>
      <c r="I10" s="283">
        <v>1937626545</v>
      </c>
      <c r="L10" s="283">
        <f>598396119</f>
        <v>598396119</v>
      </c>
      <c r="O10" s="283">
        <f>598396119</f>
        <v>598396119</v>
      </c>
    </row>
    <row r="11" spans="1:15">
      <c r="A11" s="299" t="s">
        <v>586</v>
      </c>
      <c r="C11" s="300">
        <f>1539688918</f>
        <v>1539688918</v>
      </c>
      <c r="D11" s="301">
        <f>C11/C$12</f>
        <v>0.72012520145614767</v>
      </c>
      <c r="F11" s="300">
        <f>1504592619</f>
        <v>1504592619</v>
      </c>
      <c r="G11" s="301">
        <f>F11/F$12</f>
        <v>0.70371037305005002</v>
      </c>
      <c r="I11" s="300">
        <v>602586433</v>
      </c>
      <c r="L11" s="300">
        <f>1539688918</f>
        <v>1539688918</v>
      </c>
      <c r="O11" s="300">
        <f>1539688918</f>
        <v>1539688918</v>
      </c>
    </row>
    <row r="12" spans="1:15">
      <c r="A12" s="302" t="s">
        <v>587</v>
      </c>
      <c r="C12" s="283">
        <f>C10+C11</f>
        <v>2138085037</v>
      </c>
      <c r="D12" s="293">
        <f>D10+D11</f>
        <v>1</v>
      </c>
      <c r="F12" s="283">
        <f>F10+F11</f>
        <v>2138085037</v>
      </c>
      <c r="G12" s="293">
        <f>G10+G11</f>
        <v>1</v>
      </c>
      <c r="I12" s="283">
        <f>I10+I11</f>
        <v>2540212978</v>
      </c>
      <c r="L12" s="283">
        <f>L10+L11</f>
        <v>2138085037</v>
      </c>
      <c r="O12" s="283">
        <f>O10+O11</f>
        <v>2138085037</v>
      </c>
    </row>
    <row r="13" spans="1:15" ht="7.5" customHeight="1">
      <c r="I13" s="283"/>
      <c r="L13" s="283"/>
    </row>
    <row r="14" spans="1:15">
      <c r="A14" t="s">
        <v>588</v>
      </c>
      <c r="I14" s="283"/>
      <c r="L14" s="283"/>
    </row>
    <row r="15" spans="1:15">
      <c r="A15" s="299" t="s">
        <v>585</v>
      </c>
      <c r="C15" s="283">
        <f>C10-C5</f>
        <v>418396119</v>
      </c>
      <c r="D15" s="293">
        <f>C15/C$17</f>
        <v>0.21367617396281652</v>
      </c>
      <c r="F15" s="283">
        <f>F10-F5</f>
        <v>453492418</v>
      </c>
      <c r="G15" s="293">
        <f>F15/F$17</f>
        <v>0.23159996089587603</v>
      </c>
      <c r="I15" s="283">
        <f>I10-I5</f>
        <v>1910621784</v>
      </c>
      <c r="J15" s="293">
        <f>I15/I$12</f>
        <v>0.75215023328646269</v>
      </c>
      <c r="L15" s="283">
        <f>L10-L5</f>
        <v>418396119</v>
      </c>
    </row>
    <row r="16" spans="1:15">
      <c r="A16" s="299" t="s">
        <v>586</v>
      </c>
      <c r="C16" s="300">
        <f>C11</f>
        <v>1539688918</v>
      </c>
      <c r="D16" s="301">
        <f>C16/C$17</f>
        <v>0.78632382603718354</v>
      </c>
      <c r="F16" s="300">
        <f>F11</f>
        <v>1504592619</v>
      </c>
      <c r="G16" s="301">
        <f>F16/F$17</f>
        <v>0.76840003910412391</v>
      </c>
      <c r="I16" s="300">
        <f>I11</f>
        <v>602586433</v>
      </c>
      <c r="J16" s="301">
        <f>I16/I$12</f>
        <v>0.23721886244138385</v>
      </c>
      <c r="L16" s="300">
        <f>L11</f>
        <v>1539688918</v>
      </c>
    </row>
    <row r="17" spans="1:12">
      <c r="A17" s="302" t="s">
        <v>587</v>
      </c>
      <c r="C17" s="283">
        <f>C15+C16</f>
        <v>1958085037</v>
      </c>
      <c r="D17" s="293">
        <f>D15+D16</f>
        <v>1</v>
      </c>
      <c r="F17" s="283">
        <f>F15+F16</f>
        <v>1958085037</v>
      </c>
      <c r="G17" s="293">
        <f>G15+G16</f>
        <v>1</v>
      </c>
      <c r="I17" s="283">
        <f>I15+I16</f>
        <v>2513208217</v>
      </c>
      <c r="J17" s="293">
        <f>J15+J16</f>
        <v>0.98936909572784648</v>
      </c>
      <c r="L17" s="283">
        <f>L15+L16</f>
        <v>1958085037</v>
      </c>
    </row>
    <row r="18" spans="1:12" ht="7.5" customHeight="1"/>
    <row r="19" spans="1:12">
      <c r="A19" t="s">
        <v>589</v>
      </c>
      <c r="I19" s="283"/>
    </row>
    <row r="20" spans="1:12">
      <c r="A20" s="302" t="s">
        <v>590</v>
      </c>
      <c r="C20" s="283">
        <f>6029988</f>
        <v>6029988</v>
      </c>
      <c r="D20" s="293">
        <f>C20/C$22</f>
        <v>0.11914075751780664</v>
      </c>
      <c r="F20" s="283">
        <v>3094842</v>
      </c>
      <c r="G20" s="293">
        <f>F20/F$22</f>
        <v>4.8980611582089315E-2</v>
      </c>
      <c r="I20" s="303"/>
    </row>
    <row r="21" spans="1:12">
      <c r="A21" s="302" t="s">
        <v>591</v>
      </c>
      <c r="C21" s="300">
        <v>44582314</v>
      </c>
      <c r="D21" s="301">
        <f>C21/C$22</f>
        <v>0.88085924248219338</v>
      </c>
      <c r="F21" s="300">
        <f>60090200</f>
        <v>60090200</v>
      </c>
      <c r="G21" s="301">
        <f>F21/F$22</f>
        <v>0.95101938841791067</v>
      </c>
      <c r="I21" s="304" t="s">
        <v>592</v>
      </c>
      <c r="J21" s="305"/>
    </row>
    <row r="22" spans="1:12">
      <c r="A22" s="302" t="s">
        <v>587</v>
      </c>
      <c r="C22" s="283">
        <f>C20+C21</f>
        <v>50612302</v>
      </c>
      <c r="D22" s="293">
        <f>D20+D21</f>
        <v>1</v>
      </c>
      <c r="F22" s="283">
        <f>F20+F21</f>
        <v>63185042</v>
      </c>
      <c r="G22" s="293">
        <f>G20+G21</f>
        <v>1</v>
      </c>
      <c r="I22" s="303"/>
    </row>
    <row r="23" spans="1:12" ht="7.5" customHeight="1"/>
    <row r="24" spans="1:12">
      <c r="A24" s="2" t="s">
        <v>593</v>
      </c>
      <c r="B24" s="2"/>
      <c r="C24" s="306" t="s">
        <v>594</v>
      </c>
      <c r="D24" s="2"/>
      <c r="E24" s="2"/>
      <c r="F24" s="307">
        <v>38</v>
      </c>
      <c r="G24" s="2"/>
      <c r="H24" s="2"/>
      <c r="I24" s="307">
        <v>55.05</v>
      </c>
      <c r="L24" s="306" t="s">
        <v>595</v>
      </c>
    </row>
    <row r="25" spans="1:12" ht="7.2" customHeight="1">
      <c r="C25" s="294"/>
      <c r="F25" s="294"/>
    </row>
    <row r="26" spans="1:12" ht="14.4">
      <c r="A26" s="291" t="s">
        <v>596</v>
      </c>
      <c r="C26" s="294"/>
      <c r="F26" s="294"/>
    </row>
    <row r="27" spans="1:12" ht="14.4">
      <c r="A27" s="292" t="s">
        <v>96</v>
      </c>
      <c r="B27" s="292"/>
      <c r="C27" s="308">
        <f>C7*36</f>
        <v>12146952672</v>
      </c>
      <c r="D27" s="309">
        <f>C27/C$27</f>
        <v>1</v>
      </c>
      <c r="E27" s="292"/>
      <c r="F27" s="308">
        <f>F7*F24</f>
        <v>16006877370</v>
      </c>
      <c r="G27" s="309">
        <f>F27/F$27</f>
        <v>1</v>
      </c>
      <c r="H27" s="292"/>
      <c r="I27" s="308">
        <f>I7*I24</f>
        <v>3853500000</v>
      </c>
      <c r="J27" s="309">
        <f>I27/I$27</f>
        <v>1</v>
      </c>
    </row>
    <row r="28" spans="1:12">
      <c r="A28" t="s">
        <v>597</v>
      </c>
      <c r="C28" s="310">
        <f>-C58</f>
        <v>-133616479.39199999</v>
      </c>
      <c r="D28" s="311">
        <f>C28/C$27</f>
        <v>-1.0999999999999999E-2</v>
      </c>
      <c r="F28" s="310">
        <f>-F58</f>
        <v>-176075651.06999999</v>
      </c>
      <c r="G28" s="311">
        <f>F28/F$27</f>
        <v>-1.0999999999999999E-2</v>
      </c>
      <c r="I28" s="310">
        <f>-I52*I7</f>
        <v>-19264000</v>
      </c>
      <c r="J28" s="311">
        <f>I28/I$27</f>
        <v>-4.9990917347865578E-3</v>
      </c>
    </row>
    <row r="29" spans="1:12" ht="14.4">
      <c r="A29" t="s">
        <v>598</v>
      </c>
      <c r="C29" s="312">
        <v>-7000000</v>
      </c>
      <c r="D29" s="313">
        <f>C29/C$27</f>
        <v>-5.762762224418421E-4</v>
      </c>
      <c r="F29" s="312">
        <v>-7000000</v>
      </c>
      <c r="G29" s="313">
        <f>F29/F$27</f>
        <v>-4.3731202771124875E-4</v>
      </c>
      <c r="I29" s="312">
        <v>-1000000</v>
      </c>
      <c r="J29" s="313">
        <f>I29/I$27</f>
        <v>-2.5950434669780721E-4</v>
      </c>
    </row>
    <row r="30" spans="1:12" ht="14.4">
      <c r="A30" t="s">
        <v>599</v>
      </c>
      <c r="C30" s="312">
        <f>C28+C29</f>
        <v>-140616479.39199999</v>
      </c>
      <c r="D30" s="311">
        <f>C30/C$27</f>
        <v>-1.1576276222441841E-2</v>
      </c>
      <c r="F30" s="312">
        <f>F28+F29</f>
        <v>-183075651.06999999</v>
      </c>
      <c r="G30" s="311">
        <f>F30/F$27</f>
        <v>-1.1437312027711248E-2</v>
      </c>
      <c r="I30" s="312">
        <f>I28+I29</f>
        <v>-20264000</v>
      </c>
      <c r="J30" s="311">
        <f>I30/I$27</f>
        <v>-5.2585960814843652E-3</v>
      </c>
    </row>
    <row r="31" spans="1:12" ht="14.4">
      <c r="A31" s="292" t="s">
        <v>600</v>
      </c>
      <c r="B31" s="292"/>
      <c r="C31" s="308">
        <f>C27+C30</f>
        <v>12006336192.608</v>
      </c>
      <c r="D31" s="314">
        <f>C31/C$27</f>
        <v>0.98842372377755816</v>
      </c>
      <c r="E31" s="292"/>
      <c r="F31" s="308">
        <f>F27+F30</f>
        <v>15823801718.93</v>
      </c>
      <c r="G31" s="314">
        <f>F31/F$27</f>
        <v>0.98856268797228875</v>
      </c>
      <c r="H31" s="292"/>
      <c r="I31" s="308">
        <f>I27+I30</f>
        <v>3833236000</v>
      </c>
      <c r="J31" s="314">
        <f>I31/I$27</f>
        <v>0.99474140391851562</v>
      </c>
    </row>
    <row r="32" spans="1:12">
      <c r="A32" t="s">
        <v>601</v>
      </c>
      <c r="C32" s="310">
        <f>C5*(36-C52)+C29</f>
        <v>6401720000</v>
      </c>
      <c r="F32" s="310">
        <f>F5*(F24-F52)+F29</f>
        <v>6757760000</v>
      </c>
      <c r="I32" s="310">
        <f>I5*(I24-I52)+I29</f>
        <v>1478180382.8227999</v>
      </c>
    </row>
    <row r="33" spans="1:14">
      <c r="A33" t="s">
        <v>602</v>
      </c>
      <c r="C33" s="310">
        <f>C6*(36-C52)</f>
        <v>5604616192.6079998</v>
      </c>
      <c r="F33" s="310">
        <f>F6*(F24-F52)</f>
        <v>9066041718.9300003</v>
      </c>
      <c r="I33" s="310">
        <f>I6*(I24-I52)</f>
        <v>2355055617.1771998</v>
      </c>
    </row>
    <row r="34" spans="1:14" ht="6.3" customHeight="1">
      <c r="C34" s="315"/>
      <c r="F34" s="315"/>
    </row>
    <row r="35" spans="1:14" ht="10.8" customHeight="1">
      <c r="A35" s="316" t="s">
        <v>603</v>
      </c>
      <c r="C35"/>
      <c r="L35" s="317">
        <f>C17+C5-C12</f>
        <v>0</v>
      </c>
      <c r="M35" s="317">
        <f>F17+F5-F12</f>
        <v>0</v>
      </c>
      <c r="N35" s="12" t="s">
        <v>604</v>
      </c>
    </row>
    <row r="36" spans="1:14" ht="10.8" customHeight="1">
      <c r="A36" s="316" t="s">
        <v>605</v>
      </c>
      <c r="C36"/>
      <c r="L36" s="318">
        <f>C7/C12</f>
        <v>0.15781194207010393</v>
      </c>
      <c r="M36" s="318">
        <f>F7/F12</f>
        <v>0.1970144347443932</v>
      </c>
      <c r="N36" s="319" t="s">
        <v>606</v>
      </c>
    </row>
    <row r="37" spans="1:14" ht="7.2" customHeight="1">
      <c r="C37"/>
    </row>
    <row r="38" spans="1:14" ht="14.4">
      <c r="A38" s="292" t="s">
        <v>607</v>
      </c>
      <c r="B38" s="292"/>
      <c r="C38" s="308">
        <f>C12*36</f>
        <v>76971061332</v>
      </c>
      <c r="D38" s="308"/>
      <c r="E38" s="308"/>
      <c r="F38" s="308">
        <f>F12*F24</f>
        <v>81247231406</v>
      </c>
      <c r="G38" s="308"/>
      <c r="H38" s="308"/>
      <c r="I38" s="308">
        <f>I12*I24</f>
        <v>139838724438.89999</v>
      </c>
      <c r="L38" s="320" t="s">
        <v>608</v>
      </c>
      <c r="M38" s="320" t="s">
        <v>609</v>
      </c>
    </row>
    <row r="39" spans="1:14" ht="6.6" customHeight="1">
      <c r="C39"/>
      <c r="L39" s="2"/>
    </row>
    <row r="40" spans="1:14" ht="28.8">
      <c r="A40" s="321" t="s">
        <v>610</v>
      </c>
      <c r="B40" s="292"/>
      <c r="C40" s="322" t="s">
        <v>611</v>
      </c>
      <c r="D40" s="292"/>
      <c r="E40" s="323"/>
      <c r="F40" s="322" t="s">
        <v>612</v>
      </c>
      <c r="G40" s="292"/>
      <c r="H40" s="292"/>
      <c r="I40" s="324" t="s">
        <v>613</v>
      </c>
      <c r="L40" s="325">
        <f>(1338453216+141776569+93815940)</f>
        <v>1574045725</v>
      </c>
      <c r="M40" s="325">
        <f>(1194153445+149432006+47315862)</f>
        <v>1390901313</v>
      </c>
      <c r="N40" s="2" t="s">
        <v>614</v>
      </c>
    </row>
    <row r="41" spans="1:14" ht="7.2" customHeight="1">
      <c r="C41"/>
      <c r="L41" s="2"/>
    </row>
    <row r="42" spans="1:14" ht="14.4">
      <c r="A42" s="291" t="s">
        <v>615</v>
      </c>
      <c r="B42" s="292"/>
      <c r="C42" s="326"/>
      <c r="D42" s="323"/>
      <c r="E42" s="323"/>
      <c r="F42" s="326"/>
      <c r="G42" s="292"/>
      <c r="H42" s="292"/>
      <c r="I42" s="327"/>
      <c r="L42" s="328">
        <f>L40/L12</f>
        <v>0.73619416335684318</v>
      </c>
      <c r="M42" s="328">
        <f>M40/F12</f>
        <v>0.65053601186583676</v>
      </c>
      <c r="N42" s="2" t="s">
        <v>616</v>
      </c>
    </row>
    <row r="43" spans="1:14" ht="14.4">
      <c r="A43" s="292" t="s">
        <v>617</v>
      </c>
      <c r="B43" s="292"/>
      <c r="C43" s="329">
        <f>C5/C12</f>
        <v>8.4187484073394228E-2</v>
      </c>
      <c r="E43" s="323"/>
      <c r="F43" s="329">
        <f>F5/F12</f>
        <v>8.4187484073394228E-2</v>
      </c>
      <c r="G43" s="292"/>
      <c r="H43" s="292"/>
      <c r="I43" s="329">
        <f>I5/I12</f>
        <v>1.0630904272153513E-2</v>
      </c>
      <c r="L43" s="294"/>
      <c r="M43" s="294"/>
    </row>
    <row r="44" spans="1:14" ht="14.4">
      <c r="A44" s="292" t="s">
        <v>618</v>
      </c>
      <c r="B44" s="292"/>
      <c r="C44" s="329">
        <f>C5/(C10+C11*10)</f>
        <v>1.1253316001262779E-2</v>
      </c>
      <c r="E44" s="323"/>
      <c r="F44" s="329">
        <f>F5/(F10+F11*10)</f>
        <v>1.1480017499383545E-2</v>
      </c>
      <c r="G44" s="292"/>
      <c r="H44" s="292"/>
      <c r="I44" s="329">
        <f>I5/(I10+I11*10)</f>
        <v>3.391070753251789E-3</v>
      </c>
      <c r="L44" s="294"/>
      <c r="M44" s="294"/>
    </row>
    <row r="45" spans="1:14" ht="14.4">
      <c r="A45" s="292" t="s">
        <v>619</v>
      </c>
      <c r="B45" s="292"/>
      <c r="C45" s="329">
        <v>0.57299999999999995</v>
      </c>
      <c r="E45" s="323"/>
      <c r="F45" s="329">
        <v>0.55900000000000005</v>
      </c>
      <c r="H45" s="292"/>
      <c r="I45" s="329">
        <v>0.628</v>
      </c>
      <c r="L45" s="294"/>
      <c r="M45" s="294"/>
    </row>
    <row r="46" spans="1:14" ht="14.4">
      <c r="A46" s="292"/>
      <c r="B46" s="292"/>
      <c r="C46" s="330"/>
      <c r="D46" s="292"/>
      <c r="E46" s="292"/>
      <c r="F46" s="331"/>
      <c r="G46" s="292"/>
      <c r="H46" s="292"/>
      <c r="I46" s="327"/>
    </row>
    <row r="47" spans="1:14" ht="7.2" customHeight="1"/>
    <row r="48" spans="1:14" ht="15">
      <c r="C48" s="279" t="s">
        <v>572</v>
      </c>
      <c r="D48" s="280"/>
      <c r="E48" s="280"/>
      <c r="F48" s="279"/>
      <c r="G48" s="280"/>
      <c r="I48" s="281" t="s">
        <v>573</v>
      </c>
      <c r="J48" s="282"/>
    </row>
    <row r="49" spans="1:14" ht="4.2" customHeight="1"/>
    <row r="50" spans="1:14" ht="14.4">
      <c r="B50" s="283"/>
      <c r="C50" s="284" t="s">
        <v>575</v>
      </c>
      <c r="D50" s="285"/>
      <c r="F50" s="286" t="s">
        <v>576</v>
      </c>
      <c r="G50" s="287"/>
      <c r="I50" s="288" t="s">
        <v>577</v>
      </c>
      <c r="J50" s="289"/>
    </row>
    <row r="51" spans="1:14" ht="13.8" customHeight="1">
      <c r="A51" s="291" t="s">
        <v>620</v>
      </c>
    </row>
    <row r="52" spans="1:14" ht="13.5" customHeight="1">
      <c r="A52" t="s">
        <v>621</v>
      </c>
      <c r="C52" s="315">
        <f>36*C53</f>
        <v>0.39599999999999996</v>
      </c>
      <c r="F52" s="315">
        <f>0.418</f>
        <v>0.41799999999999998</v>
      </c>
      <c r="I52" s="315">
        <v>0.2752</v>
      </c>
    </row>
    <row r="53" spans="1:14" ht="13.5" customHeight="1">
      <c r="A53" t="s">
        <v>622</v>
      </c>
      <c r="C53" s="311">
        <f>F53</f>
        <v>1.0999999999999999E-2</v>
      </c>
      <c r="F53" s="311">
        <f>F52/F24</f>
        <v>1.0999999999999999E-2</v>
      </c>
      <c r="I53" s="311">
        <f>I52/I24</f>
        <v>4.9990917347865578E-3</v>
      </c>
    </row>
    <row r="54" spans="1:14" ht="7.2" customHeight="1">
      <c r="C54" s="311"/>
      <c r="F54" s="311"/>
      <c r="I54" s="311"/>
    </row>
    <row r="55" spans="1:14" ht="14.4">
      <c r="A55" s="332" t="s">
        <v>623</v>
      </c>
      <c r="C55" s="315"/>
      <c r="F55" s="315"/>
    </row>
    <row r="56" spans="1:14" ht="13.5" customHeight="1">
      <c r="A56" t="s">
        <v>624</v>
      </c>
      <c r="C56" s="310">
        <f>C5*C52</f>
        <v>71280000</v>
      </c>
      <c r="F56" s="310">
        <f>F5*F52</f>
        <v>75240000</v>
      </c>
      <c r="I56" s="310">
        <f>I5*I52</f>
        <v>7431710.2271999996</v>
      </c>
    </row>
    <row r="57" spans="1:14" ht="13.5" customHeight="1">
      <c r="A57" t="s">
        <v>625</v>
      </c>
      <c r="C57" s="312">
        <f>C6*C52</f>
        <v>62336479.391999997</v>
      </c>
      <c r="F57" s="312">
        <f>F6*F52</f>
        <v>100835651.06999999</v>
      </c>
      <c r="I57" s="312">
        <f>I6*I52</f>
        <v>11832289.7728</v>
      </c>
    </row>
    <row r="58" spans="1:14" ht="13.5" customHeight="1">
      <c r="A58" t="s">
        <v>626</v>
      </c>
      <c r="C58" s="310">
        <f>C7*C52</f>
        <v>133616479.39199999</v>
      </c>
      <c r="F58" s="310">
        <f>F7*F52</f>
        <v>176075651.06999999</v>
      </c>
      <c r="I58" s="310">
        <f>I7*I52</f>
        <v>19264000</v>
      </c>
    </row>
    <row r="59" spans="1:14" ht="14.4" customHeight="1">
      <c r="A59" s="332" t="s">
        <v>627</v>
      </c>
      <c r="C59"/>
      <c r="D59" s="5"/>
      <c r="F59"/>
      <c r="J59" s="5"/>
      <c r="L59" s="320" t="s">
        <v>608</v>
      </c>
      <c r="M59" s="320" t="s">
        <v>609</v>
      </c>
    </row>
    <row r="60" spans="1:14" ht="13.5" customHeight="1">
      <c r="A60" t="s">
        <v>624</v>
      </c>
      <c r="C60" s="310">
        <f>(C5+C20)*C52</f>
        <v>73667875.247999996</v>
      </c>
      <c r="F60" s="310">
        <f>(F5+F20)*F52</f>
        <v>76533643.956</v>
      </c>
      <c r="I60" s="310">
        <f>I5*I52</f>
        <v>7431710.2271999996</v>
      </c>
      <c r="L60" s="310">
        <f>C60-C56</f>
        <v>2387875.2479999959</v>
      </c>
      <c r="M60" s="310">
        <f>F60-F56</f>
        <v>1293643.9560000002</v>
      </c>
    </row>
    <row r="61" spans="1:14" ht="13.5" customHeight="1">
      <c r="A61" t="s">
        <v>625</v>
      </c>
      <c r="C61" s="312">
        <f>(C6+C21)*C52</f>
        <v>79991075.735999987</v>
      </c>
      <c r="F61" s="312">
        <f>(F6+F21)*F52</f>
        <v>125953354.67</v>
      </c>
      <c r="I61" s="312">
        <f>(I6+I19)*I52</f>
        <v>11832289.7728</v>
      </c>
      <c r="L61" s="333">
        <f>C61-C57</f>
        <v>17654596.343999989</v>
      </c>
      <c r="M61" s="333">
        <f>F61-F57</f>
        <v>25117703.600000009</v>
      </c>
    </row>
    <row r="62" spans="1:14" ht="13.5" customHeight="1">
      <c r="A62" t="s">
        <v>626</v>
      </c>
      <c r="C62" s="310">
        <f>(C7+C22)*C52</f>
        <v>153658950.984</v>
      </c>
      <c r="F62" s="310">
        <f>(F7+F22)*F52</f>
        <v>202486998.62599999</v>
      </c>
      <c r="I62" s="310">
        <f>(I7+I19)*I52</f>
        <v>19264000</v>
      </c>
      <c r="L62" s="310">
        <f>C62-C58</f>
        <v>20042471.592000008</v>
      </c>
      <c r="M62" s="310">
        <f>F62-F58</f>
        <v>26411347.555999994</v>
      </c>
      <c r="N62" t="s">
        <v>628</v>
      </c>
    </row>
    <row r="63" spans="1:14" ht="8.6999999999999993" customHeight="1"/>
    <row r="64" spans="1:14" ht="8.6999999999999993" customHeight="1"/>
    <row r="65" spans="1:13" ht="14.4">
      <c r="A65" s="291" t="s">
        <v>629</v>
      </c>
    </row>
    <row r="66" spans="1:13">
      <c r="A66" s="32" t="s">
        <v>630</v>
      </c>
      <c r="C66" s="303" t="s">
        <v>592</v>
      </c>
      <c r="F66" s="283">
        <v>162174942</v>
      </c>
      <c r="G66" s="293">
        <f>F66/F$81</f>
        <v>0.3850000005341454</v>
      </c>
      <c r="I66" s="283">
        <v>8814067</v>
      </c>
      <c r="J66" s="334">
        <f t="shared" ref="J66:J80" si="0">I66/I$81</f>
        <v>0.12591524285714287</v>
      </c>
    </row>
    <row r="67" spans="1:13" ht="13.2" customHeight="1">
      <c r="A67" t="s">
        <v>631</v>
      </c>
      <c r="C67" s="303" t="s">
        <v>592</v>
      </c>
      <c r="F67" s="283">
        <v>84878573</v>
      </c>
      <c r="G67" s="293">
        <f t="shared" ref="G67:G79" si="1">F67/F$81</f>
        <v>0.20149999899699364</v>
      </c>
      <c r="I67" s="283">
        <v>9951366</v>
      </c>
      <c r="J67" s="334">
        <f t="shared" si="0"/>
        <v>0.14216237142857144</v>
      </c>
    </row>
    <row r="68" spans="1:13" ht="13.2" customHeight="1">
      <c r="A68" s="32" t="s">
        <v>632</v>
      </c>
      <c r="C68" s="303" t="s">
        <v>592</v>
      </c>
      <c r="F68" s="283">
        <v>63185042</v>
      </c>
      <c r="G68" s="293">
        <f t="shared" si="1"/>
        <v>0.1499999994065051</v>
      </c>
      <c r="I68" s="283">
        <v>0</v>
      </c>
      <c r="J68" s="334">
        <f t="shared" si="0"/>
        <v>0</v>
      </c>
    </row>
    <row r="69" spans="1:13" ht="13.2" customHeight="1">
      <c r="A69" t="s">
        <v>633</v>
      </c>
      <c r="C69" s="303" t="s">
        <v>592</v>
      </c>
      <c r="F69" s="283">
        <v>27380185</v>
      </c>
      <c r="G69" s="293">
        <f t="shared" si="1"/>
        <v>6.5000000059349486E-2</v>
      </c>
      <c r="I69" s="283">
        <v>9951366</v>
      </c>
      <c r="J69" s="293">
        <f t="shared" si="0"/>
        <v>0.14216237142857144</v>
      </c>
    </row>
    <row r="70" spans="1:13" ht="13.2" customHeight="1">
      <c r="A70" s="32" t="s">
        <v>634</v>
      </c>
      <c r="C70" s="303" t="s">
        <v>592</v>
      </c>
      <c r="F70" s="283">
        <v>27380185</v>
      </c>
      <c r="G70" s="293">
        <f t="shared" si="1"/>
        <v>6.5000000059349486E-2</v>
      </c>
      <c r="I70" s="283">
        <v>8814067</v>
      </c>
      <c r="J70" s="293">
        <f t="shared" si="0"/>
        <v>0.12591524285714287</v>
      </c>
    </row>
    <row r="71" spans="1:13" ht="13.2" customHeight="1">
      <c r="A71" s="32" t="s">
        <v>635</v>
      </c>
      <c r="C71" s="303" t="s">
        <v>592</v>
      </c>
      <c r="F71" s="283">
        <v>9477755</v>
      </c>
      <c r="G71" s="293">
        <f t="shared" si="1"/>
        <v>2.2499996824802315E-2</v>
      </c>
      <c r="I71" s="283">
        <v>4833520</v>
      </c>
      <c r="J71" s="293">
        <f t="shared" si="0"/>
        <v>6.9050285714285717E-2</v>
      </c>
      <c r="M71" s="32"/>
    </row>
    <row r="72" spans="1:13" ht="13.2" customHeight="1">
      <c r="A72" s="32" t="s">
        <v>636</v>
      </c>
      <c r="C72" s="303" t="s">
        <v>592</v>
      </c>
      <c r="F72" s="283">
        <v>9477755</v>
      </c>
      <c r="G72" s="293">
        <f t="shared" si="1"/>
        <v>2.2499996824802315E-2</v>
      </c>
      <c r="I72" s="283">
        <v>3980546</v>
      </c>
      <c r="J72" s="293">
        <f t="shared" si="0"/>
        <v>5.6864942857142858E-2</v>
      </c>
    </row>
    <row r="73" spans="1:13" ht="13.2" customHeight="1">
      <c r="A73" s="32" t="s">
        <v>637</v>
      </c>
      <c r="C73" s="303" t="s">
        <v>592</v>
      </c>
      <c r="F73" s="283">
        <v>9477755</v>
      </c>
      <c r="G73" s="293">
        <f t="shared" si="1"/>
        <v>2.2499996824802315E-2</v>
      </c>
      <c r="I73" s="283">
        <v>0</v>
      </c>
      <c r="J73" s="334">
        <f t="shared" si="0"/>
        <v>0</v>
      </c>
      <c r="M73" s="32"/>
    </row>
    <row r="74" spans="1:13" ht="13.2" customHeight="1">
      <c r="A74" s="32" t="s">
        <v>638</v>
      </c>
      <c r="C74" s="303" t="s">
        <v>592</v>
      </c>
      <c r="F74" s="283">
        <v>8424672</v>
      </c>
      <c r="G74" s="293">
        <f t="shared" si="1"/>
        <v>1.9999999287806127E-2</v>
      </c>
      <c r="I74" s="283">
        <v>909091</v>
      </c>
      <c r="J74" s="334">
        <f t="shared" si="0"/>
        <v>1.2987014285714285E-2</v>
      </c>
    </row>
    <row r="75" spans="1:13" ht="13.2" customHeight="1">
      <c r="A75" s="32" t="s">
        <v>639</v>
      </c>
      <c r="C75" s="303" t="s">
        <v>592</v>
      </c>
      <c r="F75" s="283">
        <v>4212336</v>
      </c>
      <c r="G75" s="293">
        <f t="shared" si="1"/>
        <v>9.9999996439030635E-3</v>
      </c>
      <c r="I75" s="283">
        <v>4833520</v>
      </c>
      <c r="J75" s="293">
        <f t="shared" si="0"/>
        <v>6.9050285714285717E-2</v>
      </c>
    </row>
    <row r="76" spans="1:13" ht="13.2" customHeight="1">
      <c r="A76" s="32" t="s">
        <v>640</v>
      </c>
      <c r="C76" s="303" t="s">
        <v>592</v>
      </c>
      <c r="F76" s="283">
        <v>4212336</v>
      </c>
      <c r="G76" s="293">
        <f t="shared" si="1"/>
        <v>9.9999996439030635E-3</v>
      </c>
      <c r="I76" s="283">
        <v>0</v>
      </c>
      <c r="J76" s="334">
        <f t="shared" si="0"/>
        <v>0</v>
      </c>
    </row>
    <row r="77" spans="1:13" ht="13.2" customHeight="1">
      <c r="A77" s="32" t="s">
        <v>641</v>
      </c>
      <c r="C77" s="303" t="s">
        <v>592</v>
      </c>
      <c r="F77" s="283">
        <v>0</v>
      </c>
      <c r="G77" s="293">
        <f t="shared" si="1"/>
        <v>0</v>
      </c>
      <c r="I77" s="283">
        <v>5402170</v>
      </c>
      <c r="J77" s="293">
        <f t="shared" si="0"/>
        <v>7.7173857142857141E-2</v>
      </c>
    </row>
    <row r="78" spans="1:13" ht="13.2" customHeight="1">
      <c r="A78" s="32" t="s">
        <v>642</v>
      </c>
      <c r="C78" s="303" t="s">
        <v>592</v>
      </c>
      <c r="F78" s="283">
        <v>0</v>
      </c>
      <c r="G78" s="293">
        <f t="shared" si="1"/>
        <v>0</v>
      </c>
      <c r="I78" s="283">
        <v>3980546</v>
      </c>
      <c r="J78" s="293">
        <f t="shared" si="0"/>
        <v>5.6864942857142858E-2</v>
      </c>
    </row>
    <row r="79" spans="1:13" ht="13.2" customHeight="1">
      <c r="A79" s="32" t="s">
        <v>643</v>
      </c>
      <c r="C79" s="303" t="s">
        <v>592</v>
      </c>
      <c r="F79" s="283">
        <v>0</v>
      </c>
      <c r="G79" s="293">
        <f t="shared" si="1"/>
        <v>0</v>
      </c>
      <c r="I79" s="283">
        <v>2843247</v>
      </c>
      <c r="J79" s="293">
        <f t="shared" si="0"/>
        <v>4.0617814285714288E-2</v>
      </c>
      <c r="M79" s="335"/>
    </row>
    <row r="80" spans="1:13" ht="13.2" customHeight="1" thickBot="1">
      <c r="A80" s="32" t="s">
        <v>644</v>
      </c>
      <c r="C80" s="336" t="s">
        <v>592</v>
      </c>
      <c r="F80" s="337">
        <f>F81-SUM(F66:F79)</f>
        <v>10952079</v>
      </c>
      <c r="G80" s="301">
        <f>F80/F$81</f>
        <v>2.6000011893637692E-2</v>
      </c>
      <c r="I80" s="337">
        <f>I81-SUM(I66:I79)</f>
        <v>5686494</v>
      </c>
      <c r="J80" s="301">
        <f t="shared" si="0"/>
        <v>8.1235628571428575E-2</v>
      </c>
      <c r="M80" s="335"/>
    </row>
    <row r="81" spans="1:10" ht="14.4">
      <c r="A81" s="292" t="s">
        <v>118</v>
      </c>
      <c r="C81" s="338" t="s">
        <v>592</v>
      </c>
      <c r="F81" s="330">
        <f>F7</f>
        <v>421233615</v>
      </c>
      <c r="G81" s="293">
        <f>SUM(G66:G80)</f>
        <v>1</v>
      </c>
      <c r="I81" s="330">
        <f>I7</f>
        <v>70000000</v>
      </c>
      <c r="J81" s="293">
        <f>SUM(J66:J80)</f>
        <v>1</v>
      </c>
    </row>
    <row r="82" spans="1:10" ht="14.4">
      <c r="J82" s="292"/>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workbookViewId="0">
      <selection activeCell="H28" sqref="H28"/>
    </sheetView>
  </sheetViews>
  <sheetFormatPr baseColWidth="10" defaultRowHeight="12.3"/>
  <cols>
    <col min="1" max="16384" width="10.6640625" style="182"/>
  </cols>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63"/>
  <sheetViews>
    <sheetView topLeftCell="A7" workbookViewId="0">
      <selection activeCell="H28" sqref="H28"/>
    </sheetView>
  </sheetViews>
  <sheetFormatPr baseColWidth="10" defaultColWidth="20.88671875" defaultRowHeight="12.3" outlineLevelCol="7"/>
  <cols>
    <col min="1" max="1" width="3" style="250" customWidth="1" outlineLevel="7"/>
    <col min="2" max="2" width="41.27734375" style="250" customWidth="1" outlineLevel="7"/>
    <col min="3" max="5" width="12.71875" style="250" customWidth="1" outlineLevel="7"/>
    <col min="6" max="6" width="3.21875" style="250" customWidth="1" outlineLevel="7"/>
    <col min="7" max="8" width="12.71875" style="250" customWidth="1" outlineLevel="7"/>
    <col min="9" max="16384" width="20.88671875" style="250"/>
  </cols>
  <sheetData>
    <row r="1" spans="1:8">
      <c r="A1" s="249" t="s">
        <v>434</v>
      </c>
    </row>
    <row r="2" spans="1:8">
      <c r="A2" s="250" t="s">
        <v>435</v>
      </c>
    </row>
    <row r="3" spans="1:8">
      <c r="B3" s="250" t="s">
        <v>204</v>
      </c>
      <c r="C3" s="250" t="s">
        <v>204</v>
      </c>
      <c r="D3" s="250" t="s">
        <v>204</v>
      </c>
      <c r="E3" s="250" t="s">
        <v>204</v>
      </c>
    </row>
    <row r="4" spans="1:8">
      <c r="B4" s="250" t="s">
        <v>204</v>
      </c>
      <c r="C4" s="251" t="s">
        <v>375</v>
      </c>
      <c r="D4" s="251"/>
      <c r="E4" s="251"/>
      <c r="G4" s="251" t="s">
        <v>376</v>
      </c>
      <c r="H4" s="251"/>
    </row>
    <row r="5" spans="1:8">
      <c r="B5" s="250" t="s">
        <v>204</v>
      </c>
      <c r="C5" s="252">
        <v>2009</v>
      </c>
      <c r="D5" s="252">
        <v>2010</v>
      </c>
      <c r="E5" s="252">
        <v>2011</v>
      </c>
      <c r="G5" s="252">
        <v>2011</v>
      </c>
      <c r="H5" s="252">
        <v>2012</v>
      </c>
    </row>
    <row r="6" spans="1:8">
      <c r="B6" s="250" t="s">
        <v>204</v>
      </c>
      <c r="C6" s="250" t="s">
        <v>204</v>
      </c>
      <c r="D6" s="250" t="s">
        <v>204</v>
      </c>
      <c r="E6" s="250" t="s">
        <v>204</v>
      </c>
      <c r="G6" s="253" t="s">
        <v>377</v>
      </c>
    </row>
    <row r="7" spans="1:8">
      <c r="G7" s="253"/>
    </row>
    <row r="8" spans="1:8">
      <c r="B8" s="259" t="s">
        <v>129</v>
      </c>
      <c r="C8" s="263">
        <v>777</v>
      </c>
      <c r="D8" s="263">
        <v>1974</v>
      </c>
      <c r="E8" s="263">
        <v>3711</v>
      </c>
      <c r="F8" s="263"/>
      <c r="G8" s="263">
        <v>731</v>
      </c>
      <c r="H8" s="263">
        <v>1058</v>
      </c>
    </row>
    <row r="10" spans="1:8">
      <c r="B10" s="249" t="s">
        <v>436</v>
      </c>
    </row>
    <row r="11" spans="1:8">
      <c r="B11" s="250" t="s">
        <v>437</v>
      </c>
      <c r="C11" s="257">
        <v>223</v>
      </c>
      <c r="D11" s="257">
        <v>493</v>
      </c>
      <c r="E11" s="257">
        <v>860</v>
      </c>
      <c r="F11" s="257"/>
      <c r="G11" s="257">
        <v>167</v>
      </c>
      <c r="H11" s="257">
        <v>277</v>
      </c>
    </row>
    <row r="12" spans="1:8">
      <c r="B12" s="250" t="s">
        <v>438</v>
      </c>
      <c r="C12" s="257">
        <v>115</v>
      </c>
      <c r="D12" s="257">
        <v>184</v>
      </c>
      <c r="E12" s="257">
        <v>427</v>
      </c>
      <c r="F12" s="257"/>
      <c r="G12" s="257">
        <v>68</v>
      </c>
      <c r="H12" s="257">
        <v>159</v>
      </c>
    </row>
    <row r="13" spans="1:8">
      <c r="B13" s="250" t="s">
        <v>439</v>
      </c>
      <c r="C13" s="257">
        <v>87</v>
      </c>
      <c r="D13" s="257">
        <v>144</v>
      </c>
      <c r="E13" s="257">
        <v>388</v>
      </c>
      <c r="F13" s="257"/>
      <c r="G13" s="257">
        <v>57</v>
      </c>
      <c r="H13" s="257">
        <v>153</v>
      </c>
    </row>
    <row r="14" spans="1:8">
      <c r="B14" s="250" t="s">
        <v>440</v>
      </c>
      <c r="C14" s="257">
        <v>90</v>
      </c>
      <c r="D14" s="257">
        <v>121</v>
      </c>
      <c r="E14" s="257">
        <v>280</v>
      </c>
      <c r="F14" s="257"/>
      <c r="G14" s="257">
        <v>51</v>
      </c>
      <c r="H14" s="257">
        <v>88</v>
      </c>
    </row>
    <row r="15" spans="1:8" ht="4.5" customHeight="1"/>
    <row r="16" spans="1:8">
      <c r="B16" s="250" t="s">
        <v>16</v>
      </c>
      <c r="C16" s="257">
        <v>515</v>
      </c>
      <c r="D16" s="257">
        <v>942</v>
      </c>
      <c r="E16" s="257">
        <v>1955</v>
      </c>
      <c r="F16" s="257"/>
      <c r="G16" s="257">
        <v>343</v>
      </c>
      <c r="H16" s="257">
        <v>677</v>
      </c>
    </row>
    <row r="17" spans="2:8" ht="5.4" customHeight="1"/>
    <row r="18" spans="2:8">
      <c r="B18" s="259" t="s">
        <v>127</v>
      </c>
      <c r="C18" s="260">
        <v>262</v>
      </c>
      <c r="D18" s="260">
        <v>1032</v>
      </c>
      <c r="E18" s="260">
        <v>1756</v>
      </c>
      <c r="F18" s="260"/>
      <c r="G18" s="260">
        <v>388</v>
      </c>
      <c r="H18" s="260">
        <v>381</v>
      </c>
    </row>
    <row r="20" spans="2:8">
      <c r="B20" s="249" t="s">
        <v>441</v>
      </c>
    </row>
    <row r="21" spans="2:8">
      <c r="B21" s="250" t="s">
        <v>442</v>
      </c>
      <c r="C21" s="257">
        <v>-10</v>
      </c>
      <c r="D21" s="257">
        <v>-22</v>
      </c>
      <c r="E21" s="257">
        <v>-42</v>
      </c>
      <c r="F21" s="257"/>
      <c r="G21" s="257">
        <v>-7</v>
      </c>
      <c r="H21" s="257">
        <v>-13</v>
      </c>
    </row>
    <row r="22" spans="2:8">
      <c r="B22" s="250" t="s">
        <v>443</v>
      </c>
      <c r="C22" s="257">
        <v>2</v>
      </c>
      <c r="D22" s="257">
        <v>-2</v>
      </c>
      <c r="E22" s="257">
        <v>-19</v>
      </c>
      <c r="F22" s="257"/>
      <c r="G22" s="257">
        <v>17</v>
      </c>
      <c r="H22" s="257">
        <v>14</v>
      </c>
    </row>
    <row r="23" spans="2:8" ht="7.5" customHeight="1"/>
    <row r="24" spans="2:8">
      <c r="B24" s="259" t="s">
        <v>18</v>
      </c>
      <c r="C24" s="260">
        <v>254</v>
      </c>
      <c r="D24" s="260">
        <v>1008</v>
      </c>
      <c r="E24" s="260">
        <v>1695</v>
      </c>
      <c r="F24" s="260"/>
      <c r="G24" s="260">
        <v>398</v>
      </c>
      <c r="H24" s="260">
        <v>382</v>
      </c>
    </row>
    <row r="25" spans="2:8">
      <c r="B25" s="250" t="s">
        <v>0</v>
      </c>
      <c r="C25" s="257">
        <v>25</v>
      </c>
      <c r="D25" s="257">
        <v>402</v>
      </c>
      <c r="E25" s="257">
        <v>695</v>
      </c>
      <c r="F25" s="257"/>
      <c r="G25" s="257">
        <v>165</v>
      </c>
      <c r="H25" s="257">
        <v>177</v>
      </c>
    </row>
    <row r="27" spans="2:8">
      <c r="B27" s="259" t="s">
        <v>128</v>
      </c>
      <c r="C27" s="263">
        <v>229</v>
      </c>
      <c r="D27" s="263">
        <v>606</v>
      </c>
      <c r="E27" s="263">
        <v>1000</v>
      </c>
      <c r="F27" s="263"/>
      <c r="G27" s="263">
        <v>233</v>
      </c>
      <c r="H27" s="263">
        <v>205</v>
      </c>
    </row>
    <row r="29" spans="2:8">
      <c r="B29" s="250" t="s">
        <v>444</v>
      </c>
      <c r="C29" s="257">
        <v>107</v>
      </c>
      <c r="D29" s="257">
        <v>234</v>
      </c>
      <c r="E29" s="257">
        <v>332</v>
      </c>
      <c r="F29" s="257"/>
      <c r="G29" s="257">
        <v>80</v>
      </c>
      <c r="H29" s="257">
        <v>68</v>
      </c>
    </row>
    <row r="31" spans="2:8">
      <c r="B31" s="250" t="s">
        <v>445</v>
      </c>
    </row>
    <row r="32" spans="2:8">
      <c r="B32" s="250" t="s">
        <v>446</v>
      </c>
      <c r="C32" s="254">
        <v>122</v>
      </c>
      <c r="D32" s="254">
        <v>372</v>
      </c>
      <c r="E32" s="254">
        <v>668</v>
      </c>
      <c r="F32" s="254"/>
      <c r="G32" s="254">
        <v>153</v>
      </c>
      <c r="H32" s="254">
        <v>137</v>
      </c>
    </row>
    <row r="34" spans="2:8">
      <c r="B34" s="250" t="s">
        <v>447</v>
      </c>
    </row>
    <row r="35" spans="2:8">
      <c r="B35" s="250" t="s">
        <v>448</v>
      </c>
    </row>
    <row r="36" spans="2:8">
      <c r="B36" s="250" t="s">
        <v>21</v>
      </c>
      <c r="C36" s="264">
        <v>0.12</v>
      </c>
      <c r="D36" s="264">
        <v>0.34</v>
      </c>
      <c r="E36" s="264">
        <v>0.52</v>
      </c>
      <c r="F36" s="264"/>
      <c r="G36" s="264">
        <v>0.12</v>
      </c>
      <c r="H36" s="264">
        <v>0.1</v>
      </c>
    </row>
    <row r="38" spans="2:8">
      <c r="B38" s="250" t="s">
        <v>22</v>
      </c>
      <c r="C38" s="264">
        <v>0.1</v>
      </c>
      <c r="D38" s="264">
        <v>0.28000000000000003</v>
      </c>
      <c r="E38" s="264">
        <v>0.46</v>
      </c>
      <c r="F38" s="264"/>
      <c r="G38" s="264">
        <v>0.11</v>
      </c>
      <c r="H38" s="264">
        <v>0.09</v>
      </c>
    </row>
    <row r="40" spans="2:8">
      <c r="B40" s="250" t="s">
        <v>449</v>
      </c>
    </row>
    <row r="41" spans="2:8">
      <c r="B41" s="250" t="s">
        <v>450</v>
      </c>
    </row>
    <row r="42" spans="2:8">
      <c r="B42" s="250" t="s">
        <v>451</v>
      </c>
    </row>
    <row r="43" spans="2:8">
      <c r="B43" s="250" t="s">
        <v>21</v>
      </c>
      <c r="C43" s="250" t="s">
        <v>204</v>
      </c>
      <c r="D43" s="250" t="s">
        <v>204</v>
      </c>
      <c r="E43" s="264">
        <v>0.49</v>
      </c>
      <c r="F43" s="264"/>
      <c r="G43" s="250" t="s">
        <v>204</v>
      </c>
      <c r="H43" s="264">
        <v>0.1</v>
      </c>
    </row>
    <row r="45" spans="2:8">
      <c r="B45" s="250" t="s">
        <v>22</v>
      </c>
      <c r="C45" s="250" t="s">
        <v>204</v>
      </c>
      <c r="D45" s="250" t="s">
        <v>204</v>
      </c>
      <c r="E45" s="264">
        <v>0.43</v>
      </c>
      <c r="F45" s="264"/>
      <c r="G45" s="250" t="s">
        <v>204</v>
      </c>
      <c r="H45" s="264">
        <v>0.09</v>
      </c>
    </row>
    <row r="47" spans="2:8">
      <c r="B47" s="250" t="s">
        <v>452</v>
      </c>
    </row>
    <row r="48" spans="2:8">
      <c r="B48" s="250" t="s">
        <v>453</v>
      </c>
    </row>
    <row r="49" spans="2:8">
      <c r="B49" s="250" t="s">
        <v>437</v>
      </c>
      <c r="C49" s="264">
        <v>0</v>
      </c>
      <c r="D49" s="264">
        <v>0</v>
      </c>
      <c r="E49" s="261" t="s">
        <v>421</v>
      </c>
      <c r="G49" s="264">
        <v>0</v>
      </c>
      <c r="H49" s="261" t="s">
        <v>454</v>
      </c>
    </row>
    <row r="50" spans="2:8">
      <c r="B50" s="250" t="s">
        <v>438</v>
      </c>
      <c r="C50" s="257">
        <v>2</v>
      </c>
      <c r="D50" s="257">
        <v>2</v>
      </c>
      <c r="E50" s="257">
        <v>43</v>
      </c>
      <c r="F50" s="257"/>
      <c r="G50" s="258">
        <v>0</v>
      </c>
      <c r="H50" s="257">
        <v>23</v>
      </c>
    </row>
    <row r="51" spans="2:8">
      <c r="B51" s="250" t="s">
        <v>439</v>
      </c>
      <c r="C51" s="257">
        <v>6</v>
      </c>
      <c r="D51" s="257">
        <v>9</v>
      </c>
      <c r="E51" s="257">
        <v>114</v>
      </c>
      <c r="F51" s="257"/>
      <c r="G51" s="257">
        <v>4</v>
      </c>
      <c r="H51" s="257">
        <v>60</v>
      </c>
    </row>
    <row r="52" spans="2:8">
      <c r="B52" s="250" t="s">
        <v>440</v>
      </c>
      <c r="C52" s="257">
        <v>19</v>
      </c>
      <c r="D52" s="257">
        <v>9</v>
      </c>
      <c r="E52" s="257">
        <v>51</v>
      </c>
      <c r="F52" s="257"/>
      <c r="G52" s="257">
        <v>3</v>
      </c>
      <c r="H52" s="257">
        <v>16</v>
      </c>
    </row>
    <row r="54" spans="2:8">
      <c r="B54" s="250" t="s">
        <v>455</v>
      </c>
      <c r="C54" s="254">
        <v>27</v>
      </c>
      <c r="D54" s="254">
        <v>20</v>
      </c>
      <c r="E54" s="254">
        <v>217</v>
      </c>
      <c r="F54" s="254"/>
      <c r="G54" s="250" t="s">
        <v>422</v>
      </c>
      <c r="H54" s="254">
        <v>103</v>
      </c>
    </row>
    <row r="57" spans="2:8">
      <c r="B57" s="265" t="s">
        <v>456</v>
      </c>
    </row>
    <row r="59" spans="2:8">
      <c r="B59" s="250" t="s">
        <v>128</v>
      </c>
      <c r="C59" s="254">
        <v>229</v>
      </c>
      <c r="D59" s="254">
        <v>606</v>
      </c>
      <c r="E59" s="254">
        <v>1000</v>
      </c>
      <c r="F59" s="254"/>
      <c r="G59" s="254">
        <v>233</v>
      </c>
      <c r="H59" s="254">
        <v>205</v>
      </c>
    </row>
    <row r="60" spans="2:8">
      <c r="B60" s="250" t="s">
        <v>457</v>
      </c>
    </row>
    <row r="61" spans="2:8">
      <c r="B61" s="250" t="s">
        <v>458</v>
      </c>
      <c r="C61" s="258">
        <v>0</v>
      </c>
      <c r="D61" s="257">
        <v>-6</v>
      </c>
      <c r="E61" s="258">
        <v>0</v>
      </c>
      <c r="F61" s="258"/>
      <c r="G61" s="257">
        <v>1</v>
      </c>
      <c r="H61" s="257">
        <v>-1</v>
      </c>
    </row>
    <row r="63" spans="2:8">
      <c r="B63" s="250" t="s">
        <v>459</v>
      </c>
      <c r="C63" s="254">
        <v>229</v>
      </c>
      <c r="D63" s="254">
        <v>600</v>
      </c>
      <c r="E63" s="254">
        <v>1000</v>
      </c>
      <c r="F63" s="254"/>
      <c r="G63" s="254">
        <v>234</v>
      </c>
      <c r="H63" s="254">
        <v>204</v>
      </c>
    </row>
  </sheetData>
  <pageMargins left="0.75" right="0.75" top="1" bottom="1" header="0.5" footer="0.5"/>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77"/>
  <sheetViews>
    <sheetView topLeftCell="A53" workbookViewId="0">
      <selection activeCell="H28" sqref="H28"/>
    </sheetView>
  </sheetViews>
  <sheetFormatPr baseColWidth="10" defaultColWidth="20.88671875" defaultRowHeight="12.3" outlineLevelCol="7"/>
  <cols>
    <col min="1" max="1" width="3" style="250" customWidth="1" outlineLevel="7"/>
    <col min="2" max="2" width="51" style="250" customWidth="1" outlineLevel="7"/>
    <col min="3" max="3" width="15" style="250" customWidth="1" outlineLevel="7"/>
    <col min="4" max="4" width="14" style="250" customWidth="1" outlineLevel="7"/>
    <col min="5" max="5" width="4.6640625" style="250" customWidth="1" outlineLevel="7"/>
    <col min="6" max="7" width="14" style="250" customWidth="1" outlineLevel="7"/>
    <col min="8" max="16384" width="20.88671875" style="250"/>
  </cols>
  <sheetData>
    <row r="1" spans="1:7">
      <c r="A1" s="249" t="s">
        <v>460</v>
      </c>
    </row>
    <row r="2" spans="1:7">
      <c r="A2" s="250" t="s">
        <v>461</v>
      </c>
    </row>
    <row r="3" spans="1:7">
      <c r="B3" s="250" t="s">
        <v>204</v>
      </c>
      <c r="C3" s="251" t="s">
        <v>462</v>
      </c>
      <c r="D3" s="251"/>
      <c r="F3" s="251" t="s">
        <v>463</v>
      </c>
      <c r="G3" s="251"/>
    </row>
    <row r="4" spans="1:7">
      <c r="B4" s="250" t="s">
        <v>204</v>
      </c>
      <c r="C4" s="252">
        <v>2010</v>
      </c>
      <c r="D4" s="252">
        <v>2011</v>
      </c>
      <c r="E4" s="253"/>
      <c r="F4" s="252">
        <v>2012</v>
      </c>
      <c r="G4" s="252">
        <v>2012</v>
      </c>
    </row>
    <row r="5" spans="1:7">
      <c r="B5" s="250" t="s">
        <v>204</v>
      </c>
      <c r="C5" s="250" t="s">
        <v>204</v>
      </c>
      <c r="D5" s="250" t="s">
        <v>204</v>
      </c>
      <c r="F5" s="253" t="s">
        <v>377</v>
      </c>
      <c r="G5" s="253" t="s">
        <v>464</v>
      </c>
    </row>
    <row r="6" spans="1:7">
      <c r="B6" s="249" t="s">
        <v>465</v>
      </c>
    </row>
    <row r="7" spans="1:7">
      <c r="B7" s="249" t="s">
        <v>466</v>
      </c>
    </row>
    <row r="8" spans="1:7">
      <c r="B8" s="250" t="s">
        <v>467</v>
      </c>
      <c r="C8" s="254">
        <v>1785</v>
      </c>
      <c r="D8" s="254">
        <v>1512</v>
      </c>
      <c r="E8" s="254"/>
      <c r="F8" s="254">
        <v>1282</v>
      </c>
      <c r="G8" s="254">
        <v>1282</v>
      </c>
    </row>
    <row r="9" spans="1:7">
      <c r="B9" s="250" t="s">
        <v>468</v>
      </c>
      <c r="C9" s="258">
        <v>0</v>
      </c>
      <c r="D9" s="257">
        <v>2396</v>
      </c>
      <c r="E9" s="257"/>
      <c r="F9" s="257">
        <v>2628</v>
      </c>
      <c r="G9" s="257">
        <v>2628</v>
      </c>
    </row>
    <row r="10" spans="1:7">
      <c r="B10" s="250" t="s">
        <v>469</v>
      </c>
    </row>
    <row r="11" spans="1:7">
      <c r="B11" s="250" t="s">
        <v>470</v>
      </c>
    </row>
    <row r="12" spans="1:7">
      <c r="B12" s="250" t="s">
        <v>471</v>
      </c>
    </row>
    <row r="13" spans="1:7">
      <c r="B13" s="250" t="s">
        <v>472</v>
      </c>
      <c r="C13" s="257">
        <v>373</v>
      </c>
      <c r="D13" s="257">
        <v>547</v>
      </c>
      <c r="E13" s="257"/>
      <c r="F13" s="257">
        <v>482</v>
      </c>
      <c r="G13" s="257">
        <v>482</v>
      </c>
    </row>
    <row r="14" spans="1:7">
      <c r="B14" s="250" t="s">
        <v>388</v>
      </c>
      <c r="C14" s="257">
        <v>88</v>
      </c>
      <c r="D14" s="257">
        <v>149</v>
      </c>
      <c r="E14" s="257"/>
      <c r="F14" s="257">
        <v>302</v>
      </c>
      <c r="G14" s="257">
        <v>627</v>
      </c>
    </row>
    <row r="15" spans="1:7" ht="2.4" customHeight="1"/>
    <row r="16" spans="1:7">
      <c r="B16" s="259" t="s">
        <v>473</v>
      </c>
      <c r="C16" s="260">
        <v>2246</v>
      </c>
      <c r="D16" s="260">
        <v>4604</v>
      </c>
      <c r="E16" s="260"/>
      <c r="F16" s="260">
        <v>4694</v>
      </c>
      <c r="G16" s="260">
        <v>5019</v>
      </c>
    </row>
    <row r="18" spans="2:7">
      <c r="B18" s="250" t="s">
        <v>24</v>
      </c>
      <c r="C18" s="257">
        <v>574</v>
      </c>
      <c r="D18" s="257">
        <v>1475</v>
      </c>
      <c r="E18" s="257"/>
      <c r="F18" s="257">
        <v>1855</v>
      </c>
      <c r="G18" s="257">
        <v>1855</v>
      </c>
    </row>
    <row r="19" spans="2:7">
      <c r="B19" s="250" t="s">
        <v>474</v>
      </c>
      <c r="C19" s="257">
        <v>96</v>
      </c>
      <c r="D19" s="257">
        <v>162</v>
      </c>
      <c r="E19" s="257"/>
      <c r="F19" s="257">
        <v>189</v>
      </c>
      <c r="G19" s="257">
        <v>189</v>
      </c>
    </row>
    <row r="20" spans="2:7">
      <c r="B20" s="250" t="s">
        <v>389</v>
      </c>
      <c r="C20" s="257">
        <v>74</v>
      </c>
      <c r="D20" s="257">
        <v>90</v>
      </c>
      <c r="E20" s="257"/>
      <c r="F20" s="257">
        <v>121</v>
      </c>
      <c r="G20" s="257">
        <v>121</v>
      </c>
    </row>
    <row r="22" spans="2:7">
      <c r="B22" s="259" t="s">
        <v>125</v>
      </c>
      <c r="C22" s="263">
        <v>2990</v>
      </c>
      <c r="D22" s="263">
        <v>6331</v>
      </c>
      <c r="E22" s="263"/>
      <c r="F22" s="263">
        <v>6859</v>
      </c>
      <c r="G22" s="263">
        <v>7184</v>
      </c>
    </row>
    <row r="24" spans="2:7">
      <c r="B24" s="249" t="s">
        <v>475</v>
      </c>
    </row>
    <row r="25" spans="2:7">
      <c r="B25" s="249" t="s">
        <v>476</v>
      </c>
    </row>
    <row r="26" spans="2:7">
      <c r="B26" s="250" t="s">
        <v>390</v>
      </c>
      <c r="C26" s="254">
        <v>29</v>
      </c>
      <c r="D26" s="254">
        <v>63</v>
      </c>
      <c r="E26" s="254"/>
      <c r="F26" s="254">
        <v>129</v>
      </c>
      <c r="G26" s="254">
        <v>129</v>
      </c>
    </row>
    <row r="27" spans="2:7">
      <c r="B27" s="250" t="s">
        <v>391</v>
      </c>
      <c r="C27" s="257">
        <v>75</v>
      </c>
      <c r="D27" s="257">
        <v>171</v>
      </c>
      <c r="E27" s="257"/>
      <c r="F27" s="257">
        <v>178</v>
      </c>
      <c r="G27" s="257">
        <v>178</v>
      </c>
    </row>
    <row r="28" spans="2:7">
      <c r="B28" s="250" t="s">
        <v>392</v>
      </c>
      <c r="C28" s="257">
        <v>137</v>
      </c>
      <c r="D28" s="257">
        <v>296</v>
      </c>
      <c r="E28" s="257"/>
      <c r="F28" s="257">
        <v>337</v>
      </c>
      <c r="G28" s="257">
        <v>337</v>
      </c>
    </row>
    <row r="29" spans="2:7">
      <c r="B29" s="250" t="s">
        <v>393</v>
      </c>
      <c r="C29" s="257">
        <v>42</v>
      </c>
      <c r="D29" s="257">
        <v>90</v>
      </c>
      <c r="E29" s="257"/>
      <c r="F29" s="257">
        <v>93</v>
      </c>
      <c r="G29" s="257">
        <v>93</v>
      </c>
    </row>
    <row r="30" spans="2:7">
      <c r="B30" s="250" t="s">
        <v>477</v>
      </c>
      <c r="C30" s="257">
        <v>106</v>
      </c>
      <c r="D30" s="257">
        <v>279</v>
      </c>
      <c r="E30" s="257"/>
      <c r="F30" s="257">
        <v>302</v>
      </c>
      <c r="G30" s="257">
        <v>302</v>
      </c>
    </row>
    <row r="31" spans="2:7" ht="3.3" customHeight="1"/>
    <row r="32" spans="2:7">
      <c r="B32" s="259" t="s">
        <v>478</v>
      </c>
      <c r="C32" s="260">
        <v>389</v>
      </c>
      <c r="D32" s="260">
        <v>899</v>
      </c>
      <c r="E32" s="260"/>
      <c r="F32" s="260">
        <v>1039</v>
      </c>
      <c r="G32" s="260">
        <v>1039</v>
      </c>
    </row>
    <row r="34" spans="2:7">
      <c r="B34" s="250" t="s">
        <v>479</v>
      </c>
      <c r="C34" s="257">
        <v>117</v>
      </c>
      <c r="D34" s="257">
        <v>398</v>
      </c>
      <c r="E34" s="257"/>
      <c r="F34" s="257">
        <v>404</v>
      </c>
      <c r="G34" s="257">
        <v>404</v>
      </c>
    </row>
    <row r="35" spans="2:7">
      <c r="B35" s="250" t="s">
        <v>480</v>
      </c>
      <c r="C35" s="257">
        <v>250</v>
      </c>
      <c r="D35" s="258">
        <v>0</v>
      </c>
      <c r="E35" s="258"/>
      <c r="F35" s="258">
        <v>0</v>
      </c>
      <c r="G35" s="258">
        <v>0</v>
      </c>
    </row>
    <row r="36" spans="2:7">
      <c r="B36" s="250" t="s">
        <v>394</v>
      </c>
      <c r="C36" s="257">
        <v>72</v>
      </c>
      <c r="D36" s="257">
        <v>135</v>
      </c>
      <c r="E36" s="257"/>
      <c r="F36" s="257">
        <v>144</v>
      </c>
      <c r="G36" s="257">
        <v>144</v>
      </c>
    </row>
    <row r="38" spans="2:7">
      <c r="B38" s="259" t="s">
        <v>126</v>
      </c>
      <c r="C38" s="260">
        <v>828</v>
      </c>
      <c r="D38" s="260">
        <v>1432</v>
      </c>
      <c r="E38" s="260"/>
      <c r="F38" s="260">
        <v>1587</v>
      </c>
      <c r="G38" s="260">
        <v>1587</v>
      </c>
    </row>
    <row r="40" spans="2:7">
      <c r="B40" s="249" t="s">
        <v>481</v>
      </c>
    </row>
    <row r="41" spans="2:7">
      <c r="B41" s="250" t="s">
        <v>482</v>
      </c>
    </row>
    <row r="42" spans="2:7">
      <c r="B42" s="250" t="s">
        <v>483</v>
      </c>
    </row>
    <row r="43" spans="2:7">
      <c r="B43" s="250" t="s">
        <v>484</v>
      </c>
    </row>
    <row r="44" spans="2:7">
      <c r="B44" s="250" t="s">
        <v>485</v>
      </c>
    </row>
    <row r="45" spans="2:7">
      <c r="B45" s="250" t="s">
        <v>486</v>
      </c>
    </row>
    <row r="46" spans="2:7">
      <c r="B46" s="250" t="s">
        <v>487</v>
      </c>
    </row>
    <row r="47" spans="2:7">
      <c r="B47" s="250" t="s">
        <v>488</v>
      </c>
    </row>
    <row r="48" spans="2:7">
      <c r="B48" s="250" t="s">
        <v>489</v>
      </c>
    </row>
    <row r="49" spans="2:7">
      <c r="B49" s="250" t="s">
        <v>490</v>
      </c>
    </row>
    <row r="50" spans="2:7">
      <c r="B50" s="250" t="s">
        <v>491</v>
      </c>
    </row>
    <row r="51" spans="2:7">
      <c r="B51" s="250" t="s">
        <v>492</v>
      </c>
      <c r="C51" s="257">
        <v>615</v>
      </c>
      <c r="D51" s="257">
        <v>615</v>
      </c>
      <c r="E51" s="257"/>
      <c r="F51" s="257">
        <v>615</v>
      </c>
      <c r="G51" s="258">
        <v>0</v>
      </c>
    </row>
    <row r="52" spans="2:7">
      <c r="B52" s="250" t="s">
        <v>493</v>
      </c>
    </row>
    <row r="53" spans="2:7">
      <c r="B53" s="250" t="s">
        <v>494</v>
      </c>
    </row>
    <row r="54" spans="2:7">
      <c r="B54" s="250" t="s">
        <v>495</v>
      </c>
    </row>
    <row r="55" spans="2:7">
      <c r="B55" s="250" t="s">
        <v>496</v>
      </c>
    </row>
    <row r="56" spans="2:7">
      <c r="B56" s="250" t="s">
        <v>497</v>
      </c>
    </row>
    <row r="57" spans="2:7">
      <c r="B57" s="250" t="s">
        <v>498</v>
      </c>
    </row>
    <row r="58" spans="2:7">
      <c r="B58" s="250" t="s">
        <v>499</v>
      </c>
    </row>
    <row r="59" spans="2:7">
      <c r="B59" s="250" t="s">
        <v>497</v>
      </c>
    </row>
    <row r="60" spans="2:7">
      <c r="B60" s="250" t="s">
        <v>498</v>
      </c>
    </row>
    <row r="61" spans="2:7">
      <c r="B61" s="250" t="s">
        <v>500</v>
      </c>
    </row>
    <row r="62" spans="2:7">
      <c r="B62" s="250" t="s">
        <v>501</v>
      </c>
    </row>
    <row r="63" spans="2:7">
      <c r="B63" s="250" t="s">
        <v>502</v>
      </c>
    </row>
    <row r="64" spans="2:7">
      <c r="B64" s="250" t="s">
        <v>503</v>
      </c>
    </row>
    <row r="65" spans="2:7">
      <c r="B65" s="250" t="s">
        <v>504</v>
      </c>
    </row>
    <row r="66" spans="2:7">
      <c r="B66" s="250" t="s">
        <v>505</v>
      </c>
    </row>
    <row r="67" spans="2:7">
      <c r="B67" s="250" t="s">
        <v>506</v>
      </c>
    </row>
    <row r="68" spans="2:7">
      <c r="B68" s="250" t="s">
        <v>507</v>
      </c>
    </row>
    <row r="69" spans="2:7">
      <c r="B69" s="250" t="s">
        <v>500</v>
      </c>
    </row>
    <row r="70" spans="2:7">
      <c r="B70" s="250" t="s">
        <v>508</v>
      </c>
      <c r="C70" s="258">
        <v>0</v>
      </c>
      <c r="D70" s="258">
        <v>0</v>
      </c>
      <c r="E70" s="258"/>
      <c r="F70" s="258">
        <v>0</v>
      </c>
      <c r="G70" s="258">
        <v>0</v>
      </c>
    </row>
    <row r="71" spans="2:7">
      <c r="B71" s="250" t="s">
        <v>509</v>
      </c>
      <c r="C71" s="257">
        <v>947</v>
      </c>
      <c r="D71" s="257">
        <v>2684</v>
      </c>
      <c r="E71" s="257"/>
      <c r="F71" s="257">
        <v>2853</v>
      </c>
      <c r="G71" s="257">
        <v>4433</v>
      </c>
    </row>
    <row r="72" spans="2:7">
      <c r="B72" s="250" t="s">
        <v>510</v>
      </c>
      <c r="C72" s="257">
        <v>-6</v>
      </c>
      <c r="D72" s="257">
        <v>-6</v>
      </c>
      <c r="E72" s="257"/>
      <c r="F72" s="257">
        <v>-7</v>
      </c>
      <c r="G72" s="257">
        <v>-7</v>
      </c>
    </row>
    <row r="73" spans="2:7">
      <c r="B73" s="250" t="s">
        <v>511</v>
      </c>
      <c r="C73" s="257">
        <v>606</v>
      </c>
      <c r="D73" s="257">
        <v>1606</v>
      </c>
      <c r="E73" s="257"/>
      <c r="F73" s="257">
        <v>1811</v>
      </c>
      <c r="G73" s="257">
        <v>1171</v>
      </c>
    </row>
    <row r="75" spans="2:7">
      <c r="B75" s="259" t="s">
        <v>512</v>
      </c>
      <c r="C75" s="260">
        <v>2162</v>
      </c>
      <c r="D75" s="260">
        <v>4899</v>
      </c>
      <c r="E75" s="260"/>
      <c r="F75" s="260">
        <v>5272</v>
      </c>
      <c r="G75" s="260">
        <v>5597</v>
      </c>
    </row>
    <row r="77" spans="2:7">
      <c r="B77" s="259" t="s">
        <v>513</v>
      </c>
      <c r="C77" s="263">
        <v>2990</v>
      </c>
      <c r="D77" s="263">
        <v>6331</v>
      </c>
      <c r="E77" s="263"/>
      <c r="F77" s="263">
        <v>6859</v>
      </c>
      <c r="G77" s="263">
        <v>7184</v>
      </c>
    </row>
  </sheetData>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3"/>
  <sheetViews>
    <sheetView workbookViewId="0">
      <selection activeCell="B1" sqref="B1"/>
    </sheetView>
  </sheetViews>
  <sheetFormatPr baseColWidth="10" defaultColWidth="20.88671875" defaultRowHeight="12.3" outlineLevelCol="7"/>
  <cols>
    <col min="1" max="1" width="3" style="250" customWidth="1" outlineLevel="7"/>
    <col min="2" max="2" width="51" style="250" customWidth="1" outlineLevel="7"/>
    <col min="3" max="4" width="14" style="250" customWidth="1" outlineLevel="7"/>
    <col min="5" max="6" width="15" style="250" customWidth="1" outlineLevel="7"/>
    <col min="7" max="7" width="14" style="250" customWidth="1" outlineLevel="7"/>
    <col min="9" max="16384" width="20.88671875" style="250"/>
  </cols>
  <sheetData>
    <row r="1" spans="1:7">
      <c r="A1" s="249" t="s">
        <v>373</v>
      </c>
    </row>
    <row r="2" spans="1:7">
      <c r="A2" s="250" t="s">
        <v>374</v>
      </c>
    </row>
    <row r="3" spans="1:7">
      <c r="B3" s="250" t="s">
        <v>204</v>
      </c>
      <c r="C3" s="251" t="s">
        <v>375</v>
      </c>
      <c r="D3" s="251"/>
      <c r="E3" s="251"/>
      <c r="F3" s="251" t="s">
        <v>376</v>
      </c>
      <c r="G3" s="251"/>
    </row>
    <row r="4" spans="1:7">
      <c r="B4" s="250" t="s">
        <v>204</v>
      </c>
      <c r="C4" s="252">
        <v>2009</v>
      </c>
      <c r="D4" s="252">
        <v>2010</v>
      </c>
      <c r="E4" s="252">
        <v>2011</v>
      </c>
      <c r="F4" s="252">
        <v>2011</v>
      </c>
      <c r="G4" s="252">
        <v>2012</v>
      </c>
    </row>
    <row r="5" spans="1:7">
      <c r="B5" s="250" t="s">
        <v>204</v>
      </c>
      <c r="C5" s="250" t="s">
        <v>204</v>
      </c>
      <c r="D5" s="250" t="s">
        <v>204</v>
      </c>
      <c r="E5" s="250" t="s">
        <v>204</v>
      </c>
      <c r="F5" s="253" t="s">
        <v>377</v>
      </c>
    </row>
    <row r="6" spans="1:7">
      <c r="B6" s="249" t="s">
        <v>378</v>
      </c>
    </row>
    <row r="7" spans="1:7">
      <c r="B7" s="250" t="s">
        <v>128</v>
      </c>
      <c r="C7" s="254">
        <v>229</v>
      </c>
      <c r="D7" s="254">
        <v>606</v>
      </c>
      <c r="E7" s="254">
        <v>1000</v>
      </c>
      <c r="F7" s="254">
        <v>233</v>
      </c>
      <c r="G7" s="254">
        <v>205</v>
      </c>
    </row>
    <row r="8" spans="1:7" ht="6" customHeight="1">
      <c r="C8" s="254"/>
      <c r="D8" s="254"/>
      <c r="E8" s="254"/>
      <c r="F8" s="254"/>
      <c r="G8" s="254"/>
    </row>
    <row r="9" spans="1:7" ht="12.6">
      <c r="B9" s="255" t="s">
        <v>379</v>
      </c>
    </row>
    <row r="10" spans="1:7" ht="12.6">
      <c r="B10" s="256" t="s">
        <v>380</v>
      </c>
    </row>
    <row r="11" spans="1:7">
      <c r="B11" s="250" t="s">
        <v>381</v>
      </c>
      <c r="C11" s="257">
        <v>78</v>
      </c>
      <c r="D11" s="257">
        <v>139</v>
      </c>
      <c r="E11" s="257">
        <v>323</v>
      </c>
      <c r="F11" s="257">
        <v>51</v>
      </c>
      <c r="G11" s="257">
        <v>110</v>
      </c>
    </row>
    <row r="12" spans="1:7">
      <c r="B12" s="250" t="s">
        <v>382</v>
      </c>
      <c r="C12" s="257">
        <v>1</v>
      </c>
      <c r="D12" s="257">
        <v>3</v>
      </c>
      <c r="E12" s="257">
        <v>4</v>
      </c>
      <c r="F12" s="257">
        <v>1</v>
      </c>
      <c r="G12" s="257">
        <v>1</v>
      </c>
    </row>
    <row r="13" spans="1:7">
      <c r="B13" s="250" t="s">
        <v>383</v>
      </c>
      <c r="C13" s="257">
        <v>27</v>
      </c>
      <c r="D13" s="257">
        <v>20</v>
      </c>
      <c r="E13" s="257">
        <v>217</v>
      </c>
      <c r="F13" s="257">
        <v>7</v>
      </c>
      <c r="G13" s="257">
        <v>103</v>
      </c>
    </row>
    <row r="14" spans="1:7">
      <c r="B14" s="250" t="s">
        <v>384</v>
      </c>
      <c r="C14" s="257">
        <v>50</v>
      </c>
      <c r="D14" s="257">
        <v>115</v>
      </c>
      <c r="E14" s="257">
        <v>433</v>
      </c>
      <c r="F14" s="257">
        <v>69</v>
      </c>
      <c r="G14" s="257">
        <v>54</v>
      </c>
    </row>
    <row r="15" spans="1:7">
      <c r="B15" s="250" t="s">
        <v>385</v>
      </c>
      <c r="C15" s="257">
        <v>-51</v>
      </c>
      <c r="D15" s="257">
        <v>-115</v>
      </c>
      <c r="E15" s="257">
        <v>-433</v>
      </c>
      <c r="F15" s="257">
        <v>-69</v>
      </c>
      <c r="G15" s="257">
        <v>-54</v>
      </c>
    </row>
    <row r="16" spans="1:7" ht="12.6">
      <c r="B16" s="256" t="s">
        <v>386</v>
      </c>
    </row>
    <row r="17" spans="2:7">
      <c r="B17" s="250" t="s">
        <v>387</v>
      </c>
      <c r="C17" s="257">
        <v>-112</v>
      </c>
      <c r="D17" s="257">
        <v>-209</v>
      </c>
      <c r="E17" s="257">
        <v>-174</v>
      </c>
      <c r="F17" s="257">
        <v>27</v>
      </c>
      <c r="G17" s="257">
        <v>65</v>
      </c>
    </row>
    <row r="18" spans="2:7">
      <c r="B18" s="250" t="s">
        <v>388</v>
      </c>
      <c r="C18" s="257">
        <v>-30</v>
      </c>
      <c r="D18" s="257">
        <v>-38</v>
      </c>
      <c r="E18" s="257">
        <v>-31</v>
      </c>
      <c r="F18" s="257">
        <v>-26</v>
      </c>
      <c r="G18" s="257">
        <v>-28</v>
      </c>
    </row>
    <row r="19" spans="2:7">
      <c r="B19" s="250" t="s">
        <v>389</v>
      </c>
      <c r="C19" s="257">
        <v>-59</v>
      </c>
      <c r="D19" s="257">
        <v>17</v>
      </c>
      <c r="E19" s="257">
        <v>-32</v>
      </c>
      <c r="F19" s="257">
        <v>-10</v>
      </c>
      <c r="G19" s="257">
        <v>-32</v>
      </c>
    </row>
    <row r="20" spans="2:7">
      <c r="B20" s="250" t="s">
        <v>390</v>
      </c>
      <c r="C20" s="257">
        <v>-7</v>
      </c>
      <c r="D20" s="257">
        <v>12</v>
      </c>
      <c r="E20" s="257">
        <v>6</v>
      </c>
      <c r="F20" s="257">
        <v>-3</v>
      </c>
      <c r="G20" s="257">
        <v>-3</v>
      </c>
    </row>
    <row r="21" spans="2:7">
      <c r="B21" s="250" t="s">
        <v>391</v>
      </c>
      <c r="C21" s="258">
        <v>0</v>
      </c>
      <c r="D21" s="257">
        <v>75</v>
      </c>
      <c r="E21" s="257">
        <v>96</v>
      </c>
      <c r="F21" s="257">
        <v>24</v>
      </c>
      <c r="G21" s="257">
        <v>7</v>
      </c>
    </row>
    <row r="22" spans="2:7">
      <c r="B22" s="250" t="s">
        <v>392</v>
      </c>
      <c r="C22" s="257">
        <v>27</v>
      </c>
      <c r="D22" s="257">
        <v>20</v>
      </c>
      <c r="E22" s="257">
        <v>38</v>
      </c>
      <c r="F22" s="257">
        <v>6</v>
      </c>
      <c r="G22" s="257">
        <v>2</v>
      </c>
    </row>
    <row r="23" spans="2:7">
      <c r="B23" s="250" t="s">
        <v>393</v>
      </c>
      <c r="C23" s="257">
        <v>1</v>
      </c>
      <c r="D23" s="257">
        <v>37</v>
      </c>
      <c r="E23" s="257">
        <v>49</v>
      </c>
      <c r="F23" s="257">
        <v>17</v>
      </c>
      <c r="G23" s="257">
        <v>3</v>
      </c>
    </row>
    <row r="24" spans="2:7">
      <c r="B24" s="250" t="s">
        <v>394</v>
      </c>
      <c r="C24" s="257">
        <v>1</v>
      </c>
      <c r="D24" s="257">
        <v>16</v>
      </c>
      <c r="E24" s="257">
        <v>53</v>
      </c>
      <c r="F24" s="257">
        <v>18</v>
      </c>
      <c r="G24" s="257">
        <v>8</v>
      </c>
    </row>
    <row r="25" spans="2:7" ht="3.9" customHeight="1"/>
    <row r="26" spans="2:7">
      <c r="B26" s="259" t="s">
        <v>395</v>
      </c>
      <c r="C26" s="260">
        <v>155</v>
      </c>
      <c r="D26" s="260">
        <v>698</v>
      </c>
      <c r="E26" s="260">
        <v>1549</v>
      </c>
      <c r="F26" s="260">
        <v>345</v>
      </c>
      <c r="G26" s="260">
        <v>441</v>
      </c>
    </row>
    <row r="28" spans="2:7">
      <c r="B28" s="249" t="s">
        <v>396</v>
      </c>
    </row>
    <row r="29" spans="2:7">
      <c r="B29" s="250" t="s">
        <v>397</v>
      </c>
      <c r="C29" s="257">
        <v>-33</v>
      </c>
      <c r="D29" s="257">
        <v>-293</v>
      </c>
      <c r="E29" s="257">
        <v>-606</v>
      </c>
      <c r="F29" s="257">
        <v>-153</v>
      </c>
      <c r="G29" s="257">
        <v>-453</v>
      </c>
    </row>
    <row r="30" spans="2:7">
      <c r="B30" s="250" t="s">
        <v>398</v>
      </c>
      <c r="C30" s="258">
        <v>0</v>
      </c>
      <c r="D30" s="258">
        <v>0</v>
      </c>
      <c r="E30" s="257">
        <v>-3025</v>
      </c>
      <c r="F30" s="258">
        <v>0</v>
      </c>
      <c r="G30" s="257">
        <v>-876</v>
      </c>
    </row>
    <row r="31" spans="2:7">
      <c r="B31" s="250" t="s">
        <v>399</v>
      </c>
      <c r="C31" s="258">
        <v>0</v>
      </c>
      <c r="D31" s="258">
        <v>0</v>
      </c>
      <c r="E31" s="257">
        <v>516</v>
      </c>
      <c r="F31" s="258">
        <v>0</v>
      </c>
      <c r="G31" s="257">
        <v>567</v>
      </c>
    </row>
    <row r="32" spans="2:7">
      <c r="B32" s="250" t="s">
        <v>400</v>
      </c>
      <c r="C32" s="258">
        <v>0</v>
      </c>
      <c r="D32" s="258">
        <v>0</v>
      </c>
      <c r="E32" s="257">
        <v>113</v>
      </c>
      <c r="F32" s="258">
        <v>0</v>
      </c>
      <c r="G32" s="257">
        <v>69</v>
      </c>
    </row>
    <row r="33" spans="2:7">
      <c r="B33" s="250" t="s">
        <v>401</v>
      </c>
      <c r="C33" s="258">
        <v>0</v>
      </c>
      <c r="D33" s="258">
        <v>0</v>
      </c>
      <c r="E33" s="257">
        <v>-3</v>
      </c>
      <c r="F33" s="258">
        <v>0</v>
      </c>
      <c r="G33" s="257">
        <v>-1</v>
      </c>
    </row>
    <row r="34" spans="2:7">
      <c r="B34" s="250" t="s">
        <v>402</v>
      </c>
      <c r="C34" s="257">
        <v>3</v>
      </c>
      <c r="D34" s="257">
        <v>-22</v>
      </c>
      <c r="E34" s="257">
        <v>-24</v>
      </c>
      <c r="F34" s="257">
        <v>-1</v>
      </c>
      <c r="G34" s="257">
        <v>-25</v>
      </c>
    </row>
    <row r="35" spans="2:7">
      <c r="B35" s="250" t="s">
        <v>403</v>
      </c>
      <c r="C35" s="257">
        <v>-32</v>
      </c>
      <c r="D35" s="257">
        <v>-9</v>
      </c>
      <c r="E35" s="257">
        <v>6</v>
      </c>
      <c r="F35" s="257">
        <v>1</v>
      </c>
      <c r="G35" s="257">
        <v>-1</v>
      </c>
    </row>
    <row r="36" spans="2:7" ht="3.9" customHeight="1"/>
    <row r="37" spans="2:7">
      <c r="B37" s="259" t="s">
        <v>404</v>
      </c>
      <c r="C37" s="260">
        <v>-62</v>
      </c>
      <c r="D37" s="260">
        <v>-324</v>
      </c>
      <c r="E37" s="260">
        <v>-3023</v>
      </c>
      <c r="F37" s="260">
        <v>-153</v>
      </c>
      <c r="G37" s="260">
        <v>-720</v>
      </c>
    </row>
    <row r="39" spans="2:7">
      <c r="B39" s="249" t="s">
        <v>405</v>
      </c>
    </row>
    <row r="40" spans="2:7">
      <c r="B40" s="250" t="s">
        <v>406</v>
      </c>
    </row>
    <row r="41" spans="2:7">
      <c r="B41" s="250" t="s">
        <v>407</v>
      </c>
      <c r="C41" s="257">
        <v>200</v>
      </c>
      <c r="D41" s="258">
        <v>0</v>
      </c>
      <c r="E41" s="258">
        <v>0</v>
      </c>
      <c r="F41" s="258">
        <v>0</v>
      </c>
      <c r="G41" s="258">
        <v>0</v>
      </c>
    </row>
    <row r="42" spans="2:7">
      <c r="B42" s="250" t="s">
        <v>408</v>
      </c>
      <c r="C42" s="258">
        <v>0</v>
      </c>
      <c r="D42" s="257">
        <v>500</v>
      </c>
      <c r="E42" s="257">
        <v>998</v>
      </c>
      <c r="F42" s="257">
        <v>998</v>
      </c>
      <c r="G42" s="258">
        <v>0</v>
      </c>
    </row>
    <row r="43" spans="2:7">
      <c r="B43" s="250" t="s">
        <v>409</v>
      </c>
      <c r="C43" s="257">
        <v>9</v>
      </c>
      <c r="D43" s="257">
        <v>6</v>
      </c>
      <c r="E43" s="257">
        <v>28</v>
      </c>
      <c r="F43" s="257">
        <v>9</v>
      </c>
      <c r="G43" s="257">
        <v>5</v>
      </c>
    </row>
    <row r="44" spans="2:7">
      <c r="B44" s="250" t="s">
        <v>410</v>
      </c>
      <c r="C44" s="258">
        <v>0</v>
      </c>
      <c r="D44" s="257">
        <v>250</v>
      </c>
      <c r="E44" s="257">
        <v>-250</v>
      </c>
      <c r="F44" s="257">
        <v>-250</v>
      </c>
      <c r="G44" s="258">
        <v>0</v>
      </c>
    </row>
    <row r="45" spans="2:7">
      <c r="B45" s="250" t="s">
        <v>411</v>
      </c>
      <c r="C45" s="257">
        <v>31</v>
      </c>
      <c r="D45" s="258">
        <v>0</v>
      </c>
      <c r="E45" s="257">
        <v>170</v>
      </c>
      <c r="F45" s="257">
        <v>1</v>
      </c>
      <c r="G45" s="257">
        <v>62</v>
      </c>
    </row>
    <row r="46" spans="2:7">
      <c r="B46" s="250" t="s">
        <v>412</v>
      </c>
      <c r="C46" s="257">
        <v>-48</v>
      </c>
      <c r="D46" s="257">
        <v>-90</v>
      </c>
      <c r="E46" s="257">
        <v>-181</v>
      </c>
      <c r="F46" s="257">
        <v>-29</v>
      </c>
      <c r="G46" s="257">
        <v>-71</v>
      </c>
    </row>
    <row r="47" spans="2:7">
      <c r="B47" s="250" t="s">
        <v>385</v>
      </c>
      <c r="C47" s="257">
        <v>51</v>
      </c>
      <c r="D47" s="257">
        <v>115</v>
      </c>
      <c r="E47" s="257">
        <v>433</v>
      </c>
      <c r="F47" s="257">
        <v>69</v>
      </c>
      <c r="G47" s="257">
        <v>54</v>
      </c>
    </row>
    <row r="48" spans="2:7" ht="3.9" customHeight="1"/>
    <row r="49" spans="2:7">
      <c r="B49" s="259" t="s">
        <v>413</v>
      </c>
      <c r="C49" s="260">
        <v>243</v>
      </c>
      <c r="D49" s="260">
        <v>781</v>
      </c>
      <c r="E49" s="260">
        <v>1198</v>
      </c>
      <c r="F49" s="260">
        <v>798</v>
      </c>
      <c r="G49" s="260">
        <v>50</v>
      </c>
    </row>
    <row r="50" spans="2:7" ht="6.3" customHeight="1"/>
    <row r="51" spans="2:7">
      <c r="B51" s="250" t="s">
        <v>414</v>
      </c>
      <c r="C51" s="258">
        <v>0</v>
      </c>
      <c r="D51" s="257">
        <v>-3</v>
      </c>
      <c r="E51" s="257">
        <v>3</v>
      </c>
      <c r="F51" s="257">
        <v>1</v>
      </c>
      <c r="G51" s="257">
        <v>-1</v>
      </c>
    </row>
    <row r="52" spans="2:7" ht="6.3" customHeight="1"/>
    <row r="53" spans="2:7">
      <c r="B53" s="259" t="s">
        <v>415</v>
      </c>
      <c r="C53" s="260">
        <v>336</v>
      </c>
      <c r="D53" s="260">
        <v>1152</v>
      </c>
      <c r="E53" s="260">
        <v>-273</v>
      </c>
      <c r="F53" s="260">
        <v>991</v>
      </c>
      <c r="G53" s="260">
        <v>-230</v>
      </c>
    </row>
    <row r="54" spans="2:7" ht="6.3" customHeight="1"/>
    <row r="55" spans="2:7">
      <c r="B55" s="250" t="s">
        <v>416</v>
      </c>
      <c r="C55" s="257">
        <v>297</v>
      </c>
      <c r="D55" s="257">
        <v>633</v>
      </c>
      <c r="E55" s="257">
        <v>1785</v>
      </c>
      <c r="F55" s="257">
        <v>1785</v>
      </c>
      <c r="G55" s="257">
        <v>1512</v>
      </c>
    </row>
    <row r="56" spans="2:7">
      <c r="B56" s="250" t="s">
        <v>417</v>
      </c>
      <c r="C56" s="254">
        <v>633</v>
      </c>
      <c r="D56" s="254">
        <v>1785</v>
      </c>
      <c r="E56" s="254">
        <v>1512</v>
      </c>
      <c r="F56" s="254">
        <v>2776</v>
      </c>
      <c r="G56" s="254">
        <v>1282</v>
      </c>
    </row>
    <row r="58" spans="2:7">
      <c r="B58" s="259" t="s">
        <v>418</v>
      </c>
    </row>
    <row r="59" spans="2:7" ht="12.6">
      <c r="B59" s="256" t="s">
        <v>419</v>
      </c>
    </row>
    <row r="60" spans="2:7">
      <c r="B60" s="250" t="s">
        <v>420</v>
      </c>
      <c r="C60" s="261" t="s">
        <v>421</v>
      </c>
      <c r="D60" s="262">
        <v>23</v>
      </c>
      <c r="E60" s="262">
        <v>28</v>
      </c>
      <c r="F60" s="261" t="s">
        <v>422</v>
      </c>
      <c r="G60" s="261" t="s">
        <v>421</v>
      </c>
    </row>
    <row r="62" spans="2:7">
      <c r="B62" s="250" t="s">
        <v>423</v>
      </c>
      <c r="C62" s="254">
        <v>42</v>
      </c>
      <c r="D62" s="254">
        <v>261</v>
      </c>
      <c r="E62" s="254">
        <v>197</v>
      </c>
      <c r="F62" s="254">
        <v>103</v>
      </c>
      <c r="G62" s="254">
        <v>174</v>
      </c>
    </row>
    <row r="64" spans="2:7">
      <c r="B64" s="250" t="s">
        <v>424</v>
      </c>
    </row>
    <row r="65" spans="2:7">
      <c r="B65" s="250" t="s">
        <v>425</v>
      </c>
    </row>
    <row r="66" spans="2:7">
      <c r="B66" s="250" t="s">
        <v>426</v>
      </c>
    </row>
    <row r="67" spans="2:7">
      <c r="B67" s="250" t="s">
        <v>427</v>
      </c>
      <c r="C67" s="261" t="s">
        <v>428</v>
      </c>
      <c r="D67" s="254">
        <v>47</v>
      </c>
      <c r="E67" s="254">
        <v>135</v>
      </c>
      <c r="F67" s="254">
        <v>43</v>
      </c>
      <c r="G67" s="254">
        <v>110</v>
      </c>
    </row>
    <row r="69" spans="2:7">
      <c r="B69" s="250" t="s">
        <v>429</v>
      </c>
    </row>
    <row r="70" spans="2:7">
      <c r="B70" s="250" t="s">
        <v>430</v>
      </c>
      <c r="C70" s="254">
        <v>56</v>
      </c>
      <c r="D70" s="254">
        <v>217</v>
      </c>
      <c r="E70" s="254">
        <v>473</v>
      </c>
      <c r="F70" s="254">
        <v>211</v>
      </c>
      <c r="G70" s="254">
        <v>38</v>
      </c>
    </row>
    <row r="72" spans="2:7">
      <c r="B72" s="250" t="s">
        <v>431</v>
      </c>
    </row>
    <row r="73" spans="2:7">
      <c r="B73" s="250" t="s">
        <v>432</v>
      </c>
      <c r="C73" s="254">
        <v>20</v>
      </c>
      <c r="D73" s="254">
        <v>60</v>
      </c>
      <c r="E73" s="254">
        <v>58</v>
      </c>
      <c r="F73" s="261" t="s">
        <v>433</v>
      </c>
      <c r="G73" s="261" t="s">
        <v>433</v>
      </c>
    </row>
  </sheetData>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75"/>
  <sheetViews>
    <sheetView topLeftCell="A54" workbookViewId="0">
      <selection activeCell="H28" sqref="H28"/>
    </sheetView>
  </sheetViews>
  <sheetFormatPr baseColWidth="10" defaultColWidth="20.88671875" defaultRowHeight="12.3" outlineLevelCol="7"/>
  <cols>
    <col min="1" max="1" width="3" style="250" customWidth="1" outlineLevel="7"/>
    <col min="2" max="2" width="54" style="250" customWidth="1" outlineLevel="7"/>
    <col min="3" max="3" width="17" style="250" customWidth="1" outlineLevel="7"/>
    <col min="4" max="4" width="13" style="250" customWidth="1" outlineLevel="7"/>
    <col min="5" max="5" width="17" style="250" customWidth="1" outlineLevel="7"/>
    <col min="6" max="6" width="11" style="250" customWidth="1" outlineLevel="7"/>
    <col min="7" max="7" width="14" style="250" customWidth="1" outlineLevel="7"/>
    <col min="8" max="8" width="17" style="250" customWidth="1" outlineLevel="7"/>
    <col min="9" max="10" width="15" style="250" customWidth="1" outlineLevel="7"/>
    <col min="11" max="16384" width="20.88671875" style="250"/>
  </cols>
  <sheetData>
    <row r="1" spans="1:10">
      <c r="A1" s="249" t="s">
        <v>514</v>
      </c>
    </row>
    <row r="2" spans="1:10">
      <c r="A2" s="250" t="s">
        <v>374</v>
      </c>
    </row>
    <row r="3" spans="1:10">
      <c r="B3" s="250" t="s">
        <v>204</v>
      </c>
      <c r="C3" s="266" t="s">
        <v>515</v>
      </c>
      <c r="D3" s="266"/>
      <c r="E3" s="266" t="s">
        <v>516</v>
      </c>
      <c r="F3" s="266"/>
      <c r="G3" s="253" t="s">
        <v>517</v>
      </c>
      <c r="H3" s="253" t="s">
        <v>518</v>
      </c>
      <c r="I3" s="253" t="s">
        <v>519</v>
      </c>
      <c r="J3" s="253" t="s">
        <v>118</v>
      </c>
    </row>
    <row r="4" spans="1:10">
      <c r="B4" s="250" t="s">
        <v>204</v>
      </c>
      <c r="C4" s="251" t="s">
        <v>177</v>
      </c>
      <c r="D4" s="251"/>
      <c r="E4" s="251" t="s">
        <v>520</v>
      </c>
      <c r="F4" s="251"/>
      <c r="G4" s="253" t="s">
        <v>521</v>
      </c>
      <c r="H4" s="253" t="s">
        <v>522</v>
      </c>
      <c r="I4" s="253" t="s">
        <v>523</v>
      </c>
      <c r="J4" s="253" t="s">
        <v>524</v>
      </c>
    </row>
    <row r="5" spans="1:10">
      <c r="B5" s="250" t="s">
        <v>204</v>
      </c>
      <c r="C5" s="267" t="s">
        <v>71</v>
      </c>
      <c r="D5" s="267" t="s">
        <v>525</v>
      </c>
      <c r="E5" s="267" t="s">
        <v>71</v>
      </c>
      <c r="F5" s="267" t="s">
        <v>526</v>
      </c>
      <c r="G5" s="267" t="s">
        <v>184</v>
      </c>
      <c r="H5" s="267" t="s">
        <v>527</v>
      </c>
      <c r="I5" s="267" t="s">
        <v>528</v>
      </c>
      <c r="J5" s="267" t="s">
        <v>169</v>
      </c>
    </row>
    <row r="6" spans="1:10">
      <c r="B6" s="250" t="s">
        <v>529</v>
      </c>
      <c r="C6" s="257">
        <v>499</v>
      </c>
      <c r="D6" s="254">
        <v>415</v>
      </c>
      <c r="E6" s="257">
        <v>1007</v>
      </c>
      <c r="F6" s="264">
        <v>0</v>
      </c>
      <c r="G6" s="254">
        <v>147</v>
      </c>
      <c r="H6" s="264">
        <v>0</v>
      </c>
      <c r="I6" s="254">
        <v>-229</v>
      </c>
      <c r="J6" s="254">
        <v>333</v>
      </c>
    </row>
    <row r="7" spans="1:10">
      <c r="B7" s="250" t="s">
        <v>530</v>
      </c>
    </row>
    <row r="8" spans="1:10">
      <c r="B8" s="250" t="s">
        <v>531</v>
      </c>
      <c r="C8" s="257">
        <v>44</v>
      </c>
      <c r="D8" s="257">
        <v>200</v>
      </c>
      <c r="E8" s="258">
        <v>0</v>
      </c>
      <c r="F8" s="258">
        <v>0</v>
      </c>
      <c r="G8" s="258">
        <v>0</v>
      </c>
      <c r="H8" s="258">
        <v>0</v>
      </c>
      <c r="I8" s="258">
        <v>0</v>
      </c>
      <c r="J8" s="257">
        <v>200</v>
      </c>
    </row>
    <row r="9" spans="1:10">
      <c r="B9" s="250" t="s">
        <v>532</v>
      </c>
    </row>
    <row r="10" spans="1:10">
      <c r="B10" s="250" t="s">
        <v>533</v>
      </c>
      <c r="C10" s="258">
        <v>0</v>
      </c>
      <c r="D10" s="258">
        <v>0</v>
      </c>
      <c r="E10" s="257">
        <v>57</v>
      </c>
      <c r="F10" s="258">
        <v>0</v>
      </c>
      <c r="G10" s="257">
        <v>9</v>
      </c>
      <c r="H10" s="258">
        <v>0</v>
      </c>
      <c r="I10" s="258">
        <v>0</v>
      </c>
      <c r="J10" s="257">
        <v>9</v>
      </c>
    </row>
    <row r="11" spans="1:10">
      <c r="B11" s="250" t="s">
        <v>534</v>
      </c>
    </row>
    <row r="12" spans="1:10">
      <c r="B12" s="250" t="s">
        <v>535</v>
      </c>
      <c r="C12" s="258">
        <v>0</v>
      </c>
      <c r="D12" s="258">
        <v>0</v>
      </c>
      <c r="E12" s="257">
        <v>2</v>
      </c>
      <c r="F12" s="258">
        <v>0</v>
      </c>
      <c r="G12" s="257">
        <v>9</v>
      </c>
      <c r="H12" s="258">
        <v>0</v>
      </c>
      <c r="I12" s="258">
        <v>0</v>
      </c>
      <c r="J12" s="257">
        <v>9</v>
      </c>
    </row>
    <row r="13" spans="1:10">
      <c r="B13" s="250" t="s">
        <v>536</v>
      </c>
    </row>
    <row r="14" spans="1:10">
      <c r="B14" s="250" t="s">
        <v>537</v>
      </c>
      <c r="C14" s="258">
        <v>0</v>
      </c>
      <c r="D14" s="258">
        <v>0</v>
      </c>
      <c r="E14" s="257">
        <v>4</v>
      </c>
      <c r="F14" s="258">
        <v>0</v>
      </c>
      <c r="G14" s="257">
        <v>20</v>
      </c>
      <c r="H14" s="258">
        <v>0</v>
      </c>
      <c r="I14" s="258">
        <v>0</v>
      </c>
      <c r="J14" s="257">
        <v>20</v>
      </c>
    </row>
    <row r="15" spans="1:10">
      <c r="B15" s="250" t="s">
        <v>538</v>
      </c>
    </row>
    <row r="16" spans="1:10">
      <c r="B16" s="250" t="s">
        <v>539</v>
      </c>
      <c r="C16" s="258">
        <v>0</v>
      </c>
      <c r="D16" s="258">
        <v>0</v>
      </c>
      <c r="E16" s="258">
        <v>0</v>
      </c>
      <c r="F16" s="258">
        <v>0</v>
      </c>
      <c r="G16" s="257">
        <v>16</v>
      </c>
      <c r="H16" s="258">
        <v>0</v>
      </c>
      <c r="I16" s="258">
        <v>0</v>
      </c>
      <c r="J16" s="257">
        <v>16</v>
      </c>
    </row>
    <row r="17" spans="2:10">
      <c r="B17" s="250" t="s">
        <v>540</v>
      </c>
    </row>
    <row r="18" spans="2:10">
      <c r="B18" s="250" t="s">
        <v>541</v>
      </c>
      <c r="C18" s="258">
        <v>0</v>
      </c>
      <c r="D18" s="258">
        <v>0</v>
      </c>
      <c r="E18" s="258">
        <v>0</v>
      </c>
      <c r="F18" s="258">
        <v>0</v>
      </c>
      <c r="G18" s="257">
        <v>2</v>
      </c>
      <c r="H18" s="258">
        <v>0</v>
      </c>
      <c r="I18" s="258">
        <v>0</v>
      </c>
      <c r="J18" s="257">
        <v>2</v>
      </c>
    </row>
    <row r="19" spans="2:10">
      <c r="B19" s="250" t="s">
        <v>542</v>
      </c>
    </row>
    <row r="20" spans="2:10">
      <c r="B20" s="250" t="s">
        <v>543</v>
      </c>
      <c r="C20" s="258">
        <v>0</v>
      </c>
      <c r="D20" s="258">
        <v>0</v>
      </c>
      <c r="E20" s="258">
        <v>0</v>
      </c>
      <c r="F20" s="258">
        <v>0</v>
      </c>
      <c r="G20" s="257">
        <v>50</v>
      </c>
      <c r="H20" s="258">
        <v>0</v>
      </c>
      <c r="I20" s="258">
        <v>0</v>
      </c>
      <c r="J20" s="257">
        <v>50</v>
      </c>
    </row>
    <row r="21" spans="2:10">
      <c r="B21" s="250" t="s">
        <v>128</v>
      </c>
      <c r="C21" s="258">
        <v>0</v>
      </c>
      <c r="D21" s="258">
        <v>0</v>
      </c>
      <c r="E21" s="258">
        <v>0</v>
      </c>
      <c r="F21" s="258">
        <v>0</v>
      </c>
      <c r="G21" s="258">
        <v>0</v>
      </c>
      <c r="H21" s="258">
        <v>0</v>
      </c>
      <c r="I21" s="257">
        <v>229</v>
      </c>
      <c r="J21" s="257">
        <v>229</v>
      </c>
    </row>
    <row r="23" spans="2:10">
      <c r="B23" s="250" t="s">
        <v>544</v>
      </c>
      <c r="C23" s="257">
        <v>543</v>
      </c>
      <c r="D23" s="254">
        <v>615</v>
      </c>
      <c r="E23" s="257">
        <v>1070</v>
      </c>
      <c r="F23" s="264">
        <v>0</v>
      </c>
      <c r="G23" s="254">
        <v>253</v>
      </c>
      <c r="H23" s="264">
        <v>0</v>
      </c>
      <c r="I23" s="264">
        <v>0</v>
      </c>
      <c r="J23" s="254">
        <v>868</v>
      </c>
    </row>
    <row r="24" spans="2:10">
      <c r="B24" s="250" t="s">
        <v>545</v>
      </c>
    </row>
    <row r="25" spans="2:10">
      <c r="B25" s="250" t="s">
        <v>546</v>
      </c>
      <c r="C25" s="258">
        <v>0</v>
      </c>
      <c r="D25" s="258">
        <v>0</v>
      </c>
      <c r="E25" s="257">
        <v>24</v>
      </c>
      <c r="F25" s="258">
        <v>0</v>
      </c>
      <c r="G25" s="257">
        <v>500</v>
      </c>
      <c r="H25" s="258">
        <v>0</v>
      </c>
      <c r="I25" s="258">
        <v>0</v>
      </c>
      <c r="J25" s="257">
        <v>500</v>
      </c>
    </row>
    <row r="26" spans="2:10">
      <c r="B26" s="250" t="s">
        <v>532</v>
      </c>
    </row>
    <row r="27" spans="2:10">
      <c r="B27" s="250" t="s">
        <v>533</v>
      </c>
      <c r="C27" s="258">
        <v>0</v>
      </c>
      <c r="D27" s="258">
        <v>0</v>
      </c>
      <c r="E27" s="257">
        <v>70</v>
      </c>
      <c r="F27" s="258">
        <v>0</v>
      </c>
      <c r="G27" s="257">
        <v>6</v>
      </c>
      <c r="H27" s="258">
        <v>0</v>
      </c>
      <c r="I27" s="258">
        <v>0</v>
      </c>
      <c r="J27" s="257">
        <v>6</v>
      </c>
    </row>
    <row r="28" spans="2:10">
      <c r="B28" s="250" t="s">
        <v>536</v>
      </c>
    </row>
    <row r="29" spans="2:10">
      <c r="B29" s="250" t="s">
        <v>547</v>
      </c>
      <c r="C29" s="258">
        <v>0</v>
      </c>
      <c r="D29" s="258">
        <v>0</v>
      </c>
      <c r="E29" s="257">
        <v>6</v>
      </c>
      <c r="F29" s="258">
        <v>0</v>
      </c>
      <c r="G29" s="257">
        <v>60</v>
      </c>
      <c r="H29" s="258">
        <v>0</v>
      </c>
      <c r="I29" s="258">
        <v>0</v>
      </c>
      <c r="J29" s="257">
        <v>60</v>
      </c>
    </row>
    <row r="30" spans="2:10">
      <c r="B30" s="250" t="s">
        <v>548</v>
      </c>
    </row>
    <row r="31" spans="2:10">
      <c r="B31" s="250" t="s">
        <v>549</v>
      </c>
      <c r="C31" s="257">
        <v>-2</v>
      </c>
      <c r="D31" s="258">
        <v>0</v>
      </c>
      <c r="E31" s="257">
        <v>2</v>
      </c>
      <c r="F31" s="258">
        <v>0</v>
      </c>
      <c r="G31" s="258">
        <v>0</v>
      </c>
      <c r="H31" s="258">
        <v>0</v>
      </c>
      <c r="I31" s="258">
        <v>0</v>
      </c>
      <c r="J31" s="258">
        <v>0</v>
      </c>
    </row>
    <row r="32" spans="2:10">
      <c r="B32" s="250" t="s">
        <v>550</v>
      </c>
    </row>
    <row r="33" spans="2:10">
      <c r="B33" s="250" t="s">
        <v>551</v>
      </c>
      <c r="C33" s="258">
        <v>0</v>
      </c>
      <c r="D33" s="258">
        <v>0</v>
      </c>
      <c r="E33" s="258">
        <v>0</v>
      </c>
      <c r="F33" s="258">
        <v>0</v>
      </c>
      <c r="G33" s="257">
        <v>3</v>
      </c>
      <c r="H33" s="258">
        <v>0</v>
      </c>
      <c r="I33" s="258">
        <v>0</v>
      </c>
      <c r="J33" s="257">
        <v>3</v>
      </c>
    </row>
    <row r="34" spans="2:10">
      <c r="B34" s="250" t="s">
        <v>538</v>
      </c>
    </row>
    <row r="35" spans="2:10">
      <c r="B35" s="250" t="s">
        <v>539</v>
      </c>
      <c r="C35" s="258">
        <v>0</v>
      </c>
      <c r="D35" s="258">
        <v>0</v>
      </c>
      <c r="E35" s="258">
        <v>0</v>
      </c>
      <c r="F35" s="258">
        <v>0</v>
      </c>
      <c r="G35" s="257">
        <v>17</v>
      </c>
      <c r="H35" s="258">
        <v>0</v>
      </c>
      <c r="I35" s="258">
        <v>0</v>
      </c>
      <c r="J35" s="257">
        <v>17</v>
      </c>
    </row>
    <row r="36" spans="2:10">
      <c r="B36" s="250" t="s">
        <v>540</v>
      </c>
    </row>
    <row r="37" spans="2:10">
      <c r="B37" s="250" t="s">
        <v>541</v>
      </c>
      <c r="C37" s="258">
        <v>0</v>
      </c>
      <c r="D37" s="258">
        <v>0</v>
      </c>
      <c r="E37" s="258">
        <v>0</v>
      </c>
      <c r="F37" s="258">
        <v>0</v>
      </c>
      <c r="G37" s="257">
        <v>1</v>
      </c>
      <c r="H37" s="258">
        <v>0</v>
      </c>
      <c r="I37" s="258">
        <v>0</v>
      </c>
      <c r="J37" s="257">
        <v>1</v>
      </c>
    </row>
    <row r="38" spans="2:10">
      <c r="B38" s="250" t="s">
        <v>542</v>
      </c>
    </row>
    <row r="39" spans="2:10">
      <c r="B39" s="250" t="s">
        <v>552</v>
      </c>
      <c r="C39" s="258">
        <v>0</v>
      </c>
      <c r="D39" s="258">
        <v>0</v>
      </c>
      <c r="E39" s="258">
        <v>0</v>
      </c>
      <c r="F39" s="258">
        <v>0</v>
      </c>
      <c r="G39" s="257">
        <v>107</v>
      </c>
      <c r="H39" s="258">
        <v>0</v>
      </c>
      <c r="I39" s="258">
        <v>0</v>
      </c>
      <c r="J39" s="257">
        <v>107</v>
      </c>
    </row>
    <row r="40" spans="2:10">
      <c r="B40" s="250" t="s">
        <v>553</v>
      </c>
      <c r="C40" s="258">
        <v>0</v>
      </c>
      <c r="D40" s="258">
        <v>0</v>
      </c>
      <c r="E40" s="258">
        <v>0</v>
      </c>
      <c r="F40" s="258">
        <v>0</v>
      </c>
      <c r="G40" s="258">
        <v>0</v>
      </c>
      <c r="H40" s="257">
        <v>-6</v>
      </c>
      <c r="I40" s="258">
        <v>0</v>
      </c>
      <c r="J40" s="257">
        <v>-6</v>
      </c>
    </row>
    <row r="41" spans="2:10">
      <c r="B41" s="250" t="s">
        <v>128</v>
      </c>
      <c r="C41" s="258">
        <v>0</v>
      </c>
      <c r="D41" s="258">
        <v>0</v>
      </c>
      <c r="E41" s="258">
        <v>0</v>
      </c>
      <c r="F41" s="258">
        <v>0</v>
      </c>
      <c r="G41" s="258">
        <v>0</v>
      </c>
      <c r="H41" s="258">
        <v>0</v>
      </c>
      <c r="I41" s="257">
        <v>606</v>
      </c>
      <c r="J41" s="257">
        <v>606</v>
      </c>
    </row>
    <row r="43" spans="2:10">
      <c r="B43" s="250" t="s">
        <v>554</v>
      </c>
      <c r="C43" s="257">
        <v>541</v>
      </c>
      <c r="D43" s="254">
        <v>615</v>
      </c>
      <c r="E43" s="257">
        <v>1172</v>
      </c>
      <c r="F43" s="264">
        <v>0</v>
      </c>
      <c r="G43" s="254">
        <v>947</v>
      </c>
      <c r="H43" s="254">
        <v>-6</v>
      </c>
      <c r="I43" s="254">
        <v>606</v>
      </c>
      <c r="J43" s="254">
        <v>2162</v>
      </c>
    </row>
    <row r="44" spans="2:10">
      <c r="B44" s="250" t="s">
        <v>545</v>
      </c>
    </row>
    <row r="45" spans="2:10">
      <c r="B45" s="250" t="s">
        <v>546</v>
      </c>
      <c r="C45" s="258">
        <v>0</v>
      </c>
      <c r="D45" s="258">
        <v>0</v>
      </c>
      <c r="E45" s="257">
        <v>48</v>
      </c>
      <c r="F45" s="258">
        <v>0</v>
      </c>
      <c r="G45" s="257">
        <v>998</v>
      </c>
      <c r="H45" s="258">
        <v>0</v>
      </c>
      <c r="I45" s="258">
        <v>0</v>
      </c>
      <c r="J45" s="257">
        <v>998</v>
      </c>
    </row>
    <row r="46" spans="2:10">
      <c r="B46" s="250" t="s">
        <v>532</v>
      </c>
    </row>
    <row r="47" spans="2:10">
      <c r="B47" s="250" t="s">
        <v>533</v>
      </c>
      <c r="C47" s="258">
        <v>0</v>
      </c>
      <c r="D47" s="258">
        <v>0</v>
      </c>
      <c r="E47" s="257">
        <v>102</v>
      </c>
      <c r="F47" s="258">
        <v>0</v>
      </c>
      <c r="G47" s="257">
        <v>28</v>
      </c>
      <c r="H47" s="258">
        <v>0</v>
      </c>
      <c r="I47" s="258">
        <v>0</v>
      </c>
      <c r="J47" s="257">
        <v>28</v>
      </c>
    </row>
    <row r="48" spans="2:10">
      <c r="B48" s="250" t="s">
        <v>534</v>
      </c>
    </row>
    <row r="49" spans="2:10">
      <c r="B49" s="250" t="s">
        <v>535</v>
      </c>
      <c r="C49" s="258">
        <v>0</v>
      </c>
      <c r="D49" s="258">
        <v>0</v>
      </c>
      <c r="E49" s="258">
        <v>0</v>
      </c>
      <c r="F49" s="258">
        <v>0</v>
      </c>
      <c r="G49" s="257">
        <v>3</v>
      </c>
      <c r="H49" s="258">
        <v>0</v>
      </c>
      <c r="I49" s="258">
        <v>0</v>
      </c>
      <c r="J49" s="257">
        <v>3</v>
      </c>
    </row>
    <row r="50" spans="2:10">
      <c r="B50" s="250" t="s">
        <v>536</v>
      </c>
    </row>
    <row r="51" spans="2:10">
      <c r="B51" s="250" t="s">
        <v>547</v>
      </c>
      <c r="C51" s="258">
        <v>0</v>
      </c>
      <c r="D51" s="258">
        <v>0</v>
      </c>
      <c r="E51" s="257">
        <v>2</v>
      </c>
      <c r="F51" s="258">
        <v>0</v>
      </c>
      <c r="G51" s="257">
        <v>58</v>
      </c>
      <c r="H51" s="258">
        <v>0</v>
      </c>
      <c r="I51" s="258">
        <v>0</v>
      </c>
      <c r="J51" s="257">
        <v>58</v>
      </c>
    </row>
    <row r="52" spans="2:10">
      <c r="B52" s="250" t="s">
        <v>555</v>
      </c>
      <c r="C52" s="257">
        <v>8</v>
      </c>
      <c r="D52" s="258">
        <v>0</v>
      </c>
      <c r="E52" s="258">
        <v>0</v>
      </c>
      <c r="F52" s="258">
        <v>0</v>
      </c>
      <c r="G52" s="258">
        <v>0</v>
      </c>
      <c r="H52" s="258">
        <v>0</v>
      </c>
      <c r="I52" s="258">
        <v>0</v>
      </c>
      <c r="J52" s="258">
        <v>0</v>
      </c>
    </row>
    <row r="53" spans="2:10">
      <c r="B53" s="250" t="s">
        <v>556</v>
      </c>
    </row>
    <row r="54" spans="2:10">
      <c r="B54" s="250" t="s">
        <v>549</v>
      </c>
      <c r="C54" s="257">
        <v>-2</v>
      </c>
      <c r="D54" s="258">
        <v>0</v>
      </c>
      <c r="E54" s="257">
        <v>2</v>
      </c>
      <c r="F54" s="258">
        <v>0</v>
      </c>
      <c r="G54" s="258">
        <v>0</v>
      </c>
      <c r="H54" s="258">
        <v>0</v>
      </c>
      <c r="I54" s="258">
        <v>0</v>
      </c>
      <c r="J54" s="258">
        <v>0</v>
      </c>
    </row>
    <row r="55" spans="2:10">
      <c r="B55" s="250" t="s">
        <v>557</v>
      </c>
    </row>
    <row r="56" spans="2:10">
      <c r="B56" s="250" t="s">
        <v>558</v>
      </c>
      <c r="C56" s="257">
        <v>-4</v>
      </c>
      <c r="D56" s="258">
        <v>0</v>
      </c>
      <c r="E56" s="257">
        <v>4</v>
      </c>
      <c r="F56" s="258">
        <v>0</v>
      </c>
      <c r="G56" s="258">
        <v>0</v>
      </c>
      <c r="H56" s="258">
        <v>0</v>
      </c>
      <c r="I56" s="258">
        <v>0</v>
      </c>
      <c r="J56" s="258">
        <v>0</v>
      </c>
    </row>
    <row r="57" spans="2:10">
      <c r="B57" s="250" t="s">
        <v>538</v>
      </c>
    </row>
    <row r="58" spans="2:10">
      <c r="B58" s="250" t="s">
        <v>539</v>
      </c>
      <c r="C58" s="258">
        <v>0</v>
      </c>
      <c r="D58" s="258">
        <v>0</v>
      </c>
      <c r="E58" s="258">
        <v>0</v>
      </c>
      <c r="F58" s="258">
        <v>0</v>
      </c>
      <c r="G58" s="257">
        <v>217</v>
      </c>
      <c r="H58" s="258">
        <v>0</v>
      </c>
      <c r="I58" s="258">
        <v>0</v>
      </c>
      <c r="J58" s="257">
        <v>217</v>
      </c>
    </row>
    <row r="59" spans="2:10">
      <c r="B59" s="250" t="s">
        <v>542</v>
      </c>
    </row>
    <row r="60" spans="2:10">
      <c r="B60" s="250" t="s">
        <v>543</v>
      </c>
      <c r="C60" s="258">
        <v>0</v>
      </c>
      <c r="D60" s="258">
        <v>0</v>
      </c>
      <c r="E60" s="258">
        <v>0</v>
      </c>
      <c r="F60" s="258">
        <v>0</v>
      </c>
      <c r="G60" s="257">
        <v>433</v>
      </c>
      <c r="H60" s="258">
        <v>0</v>
      </c>
      <c r="I60" s="258">
        <v>0</v>
      </c>
      <c r="J60" s="257">
        <v>433</v>
      </c>
    </row>
    <row r="61" spans="2:10">
      <c r="B61" s="250" t="s">
        <v>128</v>
      </c>
      <c r="C61" s="258">
        <v>0</v>
      </c>
      <c r="D61" s="258">
        <v>0</v>
      </c>
      <c r="E61" s="258">
        <v>0</v>
      </c>
      <c r="F61" s="258">
        <v>0</v>
      </c>
      <c r="G61" s="258">
        <v>0</v>
      </c>
      <c r="H61" s="258">
        <v>0</v>
      </c>
      <c r="I61" s="257">
        <v>1000</v>
      </c>
      <c r="J61" s="257">
        <v>1000</v>
      </c>
    </row>
    <row r="63" spans="2:10">
      <c r="B63" s="250" t="s">
        <v>559</v>
      </c>
      <c r="C63" s="257">
        <v>543</v>
      </c>
      <c r="D63" s="254">
        <v>615</v>
      </c>
      <c r="E63" s="257">
        <v>1330</v>
      </c>
      <c r="F63" s="264">
        <v>0</v>
      </c>
      <c r="G63" s="254">
        <v>2684</v>
      </c>
      <c r="H63" s="254">
        <v>-6</v>
      </c>
      <c r="I63" s="254">
        <v>1606</v>
      </c>
      <c r="J63" s="254">
        <v>4899</v>
      </c>
    </row>
    <row r="64" spans="2:10">
      <c r="B64" s="250" t="s">
        <v>560</v>
      </c>
    </row>
    <row r="65" spans="2:10">
      <c r="B65" s="250" t="s">
        <v>561</v>
      </c>
      <c r="C65" s="258">
        <v>0</v>
      </c>
      <c r="D65" s="258">
        <v>0</v>
      </c>
      <c r="E65" s="257">
        <v>22</v>
      </c>
      <c r="F65" s="258">
        <v>0</v>
      </c>
      <c r="G65" s="257">
        <v>5</v>
      </c>
      <c r="H65" s="258">
        <v>0</v>
      </c>
      <c r="I65" s="258">
        <v>0</v>
      </c>
      <c r="J65" s="257">
        <v>5</v>
      </c>
    </row>
    <row r="66" spans="2:10">
      <c r="B66" s="250" t="s">
        <v>562</v>
      </c>
    </row>
    <row r="67" spans="2:10">
      <c r="B67" s="250" t="s">
        <v>563</v>
      </c>
      <c r="C67" s="258">
        <v>0</v>
      </c>
      <c r="D67" s="258">
        <v>0</v>
      </c>
      <c r="E67" s="258">
        <v>0</v>
      </c>
      <c r="F67" s="258">
        <v>0</v>
      </c>
      <c r="G67" s="257">
        <v>1</v>
      </c>
      <c r="H67" s="258">
        <v>0</v>
      </c>
      <c r="I67" s="258">
        <v>0</v>
      </c>
      <c r="J67" s="257">
        <v>1</v>
      </c>
    </row>
    <row r="68" spans="2:10">
      <c r="B68" s="250" t="s">
        <v>564</v>
      </c>
      <c r="C68" s="258">
        <v>0</v>
      </c>
      <c r="D68" s="258">
        <v>0</v>
      </c>
      <c r="E68" s="258">
        <v>0</v>
      </c>
      <c r="F68" s="258">
        <v>0</v>
      </c>
      <c r="G68" s="257">
        <v>6</v>
      </c>
      <c r="H68" s="258">
        <v>0</v>
      </c>
      <c r="I68" s="258">
        <v>0</v>
      </c>
      <c r="J68" s="257">
        <v>6</v>
      </c>
    </row>
    <row r="69" spans="2:10">
      <c r="B69" s="250" t="s">
        <v>565</v>
      </c>
      <c r="C69" s="258">
        <v>0</v>
      </c>
      <c r="D69" s="258">
        <v>0</v>
      </c>
      <c r="E69" s="258">
        <v>0</v>
      </c>
      <c r="F69" s="258">
        <v>0</v>
      </c>
      <c r="G69" s="257">
        <v>103</v>
      </c>
      <c r="H69" s="258">
        <v>0</v>
      </c>
      <c r="I69" s="258">
        <v>0</v>
      </c>
      <c r="J69" s="257">
        <v>103</v>
      </c>
    </row>
    <row r="70" spans="2:10">
      <c r="B70" s="250" t="s">
        <v>566</v>
      </c>
    </row>
    <row r="71" spans="2:10">
      <c r="B71" s="250" t="s">
        <v>567</v>
      </c>
      <c r="C71" s="258">
        <v>0</v>
      </c>
      <c r="D71" s="258">
        <v>0</v>
      </c>
      <c r="E71" s="258">
        <v>0</v>
      </c>
      <c r="F71" s="258">
        <v>0</v>
      </c>
      <c r="G71" s="257">
        <v>54</v>
      </c>
      <c r="H71" s="258">
        <v>0</v>
      </c>
      <c r="I71" s="258">
        <v>0</v>
      </c>
      <c r="J71" s="257">
        <v>54</v>
      </c>
    </row>
    <row r="72" spans="2:10">
      <c r="B72" s="250" t="s">
        <v>568</v>
      </c>
      <c r="C72" s="258">
        <v>0</v>
      </c>
      <c r="D72" s="258">
        <v>0</v>
      </c>
      <c r="E72" s="258">
        <v>0</v>
      </c>
      <c r="F72" s="258">
        <v>0</v>
      </c>
      <c r="G72" s="258">
        <v>0</v>
      </c>
      <c r="H72" s="257">
        <v>-1</v>
      </c>
      <c r="I72" s="258">
        <v>0</v>
      </c>
      <c r="J72" s="257">
        <v>-1</v>
      </c>
    </row>
    <row r="73" spans="2:10">
      <c r="B73" s="250" t="s">
        <v>569</v>
      </c>
      <c r="C73" s="258">
        <v>0</v>
      </c>
      <c r="D73" s="258">
        <v>0</v>
      </c>
      <c r="E73" s="258">
        <v>0</v>
      </c>
      <c r="F73" s="258">
        <v>0</v>
      </c>
      <c r="G73" s="258">
        <v>0</v>
      </c>
      <c r="H73" s="258">
        <v>0</v>
      </c>
      <c r="I73" s="257">
        <v>205</v>
      </c>
      <c r="J73" s="257">
        <v>205</v>
      </c>
    </row>
    <row r="75" spans="2:10">
      <c r="B75" s="250" t="s">
        <v>570</v>
      </c>
      <c r="C75" s="257">
        <v>543</v>
      </c>
      <c r="D75" s="254">
        <v>615</v>
      </c>
      <c r="E75" s="257">
        <v>1352</v>
      </c>
      <c r="F75" s="264">
        <v>0</v>
      </c>
      <c r="G75" s="254">
        <v>2853</v>
      </c>
      <c r="H75" s="254">
        <v>-7</v>
      </c>
      <c r="I75" s="254">
        <v>1811</v>
      </c>
      <c r="J75" s="254">
        <v>5272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L37"/>
  <sheetViews>
    <sheetView topLeftCell="A10" zoomScale="80" zoomScaleNormal="80" workbookViewId="0">
      <selection activeCell="B43" sqref="B43"/>
    </sheetView>
  </sheetViews>
  <sheetFormatPr baseColWidth="10" defaultColWidth="9.109375" defaultRowHeight="12.3"/>
  <cols>
    <col min="1" max="1" width="9.109375" style="32"/>
    <col min="2" max="2" width="36.44140625" style="32" customWidth="1"/>
    <col min="3" max="3" width="1.88671875" style="32" bestFit="1" customWidth="1"/>
    <col min="4" max="4" width="8.88671875" style="32" bestFit="1" customWidth="1"/>
    <col min="5" max="5" width="1.88671875" style="32" bestFit="1" customWidth="1"/>
    <col min="6" max="6" width="8.88671875" style="32" bestFit="1" customWidth="1"/>
    <col min="7" max="7" width="1.88671875" style="32" bestFit="1" customWidth="1"/>
    <col min="8" max="8" width="8.88671875" style="32" bestFit="1" customWidth="1"/>
    <col min="9" max="9" width="1.88671875" style="32" bestFit="1" customWidth="1"/>
    <col min="10" max="10" width="8.88671875" style="32" bestFit="1" customWidth="1"/>
    <col min="11" max="11" width="1.88671875" style="32" bestFit="1" customWidth="1"/>
    <col min="12" max="12" width="13.109375" style="32" customWidth="1"/>
    <col min="13" max="16384" width="9.109375" style="32"/>
  </cols>
  <sheetData>
    <row r="2" spans="2:12">
      <c r="B2" s="167" t="s">
        <v>275</v>
      </c>
    </row>
    <row r="3" spans="2:12" ht="14.1">
      <c r="B3" s="168"/>
    </row>
    <row r="4" spans="2:12">
      <c r="B4" s="167" t="s">
        <v>276</v>
      </c>
    </row>
    <row r="6" spans="2:12" ht="14.1">
      <c r="B6" s="238" t="s">
        <v>193</v>
      </c>
      <c r="C6" s="63"/>
      <c r="D6" s="344" t="s">
        <v>3</v>
      </c>
      <c r="E6" s="344"/>
      <c r="F6" s="344"/>
      <c r="G6" s="344"/>
      <c r="H6" s="344"/>
      <c r="I6" s="64"/>
      <c r="J6" s="344" t="s">
        <v>4</v>
      </c>
      <c r="K6" s="344"/>
      <c r="L6" s="344"/>
    </row>
    <row r="7" spans="2:12" ht="14.1">
      <c r="B7" s="63"/>
      <c r="C7" s="63"/>
      <c r="D7" s="345" t="s">
        <v>5</v>
      </c>
      <c r="E7" s="345"/>
      <c r="F7" s="345"/>
      <c r="G7" s="345"/>
      <c r="H7" s="345"/>
      <c r="I7" s="64"/>
      <c r="J7" s="345" t="s">
        <v>6</v>
      </c>
      <c r="K7" s="345"/>
      <c r="L7" s="345"/>
    </row>
    <row r="8" spans="2:12" ht="28.2">
      <c r="B8" s="78" t="s">
        <v>192</v>
      </c>
      <c r="C8" s="64"/>
      <c r="D8" s="65" t="s">
        <v>7</v>
      </c>
      <c r="E8" s="64"/>
      <c r="F8" s="65" t="s">
        <v>8</v>
      </c>
      <c r="G8" s="64"/>
      <c r="H8" s="65" t="s">
        <v>9</v>
      </c>
      <c r="I8" s="64"/>
      <c r="J8" s="65" t="s">
        <v>9</v>
      </c>
      <c r="K8" s="64"/>
      <c r="L8" s="65" t="s">
        <v>10</v>
      </c>
    </row>
    <row r="9" spans="2:12">
      <c r="B9" s="67" t="s">
        <v>129</v>
      </c>
      <c r="C9" s="68"/>
      <c r="D9" s="68">
        <v>777</v>
      </c>
      <c r="E9" s="68"/>
      <c r="F9" s="68">
        <v>1974</v>
      </c>
      <c r="G9" s="68"/>
      <c r="H9" s="68">
        <v>3711</v>
      </c>
      <c r="I9" s="68"/>
      <c r="J9" s="68">
        <v>731</v>
      </c>
      <c r="K9" s="68"/>
      <c r="L9" s="68">
        <v>1058</v>
      </c>
    </row>
    <row r="10" spans="2:12">
      <c r="B10" s="67" t="s">
        <v>11</v>
      </c>
      <c r="C10" s="66"/>
      <c r="D10" s="66"/>
      <c r="E10" s="66"/>
      <c r="F10" s="66"/>
      <c r="G10" s="66"/>
      <c r="H10" s="66"/>
      <c r="I10" s="66"/>
      <c r="J10" s="66"/>
      <c r="K10" s="66"/>
      <c r="L10" s="66"/>
    </row>
    <row r="11" spans="2:12">
      <c r="B11" s="69" t="s">
        <v>12</v>
      </c>
      <c r="C11" s="70"/>
      <c r="D11" s="70">
        <v>223</v>
      </c>
      <c r="E11" s="70"/>
      <c r="F11" s="70">
        <v>493</v>
      </c>
      <c r="G11" s="70"/>
      <c r="H11" s="70">
        <v>860</v>
      </c>
      <c r="I11" s="70"/>
      <c r="J11" s="70">
        <v>167</v>
      </c>
      <c r="K11" s="70"/>
      <c r="L11" s="70">
        <v>277</v>
      </c>
    </row>
    <row r="12" spans="2:12">
      <c r="B12" s="69" t="s">
        <v>13</v>
      </c>
      <c r="C12" s="70"/>
      <c r="D12" s="70">
        <v>115</v>
      </c>
      <c r="E12" s="70"/>
      <c r="F12" s="70">
        <v>184</v>
      </c>
      <c r="G12" s="70"/>
      <c r="H12" s="70">
        <v>427</v>
      </c>
      <c r="I12" s="70"/>
      <c r="J12" s="70">
        <v>68</v>
      </c>
      <c r="K12" s="70"/>
      <c r="L12" s="70">
        <v>159</v>
      </c>
    </row>
    <row r="13" spans="2:12">
      <c r="B13" s="69" t="s">
        <v>14</v>
      </c>
      <c r="C13" s="70"/>
      <c r="D13" s="70">
        <v>87</v>
      </c>
      <c r="E13" s="70"/>
      <c r="F13" s="70">
        <v>144</v>
      </c>
      <c r="G13" s="70"/>
      <c r="H13" s="70">
        <v>388</v>
      </c>
      <c r="I13" s="70"/>
      <c r="J13" s="70">
        <v>57</v>
      </c>
      <c r="K13" s="70"/>
      <c r="L13" s="70">
        <v>153</v>
      </c>
    </row>
    <row r="14" spans="2:12">
      <c r="B14" s="69" t="s">
        <v>15</v>
      </c>
      <c r="C14" s="70"/>
      <c r="D14" s="71">
        <v>90</v>
      </c>
      <c r="E14" s="70"/>
      <c r="F14" s="71">
        <v>121</v>
      </c>
      <c r="G14" s="70"/>
      <c r="H14" s="71">
        <v>280</v>
      </c>
      <c r="I14" s="70"/>
      <c r="J14" s="71">
        <v>51</v>
      </c>
      <c r="K14" s="70"/>
      <c r="L14" s="71">
        <v>88</v>
      </c>
    </row>
    <row r="15" spans="2:12">
      <c r="B15" s="67" t="s">
        <v>16</v>
      </c>
      <c r="C15" s="70"/>
      <c r="D15" s="71">
        <f>SUM(D11:D14)</f>
        <v>515</v>
      </c>
      <c r="E15" s="70"/>
      <c r="F15" s="71">
        <f>SUM(F11:F14)</f>
        <v>942</v>
      </c>
      <c r="G15" s="70"/>
      <c r="H15" s="71">
        <f>SUM(H11:H14)</f>
        <v>1955</v>
      </c>
      <c r="I15" s="72"/>
      <c r="J15" s="71">
        <f>SUM(J11:J14)</f>
        <v>343</v>
      </c>
      <c r="K15" s="70"/>
      <c r="L15" s="71">
        <f>SUM(L11:L14)</f>
        <v>677</v>
      </c>
    </row>
    <row r="16" spans="2:12">
      <c r="B16" s="67" t="s">
        <v>127</v>
      </c>
      <c r="C16" s="72"/>
      <c r="D16" s="70">
        <v>262</v>
      </c>
      <c r="E16" s="70"/>
      <c r="F16" s="72">
        <v>1032</v>
      </c>
      <c r="G16" s="72"/>
      <c r="H16" s="72">
        <v>1756</v>
      </c>
      <c r="I16" s="72"/>
      <c r="J16" s="70">
        <v>388</v>
      </c>
      <c r="K16" s="70"/>
      <c r="L16" s="70">
        <v>381</v>
      </c>
    </row>
    <row r="17" spans="2:12">
      <c r="B17" s="67" t="s">
        <v>17</v>
      </c>
      <c r="C17" s="73"/>
      <c r="D17" s="73">
        <v>-8</v>
      </c>
      <c r="E17" s="73"/>
      <c r="F17" s="73">
        <v>-24</v>
      </c>
      <c r="G17" s="73"/>
      <c r="H17" s="73">
        <v>-61</v>
      </c>
      <c r="I17" s="73"/>
      <c r="J17" s="73">
        <v>10</v>
      </c>
      <c r="K17" s="73"/>
      <c r="L17" s="73">
        <v>1</v>
      </c>
    </row>
    <row r="18" spans="2:12" ht="17.399999999999999" customHeight="1">
      <c r="B18" s="67" t="s">
        <v>18</v>
      </c>
      <c r="C18" s="73"/>
      <c r="D18" s="73">
        <f>D16+D17</f>
        <v>254</v>
      </c>
      <c r="E18" s="73"/>
      <c r="F18" s="73">
        <f>F16+F17</f>
        <v>1008</v>
      </c>
      <c r="G18" s="73"/>
      <c r="H18" s="73">
        <f>H16+H17</f>
        <v>1695</v>
      </c>
      <c r="I18" s="73"/>
      <c r="J18" s="73">
        <f>J16+J17</f>
        <v>398</v>
      </c>
      <c r="K18" s="73"/>
      <c r="L18" s="73">
        <f>L16+L17</f>
        <v>382</v>
      </c>
    </row>
    <row r="19" spans="2:12">
      <c r="B19" s="67" t="s">
        <v>0</v>
      </c>
      <c r="C19" s="70"/>
      <c r="D19" s="71">
        <v>25</v>
      </c>
      <c r="E19" s="70"/>
      <c r="F19" s="71">
        <v>402</v>
      </c>
      <c r="G19" s="70"/>
      <c r="H19" s="71">
        <v>695</v>
      </c>
      <c r="I19" s="70"/>
      <c r="J19" s="71">
        <v>165</v>
      </c>
      <c r="K19" s="70"/>
      <c r="L19" s="71">
        <v>177</v>
      </c>
    </row>
    <row r="20" spans="2:12" ht="12.6" thickBot="1">
      <c r="B20" s="67" t="s">
        <v>128</v>
      </c>
      <c r="C20" s="75"/>
      <c r="D20" s="74">
        <f>D18-D19</f>
        <v>229</v>
      </c>
      <c r="E20" s="75"/>
      <c r="F20" s="74">
        <f>F18-F19</f>
        <v>606</v>
      </c>
      <c r="G20" s="75"/>
      <c r="H20" s="74">
        <f>H18-H19</f>
        <v>1000</v>
      </c>
      <c r="I20" s="75"/>
      <c r="J20" s="74">
        <f>J18-J19</f>
        <v>233</v>
      </c>
      <c r="K20" s="75"/>
      <c r="L20" s="74">
        <f>L18-L19</f>
        <v>205</v>
      </c>
    </row>
    <row r="21" spans="2:12" ht="12.6" thickTop="1">
      <c r="B21" s="66"/>
      <c r="C21" s="66"/>
      <c r="D21" s="66"/>
      <c r="E21" s="66"/>
      <c r="F21" s="66"/>
      <c r="G21" s="66"/>
      <c r="H21" s="66"/>
      <c r="I21" s="66"/>
      <c r="J21" s="66"/>
      <c r="K21" s="66"/>
      <c r="L21" s="66"/>
    </row>
    <row r="22" spans="2:12" ht="24.9" thickBot="1">
      <c r="B22" s="66" t="s">
        <v>19</v>
      </c>
      <c r="C22" s="76"/>
      <c r="D22" s="77">
        <v>122</v>
      </c>
      <c r="E22" s="68" t="s">
        <v>20</v>
      </c>
      <c r="F22" s="77">
        <v>372</v>
      </c>
      <c r="G22" s="68" t="s">
        <v>20</v>
      </c>
      <c r="H22" s="77">
        <v>668</v>
      </c>
      <c r="I22" s="68" t="s">
        <v>20</v>
      </c>
      <c r="J22" s="77">
        <v>153</v>
      </c>
      <c r="K22" s="68" t="s">
        <v>20</v>
      </c>
      <c r="L22" s="77">
        <v>137</v>
      </c>
    </row>
    <row r="23" spans="2:12" ht="12.6" thickTop="1">
      <c r="B23" s="66"/>
      <c r="C23" s="66"/>
      <c r="D23" s="66"/>
      <c r="E23" s="66"/>
      <c r="F23" s="66"/>
      <c r="G23" s="66"/>
      <c r="H23" s="66"/>
      <c r="I23" s="66"/>
      <c r="J23" s="66"/>
      <c r="K23" s="66"/>
      <c r="L23" s="66"/>
    </row>
    <row r="24" spans="2:12">
      <c r="B24" s="234" t="s">
        <v>342</v>
      </c>
      <c r="C24" s="66"/>
      <c r="D24" s="66"/>
      <c r="E24" s="66"/>
      <c r="F24" s="66"/>
      <c r="G24" s="66"/>
      <c r="H24" s="66"/>
      <c r="I24" s="66"/>
      <c r="J24" s="66"/>
      <c r="K24" s="66"/>
      <c r="L24" s="66"/>
    </row>
    <row r="25" spans="2:12">
      <c r="B25" s="67" t="s">
        <v>21</v>
      </c>
      <c r="C25" s="61"/>
      <c r="D25" s="73">
        <v>1020</v>
      </c>
      <c r="E25" s="73"/>
      <c r="F25" s="73">
        <v>1107</v>
      </c>
      <c r="G25" s="73"/>
      <c r="H25" s="73">
        <v>1294</v>
      </c>
      <c r="I25" s="73"/>
      <c r="J25" s="73">
        <v>1240</v>
      </c>
      <c r="K25" s="73"/>
      <c r="L25" s="73">
        <v>1347</v>
      </c>
    </row>
    <row r="26" spans="2:12">
      <c r="B26" s="67" t="s">
        <v>22</v>
      </c>
      <c r="C26" s="62"/>
      <c r="D26" s="73">
        <v>1366</v>
      </c>
      <c r="E26" s="73"/>
      <c r="F26" s="73">
        <v>1414</v>
      </c>
      <c r="G26" s="73"/>
      <c r="H26" s="73">
        <v>1508</v>
      </c>
      <c r="I26" s="73"/>
      <c r="J26" s="73">
        <v>1488</v>
      </c>
      <c r="K26" s="73"/>
      <c r="L26" s="73">
        <v>1526</v>
      </c>
    </row>
    <row r="27" spans="2:12">
      <c r="B27" s="343" t="s">
        <v>190</v>
      </c>
      <c r="C27" s="66"/>
      <c r="D27" s="66"/>
      <c r="E27" s="66"/>
      <c r="F27" s="66"/>
      <c r="G27" s="66"/>
      <c r="H27" s="66"/>
      <c r="I27" s="66"/>
      <c r="J27" s="66"/>
      <c r="K27" s="66"/>
      <c r="L27" s="66"/>
    </row>
    <row r="28" spans="2:12">
      <c r="B28" s="343"/>
      <c r="C28" s="66"/>
      <c r="D28" s="66"/>
      <c r="E28" s="66"/>
      <c r="F28" s="66"/>
      <c r="G28" s="66"/>
      <c r="H28" s="66"/>
      <c r="I28" s="66"/>
      <c r="J28" s="66"/>
      <c r="K28" s="66"/>
      <c r="L28" s="66"/>
    </row>
    <row r="29" spans="2:12" ht="18" customHeight="1">
      <c r="B29" s="67" t="s">
        <v>21</v>
      </c>
      <c r="C29" s="61"/>
      <c r="D29" s="61">
        <v>0.12</v>
      </c>
      <c r="E29" s="61" t="s">
        <v>20</v>
      </c>
      <c r="F29" s="61">
        <v>0.34</v>
      </c>
      <c r="G29" s="61" t="s">
        <v>20</v>
      </c>
      <c r="H29" s="61">
        <v>0.52</v>
      </c>
      <c r="I29" s="61" t="s">
        <v>20</v>
      </c>
      <c r="J29" s="61">
        <v>0.12</v>
      </c>
      <c r="K29" s="61" t="s">
        <v>20</v>
      </c>
      <c r="L29" s="61">
        <v>0.1</v>
      </c>
    </row>
    <row r="30" spans="2:12" ht="18" customHeight="1">
      <c r="B30" s="67" t="s">
        <v>22</v>
      </c>
      <c r="C30" s="62"/>
      <c r="D30" s="61">
        <v>0.1</v>
      </c>
      <c r="E30" s="61" t="s">
        <v>20</v>
      </c>
      <c r="F30" s="61">
        <v>0.28000000000000003</v>
      </c>
      <c r="G30" s="61" t="s">
        <v>20</v>
      </c>
      <c r="H30" s="61">
        <v>0.46</v>
      </c>
      <c r="I30" s="61" t="s">
        <v>20</v>
      </c>
      <c r="J30" s="61">
        <v>0.11</v>
      </c>
      <c r="K30" s="61" t="s">
        <v>20</v>
      </c>
      <c r="L30" s="61">
        <v>0.09</v>
      </c>
    </row>
    <row r="31" spans="2:12" s="236" customFormat="1" ht="59.4" customHeight="1">
      <c r="B31" s="235" t="s">
        <v>191</v>
      </c>
      <c r="D31" s="237" t="s">
        <v>343</v>
      </c>
      <c r="E31" s="237"/>
      <c r="F31" s="342" t="s">
        <v>340</v>
      </c>
      <c r="G31" s="342"/>
      <c r="H31" s="342" t="s">
        <v>341</v>
      </c>
      <c r="I31" s="342"/>
    </row>
    <row r="32" spans="2:12" ht="18" customHeight="1">
      <c r="B32" s="79" t="s">
        <v>345</v>
      </c>
      <c r="D32" s="80">
        <v>3910</v>
      </c>
      <c r="E32" s="80"/>
      <c r="F32" s="80">
        <v>3910</v>
      </c>
      <c r="G32" s="80"/>
      <c r="H32" s="80">
        <v>10311</v>
      </c>
      <c r="I32" s="80" t="s">
        <v>20</v>
      </c>
    </row>
    <row r="33" spans="2:9" ht="18" customHeight="1">
      <c r="B33" s="79" t="s">
        <v>23</v>
      </c>
      <c r="D33" s="81">
        <v>3655</v>
      </c>
      <c r="E33" s="66"/>
      <c r="F33" s="81">
        <v>3980</v>
      </c>
      <c r="G33" s="66"/>
      <c r="H33" s="81">
        <v>10381</v>
      </c>
      <c r="I33" s="76" t="s">
        <v>20</v>
      </c>
    </row>
    <row r="34" spans="2:9" ht="18" customHeight="1">
      <c r="B34" s="79" t="s">
        <v>24</v>
      </c>
      <c r="D34" s="81">
        <v>1855</v>
      </c>
      <c r="E34" s="66"/>
      <c r="F34" s="81">
        <v>1855</v>
      </c>
      <c r="G34" s="66"/>
      <c r="H34" s="81">
        <v>1855</v>
      </c>
      <c r="I34" s="76" t="s">
        <v>20</v>
      </c>
    </row>
    <row r="35" spans="2:9" ht="18" customHeight="1">
      <c r="B35" s="79" t="s">
        <v>125</v>
      </c>
      <c r="D35" s="81">
        <v>6859</v>
      </c>
      <c r="E35" s="66"/>
      <c r="F35" s="81">
        <v>7184</v>
      </c>
      <c r="G35" s="66"/>
      <c r="H35" s="81">
        <v>13585</v>
      </c>
      <c r="I35" s="76" t="s">
        <v>20</v>
      </c>
    </row>
    <row r="36" spans="2:9" ht="18" customHeight="1">
      <c r="B36" s="79" t="s">
        <v>126</v>
      </c>
      <c r="D36" s="81">
        <v>1587</v>
      </c>
      <c r="E36" s="66"/>
      <c r="F36" s="81">
        <v>1587</v>
      </c>
      <c r="G36" s="66"/>
      <c r="H36" s="81">
        <v>1587</v>
      </c>
      <c r="I36" s="76" t="s">
        <v>20</v>
      </c>
    </row>
    <row r="37" spans="2:9" ht="18" customHeight="1">
      <c r="B37" s="79" t="s">
        <v>25</v>
      </c>
      <c r="D37" s="81">
        <v>5272</v>
      </c>
      <c r="E37" s="66"/>
      <c r="F37" s="81">
        <v>5597</v>
      </c>
      <c r="G37" s="66"/>
      <c r="H37" s="81">
        <v>11998</v>
      </c>
      <c r="I37" s="76" t="s">
        <v>20</v>
      </c>
    </row>
  </sheetData>
  <mergeCells count="7">
    <mergeCell ref="H31:I31"/>
    <mergeCell ref="F31:G31"/>
    <mergeCell ref="B27:B28"/>
    <mergeCell ref="D6:H6"/>
    <mergeCell ref="J6:L6"/>
    <mergeCell ref="D7:H7"/>
    <mergeCell ref="J7:L7"/>
  </mergeCells>
  <phoneticPr fontId="6" type="noConversion"/>
  <pageMargins left="0.75" right="0.75" top="1" bottom="1" header="0.5" footer="0.5"/>
  <pageSetup orientation="portrait" horizontalDpi="1200" verticalDpi="12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Q61"/>
  <sheetViews>
    <sheetView topLeftCell="A30" zoomScale="80" zoomScaleNormal="80" workbookViewId="0">
      <selection activeCell="H32" sqref="H32"/>
    </sheetView>
  </sheetViews>
  <sheetFormatPr baseColWidth="10" defaultColWidth="9.109375" defaultRowHeight="12.3"/>
  <cols>
    <col min="1" max="1" width="9.109375" style="32"/>
    <col min="2" max="2" width="40.6640625" style="32" customWidth="1"/>
    <col min="3" max="3" width="1.88671875" style="32" bestFit="1" customWidth="1"/>
    <col min="4" max="4" width="8.88671875" style="32" bestFit="1" customWidth="1"/>
    <col min="5" max="5" width="1.88671875" style="32" bestFit="1" customWidth="1"/>
    <col min="6" max="6" width="8.88671875" style="32" bestFit="1" customWidth="1"/>
    <col min="7" max="7" width="1.88671875" style="32" bestFit="1" customWidth="1"/>
    <col min="8" max="8" width="8.88671875" style="32" bestFit="1" customWidth="1"/>
    <col min="9" max="9" width="1.88671875" style="32" bestFit="1" customWidth="1"/>
    <col min="10" max="10" width="8.88671875" style="32" bestFit="1" customWidth="1"/>
    <col min="11" max="11" width="1.88671875" style="32" bestFit="1" customWidth="1"/>
    <col min="12" max="12" width="13.109375" style="32" customWidth="1"/>
    <col min="13" max="16384" width="9.109375" style="32"/>
  </cols>
  <sheetData>
    <row r="2" spans="2:12">
      <c r="B2" s="167" t="s">
        <v>275</v>
      </c>
    </row>
    <row r="3" spans="2:12" ht="14.1">
      <c r="B3" s="168"/>
    </row>
    <row r="4" spans="2:12">
      <c r="B4" s="167" t="s">
        <v>276</v>
      </c>
    </row>
    <row r="6" spans="2:12" ht="14.1">
      <c r="B6" s="238" t="s">
        <v>193</v>
      </c>
      <c r="C6" s="63"/>
      <c r="D6" s="344" t="s">
        <v>3</v>
      </c>
      <c r="E6" s="344"/>
      <c r="F6" s="344"/>
      <c r="G6" s="344"/>
      <c r="H6" s="344"/>
      <c r="I6" s="64"/>
      <c r="J6" s="344" t="s">
        <v>4</v>
      </c>
      <c r="K6" s="344"/>
      <c r="L6" s="344"/>
    </row>
    <row r="7" spans="2:12" ht="14.1">
      <c r="B7" s="63"/>
      <c r="C7" s="63"/>
      <c r="D7" s="345" t="s">
        <v>5</v>
      </c>
      <c r="E7" s="345"/>
      <c r="F7" s="345"/>
      <c r="G7" s="345"/>
      <c r="H7" s="345"/>
      <c r="I7" s="64"/>
      <c r="J7" s="345" t="s">
        <v>6</v>
      </c>
      <c r="K7" s="345"/>
      <c r="L7" s="345"/>
    </row>
    <row r="8" spans="2:12" ht="28.2">
      <c r="B8" s="78" t="s">
        <v>192</v>
      </c>
      <c r="C8" s="64"/>
      <c r="D8" s="65" t="s">
        <v>7</v>
      </c>
      <c r="E8" s="64"/>
      <c r="F8" s="65" t="s">
        <v>8</v>
      </c>
      <c r="G8" s="64"/>
      <c r="H8" s="65" t="s">
        <v>9</v>
      </c>
      <c r="I8" s="64"/>
      <c r="J8" s="65" t="s">
        <v>9</v>
      </c>
      <c r="K8" s="64"/>
      <c r="L8" s="65" t="s">
        <v>10</v>
      </c>
    </row>
    <row r="9" spans="2:12">
      <c r="B9" s="67" t="s">
        <v>129</v>
      </c>
      <c r="C9" s="68"/>
      <c r="D9" s="68">
        <v>777</v>
      </c>
      <c r="E9" s="68"/>
      <c r="F9" s="68">
        <v>1974</v>
      </c>
      <c r="G9" s="68"/>
      <c r="H9" s="68">
        <v>3711</v>
      </c>
      <c r="I9" s="68"/>
      <c r="J9" s="68">
        <v>731</v>
      </c>
      <c r="K9" s="68"/>
      <c r="L9" s="68">
        <v>1058</v>
      </c>
    </row>
    <row r="10" spans="2:12">
      <c r="B10" s="67" t="s">
        <v>11</v>
      </c>
      <c r="C10" s="66"/>
      <c r="D10" s="66"/>
      <c r="E10" s="66"/>
      <c r="F10" s="66"/>
      <c r="G10" s="66"/>
      <c r="H10" s="66"/>
      <c r="I10" s="66"/>
      <c r="J10" s="66"/>
      <c r="K10" s="66"/>
      <c r="L10" s="66"/>
    </row>
    <row r="11" spans="2:12">
      <c r="B11" s="69" t="s">
        <v>12</v>
      </c>
      <c r="C11" s="70"/>
      <c r="D11" s="70">
        <v>223</v>
      </c>
      <c r="E11" s="70"/>
      <c r="F11" s="70">
        <v>493</v>
      </c>
      <c r="G11" s="70"/>
      <c r="H11" s="70">
        <v>860</v>
      </c>
      <c r="I11" s="70"/>
      <c r="J11" s="70">
        <v>167</v>
      </c>
      <c r="K11" s="70"/>
      <c r="L11" s="70">
        <v>277</v>
      </c>
    </row>
    <row r="12" spans="2:12">
      <c r="B12" s="69" t="s">
        <v>13</v>
      </c>
      <c r="C12" s="70"/>
      <c r="D12" s="70">
        <v>115</v>
      </c>
      <c r="E12" s="70"/>
      <c r="F12" s="70">
        <v>184</v>
      </c>
      <c r="G12" s="70"/>
      <c r="H12" s="70">
        <v>427</v>
      </c>
      <c r="I12" s="70"/>
      <c r="J12" s="70">
        <v>68</v>
      </c>
      <c r="K12" s="70"/>
      <c r="L12" s="70">
        <v>159</v>
      </c>
    </row>
    <row r="13" spans="2:12">
      <c r="B13" s="69" t="s">
        <v>14</v>
      </c>
      <c r="C13" s="70"/>
      <c r="D13" s="70">
        <v>87</v>
      </c>
      <c r="E13" s="70"/>
      <c r="F13" s="70">
        <v>144</v>
      </c>
      <c r="G13" s="70"/>
      <c r="H13" s="70">
        <v>388</v>
      </c>
      <c r="I13" s="70"/>
      <c r="J13" s="70">
        <v>57</v>
      </c>
      <c r="K13" s="70"/>
      <c r="L13" s="70">
        <v>153</v>
      </c>
    </row>
    <row r="14" spans="2:12">
      <c r="B14" s="69" t="s">
        <v>15</v>
      </c>
      <c r="C14" s="70"/>
      <c r="D14" s="71">
        <v>90</v>
      </c>
      <c r="E14" s="70"/>
      <c r="F14" s="71">
        <v>121</v>
      </c>
      <c r="G14" s="70"/>
      <c r="H14" s="71">
        <v>280</v>
      </c>
      <c r="I14" s="70"/>
      <c r="J14" s="71">
        <v>51</v>
      </c>
      <c r="K14" s="70"/>
      <c r="L14" s="71">
        <v>88</v>
      </c>
    </row>
    <row r="15" spans="2:12">
      <c r="B15" s="67" t="s">
        <v>16</v>
      </c>
      <c r="C15" s="70"/>
      <c r="D15" s="71">
        <f>SUM(D11:D14)</f>
        <v>515</v>
      </c>
      <c r="E15" s="70"/>
      <c r="F15" s="71">
        <f>SUM(F11:F14)</f>
        <v>942</v>
      </c>
      <c r="G15" s="70"/>
      <c r="H15" s="71">
        <f>SUM(H11:H14)</f>
        <v>1955</v>
      </c>
      <c r="I15" s="72"/>
      <c r="J15" s="71">
        <f>SUM(J11:J14)</f>
        <v>343</v>
      </c>
      <c r="K15" s="70"/>
      <c r="L15" s="71">
        <f>SUM(L11:L14)</f>
        <v>677</v>
      </c>
    </row>
    <row r="16" spans="2:12">
      <c r="B16" s="67" t="s">
        <v>127</v>
      </c>
      <c r="C16" s="72"/>
      <c r="D16" s="70">
        <v>262</v>
      </c>
      <c r="E16" s="70"/>
      <c r="F16" s="72">
        <v>1032</v>
      </c>
      <c r="G16" s="72"/>
      <c r="H16" s="72">
        <v>1756</v>
      </c>
      <c r="I16" s="72"/>
      <c r="J16" s="70">
        <v>388</v>
      </c>
      <c r="K16" s="70"/>
      <c r="L16" s="70">
        <v>381</v>
      </c>
    </row>
    <row r="17" spans="2:17">
      <c r="B17" s="67" t="s">
        <v>17</v>
      </c>
      <c r="C17" s="73"/>
      <c r="D17" s="73">
        <v>-8</v>
      </c>
      <c r="E17" s="73"/>
      <c r="F17" s="73">
        <v>-24</v>
      </c>
      <c r="G17" s="73"/>
      <c r="H17" s="73">
        <v>-61</v>
      </c>
      <c r="I17" s="73"/>
      <c r="J17" s="73">
        <v>10</v>
      </c>
      <c r="K17" s="73"/>
      <c r="L17" s="73">
        <v>1</v>
      </c>
    </row>
    <row r="18" spans="2:17" ht="17.399999999999999" customHeight="1">
      <c r="B18" s="67" t="s">
        <v>18</v>
      </c>
      <c r="C18" s="73"/>
      <c r="D18" s="73">
        <f>D16+D17</f>
        <v>254</v>
      </c>
      <c r="E18" s="73"/>
      <c r="F18" s="73">
        <f>F16+F17</f>
        <v>1008</v>
      </c>
      <c r="G18" s="73"/>
      <c r="H18" s="73">
        <f>H16+H17</f>
        <v>1695</v>
      </c>
      <c r="I18" s="73"/>
      <c r="J18" s="73">
        <f>J16+J17</f>
        <v>398</v>
      </c>
      <c r="K18" s="73"/>
      <c r="L18" s="73">
        <f>L16+L17</f>
        <v>382</v>
      </c>
    </row>
    <row r="19" spans="2:17">
      <c r="B19" s="67" t="s">
        <v>0</v>
      </c>
      <c r="C19" s="70"/>
      <c r="D19" s="71">
        <v>25</v>
      </c>
      <c r="E19" s="70"/>
      <c r="F19" s="71">
        <v>402</v>
      </c>
      <c r="G19" s="70"/>
      <c r="H19" s="71">
        <v>695</v>
      </c>
      <c r="I19" s="70"/>
      <c r="J19" s="71">
        <v>165</v>
      </c>
      <c r="K19" s="70"/>
      <c r="L19" s="71">
        <v>177</v>
      </c>
    </row>
    <row r="20" spans="2:17" ht="12.6" thickBot="1">
      <c r="B20" s="67" t="s">
        <v>128</v>
      </c>
      <c r="C20" s="75"/>
      <c r="D20" s="74">
        <f>D18-D19</f>
        <v>229</v>
      </c>
      <c r="E20" s="75"/>
      <c r="F20" s="74">
        <f>F18-F19</f>
        <v>606</v>
      </c>
      <c r="G20" s="75"/>
      <c r="H20" s="74">
        <f>H18-H19</f>
        <v>1000</v>
      </c>
      <c r="I20" s="75"/>
      <c r="J20" s="74">
        <f>J18-J19</f>
        <v>233</v>
      </c>
      <c r="K20" s="75"/>
      <c r="L20" s="74">
        <f>L18-L19</f>
        <v>205</v>
      </c>
    </row>
    <row r="21" spans="2:17" ht="12.6" thickTop="1">
      <c r="B21" s="66"/>
      <c r="C21" s="66"/>
      <c r="D21" s="66"/>
      <c r="E21" s="66"/>
      <c r="F21" s="66"/>
      <c r="G21" s="66"/>
      <c r="H21" s="66"/>
      <c r="I21" s="66"/>
      <c r="J21" s="66"/>
      <c r="K21" s="66"/>
      <c r="L21" s="66"/>
    </row>
    <row r="22" spans="2:17" ht="24.9" thickBot="1">
      <c r="B22" s="66" t="s">
        <v>19</v>
      </c>
      <c r="C22" s="76"/>
      <c r="D22" s="77">
        <v>122</v>
      </c>
      <c r="E22" s="68" t="s">
        <v>20</v>
      </c>
      <c r="F22" s="77">
        <v>372</v>
      </c>
      <c r="G22" s="68" t="s">
        <v>20</v>
      </c>
      <c r="H22" s="77">
        <v>668</v>
      </c>
      <c r="I22" s="68" t="s">
        <v>20</v>
      </c>
      <c r="J22" s="77">
        <v>153</v>
      </c>
      <c r="K22" s="68" t="s">
        <v>20</v>
      </c>
      <c r="L22" s="77">
        <v>137</v>
      </c>
    </row>
    <row r="23" spans="2:17" ht="12.6" thickTop="1">
      <c r="B23" s="66"/>
      <c r="C23" s="66"/>
      <c r="D23" s="66"/>
      <c r="E23" s="66"/>
      <c r="F23" s="66"/>
      <c r="G23" s="66"/>
      <c r="H23" s="66"/>
      <c r="I23" s="66"/>
      <c r="J23" s="66"/>
      <c r="K23" s="66"/>
      <c r="L23" s="66"/>
    </row>
    <row r="24" spans="2:17">
      <c r="B24" s="234" t="s">
        <v>342</v>
      </c>
      <c r="C24" s="66"/>
      <c r="D24" s="66"/>
      <c r="E24" s="66"/>
      <c r="F24" s="66"/>
      <c r="G24" s="66"/>
      <c r="H24" s="66"/>
      <c r="I24" s="66"/>
      <c r="J24" s="66"/>
      <c r="K24" s="66"/>
      <c r="L24" s="66"/>
    </row>
    <row r="25" spans="2:17">
      <c r="B25" s="67" t="s">
        <v>21</v>
      </c>
      <c r="C25" s="61"/>
      <c r="D25" s="73">
        <v>1020</v>
      </c>
      <c r="E25" s="73"/>
      <c r="F25" s="73">
        <v>1107</v>
      </c>
      <c r="G25" s="73"/>
      <c r="H25" s="73">
        <v>1294</v>
      </c>
      <c r="I25" s="73"/>
      <c r="J25" s="73">
        <v>1240</v>
      </c>
      <c r="K25" s="73"/>
      <c r="L25" s="73">
        <v>1347</v>
      </c>
    </row>
    <row r="26" spans="2:17">
      <c r="B26" s="67" t="s">
        <v>22</v>
      </c>
      <c r="C26" s="62"/>
      <c r="D26" s="73">
        <v>1366</v>
      </c>
      <c r="E26" s="73"/>
      <c r="F26" s="73">
        <v>1414</v>
      </c>
      <c r="G26" s="73"/>
      <c r="H26" s="73">
        <v>1508</v>
      </c>
      <c r="I26" s="73"/>
      <c r="J26" s="73">
        <v>1488</v>
      </c>
      <c r="K26" s="73"/>
      <c r="L26" s="73">
        <v>1526</v>
      </c>
    </row>
    <row r="27" spans="2:17">
      <c r="B27" s="343" t="s">
        <v>190</v>
      </c>
      <c r="C27" s="66"/>
      <c r="D27" s="66"/>
      <c r="E27" s="66"/>
      <c r="F27" s="66"/>
      <c r="G27" s="66"/>
      <c r="H27" s="66"/>
      <c r="I27" s="66"/>
      <c r="J27" s="66"/>
      <c r="K27" s="66"/>
      <c r="L27" s="66"/>
    </row>
    <row r="28" spans="2:17">
      <c r="B28" s="343"/>
      <c r="C28" s="66"/>
      <c r="D28" s="66"/>
      <c r="E28" s="66"/>
      <c r="F28" s="66"/>
      <c r="G28" s="66"/>
      <c r="H28" s="66"/>
      <c r="I28" s="66"/>
      <c r="J28" s="66"/>
      <c r="K28" s="66"/>
      <c r="L28" s="66"/>
    </row>
    <row r="29" spans="2:17" ht="18" customHeight="1">
      <c r="B29" s="67" t="s">
        <v>21</v>
      </c>
      <c r="C29" s="61"/>
      <c r="D29" s="61">
        <v>0.12</v>
      </c>
      <c r="E29" s="61" t="s">
        <v>20</v>
      </c>
      <c r="F29" s="61">
        <v>0.34</v>
      </c>
      <c r="G29" s="61" t="s">
        <v>20</v>
      </c>
      <c r="H29" s="61">
        <v>0.52</v>
      </c>
      <c r="I29" s="61" t="s">
        <v>20</v>
      </c>
      <c r="J29" s="61">
        <v>0.12</v>
      </c>
      <c r="K29" s="61" t="s">
        <v>20</v>
      </c>
      <c r="L29" s="61">
        <v>0.1</v>
      </c>
    </row>
    <row r="30" spans="2:17" ht="18" customHeight="1">
      <c r="B30" s="67" t="s">
        <v>22</v>
      </c>
      <c r="C30" s="62"/>
      <c r="D30" s="61">
        <v>0.1</v>
      </c>
      <c r="E30" s="61" t="s">
        <v>20</v>
      </c>
      <c r="F30" s="61">
        <v>0.28000000000000003</v>
      </c>
      <c r="G30" s="61" t="s">
        <v>20</v>
      </c>
      <c r="H30" s="61">
        <v>0.46</v>
      </c>
      <c r="I30" s="61" t="s">
        <v>20</v>
      </c>
      <c r="J30" s="61">
        <v>0.11</v>
      </c>
      <c r="K30" s="61" t="s">
        <v>20</v>
      </c>
      <c r="L30" s="61">
        <v>0.09</v>
      </c>
    </row>
    <row r="31" spans="2:17" s="236" customFormat="1" ht="59.4" customHeight="1">
      <c r="B31" s="235" t="s">
        <v>191</v>
      </c>
      <c r="D31" s="237" t="s">
        <v>343</v>
      </c>
      <c r="E31" s="237"/>
      <c r="F31" s="342" t="s">
        <v>340</v>
      </c>
      <c r="G31" s="342"/>
      <c r="H31" s="342" t="s">
        <v>341</v>
      </c>
      <c r="I31" s="342"/>
      <c r="J31" s="32"/>
      <c r="K31" s="32"/>
      <c r="L31" s="32"/>
      <c r="M31" s="32"/>
      <c r="N31" s="32"/>
      <c r="O31" s="32"/>
      <c r="P31" s="32"/>
      <c r="Q31" s="32"/>
    </row>
    <row r="32" spans="2:17" ht="18" customHeight="1">
      <c r="B32" s="79" t="s">
        <v>345</v>
      </c>
      <c r="D32" s="80">
        <v>3910</v>
      </c>
      <c r="E32" s="80"/>
      <c r="F32" s="80">
        <v>3910</v>
      </c>
      <c r="G32" s="80"/>
      <c r="H32" s="271">
        <f>F32+$H$60</f>
        <v>10667.76</v>
      </c>
      <c r="I32" s="80" t="s">
        <v>20</v>
      </c>
    </row>
    <row r="33" spans="2:16" ht="18" customHeight="1">
      <c r="B33" s="79" t="s">
        <v>23</v>
      </c>
      <c r="D33" s="81">
        <v>3655</v>
      </c>
      <c r="E33" s="66"/>
      <c r="F33" s="81">
        <v>3980</v>
      </c>
      <c r="G33" s="66"/>
      <c r="H33" s="271">
        <f>F33+$H$60</f>
        <v>10737.76</v>
      </c>
      <c r="I33" s="76" t="s">
        <v>20</v>
      </c>
    </row>
    <row r="34" spans="2:16" ht="18" customHeight="1">
      <c r="B34" s="79" t="s">
        <v>24</v>
      </c>
      <c r="D34" s="81">
        <v>1855</v>
      </c>
      <c r="E34" s="66"/>
      <c r="F34" s="81">
        <v>1855</v>
      </c>
      <c r="G34" s="66"/>
      <c r="H34" s="272">
        <f>F34</f>
        <v>1855</v>
      </c>
      <c r="I34" s="76" t="s">
        <v>20</v>
      </c>
    </row>
    <row r="35" spans="2:16" ht="18" customHeight="1">
      <c r="B35" s="79" t="s">
        <v>125</v>
      </c>
      <c r="D35" s="81">
        <v>6859</v>
      </c>
      <c r="E35" s="66"/>
      <c r="F35" s="81">
        <v>7184</v>
      </c>
      <c r="G35" s="66"/>
      <c r="H35" s="271">
        <f>F35+$H$60</f>
        <v>13941.76</v>
      </c>
      <c r="I35" s="76" t="s">
        <v>20</v>
      </c>
    </row>
    <row r="36" spans="2:16" ht="18" customHeight="1">
      <c r="B36" s="268" t="s">
        <v>371</v>
      </c>
      <c r="C36" s="269"/>
      <c r="D36" s="270">
        <v>706</v>
      </c>
      <c r="E36" s="270"/>
      <c r="F36" s="270">
        <v>706</v>
      </c>
      <c r="G36" s="270"/>
      <c r="H36" s="270">
        <v>706</v>
      </c>
      <c r="I36" s="76"/>
    </row>
    <row r="37" spans="2:16" ht="18" customHeight="1">
      <c r="B37" s="268" t="s">
        <v>372</v>
      </c>
      <c r="C37" s="269"/>
      <c r="D37" s="270">
        <v>0</v>
      </c>
      <c r="E37" s="270"/>
      <c r="F37" s="270">
        <v>0</v>
      </c>
      <c r="G37" s="270"/>
      <c r="H37" s="270">
        <v>0</v>
      </c>
      <c r="I37" s="76"/>
    </row>
    <row r="38" spans="2:16" ht="18" customHeight="1">
      <c r="B38" s="79" t="s">
        <v>126</v>
      </c>
      <c r="D38" s="81">
        <v>1587</v>
      </c>
      <c r="E38" s="66"/>
      <c r="F38" s="81">
        <v>1587</v>
      </c>
      <c r="G38" s="66"/>
      <c r="H38" s="272">
        <v>1587</v>
      </c>
      <c r="I38" s="76" t="s">
        <v>20</v>
      </c>
    </row>
    <row r="39" spans="2:16" ht="18" customHeight="1">
      <c r="B39" s="79" t="s">
        <v>25</v>
      </c>
      <c r="D39" s="81">
        <v>5272</v>
      </c>
      <c r="E39" s="66"/>
      <c r="F39" s="81">
        <v>5597</v>
      </c>
      <c r="G39" s="66"/>
      <c r="H39" s="271">
        <f>F39+$H$60</f>
        <v>12354.76</v>
      </c>
      <c r="I39" s="76" t="s">
        <v>20</v>
      </c>
    </row>
    <row r="41" spans="2:16" ht="14.4">
      <c r="B41" s="278" t="s">
        <v>571</v>
      </c>
      <c r="H41" s="243">
        <v>180</v>
      </c>
      <c r="I41" s="244"/>
      <c r="J41" s="244" t="s">
        <v>355</v>
      </c>
      <c r="K41" s="244"/>
      <c r="P41" s="244"/>
    </row>
    <row r="42" spans="2:16" ht="16.2">
      <c r="H42" s="245">
        <v>241.23361499999999</v>
      </c>
      <c r="I42" s="244"/>
      <c r="J42" s="244" t="s">
        <v>356</v>
      </c>
      <c r="K42" s="244"/>
      <c r="P42" s="244"/>
    </row>
    <row r="43" spans="2:16" ht="14.4">
      <c r="H43" s="243">
        <f>H41+H42</f>
        <v>421.23361499999999</v>
      </c>
      <c r="I43" s="244"/>
      <c r="J43" s="244" t="s">
        <v>357</v>
      </c>
      <c r="K43" s="244"/>
      <c r="P43" s="244"/>
    </row>
    <row r="44" spans="2:16" ht="14.4">
      <c r="K44" s="244"/>
      <c r="P44" s="244"/>
    </row>
    <row r="45" spans="2:16" ht="14.4">
      <c r="H45" s="246">
        <v>38</v>
      </c>
      <c r="I45" s="244"/>
      <c r="J45" s="244" t="s">
        <v>358</v>
      </c>
      <c r="K45" s="244"/>
      <c r="P45" s="244"/>
    </row>
    <row r="46" spans="2:16" ht="14.4">
      <c r="K46" s="244"/>
      <c r="P46" s="244"/>
    </row>
    <row r="47" spans="2:16" ht="14.4">
      <c r="H47" s="247">
        <f>H48+H49</f>
        <v>16006.87737</v>
      </c>
      <c r="I47" s="244"/>
      <c r="J47" s="244" t="s">
        <v>359</v>
      </c>
      <c r="K47" s="244"/>
      <c r="P47" s="244"/>
    </row>
    <row r="48" spans="2:16" ht="14.4">
      <c r="H48" s="247">
        <f>H41*H45</f>
        <v>6840</v>
      </c>
      <c r="I48" s="244"/>
      <c r="J48" s="244" t="s">
        <v>360</v>
      </c>
      <c r="K48" s="244"/>
      <c r="P48" s="244"/>
    </row>
    <row r="49" spans="8:16" ht="14.4">
      <c r="H49" s="247">
        <f>H42*H45</f>
        <v>9166.8773700000002</v>
      </c>
      <c r="I49" s="244"/>
      <c r="J49" s="244" t="s">
        <v>361</v>
      </c>
      <c r="K49" s="244"/>
      <c r="P49" s="244"/>
    </row>
    <row r="50" spans="8:16" ht="14.4">
      <c r="H50" s="244"/>
      <c r="I50" s="244"/>
      <c r="J50" s="244"/>
      <c r="K50" s="244"/>
      <c r="P50" s="244"/>
    </row>
    <row r="51" spans="8:16" ht="14.4">
      <c r="H51" s="246">
        <v>0.41799999999999998</v>
      </c>
      <c r="I51" s="244"/>
      <c r="J51" s="244" t="s">
        <v>362</v>
      </c>
      <c r="K51" s="244"/>
      <c r="P51" s="244"/>
    </row>
    <row r="52" spans="8:16" ht="14.4">
      <c r="H52" s="248">
        <f>H51/H45</f>
        <v>1.0999999999999999E-2</v>
      </c>
      <c r="I52" s="244"/>
      <c r="J52" s="244" t="s">
        <v>363</v>
      </c>
      <c r="K52" s="244"/>
      <c r="P52" s="244"/>
    </row>
    <row r="53" spans="8:16" ht="14.4">
      <c r="K53" s="244"/>
      <c r="P53" s="244"/>
    </row>
    <row r="54" spans="8:16" ht="14.4">
      <c r="H54" s="247">
        <f>H55+H56+H57</f>
        <v>-183.07565106999999</v>
      </c>
      <c r="I54" s="244"/>
      <c r="J54" s="244" t="s">
        <v>364</v>
      </c>
    </row>
    <row r="55" spans="8:16" ht="14.4">
      <c r="H55" s="247">
        <f>-H41*H51</f>
        <v>-75.239999999999995</v>
      </c>
      <c r="J55" s="244" t="s">
        <v>365</v>
      </c>
    </row>
    <row r="56" spans="8:16" ht="14.4">
      <c r="H56" s="247">
        <v>-7</v>
      </c>
      <c r="J56" s="244" t="s">
        <v>366</v>
      </c>
    </row>
    <row r="57" spans="8:16" ht="14.4">
      <c r="H57" s="247">
        <f>-H42*H51</f>
        <v>-100.83565106999998</v>
      </c>
      <c r="J57" s="244" t="s">
        <v>367</v>
      </c>
    </row>
    <row r="59" spans="8:16" ht="14.4">
      <c r="H59" s="247">
        <f>H60+H61</f>
        <v>15823.801718930001</v>
      </c>
      <c r="I59" s="244"/>
      <c r="J59" s="244" t="s">
        <v>368</v>
      </c>
    </row>
    <row r="60" spans="8:16" ht="14.4">
      <c r="H60" s="247">
        <f>H48+H55+H56</f>
        <v>6757.76</v>
      </c>
      <c r="J60" s="244" t="s">
        <v>369</v>
      </c>
    </row>
    <row r="61" spans="8:16" ht="14.4">
      <c r="H61" s="247">
        <f>H49+H57</f>
        <v>9066.0417189300006</v>
      </c>
      <c r="J61" s="244" t="s">
        <v>370</v>
      </c>
    </row>
  </sheetData>
  <mergeCells count="7">
    <mergeCell ref="B27:B28"/>
    <mergeCell ref="F31:G31"/>
    <mergeCell ref="H31:I31"/>
    <mergeCell ref="D6:H6"/>
    <mergeCell ref="J6:L6"/>
    <mergeCell ref="D7:H7"/>
    <mergeCell ref="J7:L7"/>
  </mergeCells>
  <pageMargins left="0.75" right="0.75" top="1" bottom="1" header="0.5" footer="0.5"/>
  <pageSetup orientation="portrait" horizontalDpi="1200" verticalDpi="1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O31"/>
  <sheetViews>
    <sheetView workbookViewId="0">
      <selection activeCell="F6" sqref="F6"/>
    </sheetView>
  </sheetViews>
  <sheetFormatPr baseColWidth="10" defaultColWidth="8.88671875" defaultRowHeight="12.3"/>
  <cols>
    <col min="1" max="1" width="2.44140625" customWidth="1"/>
    <col min="2" max="2" width="18.5546875" customWidth="1"/>
    <col min="3" max="3" width="9.44140625" customWidth="1"/>
    <col min="4" max="15" width="9.44140625" bestFit="1" customWidth="1"/>
  </cols>
  <sheetData>
    <row r="2" spans="2:15">
      <c r="B2" s="169" t="s">
        <v>277</v>
      </c>
    </row>
    <row r="3" spans="2:15" ht="14.1">
      <c r="B3" s="168"/>
    </row>
    <row r="4" spans="2:15">
      <c r="B4" s="167" t="s">
        <v>278</v>
      </c>
    </row>
    <row r="6" spans="2:15">
      <c r="C6" s="21">
        <v>39903</v>
      </c>
      <c r="D6" s="21">
        <v>39994</v>
      </c>
      <c r="E6" s="21">
        <v>40086</v>
      </c>
      <c r="F6" s="21">
        <v>40178</v>
      </c>
      <c r="G6" s="21">
        <v>40268</v>
      </c>
      <c r="H6" s="21">
        <v>40359</v>
      </c>
      <c r="I6" s="21">
        <v>40451</v>
      </c>
      <c r="J6" s="21">
        <v>40543</v>
      </c>
      <c r="K6" s="21">
        <v>40633</v>
      </c>
      <c r="L6" s="21">
        <v>40724</v>
      </c>
      <c r="M6" s="21">
        <v>40816</v>
      </c>
      <c r="N6" s="21">
        <v>40908</v>
      </c>
      <c r="O6" s="21">
        <v>40999</v>
      </c>
    </row>
    <row r="7" spans="2:15">
      <c r="B7" s="2" t="s">
        <v>216</v>
      </c>
      <c r="C7" s="21"/>
      <c r="D7" s="21"/>
      <c r="E7" s="21"/>
      <c r="F7" s="21"/>
      <c r="G7" s="21"/>
      <c r="H7" s="21"/>
      <c r="I7" s="21"/>
      <c r="J7" s="21"/>
      <c r="K7" s="21"/>
      <c r="L7" s="21"/>
      <c r="M7" s="21"/>
      <c r="N7" s="21"/>
      <c r="O7" s="21"/>
    </row>
    <row r="8" spans="2:15">
      <c r="B8" s="99" t="s">
        <v>211</v>
      </c>
      <c r="C8" s="5">
        <v>35</v>
      </c>
      <c r="D8" s="5">
        <v>40</v>
      </c>
      <c r="E8" s="5">
        <v>53</v>
      </c>
      <c r="F8" s="5">
        <v>64</v>
      </c>
      <c r="G8" s="5">
        <v>82</v>
      </c>
      <c r="H8" s="5">
        <v>85</v>
      </c>
      <c r="I8" s="5">
        <v>92</v>
      </c>
      <c r="J8" s="5">
        <v>99</v>
      </c>
      <c r="K8" s="5">
        <v>105</v>
      </c>
      <c r="L8" s="5">
        <v>117</v>
      </c>
      <c r="M8" s="5">
        <v>124</v>
      </c>
      <c r="N8" s="5">
        <v>126</v>
      </c>
      <c r="O8" s="5">
        <v>129</v>
      </c>
    </row>
    <row r="9" spans="2:15">
      <c r="B9" s="99" t="s">
        <v>212</v>
      </c>
      <c r="C9" s="5">
        <v>35</v>
      </c>
      <c r="D9" s="5">
        <v>39</v>
      </c>
      <c r="E9" s="5">
        <v>50</v>
      </c>
      <c r="F9" s="5">
        <v>63</v>
      </c>
      <c r="G9" s="5">
        <v>79</v>
      </c>
      <c r="H9" s="5">
        <v>85</v>
      </c>
      <c r="I9" s="5">
        <v>94</v>
      </c>
      <c r="J9" s="5">
        <v>107</v>
      </c>
      <c r="K9" s="5">
        <v>120</v>
      </c>
      <c r="L9" s="5">
        <v>127</v>
      </c>
      <c r="M9" s="5">
        <v>135</v>
      </c>
      <c r="N9" s="5">
        <v>143</v>
      </c>
      <c r="O9" s="5">
        <v>152</v>
      </c>
    </row>
    <row r="10" spans="2:15">
      <c r="B10" s="99" t="s">
        <v>213</v>
      </c>
      <c r="C10" s="5">
        <v>9</v>
      </c>
      <c r="D10" s="5">
        <v>13</v>
      </c>
      <c r="E10" s="5">
        <v>20</v>
      </c>
      <c r="F10" s="5">
        <v>29</v>
      </c>
      <c r="G10" s="5">
        <v>39</v>
      </c>
      <c r="H10" s="5">
        <v>45</v>
      </c>
      <c r="I10" s="5">
        <v>54</v>
      </c>
      <c r="J10" s="5">
        <v>64</v>
      </c>
      <c r="K10" s="5">
        <v>72</v>
      </c>
      <c r="L10" s="5">
        <v>85</v>
      </c>
      <c r="M10" s="5">
        <v>98</v>
      </c>
      <c r="N10" s="5">
        <v>105</v>
      </c>
      <c r="O10" s="5">
        <v>119</v>
      </c>
    </row>
    <row r="11" spans="2:15">
      <c r="B11" s="99" t="s">
        <v>214</v>
      </c>
      <c r="C11" s="5">
        <v>14</v>
      </c>
      <c r="D11" s="5">
        <v>16</v>
      </c>
      <c r="E11" s="5">
        <v>22</v>
      </c>
      <c r="F11" s="5">
        <v>29</v>
      </c>
      <c r="G11" s="5">
        <v>35</v>
      </c>
      <c r="H11" s="5">
        <v>42</v>
      </c>
      <c r="I11" s="5">
        <v>54</v>
      </c>
      <c r="J11" s="5">
        <v>58</v>
      </c>
      <c r="K11" s="5">
        <v>74</v>
      </c>
      <c r="L11" s="5">
        <v>87</v>
      </c>
      <c r="M11" s="5">
        <v>100</v>
      </c>
      <c r="N11" s="5">
        <v>109</v>
      </c>
      <c r="O11" s="5">
        <v>126</v>
      </c>
    </row>
    <row r="12" spans="2:15">
      <c r="B12" s="99" t="s">
        <v>215</v>
      </c>
      <c r="C12" s="5">
        <v>92</v>
      </c>
      <c r="D12" s="5">
        <v>108</v>
      </c>
      <c r="E12" s="5">
        <v>144</v>
      </c>
      <c r="F12" s="5">
        <v>185</v>
      </c>
      <c r="G12" s="5">
        <v>234</v>
      </c>
      <c r="H12" s="5">
        <v>257</v>
      </c>
      <c r="I12" s="5">
        <v>293</v>
      </c>
      <c r="J12" s="5">
        <v>327</v>
      </c>
      <c r="K12" s="5">
        <v>372</v>
      </c>
      <c r="L12" s="5">
        <v>417</v>
      </c>
      <c r="M12" s="5">
        <v>457</v>
      </c>
      <c r="N12" s="5">
        <v>483</v>
      </c>
      <c r="O12" s="5">
        <v>526</v>
      </c>
    </row>
    <row r="13" spans="2:15">
      <c r="B13" t="s">
        <v>118</v>
      </c>
      <c r="C13" s="5">
        <f>SUM(C8:C11)</f>
        <v>93</v>
      </c>
      <c r="D13" s="5">
        <f t="shared" ref="D13:O13" si="0">SUM(D8:D11)</f>
        <v>108</v>
      </c>
      <c r="E13" s="5">
        <f t="shared" si="0"/>
        <v>145</v>
      </c>
      <c r="F13" s="5">
        <f t="shared" si="0"/>
        <v>185</v>
      </c>
      <c r="G13" s="5">
        <f t="shared" si="0"/>
        <v>235</v>
      </c>
      <c r="H13" s="5">
        <f t="shared" si="0"/>
        <v>257</v>
      </c>
      <c r="I13" s="5">
        <f t="shared" si="0"/>
        <v>294</v>
      </c>
      <c r="J13" s="5">
        <f t="shared" si="0"/>
        <v>328</v>
      </c>
      <c r="K13" s="5">
        <f t="shared" si="0"/>
        <v>371</v>
      </c>
      <c r="L13" s="5">
        <f t="shared" si="0"/>
        <v>416</v>
      </c>
      <c r="M13" s="5">
        <f t="shared" si="0"/>
        <v>457</v>
      </c>
      <c r="N13" s="5">
        <f t="shared" si="0"/>
        <v>483</v>
      </c>
      <c r="O13" s="5">
        <f t="shared" si="0"/>
        <v>526</v>
      </c>
    </row>
    <row r="14" spans="2:15" ht="12.6">
      <c r="B14" s="12"/>
      <c r="C14" s="22"/>
      <c r="D14" s="22"/>
      <c r="E14" s="22"/>
      <c r="F14" s="22"/>
      <c r="G14" s="22"/>
      <c r="H14" s="22"/>
      <c r="I14" s="22"/>
      <c r="J14" s="22"/>
      <c r="K14" s="22"/>
      <c r="L14" s="22"/>
      <c r="M14" s="22"/>
      <c r="N14" s="22"/>
      <c r="O14" s="22"/>
    </row>
    <row r="15" spans="2:15" ht="12.6">
      <c r="B15" s="2" t="s">
        <v>217</v>
      </c>
      <c r="C15" s="22"/>
      <c r="D15" s="22"/>
      <c r="E15" s="22"/>
      <c r="F15" s="22"/>
      <c r="G15" s="22"/>
      <c r="H15" s="22"/>
      <c r="I15" s="22"/>
      <c r="J15" s="22"/>
      <c r="K15" s="22"/>
      <c r="L15" s="22"/>
      <c r="M15" s="22"/>
      <c r="N15" s="22"/>
      <c r="O15" s="22"/>
    </row>
    <row r="16" spans="2:15">
      <c r="B16" s="99" t="s">
        <v>211</v>
      </c>
      <c r="C16" s="5">
        <v>68</v>
      </c>
      <c r="D16" s="5">
        <v>81</v>
      </c>
      <c r="E16" s="5">
        <v>99</v>
      </c>
      <c r="F16" s="5">
        <v>112</v>
      </c>
      <c r="G16" s="5">
        <v>130</v>
      </c>
      <c r="H16" s="5">
        <v>137</v>
      </c>
      <c r="I16" s="5">
        <v>144</v>
      </c>
      <c r="J16" s="5">
        <v>154</v>
      </c>
      <c r="K16" s="5">
        <v>163</v>
      </c>
      <c r="L16" s="5">
        <v>169</v>
      </c>
      <c r="M16" s="5">
        <v>176</v>
      </c>
      <c r="N16" s="5">
        <v>179</v>
      </c>
      <c r="O16" s="5">
        <v>188</v>
      </c>
    </row>
    <row r="17" spans="2:15">
      <c r="B17" s="99" t="s">
        <v>212</v>
      </c>
      <c r="C17" s="5">
        <v>71</v>
      </c>
      <c r="D17" s="5">
        <v>85</v>
      </c>
      <c r="E17" s="5">
        <v>101</v>
      </c>
      <c r="F17" s="5">
        <v>117</v>
      </c>
      <c r="G17" s="5">
        <v>138</v>
      </c>
      <c r="H17" s="5">
        <v>151</v>
      </c>
      <c r="I17" s="5">
        <v>167</v>
      </c>
      <c r="J17" s="5">
        <v>183</v>
      </c>
      <c r="K17" s="5">
        <v>201</v>
      </c>
      <c r="L17" s="5">
        <v>212</v>
      </c>
      <c r="M17" s="5">
        <v>221</v>
      </c>
      <c r="N17" s="5">
        <v>229</v>
      </c>
      <c r="O17" s="5">
        <v>241</v>
      </c>
    </row>
    <row r="18" spans="2:15">
      <c r="B18" s="99" t="s">
        <v>213</v>
      </c>
      <c r="C18" s="5">
        <v>22</v>
      </c>
      <c r="D18" s="5">
        <v>32</v>
      </c>
      <c r="E18" s="5">
        <v>48</v>
      </c>
      <c r="F18" s="5">
        <v>62</v>
      </c>
      <c r="G18" s="5">
        <v>81</v>
      </c>
      <c r="H18" s="5">
        <v>96</v>
      </c>
      <c r="I18" s="5">
        <v>113</v>
      </c>
      <c r="J18" s="5">
        <v>138</v>
      </c>
      <c r="K18" s="5">
        <v>156</v>
      </c>
      <c r="L18" s="5">
        <v>174</v>
      </c>
      <c r="M18" s="5">
        <v>196</v>
      </c>
      <c r="N18" s="5">
        <v>212</v>
      </c>
      <c r="O18" s="5">
        <v>230</v>
      </c>
    </row>
    <row r="19" spans="2:15">
      <c r="B19" s="99" t="s">
        <v>214</v>
      </c>
      <c r="C19" s="5">
        <v>35</v>
      </c>
      <c r="D19" s="5">
        <v>44</v>
      </c>
      <c r="E19" s="5">
        <v>57</v>
      </c>
      <c r="F19" s="5">
        <v>69</v>
      </c>
      <c r="G19" s="5">
        <v>83</v>
      </c>
      <c r="H19" s="5">
        <v>98</v>
      </c>
      <c r="I19" s="5">
        <v>126</v>
      </c>
      <c r="J19" s="5">
        <v>133</v>
      </c>
      <c r="K19" s="5">
        <v>161</v>
      </c>
      <c r="L19" s="5">
        <v>183</v>
      </c>
      <c r="M19" s="5">
        <v>207</v>
      </c>
      <c r="N19" s="5">
        <v>225</v>
      </c>
      <c r="O19" s="5">
        <v>242</v>
      </c>
    </row>
    <row r="20" spans="2:15">
      <c r="B20" s="99" t="s">
        <v>215</v>
      </c>
      <c r="C20" s="5">
        <v>197</v>
      </c>
      <c r="D20" s="5">
        <v>242</v>
      </c>
      <c r="E20" s="5">
        <v>305</v>
      </c>
      <c r="F20" s="5">
        <v>360</v>
      </c>
      <c r="G20" s="5">
        <v>431</v>
      </c>
      <c r="H20" s="5">
        <v>482</v>
      </c>
      <c r="I20" s="5">
        <v>550</v>
      </c>
      <c r="J20" s="5">
        <v>608</v>
      </c>
      <c r="K20" s="5">
        <v>680</v>
      </c>
      <c r="L20" s="5">
        <v>739</v>
      </c>
      <c r="M20" s="5">
        <v>800</v>
      </c>
      <c r="N20" s="5">
        <v>845</v>
      </c>
      <c r="O20" s="5">
        <v>901</v>
      </c>
    </row>
    <row r="21" spans="2:15">
      <c r="B21" t="s">
        <v>118</v>
      </c>
      <c r="C21" s="5">
        <f t="shared" ref="C21:O21" si="1">SUM(C16:C19)</f>
        <v>196</v>
      </c>
      <c r="D21" s="5">
        <f t="shared" si="1"/>
        <v>242</v>
      </c>
      <c r="E21" s="5">
        <f t="shared" si="1"/>
        <v>305</v>
      </c>
      <c r="F21" s="5">
        <f t="shared" si="1"/>
        <v>360</v>
      </c>
      <c r="G21" s="5">
        <f t="shared" si="1"/>
        <v>432</v>
      </c>
      <c r="H21" s="5">
        <f t="shared" si="1"/>
        <v>482</v>
      </c>
      <c r="I21" s="5">
        <f t="shared" si="1"/>
        <v>550</v>
      </c>
      <c r="J21" s="5">
        <f t="shared" si="1"/>
        <v>608</v>
      </c>
      <c r="K21" s="5">
        <f t="shared" si="1"/>
        <v>681</v>
      </c>
      <c r="L21" s="5">
        <f t="shared" si="1"/>
        <v>738</v>
      </c>
      <c r="M21" s="5">
        <f t="shared" si="1"/>
        <v>800</v>
      </c>
      <c r="N21" s="5">
        <f t="shared" si="1"/>
        <v>845</v>
      </c>
      <c r="O21" s="5">
        <f t="shared" si="1"/>
        <v>901</v>
      </c>
    </row>
    <row r="22" spans="2:15" ht="12.6">
      <c r="B22" s="12"/>
      <c r="C22" s="22"/>
      <c r="D22" s="22"/>
      <c r="E22" s="22"/>
      <c r="F22" s="22"/>
      <c r="G22" s="22"/>
      <c r="H22" s="22"/>
      <c r="I22" s="22"/>
      <c r="J22" s="22"/>
      <c r="K22" s="22"/>
      <c r="L22" s="22"/>
      <c r="M22" s="22"/>
      <c r="N22" s="22"/>
      <c r="O22" s="22"/>
    </row>
    <row r="23" spans="2:15">
      <c r="B23" s="2" t="s">
        <v>117</v>
      </c>
      <c r="C23" s="5">
        <v>35</v>
      </c>
      <c r="D23" s="5">
        <v>50</v>
      </c>
      <c r="E23" s="5">
        <v>75</v>
      </c>
      <c r="F23" s="5">
        <v>101</v>
      </c>
      <c r="G23" s="5">
        <v>129</v>
      </c>
      <c r="H23" s="5">
        <v>155</v>
      </c>
      <c r="I23" s="5">
        <v>196</v>
      </c>
      <c r="J23" s="5">
        <v>245</v>
      </c>
      <c r="K23" s="5">
        <v>288</v>
      </c>
      <c r="L23" s="5">
        <v>325</v>
      </c>
      <c r="M23" s="5">
        <v>376</v>
      </c>
      <c r="N23" s="5">
        <v>432</v>
      </c>
      <c r="O23" s="5">
        <v>488</v>
      </c>
    </row>
    <row r="25" spans="2:15">
      <c r="B25" t="s">
        <v>210</v>
      </c>
    </row>
    <row r="26" spans="2:15">
      <c r="B26" s="99" t="s">
        <v>211</v>
      </c>
      <c r="G26">
        <v>1.77</v>
      </c>
      <c r="H26">
        <v>1.87</v>
      </c>
      <c r="I26" s="4">
        <v>1.93</v>
      </c>
      <c r="J26" s="4">
        <v>2.77</v>
      </c>
      <c r="K26" s="4">
        <v>2.4900000000000002</v>
      </c>
      <c r="L26" s="4">
        <v>2.84</v>
      </c>
      <c r="M26" s="4">
        <v>2.8</v>
      </c>
      <c r="N26" s="4">
        <v>3.2</v>
      </c>
      <c r="O26" s="4">
        <v>2.86</v>
      </c>
    </row>
    <row r="27" spans="2:15">
      <c r="B27" s="99" t="s">
        <v>212</v>
      </c>
      <c r="G27">
        <v>0.76</v>
      </c>
      <c r="H27">
        <v>0.9</v>
      </c>
      <c r="I27" s="4">
        <v>0.84</v>
      </c>
      <c r="J27" s="4">
        <v>1.25</v>
      </c>
      <c r="K27" s="4">
        <v>1.19</v>
      </c>
      <c r="L27" s="4">
        <v>1.33</v>
      </c>
      <c r="M27" s="4">
        <v>1.34</v>
      </c>
      <c r="N27" s="4">
        <v>1.6</v>
      </c>
      <c r="O27" s="4">
        <v>1.4</v>
      </c>
    </row>
    <row r="28" spans="2:15">
      <c r="B28" s="99" t="s">
        <v>213</v>
      </c>
      <c r="G28">
        <v>0.31</v>
      </c>
      <c r="H28">
        <v>0.36</v>
      </c>
      <c r="I28" s="4">
        <v>0.36</v>
      </c>
      <c r="J28" s="4">
        <v>0.46</v>
      </c>
      <c r="K28" s="4">
        <v>0.43</v>
      </c>
      <c r="L28" s="4">
        <v>0.5</v>
      </c>
      <c r="M28" s="4">
        <v>0.56000000000000005</v>
      </c>
      <c r="N28" s="4">
        <v>0.56000000000000005</v>
      </c>
      <c r="O28" s="4">
        <v>0.53</v>
      </c>
    </row>
    <row r="29" spans="2:15">
      <c r="B29" s="99" t="s">
        <v>214</v>
      </c>
      <c r="G29">
        <v>0.16</v>
      </c>
      <c r="H29">
        <v>0.23</v>
      </c>
      <c r="I29" s="4">
        <v>0.22</v>
      </c>
      <c r="J29" s="4">
        <v>0.33</v>
      </c>
      <c r="K29" s="4">
        <v>0.31</v>
      </c>
      <c r="L29" s="4">
        <v>0.38</v>
      </c>
      <c r="M29" s="4">
        <v>0.4</v>
      </c>
      <c r="N29" s="4">
        <v>0.41</v>
      </c>
      <c r="O29" s="4">
        <v>0.37</v>
      </c>
    </row>
    <row r="30" spans="2:15">
      <c r="B30" s="99" t="s">
        <v>215</v>
      </c>
      <c r="G30">
        <v>0.87</v>
      </c>
      <c r="H30">
        <v>0.94</v>
      </c>
      <c r="I30" s="4">
        <v>0.9</v>
      </c>
      <c r="J30" s="4">
        <v>1.26</v>
      </c>
      <c r="K30" s="4">
        <v>1.1399999999999999</v>
      </c>
      <c r="L30" s="4">
        <v>1.26</v>
      </c>
      <c r="M30" s="4">
        <v>1.24</v>
      </c>
      <c r="N30" s="4">
        <v>1.38</v>
      </c>
      <c r="O30" s="4">
        <v>1.21</v>
      </c>
    </row>
    <row r="31" spans="2:15" ht="12.6">
      <c r="B31" s="12"/>
      <c r="C31" s="13"/>
      <c r="D31" s="13"/>
      <c r="E31" s="13"/>
      <c r="F31" s="13"/>
      <c r="G31" s="13"/>
      <c r="H31" s="13"/>
      <c r="I31" s="13"/>
      <c r="J31" s="13"/>
      <c r="K31" s="13"/>
      <c r="L31" s="13"/>
      <c r="M31" s="13"/>
      <c r="N31" s="13"/>
      <c r="O31" s="13"/>
    </row>
  </sheetData>
  <phoneticPr fontId="6" type="noConversion"/>
  <pageMargins left="0.75" right="0.75" top="1" bottom="1" header="0.5" footer="0.5"/>
  <pageSetup orientation="portrait" horizontalDpi="1200" verticalDpi="120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M1264"/>
  <sheetViews>
    <sheetView zoomScale="90" zoomScaleNormal="90" workbookViewId="0">
      <selection activeCell="L4" sqref="L4"/>
    </sheetView>
  </sheetViews>
  <sheetFormatPr baseColWidth="10" defaultColWidth="8.88671875" defaultRowHeight="12.3"/>
  <cols>
    <col min="1" max="1" width="8.88671875" style="99" customWidth="1"/>
    <col min="2" max="6" width="8.88671875" customWidth="1"/>
    <col min="7" max="7" width="8.88671875" style="99" customWidth="1"/>
  </cols>
  <sheetData>
    <row r="2" spans="1:13">
      <c r="B2" s="2" t="s">
        <v>209</v>
      </c>
      <c r="H2" s="2" t="s">
        <v>218</v>
      </c>
    </row>
    <row r="3" spans="1:13">
      <c r="A3" s="52" t="s">
        <v>74</v>
      </c>
      <c r="B3" s="33" t="s">
        <v>80</v>
      </c>
      <c r="C3" s="33" t="s">
        <v>79</v>
      </c>
      <c r="D3" s="33" t="s">
        <v>119</v>
      </c>
      <c r="E3" s="33"/>
      <c r="F3" s="33"/>
      <c r="G3" s="52" t="s">
        <v>74</v>
      </c>
      <c r="H3" s="33" t="s">
        <v>80</v>
      </c>
      <c r="I3" s="33" t="s">
        <v>79</v>
      </c>
      <c r="J3" s="33" t="s">
        <v>119</v>
      </c>
      <c r="M3" s="167" t="s">
        <v>279</v>
      </c>
    </row>
    <row r="4" spans="1:13" ht="14.1">
      <c r="A4" s="100">
        <v>39218</v>
      </c>
      <c r="B4">
        <v>151.6</v>
      </c>
      <c r="C4">
        <v>46.55</v>
      </c>
      <c r="D4">
        <v>58.07</v>
      </c>
      <c r="G4" s="100">
        <v>39218</v>
      </c>
      <c r="H4" s="14">
        <f>B4/$B$4*100</f>
        <v>100</v>
      </c>
      <c r="I4" s="14">
        <f>C4/$C$4*100</f>
        <v>100</v>
      </c>
      <c r="J4" s="14">
        <f>D4/$D$4*100</f>
        <v>100</v>
      </c>
      <c r="M4" s="168"/>
    </row>
    <row r="5" spans="1:13">
      <c r="A5" s="100">
        <v>39219</v>
      </c>
      <c r="B5">
        <v>151.30000000000001</v>
      </c>
      <c r="C5">
        <v>46.33</v>
      </c>
      <c r="D5">
        <v>57.84</v>
      </c>
      <c r="G5" s="100">
        <v>39219</v>
      </c>
      <c r="H5" s="14">
        <f t="shared" ref="H5:H68" si="0">B5/$B$4*100</f>
        <v>99.802110817941966</v>
      </c>
      <c r="I5" s="14">
        <f t="shared" ref="I5:I68" si="1">C5/$C$4*100</f>
        <v>99.527389903329748</v>
      </c>
      <c r="J5" s="14">
        <f t="shared" ref="J5:J68" si="2">D5/$D$4*100</f>
        <v>99.603926295849845</v>
      </c>
      <c r="M5" s="167" t="s">
        <v>280</v>
      </c>
    </row>
    <row r="6" spans="1:13">
      <c r="A6" s="100">
        <v>39220</v>
      </c>
      <c r="B6">
        <v>152.62</v>
      </c>
      <c r="C6">
        <v>46.71</v>
      </c>
      <c r="D6">
        <v>58.23</v>
      </c>
      <c r="G6" s="100">
        <v>39220</v>
      </c>
      <c r="H6" s="14">
        <f t="shared" si="0"/>
        <v>100.67282321899738</v>
      </c>
      <c r="I6" s="14">
        <f t="shared" si="1"/>
        <v>100.34371643394199</v>
      </c>
      <c r="J6" s="14">
        <f t="shared" si="2"/>
        <v>100.27552953332184</v>
      </c>
    </row>
    <row r="7" spans="1:13">
      <c r="A7" s="100">
        <v>39223</v>
      </c>
      <c r="B7">
        <v>152.54</v>
      </c>
      <c r="C7">
        <v>47.01</v>
      </c>
      <c r="D7">
        <v>58.47</v>
      </c>
      <c r="G7" s="100">
        <v>39223</v>
      </c>
      <c r="H7" s="14">
        <f t="shared" si="0"/>
        <v>100.62005277044854</v>
      </c>
      <c r="I7" s="14">
        <f t="shared" si="1"/>
        <v>100.98818474758325</v>
      </c>
      <c r="J7" s="14">
        <f t="shared" si="2"/>
        <v>100.68882383330462</v>
      </c>
    </row>
    <row r="8" spans="1:13">
      <c r="A8" s="100">
        <v>39224</v>
      </c>
      <c r="B8">
        <v>152.41999999999999</v>
      </c>
      <c r="C8">
        <v>47.05</v>
      </c>
      <c r="D8">
        <v>58.73</v>
      </c>
      <c r="G8" s="100">
        <v>39224</v>
      </c>
      <c r="H8" s="14">
        <f t="shared" si="0"/>
        <v>100.54089709762533</v>
      </c>
      <c r="I8" s="14">
        <f t="shared" si="1"/>
        <v>101.07411385606875</v>
      </c>
      <c r="J8" s="14">
        <f t="shared" si="2"/>
        <v>101.13655932495264</v>
      </c>
    </row>
    <row r="9" spans="1:13">
      <c r="A9" s="100">
        <v>39225</v>
      </c>
      <c r="B9">
        <v>152.44</v>
      </c>
      <c r="C9">
        <v>46.83</v>
      </c>
      <c r="D9">
        <v>58.18</v>
      </c>
      <c r="G9" s="100">
        <v>39225</v>
      </c>
      <c r="H9" s="14">
        <f t="shared" si="0"/>
        <v>100.55408970976254</v>
      </c>
      <c r="I9" s="14">
        <f t="shared" si="1"/>
        <v>100.6015037593985</v>
      </c>
      <c r="J9" s="14">
        <f t="shared" si="2"/>
        <v>100.18942655415877</v>
      </c>
    </row>
    <row r="10" spans="1:13">
      <c r="A10" s="100">
        <v>39226</v>
      </c>
      <c r="B10">
        <v>151.06</v>
      </c>
      <c r="C10">
        <v>46.16</v>
      </c>
      <c r="D10">
        <v>57.24</v>
      </c>
      <c r="G10" s="100">
        <v>39226</v>
      </c>
      <c r="H10" s="14">
        <f t="shared" si="0"/>
        <v>99.643799472295527</v>
      </c>
      <c r="I10" s="14">
        <f t="shared" si="1"/>
        <v>99.162191192266377</v>
      </c>
      <c r="J10" s="14">
        <f t="shared" si="2"/>
        <v>98.570690545892887</v>
      </c>
    </row>
    <row r="11" spans="1:13">
      <c r="A11" s="100">
        <v>39227</v>
      </c>
      <c r="B11">
        <v>151.69</v>
      </c>
      <c r="C11">
        <v>46.45</v>
      </c>
      <c r="D11">
        <v>57.74</v>
      </c>
      <c r="G11" s="100">
        <v>39227</v>
      </c>
      <c r="H11" s="14">
        <f t="shared" si="0"/>
        <v>100.05936675461741</v>
      </c>
      <c r="I11" s="14">
        <f t="shared" si="1"/>
        <v>99.785177228786253</v>
      </c>
      <c r="J11" s="14">
        <f t="shared" si="2"/>
        <v>99.431720337523672</v>
      </c>
    </row>
    <row r="12" spans="1:13">
      <c r="A12" s="100">
        <v>39231</v>
      </c>
      <c r="B12">
        <v>152.24</v>
      </c>
      <c r="C12">
        <v>46.81</v>
      </c>
      <c r="D12">
        <v>58.13</v>
      </c>
      <c r="G12" s="100">
        <v>39231</v>
      </c>
      <c r="H12" s="14">
        <f t="shared" si="0"/>
        <v>100.42216358839052</v>
      </c>
      <c r="I12" s="14">
        <f t="shared" si="1"/>
        <v>100.55853920515577</v>
      </c>
      <c r="J12" s="14">
        <f t="shared" si="2"/>
        <v>100.1033235749957</v>
      </c>
    </row>
    <row r="13" spans="1:13">
      <c r="A13" s="100">
        <v>39232</v>
      </c>
      <c r="B13">
        <v>153.47999999999999</v>
      </c>
      <c r="C13">
        <v>47.19</v>
      </c>
      <c r="D13">
        <v>58.62</v>
      </c>
      <c r="G13" s="100">
        <v>39232</v>
      </c>
      <c r="H13" s="14">
        <f t="shared" si="0"/>
        <v>101.24010554089709</v>
      </c>
      <c r="I13" s="14">
        <f t="shared" si="1"/>
        <v>101.374865735768</v>
      </c>
      <c r="J13" s="14">
        <f t="shared" si="2"/>
        <v>100.94713277079386</v>
      </c>
    </row>
    <row r="14" spans="1:13">
      <c r="A14" s="100">
        <v>39233</v>
      </c>
      <c r="B14">
        <v>153.32</v>
      </c>
      <c r="C14">
        <v>47.41</v>
      </c>
      <c r="D14">
        <v>59.04</v>
      </c>
      <c r="G14" s="100">
        <v>39233</v>
      </c>
      <c r="H14" s="14">
        <f t="shared" si="0"/>
        <v>101.13456464379946</v>
      </c>
      <c r="I14" s="14">
        <f t="shared" si="1"/>
        <v>101.84747583243822</v>
      </c>
      <c r="J14" s="14">
        <f t="shared" si="2"/>
        <v>101.67039779576372</v>
      </c>
    </row>
    <row r="15" spans="1:13">
      <c r="A15" s="100">
        <v>39234</v>
      </c>
      <c r="B15">
        <v>154.08000000000001</v>
      </c>
      <c r="C15">
        <v>47.44</v>
      </c>
      <c r="D15">
        <v>59.03</v>
      </c>
      <c r="G15" s="100">
        <v>39234</v>
      </c>
      <c r="H15" s="14">
        <f t="shared" si="0"/>
        <v>101.63588390501322</v>
      </c>
      <c r="I15" s="14">
        <f t="shared" si="1"/>
        <v>101.91192266380236</v>
      </c>
      <c r="J15" s="14">
        <f t="shared" si="2"/>
        <v>101.65317719993112</v>
      </c>
    </row>
    <row r="16" spans="1:13">
      <c r="A16" s="100">
        <v>39237</v>
      </c>
      <c r="B16">
        <v>154.1</v>
      </c>
      <c r="C16">
        <v>47.58</v>
      </c>
      <c r="D16">
        <v>59.21</v>
      </c>
      <c r="G16" s="100">
        <v>39237</v>
      </c>
      <c r="H16" s="14">
        <f t="shared" si="0"/>
        <v>101.64907651715041</v>
      </c>
      <c r="I16" s="14">
        <f t="shared" si="1"/>
        <v>102.21267454350161</v>
      </c>
      <c r="J16" s="14">
        <f t="shared" si="2"/>
        <v>101.9631479249182</v>
      </c>
    </row>
    <row r="17" spans="1:10">
      <c r="A17" s="100">
        <v>39238</v>
      </c>
      <c r="B17">
        <v>153.49</v>
      </c>
      <c r="C17">
        <v>47.58</v>
      </c>
      <c r="D17">
        <v>59.15</v>
      </c>
      <c r="G17" s="100">
        <v>39238</v>
      </c>
      <c r="H17" s="14">
        <f t="shared" si="0"/>
        <v>101.24670184696572</v>
      </c>
      <c r="I17" s="14">
        <f t="shared" si="1"/>
        <v>102.21267454350161</v>
      </c>
      <c r="J17" s="14">
        <f t="shared" si="2"/>
        <v>101.85982434992252</v>
      </c>
    </row>
    <row r="18" spans="1:10">
      <c r="A18" s="100">
        <v>39239</v>
      </c>
      <c r="B18">
        <v>151.84</v>
      </c>
      <c r="C18">
        <v>47.07</v>
      </c>
      <c r="D18">
        <v>58.56</v>
      </c>
      <c r="G18" s="100">
        <v>39239</v>
      </c>
      <c r="H18" s="14">
        <f t="shared" si="0"/>
        <v>100.15831134564644</v>
      </c>
      <c r="I18" s="14">
        <f t="shared" si="1"/>
        <v>101.11707841031151</v>
      </c>
      <c r="J18" s="14">
        <f t="shared" si="2"/>
        <v>100.84380919579819</v>
      </c>
    </row>
    <row r="19" spans="1:10">
      <c r="A19" s="100">
        <v>39240</v>
      </c>
      <c r="B19">
        <v>149.1</v>
      </c>
      <c r="C19">
        <v>46.34</v>
      </c>
      <c r="D19">
        <v>57.58</v>
      </c>
      <c r="G19" s="100">
        <v>39240</v>
      </c>
      <c r="H19" s="14">
        <f t="shared" si="0"/>
        <v>98.350923482849609</v>
      </c>
      <c r="I19" s="14">
        <f t="shared" si="1"/>
        <v>99.548872180451141</v>
      </c>
      <c r="J19" s="14">
        <f t="shared" si="2"/>
        <v>99.156190804201827</v>
      </c>
    </row>
    <row r="20" spans="1:10">
      <c r="A20" s="100">
        <v>39241</v>
      </c>
      <c r="B20">
        <v>151.04</v>
      </c>
      <c r="C20">
        <v>46.91</v>
      </c>
      <c r="D20">
        <v>58.43</v>
      </c>
      <c r="G20" s="100">
        <v>39241</v>
      </c>
      <c r="H20" s="14">
        <f t="shared" si="0"/>
        <v>99.630606860158309</v>
      </c>
      <c r="I20" s="14">
        <f t="shared" si="1"/>
        <v>100.7733619763695</v>
      </c>
      <c r="J20" s="14">
        <f t="shared" si="2"/>
        <v>100.61994144997416</v>
      </c>
    </row>
    <row r="21" spans="1:10">
      <c r="A21" s="100">
        <v>39244</v>
      </c>
      <c r="B21">
        <v>151.30000000000001</v>
      </c>
      <c r="C21">
        <v>46.82</v>
      </c>
      <c r="D21">
        <v>58.35</v>
      </c>
      <c r="G21" s="100">
        <v>39244</v>
      </c>
      <c r="H21" s="14">
        <f t="shared" si="0"/>
        <v>99.802110817941966</v>
      </c>
      <c r="I21" s="14">
        <f t="shared" si="1"/>
        <v>100.58002148227713</v>
      </c>
      <c r="J21" s="14">
        <f t="shared" si="2"/>
        <v>100.48217668331326</v>
      </c>
    </row>
    <row r="22" spans="1:10">
      <c r="A22" s="100">
        <v>39245</v>
      </c>
      <c r="B22">
        <v>149.65</v>
      </c>
      <c r="C22">
        <v>46.54</v>
      </c>
      <c r="D22">
        <v>57.88</v>
      </c>
      <c r="G22" s="100">
        <v>39245</v>
      </c>
      <c r="H22" s="14">
        <f t="shared" si="0"/>
        <v>98.713720316622698</v>
      </c>
      <c r="I22" s="14">
        <f t="shared" si="1"/>
        <v>99.978517722878635</v>
      </c>
      <c r="J22" s="14">
        <f t="shared" si="2"/>
        <v>99.672808679180307</v>
      </c>
    </row>
    <row r="23" spans="1:10">
      <c r="A23" s="100">
        <v>39246</v>
      </c>
      <c r="B23">
        <v>151.88999999999999</v>
      </c>
      <c r="C23">
        <v>47.05</v>
      </c>
      <c r="D23">
        <v>58.51</v>
      </c>
      <c r="G23" s="100">
        <v>39246</v>
      </c>
      <c r="H23" s="14">
        <f t="shared" si="0"/>
        <v>100.19129287598945</v>
      </c>
      <c r="I23" s="14">
        <f t="shared" si="1"/>
        <v>101.07411385606875</v>
      </c>
      <c r="J23" s="14">
        <f t="shared" si="2"/>
        <v>100.75770621663509</v>
      </c>
    </row>
    <row r="24" spans="1:10">
      <c r="A24" s="100">
        <v>39247</v>
      </c>
      <c r="B24">
        <v>152.86000000000001</v>
      </c>
      <c r="C24">
        <v>47.36</v>
      </c>
      <c r="D24">
        <v>59.05</v>
      </c>
      <c r="G24" s="100">
        <v>39247</v>
      </c>
      <c r="H24" s="14">
        <f t="shared" si="0"/>
        <v>100.8311345646438</v>
      </c>
      <c r="I24" s="14">
        <f t="shared" si="1"/>
        <v>101.74006444683137</v>
      </c>
      <c r="J24" s="14">
        <f t="shared" si="2"/>
        <v>101.68761839159635</v>
      </c>
    </row>
    <row r="25" spans="1:10">
      <c r="A25" s="100">
        <v>39248</v>
      </c>
      <c r="B25">
        <v>153.07</v>
      </c>
      <c r="C25">
        <v>47.76</v>
      </c>
      <c r="D25">
        <v>59.61</v>
      </c>
      <c r="G25" s="100">
        <v>39248</v>
      </c>
      <c r="H25" s="14">
        <f t="shared" si="0"/>
        <v>100.96965699208442</v>
      </c>
      <c r="I25" s="14">
        <f t="shared" si="1"/>
        <v>102.59935553168636</v>
      </c>
      <c r="J25" s="14">
        <f t="shared" si="2"/>
        <v>102.65197175822283</v>
      </c>
    </row>
    <row r="26" spans="1:10">
      <c r="A26" s="100">
        <v>39251</v>
      </c>
      <c r="B26">
        <v>152.88999999999999</v>
      </c>
      <c r="C26">
        <v>47.77</v>
      </c>
      <c r="D26">
        <v>59.75</v>
      </c>
      <c r="G26" s="100">
        <v>39251</v>
      </c>
      <c r="H26" s="14">
        <f t="shared" si="0"/>
        <v>100.85092348284961</v>
      </c>
      <c r="I26" s="14">
        <f t="shared" si="1"/>
        <v>102.62083780880775</v>
      </c>
      <c r="J26" s="14">
        <f t="shared" si="2"/>
        <v>102.89306009987946</v>
      </c>
    </row>
    <row r="27" spans="1:10">
      <c r="A27" s="100">
        <v>39252</v>
      </c>
      <c r="B27">
        <v>153.27000000000001</v>
      </c>
      <c r="C27">
        <v>47.76</v>
      </c>
      <c r="D27">
        <v>59.8</v>
      </c>
      <c r="G27" s="100">
        <v>39252</v>
      </c>
      <c r="H27" s="14">
        <f t="shared" si="0"/>
        <v>101.10158311345647</v>
      </c>
      <c r="I27" s="14">
        <f t="shared" si="1"/>
        <v>102.59935553168636</v>
      </c>
      <c r="J27" s="14">
        <f t="shared" si="2"/>
        <v>102.97916307904254</v>
      </c>
    </row>
    <row r="28" spans="1:10">
      <c r="A28" s="100">
        <v>39253</v>
      </c>
      <c r="B28">
        <v>151.13999999999999</v>
      </c>
      <c r="C28">
        <v>47.31</v>
      </c>
      <c r="D28">
        <v>59.18</v>
      </c>
      <c r="G28" s="100">
        <v>39253</v>
      </c>
      <c r="H28" s="14">
        <f t="shared" si="0"/>
        <v>99.696569920844325</v>
      </c>
      <c r="I28" s="14">
        <f t="shared" si="1"/>
        <v>101.63265306122452</v>
      </c>
      <c r="J28" s="14">
        <f t="shared" si="2"/>
        <v>101.91148613742035</v>
      </c>
    </row>
    <row r="29" spans="1:10">
      <c r="A29" s="100">
        <v>39254</v>
      </c>
      <c r="B29">
        <v>151.97999999999999</v>
      </c>
      <c r="C29">
        <v>47.74</v>
      </c>
      <c r="D29">
        <v>59.8</v>
      </c>
      <c r="G29" s="100">
        <v>39254</v>
      </c>
      <c r="H29" s="14">
        <f t="shared" si="0"/>
        <v>100.25065963060686</v>
      </c>
      <c r="I29" s="14">
        <f t="shared" si="1"/>
        <v>102.55639097744363</v>
      </c>
      <c r="J29" s="14">
        <f t="shared" si="2"/>
        <v>102.97916307904254</v>
      </c>
    </row>
    <row r="30" spans="1:10">
      <c r="A30" s="100">
        <v>39255</v>
      </c>
      <c r="B30">
        <v>150.55000000000001</v>
      </c>
      <c r="C30">
        <v>47.29</v>
      </c>
      <c r="D30">
        <v>59.23</v>
      </c>
      <c r="G30" s="100">
        <v>39255</v>
      </c>
      <c r="H30" s="14">
        <f t="shared" si="0"/>
        <v>99.307387862796844</v>
      </c>
      <c r="I30" s="14">
        <f t="shared" si="1"/>
        <v>101.58968850698173</v>
      </c>
      <c r="J30" s="14">
        <f t="shared" si="2"/>
        <v>101.99758911658343</v>
      </c>
    </row>
    <row r="31" spans="1:10">
      <c r="A31" s="100">
        <v>39258</v>
      </c>
      <c r="B31">
        <v>149.83000000000001</v>
      </c>
      <c r="C31">
        <v>47.09</v>
      </c>
      <c r="D31">
        <v>58.88</v>
      </c>
      <c r="G31" s="100">
        <v>39258</v>
      </c>
      <c r="H31" s="14">
        <f t="shared" si="0"/>
        <v>98.832453825857542</v>
      </c>
      <c r="I31" s="14">
        <f t="shared" si="1"/>
        <v>101.16004296455425</v>
      </c>
      <c r="J31" s="14">
        <f t="shared" si="2"/>
        <v>101.39486826244189</v>
      </c>
    </row>
    <row r="32" spans="1:10">
      <c r="A32" s="100">
        <v>39259</v>
      </c>
      <c r="B32">
        <v>148.29</v>
      </c>
      <c r="C32">
        <v>46.82</v>
      </c>
      <c r="D32">
        <v>58.72</v>
      </c>
      <c r="G32" s="100">
        <v>39259</v>
      </c>
      <c r="H32" s="14">
        <f t="shared" si="0"/>
        <v>97.816622691292878</v>
      </c>
      <c r="I32" s="14">
        <f t="shared" si="1"/>
        <v>100.58002148227713</v>
      </c>
      <c r="J32" s="14">
        <f t="shared" si="2"/>
        <v>101.11933872912002</v>
      </c>
    </row>
    <row r="33" spans="1:10">
      <c r="A33" s="100">
        <v>39260</v>
      </c>
      <c r="B33">
        <v>150.4</v>
      </c>
      <c r="C33">
        <v>47.54</v>
      </c>
      <c r="D33">
        <v>59.53</v>
      </c>
      <c r="G33" s="100">
        <v>39260</v>
      </c>
      <c r="H33" s="14">
        <f t="shared" si="0"/>
        <v>99.20844327176782</v>
      </c>
      <c r="I33" s="14">
        <f t="shared" si="1"/>
        <v>102.12674543501612</v>
      </c>
      <c r="J33" s="14">
        <f t="shared" si="2"/>
        <v>102.51420699156191</v>
      </c>
    </row>
    <row r="34" spans="1:10">
      <c r="A34" s="100">
        <v>39261</v>
      </c>
      <c r="B34">
        <v>150.38</v>
      </c>
      <c r="C34">
        <v>47.52</v>
      </c>
      <c r="D34">
        <v>59.49</v>
      </c>
      <c r="G34" s="100">
        <v>39261</v>
      </c>
      <c r="H34" s="14">
        <f t="shared" si="0"/>
        <v>99.195250659630602</v>
      </c>
      <c r="I34" s="14">
        <f t="shared" si="1"/>
        <v>102.08378088077336</v>
      </c>
      <c r="J34" s="14">
        <f t="shared" si="2"/>
        <v>102.44532460823146</v>
      </c>
    </row>
    <row r="35" spans="1:10">
      <c r="A35" s="100">
        <v>39262</v>
      </c>
      <c r="B35">
        <v>150.43</v>
      </c>
      <c r="C35">
        <v>47.6</v>
      </c>
      <c r="D35">
        <v>59.52</v>
      </c>
      <c r="G35" s="100">
        <v>39262</v>
      </c>
      <c r="H35" s="14">
        <f t="shared" si="0"/>
        <v>99.228232189973625</v>
      </c>
      <c r="I35" s="14">
        <f t="shared" si="1"/>
        <v>102.25563909774438</v>
      </c>
      <c r="J35" s="14">
        <f t="shared" si="2"/>
        <v>102.49698639572931</v>
      </c>
    </row>
    <row r="36" spans="1:10">
      <c r="A36" s="100">
        <v>39265</v>
      </c>
      <c r="B36">
        <v>151.79</v>
      </c>
      <c r="C36">
        <v>48.03</v>
      </c>
      <c r="D36">
        <v>59.79</v>
      </c>
      <c r="G36" s="100">
        <v>39265</v>
      </c>
      <c r="H36" s="14">
        <f t="shared" si="0"/>
        <v>100.12532981530342</v>
      </c>
      <c r="I36" s="14">
        <f t="shared" si="1"/>
        <v>103.17937701396349</v>
      </c>
      <c r="J36" s="14">
        <f t="shared" si="2"/>
        <v>102.96194248320991</v>
      </c>
    </row>
    <row r="37" spans="1:10">
      <c r="A37" s="100">
        <v>39266</v>
      </c>
      <c r="B37">
        <v>152.34</v>
      </c>
      <c r="C37">
        <v>48.31</v>
      </c>
      <c r="D37">
        <v>60.26</v>
      </c>
      <c r="G37" s="100">
        <v>39266</v>
      </c>
      <c r="H37" s="14">
        <f t="shared" si="0"/>
        <v>100.48812664907652</v>
      </c>
      <c r="I37" s="14">
        <f t="shared" si="1"/>
        <v>103.78088077336199</v>
      </c>
      <c r="J37" s="14">
        <f t="shared" si="2"/>
        <v>103.77131048734284</v>
      </c>
    </row>
    <row r="38" spans="1:10">
      <c r="A38" s="100">
        <v>39268</v>
      </c>
      <c r="B38">
        <v>152.18</v>
      </c>
      <c r="C38">
        <v>48.66</v>
      </c>
      <c r="D38">
        <v>60.51</v>
      </c>
      <c r="G38" s="100">
        <v>39268</v>
      </c>
      <c r="H38" s="14">
        <f t="shared" si="0"/>
        <v>100.38258575197889</v>
      </c>
      <c r="I38" s="14">
        <f t="shared" si="1"/>
        <v>104.53276047261009</v>
      </c>
      <c r="J38" s="14">
        <f t="shared" si="2"/>
        <v>104.20182538315825</v>
      </c>
    </row>
    <row r="39" spans="1:10">
      <c r="A39" s="100">
        <v>39269</v>
      </c>
      <c r="B39">
        <v>152.97999999999999</v>
      </c>
      <c r="C39">
        <v>48.86</v>
      </c>
      <c r="D39">
        <v>60.84</v>
      </c>
      <c r="G39" s="100">
        <v>39269</v>
      </c>
      <c r="H39" s="14">
        <f t="shared" si="0"/>
        <v>100.91029023746702</v>
      </c>
      <c r="I39" s="14">
        <f t="shared" si="1"/>
        <v>104.96240601503759</v>
      </c>
      <c r="J39" s="14">
        <f t="shared" si="2"/>
        <v>104.77010504563458</v>
      </c>
    </row>
    <row r="40" spans="1:10">
      <c r="A40" s="100">
        <v>39272</v>
      </c>
      <c r="B40">
        <v>153.1</v>
      </c>
      <c r="C40">
        <v>48.89</v>
      </c>
      <c r="D40">
        <v>60.85</v>
      </c>
      <c r="G40" s="100">
        <v>39272</v>
      </c>
      <c r="H40" s="14">
        <f t="shared" si="0"/>
        <v>100.98944591029024</v>
      </c>
      <c r="I40" s="14">
        <f t="shared" si="1"/>
        <v>105.02685284640172</v>
      </c>
      <c r="J40" s="14">
        <f t="shared" si="2"/>
        <v>104.78732564146721</v>
      </c>
    </row>
    <row r="41" spans="1:10">
      <c r="A41" s="100">
        <v>39273</v>
      </c>
      <c r="B41">
        <v>150.91999999999999</v>
      </c>
      <c r="C41">
        <v>48.48</v>
      </c>
      <c r="D41">
        <v>60.4</v>
      </c>
      <c r="G41" s="100">
        <v>39273</v>
      </c>
      <c r="H41" s="14">
        <f t="shared" si="0"/>
        <v>99.55145118733509</v>
      </c>
      <c r="I41" s="14">
        <f t="shared" si="1"/>
        <v>104.14607948442536</v>
      </c>
      <c r="J41" s="14">
        <f t="shared" si="2"/>
        <v>104.01239882899948</v>
      </c>
    </row>
    <row r="42" spans="1:10">
      <c r="A42" s="100">
        <v>39274</v>
      </c>
      <c r="B42">
        <v>151.99</v>
      </c>
      <c r="C42">
        <v>48.81</v>
      </c>
      <c r="D42">
        <v>60.66</v>
      </c>
      <c r="G42" s="100">
        <v>39274</v>
      </c>
      <c r="H42" s="14">
        <f t="shared" si="0"/>
        <v>100.25725593667548</v>
      </c>
      <c r="I42" s="14">
        <f t="shared" si="1"/>
        <v>104.85499462943073</v>
      </c>
      <c r="J42" s="14">
        <f t="shared" si="2"/>
        <v>104.46013432064748</v>
      </c>
    </row>
    <row r="43" spans="1:10">
      <c r="A43" s="100">
        <v>39275</v>
      </c>
      <c r="B43">
        <v>154.38999999999999</v>
      </c>
      <c r="C43">
        <v>49.56</v>
      </c>
      <c r="D43">
        <v>62.01</v>
      </c>
      <c r="G43" s="100">
        <v>39275</v>
      </c>
      <c r="H43" s="14">
        <f t="shared" si="0"/>
        <v>101.84036939313982</v>
      </c>
      <c r="I43" s="14">
        <f t="shared" si="1"/>
        <v>106.46616541353384</v>
      </c>
      <c r="J43" s="14">
        <f t="shared" si="2"/>
        <v>106.78491475805063</v>
      </c>
    </row>
    <row r="44" spans="1:10">
      <c r="A44" s="100">
        <v>39276</v>
      </c>
      <c r="B44">
        <v>154.85</v>
      </c>
      <c r="C44">
        <v>49.9</v>
      </c>
      <c r="D44">
        <v>61.97</v>
      </c>
      <c r="G44" s="100">
        <v>39276</v>
      </c>
      <c r="H44" s="14">
        <f t="shared" si="0"/>
        <v>102.1437994722955</v>
      </c>
      <c r="I44" s="14">
        <f t="shared" si="1"/>
        <v>107.19656283566059</v>
      </c>
      <c r="J44" s="14">
        <f t="shared" si="2"/>
        <v>106.71603237472016</v>
      </c>
    </row>
    <row r="45" spans="1:10">
      <c r="A45" s="100">
        <v>39279</v>
      </c>
      <c r="B45">
        <v>154.83000000000001</v>
      </c>
      <c r="C45">
        <v>49.85</v>
      </c>
      <c r="D45">
        <v>62.06</v>
      </c>
      <c r="G45" s="100">
        <v>39279</v>
      </c>
      <c r="H45" s="14">
        <f t="shared" si="0"/>
        <v>102.13060686015831</v>
      </c>
      <c r="I45" s="14">
        <f t="shared" si="1"/>
        <v>107.08915145005371</v>
      </c>
      <c r="J45" s="14">
        <f t="shared" si="2"/>
        <v>106.87101773721371</v>
      </c>
    </row>
    <row r="46" spans="1:10">
      <c r="A46" s="100">
        <v>39280</v>
      </c>
      <c r="B46">
        <v>154.75</v>
      </c>
      <c r="C46">
        <v>50.23</v>
      </c>
      <c r="D46">
        <v>62.58</v>
      </c>
      <c r="G46" s="100">
        <v>39280</v>
      </c>
      <c r="H46" s="14">
        <f t="shared" si="0"/>
        <v>102.0778364116095</v>
      </c>
      <c r="I46" s="14">
        <f t="shared" si="1"/>
        <v>107.90547798066595</v>
      </c>
      <c r="J46" s="14">
        <f t="shared" si="2"/>
        <v>107.76648872050973</v>
      </c>
    </row>
    <row r="47" spans="1:10">
      <c r="A47" s="100">
        <v>39281</v>
      </c>
      <c r="B47">
        <v>154.47</v>
      </c>
      <c r="C47">
        <v>50.17</v>
      </c>
      <c r="D47">
        <v>62.1</v>
      </c>
      <c r="G47" s="100">
        <v>39281</v>
      </c>
      <c r="H47" s="14">
        <f t="shared" si="0"/>
        <v>101.89313984168867</v>
      </c>
      <c r="I47" s="14">
        <f t="shared" si="1"/>
        <v>107.7765843179377</v>
      </c>
      <c r="J47" s="14">
        <f t="shared" si="2"/>
        <v>106.93990012054417</v>
      </c>
    </row>
    <row r="48" spans="1:10">
      <c r="A48" s="100">
        <v>39282</v>
      </c>
      <c r="B48">
        <v>155.07</v>
      </c>
      <c r="C48">
        <v>50.32</v>
      </c>
      <c r="D48">
        <v>62.75</v>
      </c>
      <c r="G48" s="100">
        <v>39282</v>
      </c>
      <c r="H48" s="14">
        <f t="shared" si="0"/>
        <v>102.28891820580475</v>
      </c>
      <c r="I48" s="14">
        <f t="shared" si="1"/>
        <v>108.09881847475833</v>
      </c>
      <c r="J48" s="14">
        <f t="shared" si="2"/>
        <v>108.0592388496642</v>
      </c>
    </row>
    <row r="49" spans="1:10">
      <c r="A49" s="100">
        <v>39283</v>
      </c>
      <c r="B49">
        <v>153.5</v>
      </c>
      <c r="C49">
        <v>50.05</v>
      </c>
      <c r="D49">
        <v>62.31</v>
      </c>
      <c r="G49" s="100">
        <v>39283</v>
      </c>
      <c r="H49" s="14">
        <f t="shared" si="0"/>
        <v>101.25329815303429</v>
      </c>
      <c r="I49" s="14">
        <f t="shared" si="1"/>
        <v>107.51879699248121</v>
      </c>
      <c r="J49" s="14">
        <f t="shared" si="2"/>
        <v>107.30153263302911</v>
      </c>
    </row>
    <row r="50" spans="1:10">
      <c r="A50" s="100">
        <v>39286</v>
      </c>
      <c r="B50">
        <v>153.97</v>
      </c>
      <c r="C50">
        <v>50.07</v>
      </c>
      <c r="D50">
        <v>62.42</v>
      </c>
      <c r="G50" s="100">
        <v>39286</v>
      </c>
      <c r="H50" s="14">
        <f t="shared" si="0"/>
        <v>101.56332453825858</v>
      </c>
      <c r="I50" s="14">
        <f t="shared" si="1"/>
        <v>107.56176154672397</v>
      </c>
      <c r="J50" s="14">
        <f t="shared" si="2"/>
        <v>107.49095918718787</v>
      </c>
    </row>
    <row r="51" spans="1:10">
      <c r="A51" s="100">
        <v>39287</v>
      </c>
      <c r="B51">
        <v>151.30000000000001</v>
      </c>
      <c r="C51">
        <v>49.33</v>
      </c>
      <c r="D51">
        <v>61.67</v>
      </c>
      <c r="G51" s="100">
        <v>39287</v>
      </c>
      <c r="H51" s="14">
        <f t="shared" si="0"/>
        <v>99.802110817941966</v>
      </c>
      <c r="I51" s="14">
        <f t="shared" si="1"/>
        <v>105.97207303974221</v>
      </c>
      <c r="J51" s="14">
        <f t="shared" si="2"/>
        <v>106.19941449974168</v>
      </c>
    </row>
    <row r="52" spans="1:10">
      <c r="A52" s="100">
        <v>39288</v>
      </c>
      <c r="B52">
        <v>151.61000000000001</v>
      </c>
      <c r="C52">
        <v>49.4</v>
      </c>
      <c r="D52">
        <v>61.39</v>
      </c>
      <c r="G52" s="100">
        <v>39288</v>
      </c>
      <c r="H52" s="14">
        <f t="shared" si="0"/>
        <v>100.0065963060686</v>
      </c>
      <c r="I52" s="14">
        <f t="shared" si="1"/>
        <v>106.12244897959184</v>
      </c>
      <c r="J52" s="14">
        <f t="shared" si="2"/>
        <v>105.71723781642845</v>
      </c>
    </row>
    <row r="53" spans="1:10">
      <c r="A53" s="100">
        <v>39289</v>
      </c>
      <c r="B53">
        <v>148.02000000000001</v>
      </c>
      <c r="C53">
        <v>48.98</v>
      </c>
      <c r="D53">
        <v>60.76</v>
      </c>
      <c r="G53" s="100">
        <v>39289</v>
      </c>
      <c r="H53" s="14">
        <f t="shared" si="0"/>
        <v>97.638522427440648</v>
      </c>
      <c r="I53" s="14">
        <f t="shared" si="1"/>
        <v>105.22019334049408</v>
      </c>
      <c r="J53" s="14">
        <f t="shared" si="2"/>
        <v>104.63234027897366</v>
      </c>
    </row>
    <row r="54" spans="1:10">
      <c r="A54" s="100">
        <v>39290</v>
      </c>
      <c r="B54">
        <v>145.11000000000001</v>
      </c>
      <c r="C54">
        <v>47.99</v>
      </c>
      <c r="D54">
        <v>59.38</v>
      </c>
      <c r="G54" s="100">
        <v>39290</v>
      </c>
      <c r="H54" s="14">
        <f t="shared" si="0"/>
        <v>95.718997361477591</v>
      </c>
      <c r="I54" s="14">
        <f t="shared" si="1"/>
        <v>103.09344790547799</v>
      </c>
      <c r="J54" s="14">
        <f t="shared" si="2"/>
        <v>102.25589805407267</v>
      </c>
    </row>
    <row r="55" spans="1:10">
      <c r="A55" s="100">
        <v>39293</v>
      </c>
      <c r="B55">
        <v>147.38</v>
      </c>
      <c r="C55">
        <v>48.55</v>
      </c>
      <c r="D55">
        <v>60.04</v>
      </c>
      <c r="G55" s="100">
        <v>39293</v>
      </c>
      <c r="H55" s="14">
        <f t="shared" si="0"/>
        <v>97.21635883905013</v>
      </c>
      <c r="I55" s="14">
        <f t="shared" si="1"/>
        <v>104.29645542427497</v>
      </c>
      <c r="J55" s="14">
        <f t="shared" si="2"/>
        <v>103.39245737902532</v>
      </c>
    </row>
    <row r="56" spans="1:10">
      <c r="A56" s="100">
        <v>39294</v>
      </c>
      <c r="B56">
        <v>145.72</v>
      </c>
      <c r="C56">
        <v>47.53</v>
      </c>
      <c r="D56">
        <v>58.89</v>
      </c>
      <c r="G56" s="100">
        <v>39294</v>
      </c>
      <c r="H56" s="14">
        <f t="shared" si="0"/>
        <v>96.121372031662261</v>
      </c>
      <c r="I56" s="14">
        <f t="shared" si="1"/>
        <v>102.10526315789474</v>
      </c>
      <c r="J56" s="14">
        <f t="shared" si="2"/>
        <v>101.4120888582745</v>
      </c>
    </row>
    <row r="57" spans="1:10">
      <c r="A57" s="100">
        <v>39295</v>
      </c>
      <c r="B57">
        <v>146.43</v>
      </c>
      <c r="C57">
        <v>47.9</v>
      </c>
      <c r="D57">
        <v>59.55</v>
      </c>
      <c r="G57" s="100">
        <v>39295</v>
      </c>
      <c r="H57" s="14">
        <f t="shared" si="0"/>
        <v>96.589709762532991</v>
      </c>
      <c r="I57" s="14">
        <f t="shared" si="1"/>
        <v>102.9001074113856</v>
      </c>
      <c r="J57" s="14">
        <f t="shared" si="2"/>
        <v>102.54864818322713</v>
      </c>
    </row>
    <row r="58" spans="1:10">
      <c r="A58" s="100">
        <v>39296</v>
      </c>
      <c r="B58">
        <v>147.6</v>
      </c>
      <c r="C58">
        <v>48.34</v>
      </c>
      <c r="D58">
        <v>60.01</v>
      </c>
      <c r="G58" s="100">
        <v>39296</v>
      </c>
      <c r="H58" s="14">
        <f t="shared" si="0"/>
        <v>97.361477572559366</v>
      </c>
      <c r="I58" s="14">
        <f t="shared" si="1"/>
        <v>103.84532760472611</v>
      </c>
      <c r="J58" s="14">
        <f t="shared" si="2"/>
        <v>103.34079559152747</v>
      </c>
    </row>
    <row r="59" spans="1:10">
      <c r="A59" s="100">
        <v>39297</v>
      </c>
      <c r="B59">
        <v>143.80000000000001</v>
      </c>
      <c r="C59">
        <v>47.42</v>
      </c>
      <c r="D59">
        <v>58.53</v>
      </c>
      <c r="G59" s="100">
        <v>39297</v>
      </c>
      <c r="H59" s="14">
        <f t="shared" si="0"/>
        <v>94.854881266490779</v>
      </c>
      <c r="I59" s="14">
        <f t="shared" si="1"/>
        <v>101.86895810955963</v>
      </c>
      <c r="J59" s="14">
        <f t="shared" si="2"/>
        <v>100.79214740830034</v>
      </c>
    </row>
    <row r="60" spans="1:10">
      <c r="A60" s="100">
        <v>39300</v>
      </c>
      <c r="B60">
        <v>146.21</v>
      </c>
      <c r="C60">
        <v>47.97</v>
      </c>
      <c r="D60">
        <v>59.17</v>
      </c>
      <c r="G60" s="100">
        <v>39300</v>
      </c>
      <c r="H60" s="14">
        <f t="shared" si="0"/>
        <v>96.444591029023755</v>
      </c>
      <c r="I60" s="14">
        <f t="shared" si="1"/>
        <v>103.05048335123523</v>
      </c>
      <c r="J60" s="14">
        <f t="shared" si="2"/>
        <v>101.89426554158774</v>
      </c>
    </row>
    <row r="61" spans="1:10">
      <c r="A61" s="100">
        <v>39301</v>
      </c>
      <c r="B61">
        <v>147.77000000000001</v>
      </c>
      <c r="C61">
        <v>48.31</v>
      </c>
      <c r="D61">
        <v>59.14</v>
      </c>
      <c r="G61" s="100">
        <v>39301</v>
      </c>
      <c r="H61" s="14">
        <f t="shared" si="0"/>
        <v>97.473614775725608</v>
      </c>
      <c r="I61" s="14">
        <f t="shared" si="1"/>
        <v>103.78088077336199</v>
      </c>
      <c r="J61" s="14">
        <f t="shared" si="2"/>
        <v>101.84260375408989</v>
      </c>
    </row>
    <row r="62" spans="1:10">
      <c r="A62" s="100">
        <v>39302</v>
      </c>
      <c r="B62">
        <v>149.83000000000001</v>
      </c>
      <c r="C62">
        <v>48.84</v>
      </c>
      <c r="D62">
        <v>60.3</v>
      </c>
      <c r="G62" s="100">
        <v>39302</v>
      </c>
      <c r="H62" s="14">
        <f t="shared" si="0"/>
        <v>98.832453825857542</v>
      </c>
      <c r="I62" s="14">
        <f t="shared" si="1"/>
        <v>104.91944146079486</v>
      </c>
      <c r="J62" s="14">
        <f t="shared" si="2"/>
        <v>103.84019287067332</v>
      </c>
    </row>
    <row r="63" spans="1:10">
      <c r="A63" s="100">
        <v>39303</v>
      </c>
      <c r="B63">
        <v>145.38999999999999</v>
      </c>
      <c r="C63">
        <v>47.71</v>
      </c>
      <c r="D63">
        <v>58.75</v>
      </c>
      <c r="G63" s="100">
        <v>39303</v>
      </c>
      <c r="H63" s="14">
        <f t="shared" si="0"/>
        <v>95.903693931398408</v>
      </c>
      <c r="I63" s="14">
        <f t="shared" si="1"/>
        <v>102.49194414607949</v>
      </c>
      <c r="J63" s="14">
        <f t="shared" si="2"/>
        <v>101.17100051661787</v>
      </c>
    </row>
    <row r="64" spans="1:10">
      <c r="A64" s="100">
        <v>39304</v>
      </c>
      <c r="B64">
        <v>144.71</v>
      </c>
      <c r="C64">
        <v>47.28</v>
      </c>
      <c r="D64">
        <v>58.89</v>
      </c>
      <c r="G64" s="100">
        <v>39304</v>
      </c>
      <c r="H64" s="14">
        <f t="shared" si="0"/>
        <v>95.455145118733526</v>
      </c>
      <c r="I64" s="14">
        <f t="shared" si="1"/>
        <v>101.56820622986038</v>
      </c>
      <c r="J64" s="14">
        <f t="shared" si="2"/>
        <v>101.4120888582745</v>
      </c>
    </row>
    <row r="65" spans="1:10">
      <c r="A65" s="100">
        <v>39307</v>
      </c>
      <c r="B65">
        <v>145.22999999999999</v>
      </c>
      <c r="C65">
        <v>47.6</v>
      </c>
      <c r="D65">
        <v>59.12</v>
      </c>
      <c r="G65" s="100">
        <v>39307</v>
      </c>
      <c r="H65" s="14">
        <f t="shared" si="0"/>
        <v>95.798153034300796</v>
      </c>
      <c r="I65" s="14">
        <f t="shared" si="1"/>
        <v>102.25563909774438</v>
      </c>
      <c r="J65" s="14">
        <f t="shared" si="2"/>
        <v>101.80816256242467</v>
      </c>
    </row>
    <row r="66" spans="1:10">
      <c r="A66" s="100">
        <v>39308</v>
      </c>
      <c r="B66">
        <v>143.01</v>
      </c>
      <c r="C66">
        <v>46.79</v>
      </c>
      <c r="D66">
        <v>58.15</v>
      </c>
      <c r="G66" s="100">
        <v>39308</v>
      </c>
      <c r="H66" s="14">
        <f t="shared" si="0"/>
        <v>94.333773087071236</v>
      </c>
      <c r="I66" s="14">
        <f t="shared" si="1"/>
        <v>100.51557465091301</v>
      </c>
      <c r="J66" s="14">
        <f t="shared" si="2"/>
        <v>100.13776476666092</v>
      </c>
    </row>
    <row r="67" spans="1:10">
      <c r="A67" s="100">
        <v>39309</v>
      </c>
      <c r="B67">
        <v>141.04</v>
      </c>
      <c r="C67">
        <v>45.9</v>
      </c>
      <c r="D67">
        <v>57.11</v>
      </c>
      <c r="G67" s="100">
        <v>39309</v>
      </c>
      <c r="H67" s="14">
        <f t="shared" si="0"/>
        <v>93.034300791556717</v>
      </c>
      <c r="I67" s="14">
        <f t="shared" si="1"/>
        <v>98.603651987110638</v>
      </c>
      <c r="J67" s="14">
        <f t="shared" si="2"/>
        <v>98.346822800068878</v>
      </c>
    </row>
    <row r="68" spans="1:10">
      <c r="A68" s="100">
        <v>39310</v>
      </c>
      <c r="B68">
        <v>142.1</v>
      </c>
      <c r="C68">
        <v>45.45</v>
      </c>
      <c r="D68">
        <v>56.6</v>
      </c>
      <c r="G68" s="100">
        <v>39310</v>
      </c>
      <c r="H68" s="14">
        <f t="shared" si="0"/>
        <v>93.733509234828489</v>
      </c>
      <c r="I68" s="14">
        <f t="shared" si="1"/>
        <v>97.63694951664877</v>
      </c>
      <c r="J68" s="14">
        <f t="shared" si="2"/>
        <v>97.468572412605482</v>
      </c>
    </row>
    <row r="69" spans="1:10">
      <c r="A69" s="100">
        <v>39311</v>
      </c>
      <c r="B69">
        <v>144.71</v>
      </c>
      <c r="C69">
        <v>46.31</v>
      </c>
      <c r="D69">
        <v>57.75</v>
      </c>
      <c r="G69" s="100">
        <v>39311</v>
      </c>
      <c r="H69" s="14">
        <f t="shared" ref="H69:H132" si="3">B69/$B$4*100</f>
        <v>95.455145118733526</v>
      </c>
      <c r="I69" s="14">
        <f t="shared" ref="I69:I132" si="4">C69/$C$4*100</f>
        <v>99.484425349087019</v>
      </c>
      <c r="J69" s="14">
        <f t="shared" ref="J69:J132" si="5">D69/$D$4*100</f>
        <v>99.448940933356283</v>
      </c>
    </row>
    <row r="70" spans="1:10">
      <c r="A70" s="100">
        <v>39314</v>
      </c>
      <c r="B70">
        <v>144.63999999999999</v>
      </c>
      <c r="C70">
        <v>46.53</v>
      </c>
      <c r="D70">
        <v>57.68</v>
      </c>
      <c r="G70" s="100">
        <v>39314</v>
      </c>
      <c r="H70" s="14">
        <f t="shared" si="3"/>
        <v>95.4089709762533</v>
      </c>
      <c r="I70" s="14">
        <f t="shared" si="4"/>
        <v>99.957035445757256</v>
      </c>
      <c r="J70" s="14">
        <f t="shared" si="5"/>
        <v>99.328396762527987</v>
      </c>
    </row>
    <row r="71" spans="1:10">
      <c r="A71" s="100">
        <v>39315</v>
      </c>
      <c r="B71">
        <v>144.93</v>
      </c>
      <c r="C71">
        <v>47.02</v>
      </c>
      <c r="D71">
        <v>58.05</v>
      </c>
      <c r="G71" s="100">
        <v>39315</v>
      </c>
      <c r="H71" s="14">
        <f t="shared" si="3"/>
        <v>95.600263852242747</v>
      </c>
      <c r="I71" s="14">
        <f t="shared" si="4"/>
        <v>101.00966702470464</v>
      </c>
      <c r="J71" s="14">
        <f t="shared" si="5"/>
        <v>99.965558808334762</v>
      </c>
    </row>
    <row r="72" spans="1:10">
      <c r="A72" s="100">
        <v>39316</v>
      </c>
      <c r="B72">
        <v>146.65</v>
      </c>
      <c r="C72">
        <v>47.66</v>
      </c>
      <c r="D72">
        <v>58.68</v>
      </c>
      <c r="G72" s="100">
        <v>39316</v>
      </c>
      <c r="H72" s="14">
        <f t="shared" si="3"/>
        <v>96.734828496042226</v>
      </c>
      <c r="I72" s="14">
        <f t="shared" si="4"/>
        <v>102.38453276047261</v>
      </c>
      <c r="J72" s="14">
        <f t="shared" si="5"/>
        <v>101.05045634578957</v>
      </c>
    </row>
    <row r="73" spans="1:10">
      <c r="A73" s="100">
        <v>39317</v>
      </c>
      <c r="B73">
        <v>146.52000000000001</v>
      </c>
      <c r="C73">
        <v>47.53</v>
      </c>
      <c r="D73">
        <v>58.78</v>
      </c>
      <c r="G73" s="100">
        <v>39317</v>
      </c>
      <c r="H73" s="14">
        <f t="shared" si="3"/>
        <v>96.649076517150405</v>
      </c>
      <c r="I73" s="14">
        <f t="shared" si="4"/>
        <v>102.10526315789474</v>
      </c>
      <c r="J73" s="14">
        <f t="shared" si="5"/>
        <v>101.22266230411572</v>
      </c>
    </row>
    <row r="74" spans="1:10">
      <c r="A74" s="100">
        <v>39318</v>
      </c>
      <c r="B74">
        <v>148.33000000000001</v>
      </c>
      <c r="C74">
        <v>48.2</v>
      </c>
      <c r="D74">
        <v>59.58</v>
      </c>
      <c r="G74" s="100">
        <v>39318</v>
      </c>
      <c r="H74" s="14">
        <f t="shared" si="3"/>
        <v>97.843007915567298</v>
      </c>
      <c r="I74" s="14">
        <f t="shared" si="4"/>
        <v>103.54457572502686</v>
      </c>
      <c r="J74" s="14">
        <f t="shared" si="5"/>
        <v>102.60030997072498</v>
      </c>
    </row>
    <row r="75" spans="1:10">
      <c r="A75" s="100">
        <v>39321</v>
      </c>
      <c r="B75">
        <v>146.94999999999999</v>
      </c>
      <c r="C75">
        <v>47.88</v>
      </c>
      <c r="D75">
        <v>59.29</v>
      </c>
      <c r="G75" s="100">
        <v>39321</v>
      </c>
      <c r="H75" s="14">
        <f t="shared" si="3"/>
        <v>96.932717678100261</v>
      </c>
      <c r="I75" s="14">
        <f t="shared" si="4"/>
        <v>102.85714285714288</v>
      </c>
      <c r="J75" s="14">
        <f t="shared" si="5"/>
        <v>102.10091269157913</v>
      </c>
    </row>
    <row r="76" spans="1:10">
      <c r="A76" s="100">
        <v>39322</v>
      </c>
      <c r="B76">
        <v>143.72</v>
      </c>
      <c r="C76">
        <v>46.74</v>
      </c>
      <c r="D76">
        <v>57.99</v>
      </c>
      <c r="G76" s="100">
        <v>39322</v>
      </c>
      <c r="H76" s="14">
        <f t="shared" si="3"/>
        <v>94.802110817941951</v>
      </c>
      <c r="I76" s="14">
        <f t="shared" si="4"/>
        <v>100.40816326530613</v>
      </c>
      <c r="J76" s="14">
        <f t="shared" si="5"/>
        <v>99.862235233339078</v>
      </c>
    </row>
    <row r="77" spans="1:10">
      <c r="A77" s="100">
        <v>39323</v>
      </c>
      <c r="B77">
        <v>146.54</v>
      </c>
      <c r="C77">
        <v>48.08</v>
      </c>
      <c r="D77">
        <v>59.59</v>
      </c>
      <c r="G77" s="100">
        <v>39323</v>
      </c>
      <c r="H77" s="14">
        <f t="shared" si="3"/>
        <v>96.662269129287594</v>
      </c>
      <c r="I77" s="14">
        <f t="shared" si="4"/>
        <v>103.28678839957036</v>
      </c>
      <c r="J77" s="14">
        <f t="shared" si="5"/>
        <v>102.6175305665576</v>
      </c>
    </row>
    <row r="78" spans="1:10">
      <c r="A78" s="100">
        <v>39324</v>
      </c>
      <c r="B78">
        <v>146.15</v>
      </c>
      <c r="C78">
        <v>48.33</v>
      </c>
      <c r="D78">
        <v>59.79</v>
      </c>
      <c r="G78" s="100">
        <v>39324</v>
      </c>
      <c r="H78" s="14">
        <f t="shared" si="3"/>
        <v>96.405013192612145</v>
      </c>
      <c r="I78" s="14">
        <f t="shared" si="4"/>
        <v>103.82384532760473</v>
      </c>
      <c r="J78" s="14">
        <f t="shared" si="5"/>
        <v>102.96194248320991</v>
      </c>
    </row>
    <row r="79" spans="1:10">
      <c r="A79" s="100">
        <v>39325</v>
      </c>
      <c r="B79">
        <v>147.59</v>
      </c>
      <c r="C79">
        <v>48.87</v>
      </c>
      <c r="D79">
        <v>60.57</v>
      </c>
      <c r="G79" s="100">
        <v>39325</v>
      </c>
      <c r="H79" s="14">
        <f t="shared" si="3"/>
        <v>97.354881266490764</v>
      </c>
      <c r="I79" s="14">
        <f t="shared" si="4"/>
        <v>104.98388829215897</v>
      </c>
      <c r="J79" s="14">
        <f t="shared" si="5"/>
        <v>104.30514895815395</v>
      </c>
    </row>
    <row r="80" spans="1:10">
      <c r="A80" s="100">
        <v>39329</v>
      </c>
      <c r="B80">
        <v>149.08000000000001</v>
      </c>
      <c r="C80">
        <v>49.68</v>
      </c>
      <c r="D80">
        <v>61.46</v>
      </c>
      <c r="G80" s="100">
        <v>39329</v>
      </c>
      <c r="H80" s="14">
        <f t="shared" si="3"/>
        <v>98.33773087071242</v>
      </c>
      <c r="I80" s="14">
        <f t="shared" si="4"/>
        <v>106.72395273899033</v>
      </c>
      <c r="J80" s="14">
        <f t="shared" si="5"/>
        <v>105.83778198725675</v>
      </c>
    </row>
    <row r="81" spans="1:10">
      <c r="A81" s="100">
        <v>39330</v>
      </c>
      <c r="B81">
        <v>147.79</v>
      </c>
      <c r="C81">
        <v>49.18</v>
      </c>
      <c r="D81">
        <v>61.05</v>
      </c>
      <c r="G81" s="100">
        <v>39330</v>
      </c>
      <c r="H81" s="14">
        <f t="shared" si="3"/>
        <v>97.486807387862797</v>
      </c>
      <c r="I81" s="14">
        <f t="shared" si="4"/>
        <v>105.64983888292159</v>
      </c>
      <c r="J81" s="14">
        <f t="shared" si="5"/>
        <v>105.13173755811951</v>
      </c>
    </row>
    <row r="82" spans="1:10">
      <c r="A82" s="100">
        <v>39331</v>
      </c>
      <c r="B82">
        <v>148.13</v>
      </c>
      <c r="C82">
        <v>49.14</v>
      </c>
      <c r="D82">
        <v>61.13</v>
      </c>
      <c r="G82" s="100">
        <v>39331</v>
      </c>
      <c r="H82" s="14">
        <f t="shared" si="3"/>
        <v>97.711081794195252</v>
      </c>
      <c r="I82" s="14">
        <f t="shared" si="4"/>
        <v>105.5639097744361</v>
      </c>
      <c r="J82" s="14">
        <f t="shared" si="5"/>
        <v>105.26950232478045</v>
      </c>
    </row>
    <row r="83" spans="1:10">
      <c r="A83" s="100">
        <v>39332</v>
      </c>
      <c r="B83">
        <v>146.07</v>
      </c>
      <c r="C83">
        <v>48.23</v>
      </c>
      <c r="D83">
        <v>60.02</v>
      </c>
      <c r="G83" s="100">
        <v>39332</v>
      </c>
      <c r="H83" s="14">
        <f t="shared" si="3"/>
        <v>96.352242744063318</v>
      </c>
      <c r="I83" s="14">
        <f t="shared" si="4"/>
        <v>103.60902255639097</v>
      </c>
      <c r="J83" s="14">
        <f t="shared" si="5"/>
        <v>103.35801618736009</v>
      </c>
    </row>
    <row r="84" spans="1:10">
      <c r="A84" s="100">
        <v>39335</v>
      </c>
      <c r="B84">
        <v>145.79</v>
      </c>
      <c r="C84">
        <v>48.2</v>
      </c>
      <c r="D84">
        <v>60.02</v>
      </c>
      <c r="G84" s="100">
        <v>39335</v>
      </c>
      <c r="H84" s="14">
        <f t="shared" si="3"/>
        <v>96.167546174142487</v>
      </c>
      <c r="I84" s="14">
        <f t="shared" si="4"/>
        <v>103.54457572502686</v>
      </c>
      <c r="J84" s="14">
        <f t="shared" si="5"/>
        <v>103.35801618736009</v>
      </c>
    </row>
    <row r="85" spans="1:10">
      <c r="A85" s="100">
        <v>39336</v>
      </c>
      <c r="B85">
        <v>147.49</v>
      </c>
      <c r="C85">
        <v>48.93</v>
      </c>
      <c r="D85">
        <v>60.76</v>
      </c>
      <c r="G85" s="100">
        <v>39336</v>
      </c>
      <c r="H85" s="14">
        <f t="shared" si="3"/>
        <v>97.288918205804762</v>
      </c>
      <c r="I85" s="14">
        <f t="shared" si="4"/>
        <v>105.11278195488723</v>
      </c>
      <c r="J85" s="14">
        <f t="shared" si="5"/>
        <v>104.63234027897366</v>
      </c>
    </row>
    <row r="86" spans="1:10">
      <c r="A86" s="100">
        <v>39337</v>
      </c>
      <c r="B86">
        <v>147.87</v>
      </c>
      <c r="C86">
        <v>48.94</v>
      </c>
      <c r="D86">
        <v>60.31</v>
      </c>
      <c r="G86" s="100">
        <v>39337</v>
      </c>
      <c r="H86" s="14">
        <f t="shared" si="3"/>
        <v>97.539577836411624</v>
      </c>
      <c r="I86" s="14">
        <f t="shared" si="4"/>
        <v>105.1342642320086</v>
      </c>
      <c r="J86" s="14">
        <f t="shared" si="5"/>
        <v>103.85741346650595</v>
      </c>
    </row>
    <row r="87" spans="1:10">
      <c r="A87" s="100">
        <v>39338</v>
      </c>
      <c r="B87">
        <v>148.91</v>
      </c>
      <c r="C87">
        <v>49.18</v>
      </c>
      <c r="D87">
        <v>60.38</v>
      </c>
      <c r="G87" s="100">
        <v>39338</v>
      </c>
      <c r="H87" s="14">
        <f t="shared" si="3"/>
        <v>98.225593667546178</v>
      </c>
      <c r="I87" s="14">
        <f t="shared" si="4"/>
        <v>105.64983888292159</v>
      </c>
      <c r="J87" s="14">
        <f t="shared" si="5"/>
        <v>103.97795763733426</v>
      </c>
    </row>
    <row r="88" spans="1:10">
      <c r="A88" s="100">
        <v>39339</v>
      </c>
      <c r="B88">
        <v>148.9</v>
      </c>
      <c r="C88">
        <v>49.22</v>
      </c>
      <c r="D88">
        <v>60.16</v>
      </c>
      <c r="G88" s="100">
        <v>39339</v>
      </c>
      <c r="H88" s="14">
        <f t="shared" si="3"/>
        <v>98.218997361477577</v>
      </c>
      <c r="I88" s="14">
        <f t="shared" si="4"/>
        <v>105.73576799140709</v>
      </c>
      <c r="J88" s="14">
        <f t="shared" si="5"/>
        <v>103.5991045290167</v>
      </c>
    </row>
    <row r="89" spans="1:10">
      <c r="A89" s="100">
        <v>39342</v>
      </c>
      <c r="B89">
        <v>148.1</v>
      </c>
      <c r="C89">
        <v>48.81</v>
      </c>
      <c r="D89">
        <v>59.96</v>
      </c>
      <c r="G89" s="100">
        <v>39342</v>
      </c>
      <c r="H89" s="14">
        <f t="shared" si="3"/>
        <v>97.691292875989447</v>
      </c>
      <c r="I89" s="14">
        <f t="shared" si="4"/>
        <v>104.85499462943073</v>
      </c>
      <c r="J89" s="14">
        <f t="shared" si="5"/>
        <v>103.25469261236439</v>
      </c>
    </row>
    <row r="90" spans="1:10">
      <c r="A90" s="100">
        <v>39343</v>
      </c>
      <c r="B90">
        <v>152.46</v>
      </c>
      <c r="C90">
        <v>50.04</v>
      </c>
      <c r="D90">
        <v>61.07</v>
      </c>
      <c r="G90" s="100">
        <v>39343</v>
      </c>
      <c r="H90" s="14">
        <f t="shared" si="3"/>
        <v>100.56728232189975</v>
      </c>
      <c r="I90" s="14">
        <f t="shared" si="4"/>
        <v>107.49731471535983</v>
      </c>
      <c r="J90" s="14">
        <f t="shared" si="5"/>
        <v>105.16617874978473</v>
      </c>
    </row>
    <row r="91" spans="1:10">
      <c r="A91" s="100">
        <v>39344</v>
      </c>
      <c r="B91">
        <v>153.36000000000001</v>
      </c>
      <c r="C91">
        <v>50.17</v>
      </c>
      <c r="D91">
        <v>61.35</v>
      </c>
      <c r="G91" s="100">
        <v>39344</v>
      </c>
      <c r="H91" s="14">
        <f t="shared" si="3"/>
        <v>101.16094986807389</v>
      </c>
      <c r="I91" s="14">
        <f t="shared" si="4"/>
        <v>107.7765843179377</v>
      </c>
      <c r="J91" s="14">
        <f t="shared" si="5"/>
        <v>105.64835543309799</v>
      </c>
    </row>
    <row r="92" spans="1:10">
      <c r="A92" s="100">
        <v>39345</v>
      </c>
      <c r="B92">
        <v>152.28</v>
      </c>
      <c r="C92">
        <v>50.03</v>
      </c>
      <c r="D92">
        <v>61.36</v>
      </c>
      <c r="G92" s="100">
        <v>39345</v>
      </c>
      <c r="H92" s="14">
        <f t="shared" si="3"/>
        <v>100.44854881266491</v>
      </c>
      <c r="I92" s="14">
        <f t="shared" si="4"/>
        <v>107.47583243823846</v>
      </c>
      <c r="J92" s="14">
        <f t="shared" si="5"/>
        <v>105.6655760289306</v>
      </c>
    </row>
    <row r="93" spans="1:10">
      <c r="A93" s="100">
        <v>39346</v>
      </c>
      <c r="B93">
        <v>151.97</v>
      </c>
      <c r="C93">
        <v>50.36</v>
      </c>
      <c r="D93">
        <v>61.85</v>
      </c>
      <c r="G93" s="100">
        <v>39346</v>
      </c>
      <c r="H93" s="14">
        <f t="shared" si="3"/>
        <v>100.24406332453826</v>
      </c>
      <c r="I93" s="14">
        <f t="shared" si="4"/>
        <v>108.18474758324383</v>
      </c>
      <c r="J93" s="14">
        <f t="shared" si="5"/>
        <v>106.50938522472877</v>
      </c>
    </row>
    <row r="94" spans="1:10">
      <c r="A94" s="100">
        <v>39349</v>
      </c>
      <c r="B94">
        <v>151.69</v>
      </c>
      <c r="C94">
        <v>50.59</v>
      </c>
      <c r="D94">
        <v>62</v>
      </c>
      <c r="G94" s="100">
        <v>39349</v>
      </c>
      <c r="H94" s="14">
        <f t="shared" si="3"/>
        <v>100.05936675461741</v>
      </c>
      <c r="I94" s="14">
        <f t="shared" si="4"/>
        <v>108.67883995703546</v>
      </c>
      <c r="J94" s="14">
        <f t="shared" si="5"/>
        <v>106.76769416221801</v>
      </c>
    </row>
    <row r="95" spans="1:10">
      <c r="A95" s="100">
        <v>39350</v>
      </c>
      <c r="B95">
        <v>151.38999999999999</v>
      </c>
      <c r="C95">
        <v>51.07</v>
      </c>
      <c r="D95">
        <v>62.63</v>
      </c>
      <c r="G95" s="100">
        <v>39350</v>
      </c>
      <c r="H95" s="14">
        <f t="shared" si="3"/>
        <v>99.861477572559366</v>
      </c>
      <c r="I95" s="14">
        <f t="shared" si="4"/>
        <v>109.70998925886144</v>
      </c>
      <c r="J95" s="14">
        <f t="shared" si="5"/>
        <v>107.8525916996728</v>
      </c>
    </row>
    <row r="96" spans="1:10">
      <c r="A96" s="100">
        <v>39351</v>
      </c>
      <c r="B96">
        <v>152.19</v>
      </c>
      <c r="C96">
        <v>51.32</v>
      </c>
      <c r="D96">
        <v>62.7</v>
      </c>
      <c r="G96" s="100">
        <v>39351</v>
      </c>
      <c r="H96" s="14">
        <f t="shared" si="3"/>
        <v>100.3891820580475</v>
      </c>
      <c r="I96" s="14">
        <f t="shared" si="4"/>
        <v>110.24704618689583</v>
      </c>
      <c r="J96" s="14">
        <f t="shared" si="5"/>
        <v>107.97313587050112</v>
      </c>
    </row>
    <row r="97" spans="1:10">
      <c r="A97" s="100">
        <v>39352</v>
      </c>
      <c r="B97">
        <v>153.09</v>
      </c>
      <c r="C97">
        <v>51.58</v>
      </c>
      <c r="D97">
        <v>62.89</v>
      </c>
      <c r="G97" s="100">
        <v>39352</v>
      </c>
      <c r="H97" s="14">
        <f t="shared" si="3"/>
        <v>100.98284960422164</v>
      </c>
      <c r="I97" s="14">
        <f t="shared" si="4"/>
        <v>110.80558539205157</v>
      </c>
      <c r="J97" s="14">
        <f t="shared" si="5"/>
        <v>108.3003271913208</v>
      </c>
    </row>
    <row r="98" spans="1:10">
      <c r="A98" s="100">
        <v>39353</v>
      </c>
      <c r="B98">
        <v>152.58000000000001</v>
      </c>
      <c r="C98">
        <v>51.41</v>
      </c>
      <c r="D98">
        <v>62.8</v>
      </c>
      <c r="G98" s="100">
        <v>39353</v>
      </c>
      <c r="H98" s="14">
        <f t="shared" si="3"/>
        <v>100.64643799472297</v>
      </c>
      <c r="I98" s="14">
        <f t="shared" si="4"/>
        <v>110.44038668098818</v>
      </c>
      <c r="J98" s="14">
        <f t="shared" si="5"/>
        <v>108.14534182882727</v>
      </c>
    </row>
    <row r="99" spans="1:10">
      <c r="A99" s="100">
        <v>39356</v>
      </c>
      <c r="B99">
        <v>154.30000000000001</v>
      </c>
      <c r="C99">
        <v>52</v>
      </c>
      <c r="D99">
        <v>63.63</v>
      </c>
      <c r="G99" s="100">
        <v>39356</v>
      </c>
      <c r="H99" s="14">
        <f t="shared" si="3"/>
        <v>101.78100263852244</v>
      </c>
      <c r="I99" s="14">
        <f t="shared" si="4"/>
        <v>111.7078410311493</v>
      </c>
      <c r="J99" s="14">
        <f t="shared" si="5"/>
        <v>109.5746512829344</v>
      </c>
    </row>
    <row r="100" spans="1:10">
      <c r="A100" s="100">
        <v>39357</v>
      </c>
      <c r="B100">
        <v>154.09</v>
      </c>
      <c r="C100">
        <v>52.01</v>
      </c>
      <c r="D100">
        <v>63.74</v>
      </c>
      <c r="G100" s="100">
        <v>39357</v>
      </c>
      <c r="H100" s="14">
        <f t="shared" si="3"/>
        <v>101.6424802110818</v>
      </c>
      <c r="I100" s="14">
        <f t="shared" si="4"/>
        <v>111.72932330827068</v>
      </c>
      <c r="J100" s="14">
        <f t="shared" si="5"/>
        <v>109.76407783709317</v>
      </c>
    </row>
    <row r="101" spans="1:10">
      <c r="A101" s="100">
        <v>39358</v>
      </c>
      <c r="B101">
        <v>153.78</v>
      </c>
      <c r="C101">
        <v>51.65</v>
      </c>
      <c r="D101">
        <v>63.11</v>
      </c>
      <c r="G101" s="100">
        <v>39358</v>
      </c>
      <c r="H101" s="14">
        <f t="shared" si="3"/>
        <v>101.43799472295515</v>
      </c>
      <c r="I101" s="14">
        <f t="shared" si="4"/>
        <v>110.95596133190118</v>
      </c>
      <c r="J101" s="14">
        <f t="shared" si="5"/>
        <v>108.67918029963836</v>
      </c>
    </row>
    <row r="102" spans="1:10">
      <c r="A102" s="100">
        <v>39359</v>
      </c>
      <c r="B102">
        <v>154.02000000000001</v>
      </c>
      <c r="C102">
        <v>51.77</v>
      </c>
      <c r="D102">
        <v>62.98</v>
      </c>
      <c r="G102" s="100">
        <v>39359</v>
      </c>
      <c r="H102" s="14">
        <f t="shared" si="3"/>
        <v>101.59630606860159</v>
      </c>
      <c r="I102" s="14">
        <f t="shared" si="4"/>
        <v>111.2137486573577</v>
      </c>
      <c r="J102" s="14">
        <f t="shared" si="5"/>
        <v>108.45531255381435</v>
      </c>
    </row>
    <row r="103" spans="1:10">
      <c r="A103" s="100">
        <v>39360</v>
      </c>
      <c r="B103">
        <v>155.85</v>
      </c>
      <c r="C103">
        <v>52.82</v>
      </c>
      <c r="D103">
        <v>63.84</v>
      </c>
      <c r="G103" s="100">
        <v>39360</v>
      </c>
      <c r="H103" s="14">
        <f t="shared" si="3"/>
        <v>102.80343007915566</v>
      </c>
      <c r="I103" s="14">
        <f t="shared" si="4"/>
        <v>113.46938775510205</v>
      </c>
      <c r="J103" s="14">
        <f t="shared" si="5"/>
        <v>109.93628379541933</v>
      </c>
    </row>
    <row r="104" spans="1:10">
      <c r="A104" s="100">
        <v>39363</v>
      </c>
      <c r="B104">
        <v>155.02000000000001</v>
      </c>
      <c r="C104">
        <v>53.15</v>
      </c>
      <c r="D104">
        <v>64.260000000000005</v>
      </c>
      <c r="G104" s="100">
        <v>39363</v>
      </c>
      <c r="H104" s="14">
        <f t="shared" si="3"/>
        <v>102.25593667546175</v>
      </c>
      <c r="I104" s="14">
        <f t="shared" si="4"/>
        <v>114.17830290010743</v>
      </c>
      <c r="J104" s="14">
        <f t="shared" si="5"/>
        <v>110.6595488203892</v>
      </c>
    </row>
    <row r="105" spans="1:10">
      <c r="A105" s="100">
        <v>39364</v>
      </c>
      <c r="B105">
        <v>156.47999999999999</v>
      </c>
      <c r="C105">
        <v>53.38</v>
      </c>
      <c r="D105">
        <v>64.64</v>
      </c>
      <c r="G105" s="100">
        <v>39364</v>
      </c>
      <c r="H105" s="14">
        <f t="shared" si="3"/>
        <v>103.21899736147758</v>
      </c>
      <c r="I105" s="14">
        <f t="shared" si="4"/>
        <v>114.67239527389906</v>
      </c>
      <c r="J105" s="14">
        <f t="shared" si="5"/>
        <v>111.31393146202859</v>
      </c>
    </row>
    <row r="106" spans="1:10">
      <c r="A106" s="100">
        <v>39365</v>
      </c>
      <c r="B106">
        <v>156.22</v>
      </c>
      <c r="C106">
        <v>53.51</v>
      </c>
      <c r="D106">
        <v>64.849999999999994</v>
      </c>
      <c r="G106" s="100">
        <v>39365</v>
      </c>
      <c r="H106" s="14">
        <f t="shared" si="3"/>
        <v>103.04749340369392</v>
      </c>
      <c r="I106" s="14">
        <f t="shared" si="4"/>
        <v>114.9516648764769</v>
      </c>
      <c r="J106" s="14">
        <f t="shared" si="5"/>
        <v>111.67556397451351</v>
      </c>
    </row>
    <row r="107" spans="1:10">
      <c r="A107" s="100">
        <v>39366</v>
      </c>
      <c r="B107">
        <v>155.47</v>
      </c>
      <c r="C107">
        <v>52.66</v>
      </c>
      <c r="D107">
        <v>64.13</v>
      </c>
      <c r="G107" s="100">
        <v>39366</v>
      </c>
      <c r="H107" s="14">
        <f t="shared" si="3"/>
        <v>102.55277044854883</v>
      </c>
      <c r="I107" s="14">
        <f t="shared" si="4"/>
        <v>113.12567132116004</v>
      </c>
      <c r="J107" s="14">
        <f t="shared" si="5"/>
        <v>110.43568107456517</v>
      </c>
    </row>
    <row r="108" spans="1:10">
      <c r="A108" s="100">
        <v>39367</v>
      </c>
      <c r="B108">
        <v>156.33000000000001</v>
      </c>
      <c r="C108">
        <v>53.53</v>
      </c>
      <c r="D108">
        <v>64.84</v>
      </c>
      <c r="G108" s="100">
        <v>39367</v>
      </c>
      <c r="H108" s="14">
        <f t="shared" si="3"/>
        <v>103.12005277044855</v>
      </c>
      <c r="I108" s="14">
        <f t="shared" si="4"/>
        <v>114.99462943071967</v>
      </c>
      <c r="J108" s="14">
        <f t="shared" si="5"/>
        <v>111.6583433786809</v>
      </c>
    </row>
    <row r="109" spans="1:10">
      <c r="A109" s="100">
        <v>39370</v>
      </c>
      <c r="B109">
        <v>155.01</v>
      </c>
      <c r="C109">
        <v>53.12</v>
      </c>
      <c r="D109">
        <v>64.33</v>
      </c>
      <c r="G109" s="100">
        <v>39370</v>
      </c>
      <c r="H109" s="14">
        <f t="shared" si="3"/>
        <v>102.24934036939312</v>
      </c>
      <c r="I109" s="14">
        <f t="shared" si="4"/>
        <v>114.11385606874329</v>
      </c>
      <c r="J109" s="14">
        <f t="shared" si="5"/>
        <v>110.78009299121749</v>
      </c>
    </row>
    <row r="110" spans="1:10">
      <c r="A110" s="100">
        <v>39371</v>
      </c>
      <c r="B110">
        <v>153.78</v>
      </c>
      <c r="C110">
        <v>52.87</v>
      </c>
      <c r="D110">
        <v>64.13</v>
      </c>
      <c r="G110" s="100">
        <v>39371</v>
      </c>
      <c r="H110" s="14">
        <f t="shared" si="3"/>
        <v>101.43799472295515</v>
      </c>
      <c r="I110" s="14">
        <f t="shared" si="4"/>
        <v>113.5767991407089</v>
      </c>
      <c r="J110" s="14">
        <f t="shared" si="5"/>
        <v>110.43568107456517</v>
      </c>
    </row>
    <row r="111" spans="1:10">
      <c r="A111" s="100">
        <v>39372</v>
      </c>
      <c r="B111">
        <v>154.25</v>
      </c>
      <c r="C111">
        <v>53.55</v>
      </c>
      <c r="D111">
        <v>65.040000000000006</v>
      </c>
      <c r="G111" s="100">
        <v>39372</v>
      </c>
      <c r="H111" s="14">
        <f t="shared" si="3"/>
        <v>101.74802110817942</v>
      </c>
      <c r="I111" s="14">
        <f t="shared" si="4"/>
        <v>115.0375939849624</v>
      </c>
      <c r="J111" s="14">
        <f t="shared" si="5"/>
        <v>112.00275529533323</v>
      </c>
    </row>
    <row r="112" spans="1:10">
      <c r="A112" s="100">
        <v>39373</v>
      </c>
      <c r="B112">
        <v>153.69</v>
      </c>
      <c r="C112">
        <v>53.78</v>
      </c>
      <c r="D112">
        <v>65.08</v>
      </c>
      <c r="G112" s="100">
        <v>39373</v>
      </c>
      <c r="H112" s="14">
        <f t="shared" si="3"/>
        <v>101.37862796833774</v>
      </c>
      <c r="I112" s="14">
        <f t="shared" si="4"/>
        <v>115.53168635875404</v>
      </c>
      <c r="J112" s="14">
        <f t="shared" si="5"/>
        <v>112.07163767866368</v>
      </c>
    </row>
    <row r="113" spans="1:10">
      <c r="A113" s="100">
        <v>39374</v>
      </c>
      <c r="B113">
        <v>149.66999999999999</v>
      </c>
      <c r="C113">
        <v>52.44</v>
      </c>
      <c r="D113">
        <v>63.49</v>
      </c>
      <c r="G113" s="100">
        <v>39374</v>
      </c>
      <c r="H113" s="14">
        <f t="shared" si="3"/>
        <v>98.726912928759887</v>
      </c>
      <c r="I113" s="14">
        <f t="shared" si="4"/>
        <v>112.65306122448979</v>
      </c>
      <c r="J113" s="14">
        <f t="shared" si="5"/>
        <v>109.33356294127776</v>
      </c>
    </row>
    <row r="114" spans="1:10">
      <c r="A114" s="100">
        <v>39377</v>
      </c>
      <c r="B114">
        <v>150.54</v>
      </c>
      <c r="C114">
        <v>53.07</v>
      </c>
      <c r="D114">
        <v>64.28</v>
      </c>
      <c r="G114" s="100">
        <v>39377</v>
      </c>
      <c r="H114" s="14">
        <f t="shared" si="3"/>
        <v>99.300791556728228</v>
      </c>
      <c r="I114" s="14">
        <f t="shared" si="4"/>
        <v>114.00644468313641</v>
      </c>
      <c r="J114" s="14">
        <f t="shared" si="5"/>
        <v>110.69399001205443</v>
      </c>
    </row>
    <row r="115" spans="1:10">
      <c r="A115" s="100">
        <v>39378</v>
      </c>
      <c r="B115">
        <v>151.76</v>
      </c>
      <c r="C115">
        <v>54.18</v>
      </c>
      <c r="D115">
        <v>64.959999999999994</v>
      </c>
      <c r="G115" s="100">
        <v>39378</v>
      </c>
      <c r="H115" s="14">
        <f t="shared" si="3"/>
        <v>100.10554089709763</v>
      </c>
      <c r="I115" s="14">
        <f t="shared" si="4"/>
        <v>116.39097744360902</v>
      </c>
      <c r="J115" s="14">
        <f t="shared" si="5"/>
        <v>111.86499052867227</v>
      </c>
    </row>
    <row r="116" spans="1:10">
      <c r="A116" s="100">
        <v>39379</v>
      </c>
      <c r="B116">
        <v>151.47999999999999</v>
      </c>
      <c r="C116">
        <v>53.77</v>
      </c>
      <c r="D116">
        <v>64.36</v>
      </c>
      <c r="G116" s="100">
        <v>39379</v>
      </c>
      <c r="H116" s="14">
        <f t="shared" si="3"/>
        <v>99.920844327176781</v>
      </c>
      <c r="I116" s="14">
        <f t="shared" si="4"/>
        <v>115.51020408163266</v>
      </c>
      <c r="J116" s="14">
        <f t="shared" si="5"/>
        <v>110.83175477871534</v>
      </c>
    </row>
    <row r="117" spans="1:10">
      <c r="A117" s="100">
        <v>39380</v>
      </c>
      <c r="B117">
        <v>151.84</v>
      </c>
      <c r="C117">
        <v>53.05</v>
      </c>
      <c r="D117">
        <v>64.47</v>
      </c>
      <c r="G117" s="100">
        <v>39380</v>
      </c>
      <c r="H117" s="14">
        <f t="shared" si="3"/>
        <v>100.15831134564644</v>
      </c>
      <c r="I117" s="14">
        <f t="shared" si="4"/>
        <v>113.96348012889365</v>
      </c>
      <c r="J117" s="14">
        <f t="shared" si="5"/>
        <v>111.02118133287411</v>
      </c>
    </row>
    <row r="118" spans="1:10">
      <c r="A118" s="100">
        <v>39381</v>
      </c>
      <c r="B118">
        <v>153.62</v>
      </c>
      <c r="C118">
        <v>53.93</v>
      </c>
      <c r="D118">
        <v>65.5</v>
      </c>
      <c r="G118" s="100">
        <v>39381</v>
      </c>
      <c r="H118" s="14">
        <f t="shared" si="3"/>
        <v>101.33245382585751</v>
      </c>
      <c r="I118" s="14">
        <f t="shared" si="4"/>
        <v>115.85392051557466</v>
      </c>
      <c r="J118" s="14">
        <f t="shared" si="5"/>
        <v>112.79490270363355</v>
      </c>
    </row>
    <row r="119" spans="1:10">
      <c r="A119" s="100">
        <v>39384</v>
      </c>
      <c r="B119">
        <v>154.13</v>
      </c>
      <c r="C119">
        <v>54.15</v>
      </c>
      <c r="D119">
        <v>65.819999999999993</v>
      </c>
      <c r="G119" s="100">
        <v>39384</v>
      </c>
      <c r="H119" s="14">
        <f t="shared" si="3"/>
        <v>101.66886543535621</v>
      </c>
      <c r="I119" s="14">
        <f t="shared" si="4"/>
        <v>116.32653061224489</v>
      </c>
      <c r="J119" s="14">
        <f t="shared" si="5"/>
        <v>113.34596177027724</v>
      </c>
    </row>
    <row r="120" spans="1:10">
      <c r="A120" s="100">
        <v>39385</v>
      </c>
      <c r="B120">
        <v>153.06</v>
      </c>
      <c r="C120">
        <v>54.26</v>
      </c>
      <c r="D120">
        <v>65.95</v>
      </c>
      <c r="G120" s="100">
        <v>39385</v>
      </c>
      <c r="H120" s="14">
        <f t="shared" si="3"/>
        <v>100.96306068601584</v>
      </c>
      <c r="I120" s="14">
        <f t="shared" si="4"/>
        <v>116.56283566058003</v>
      </c>
      <c r="J120" s="14">
        <f t="shared" si="5"/>
        <v>113.56982951610127</v>
      </c>
    </row>
    <row r="121" spans="1:10">
      <c r="A121" s="100">
        <v>39386</v>
      </c>
      <c r="B121">
        <v>154.65</v>
      </c>
      <c r="C121">
        <v>55.03</v>
      </c>
      <c r="D121">
        <v>67.09</v>
      </c>
      <c r="G121" s="100">
        <v>39386</v>
      </c>
      <c r="H121" s="14">
        <f t="shared" si="3"/>
        <v>102.01187335092349</v>
      </c>
      <c r="I121" s="14">
        <f t="shared" si="4"/>
        <v>118.2169709989259</v>
      </c>
      <c r="J121" s="14">
        <f t="shared" si="5"/>
        <v>115.53297744101947</v>
      </c>
    </row>
    <row r="122" spans="1:10">
      <c r="A122" s="100">
        <v>39387</v>
      </c>
      <c r="B122">
        <v>151.03</v>
      </c>
      <c r="C122">
        <v>54</v>
      </c>
      <c r="D122">
        <v>66.23</v>
      </c>
      <c r="G122" s="100">
        <v>39387</v>
      </c>
      <c r="H122" s="14">
        <f t="shared" si="3"/>
        <v>99.624010554089722</v>
      </c>
      <c r="I122" s="14">
        <f t="shared" si="4"/>
        <v>116.00429645542427</v>
      </c>
      <c r="J122" s="14">
        <f t="shared" si="5"/>
        <v>114.05200619941451</v>
      </c>
    </row>
    <row r="123" spans="1:10">
      <c r="A123" s="100">
        <v>39388</v>
      </c>
      <c r="B123">
        <v>151.19999999999999</v>
      </c>
      <c r="C123">
        <v>54.42</v>
      </c>
      <c r="D123">
        <v>66.62</v>
      </c>
      <c r="G123" s="100">
        <v>39388</v>
      </c>
      <c r="H123" s="14">
        <f t="shared" si="3"/>
        <v>99.736147757255935</v>
      </c>
      <c r="I123" s="14">
        <f t="shared" si="4"/>
        <v>116.90655209452203</v>
      </c>
      <c r="J123" s="14">
        <f t="shared" si="5"/>
        <v>114.72360943688653</v>
      </c>
    </row>
    <row r="124" spans="1:10">
      <c r="A124" s="100">
        <v>39391</v>
      </c>
      <c r="B124">
        <v>150.05000000000001</v>
      </c>
      <c r="C124">
        <v>54.07</v>
      </c>
      <c r="D124">
        <v>66.36</v>
      </c>
      <c r="G124" s="100">
        <v>39391</v>
      </c>
      <c r="H124" s="14">
        <f t="shared" si="3"/>
        <v>98.977572559366763</v>
      </c>
      <c r="I124" s="14">
        <f t="shared" si="4"/>
        <v>116.15467239527391</v>
      </c>
      <c r="J124" s="14">
        <f t="shared" si="5"/>
        <v>114.2758739452385</v>
      </c>
    </row>
    <row r="125" spans="1:10">
      <c r="A125" s="100">
        <v>39392</v>
      </c>
      <c r="B125">
        <v>152.07</v>
      </c>
      <c r="C125">
        <v>54.68</v>
      </c>
      <c r="D125">
        <v>67.08</v>
      </c>
      <c r="G125" s="100">
        <v>39392</v>
      </c>
      <c r="H125" s="14">
        <f t="shared" si="3"/>
        <v>100.31002638522428</v>
      </c>
      <c r="I125" s="14">
        <f t="shared" si="4"/>
        <v>117.46509129967777</v>
      </c>
      <c r="J125" s="14">
        <f t="shared" si="5"/>
        <v>115.51575684518684</v>
      </c>
    </row>
    <row r="126" spans="1:10">
      <c r="A126" s="100">
        <v>39393</v>
      </c>
      <c r="B126">
        <v>147.91</v>
      </c>
      <c r="C126">
        <v>53.35</v>
      </c>
      <c r="D126">
        <v>65.319999999999993</v>
      </c>
      <c r="G126" s="100">
        <v>39393</v>
      </c>
      <c r="H126" s="14">
        <f t="shared" si="3"/>
        <v>97.565963060686016</v>
      </c>
      <c r="I126" s="14">
        <f t="shared" si="4"/>
        <v>114.60794844253492</v>
      </c>
      <c r="J126" s="14">
        <f t="shared" si="5"/>
        <v>112.48493197864644</v>
      </c>
    </row>
    <row r="127" spans="1:10">
      <c r="A127" s="100">
        <v>39394</v>
      </c>
      <c r="B127">
        <v>147.16</v>
      </c>
      <c r="C127">
        <v>51.73</v>
      </c>
      <c r="D127">
        <v>62.86</v>
      </c>
      <c r="G127" s="100">
        <v>39394</v>
      </c>
      <c r="H127" s="14">
        <f t="shared" si="3"/>
        <v>97.071240105540895</v>
      </c>
      <c r="I127" s="14">
        <f t="shared" si="4"/>
        <v>111.12781954887218</v>
      </c>
      <c r="J127" s="14">
        <f t="shared" si="5"/>
        <v>108.24866540382297</v>
      </c>
    </row>
    <row r="128" spans="1:10">
      <c r="A128" s="100">
        <v>39395</v>
      </c>
      <c r="B128">
        <v>145.13999999999999</v>
      </c>
      <c r="C128">
        <v>50</v>
      </c>
      <c r="D128">
        <v>60.82</v>
      </c>
      <c r="G128" s="100">
        <v>39395</v>
      </c>
      <c r="H128" s="14">
        <f t="shared" si="3"/>
        <v>95.738786279683382</v>
      </c>
      <c r="I128" s="14">
        <f t="shared" si="4"/>
        <v>107.41138560687433</v>
      </c>
      <c r="J128" s="14">
        <f t="shared" si="5"/>
        <v>104.73566385396936</v>
      </c>
    </row>
    <row r="129" spans="1:10">
      <c r="A129" s="100">
        <v>39398</v>
      </c>
      <c r="B129">
        <v>143.69999999999999</v>
      </c>
      <c r="C129">
        <v>48.73</v>
      </c>
      <c r="D129">
        <v>59.78</v>
      </c>
      <c r="G129" s="100">
        <v>39398</v>
      </c>
      <c r="H129" s="14">
        <f t="shared" si="3"/>
        <v>94.788918205804748</v>
      </c>
      <c r="I129" s="14">
        <f t="shared" si="4"/>
        <v>104.68313641245972</v>
      </c>
      <c r="J129" s="14">
        <f t="shared" si="5"/>
        <v>102.94472188737731</v>
      </c>
    </row>
    <row r="130" spans="1:10">
      <c r="A130" s="100">
        <v>39399</v>
      </c>
      <c r="B130">
        <v>148.08000000000001</v>
      </c>
      <c r="C130">
        <v>50.74</v>
      </c>
      <c r="D130">
        <v>62.17</v>
      </c>
      <c r="G130" s="100">
        <v>39399</v>
      </c>
      <c r="H130" s="14">
        <f t="shared" si="3"/>
        <v>97.678100263852258</v>
      </c>
      <c r="I130" s="14">
        <f t="shared" si="4"/>
        <v>109.00107411385609</v>
      </c>
      <c r="J130" s="14">
        <f t="shared" si="5"/>
        <v>107.06044429137249</v>
      </c>
    </row>
    <row r="131" spans="1:10">
      <c r="A131" s="100">
        <v>39400</v>
      </c>
      <c r="B131">
        <v>147.66999999999999</v>
      </c>
      <c r="C131">
        <v>50.09</v>
      </c>
      <c r="D131">
        <v>61.59</v>
      </c>
      <c r="G131" s="100">
        <v>39400</v>
      </c>
      <c r="H131" s="14">
        <f t="shared" si="3"/>
        <v>97.407651715039577</v>
      </c>
      <c r="I131" s="14">
        <f t="shared" si="4"/>
        <v>107.60472610096672</v>
      </c>
      <c r="J131" s="14">
        <f t="shared" si="5"/>
        <v>106.06164973308077</v>
      </c>
    </row>
    <row r="132" spans="1:10">
      <c r="A132" s="100">
        <v>39401</v>
      </c>
      <c r="B132">
        <v>145.54</v>
      </c>
      <c r="C132">
        <v>49.82</v>
      </c>
      <c r="D132">
        <v>61.05</v>
      </c>
      <c r="G132" s="100">
        <v>39401</v>
      </c>
      <c r="H132" s="14">
        <f t="shared" si="3"/>
        <v>96.002638522427446</v>
      </c>
      <c r="I132" s="14">
        <f t="shared" si="4"/>
        <v>107.02470461868958</v>
      </c>
      <c r="J132" s="14">
        <f t="shared" si="5"/>
        <v>105.13173755811951</v>
      </c>
    </row>
    <row r="133" spans="1:10">
      <c r="A133" s="100">
        <v>39402</v>
      </c>
      <c r="B133">
        <v>145.79</v>
      </c>
      <c r="C133">
        <v>50.28</v>
      </c>
      <c r="D133">
        <v>61.56</v>
      </c>
      <c r="G133" s="100">
        <v>39402</v>
      </c>
      <c r="H133" s="14">
        <f t="shared" ref="H133:H196" si="6">B133/$B$4*100</f>
        <v>96.167546174142487</v>
      </c>
      <c r="I133" s="14">
        <f t="shared" ref="I133:I196" si="7">C133/$C$4*100</f>
        <v>108.01288936627283</v>
      </c>
      <c r="J133" s="14">
        <f t="shared" ref="J133:J196" si="8">D133/$D$4*100</f>
        <v>106.00998794558292</v>
      </c>
    </row>
    <row r="134" spans="1:10">
      <c r="A134" s="100">
        <v>39405</v>
      </c>
      <c r="B134">
        <v>143.76</v>
      </c>
      <c r="C134">
        <v>49.7</v>
      </c>
      <c r="D134">
        <v>60.74</v>
      </c>
      <c r="G134" s="100">
        <v>39405</v>
      </c>
      <c r="H134" s="14">
        <f t="shared" si="6"/>
        <v>94.828496042216358</v>
      </c>
      <c r="I134" s="14">
        <f t="shared" si="7"/>
        <v>106.76691729323309</v>
      </c>
      <c r="J134" s="14">
        <f t="shared" si="8"/>
        <v>104.59789908730843</v>
      </c>
    </row>
    <row r="135" spans="1:10">
      <c r="A135" s="100">
        <v>39406</v>
      </c>
      <c r="B135">
        <v>144.63999999999999</v>
      </c>
      <c r="C135">
        <v>49.9</v>
      </c>
      <c r="D135">
        <v>61.05</v>
      </c>
      <c r="G135" s="100">
        <v>39406</v>
      </c>
      <c r="H135" s="14">
        <f t="shared" si="6"/>
        <v>95.4089709762533</v>
      </c>
      <c r="I135" s="14">
        <f t="shared" si="7"/>
        <v>107.19656283566059</v>
      </c>
      <c r="J135" s="14">
        <f t="shared" si="8"/>
        <v>105.13173755811951</v>
      </c>
    </row>
    <row r="136" spans="1:10">
      <c r="A136" s="100">
        <v>39407</v>
      </c>
      <c r="B136">
        <v>141.68</v>
      </c>
      <c r="C136">
        <v>49.31</v>
      </c>
      <c r="D136">
        <v>60.14</v>
      </c>
      <c r="G136" s="100">
        <v>39407</v>
      </c>
      <c r="H136" s="14">
        <f t="shared" si="6"/>
        <v>93.456464379947235</v>
      </c>
      <c r="I136" s="14">
        <f t="shared" si="7"/>
        <v>105.92910848549948</v>
      </c>
      <c r="J136" s="14">
        <f t="shared" si="8"/>
        <v>103.56466333735148</v>
      </c>
    </row>
    <row r="137" spans="1:10">
      <c r="A137" s="100">
        <v>39409</v>
      </c>
      <c r="B137">
        <v>144.13</v>
      </c>
      <c r="C137">
        <v>49.84</v>
      </c>
      <c r="D137">
        <v>60.69</v>
      </c>
      <c r="G137" s="100">
        <v>39409</v>
      </c>
      <c r="H137" s="14">
        <f t="shared" si="6"/>
        <v>95.072559366754618</v>
      </c>
      <c r="I137" s="14">
        <f t="shared" si="7"/>
        <v>107.06766917293234</v>
      </c>
      <c r="J137" s="14">
        <f t="shared" si="8"/>
        <v>104.51179610814533</v>
      </c>
    </row>
    <row r="138" spans="1:10">
      <c r="A138" s="100">
        <v>39412</v>
      </c>
      <c r="B138">
        <v>140.94999999999999</v>
      </c>
      <c r="C138">
        <v>48.98</v>
      </c>
      <c r="D138">
        <v>59.49</v>
      </c>
      <c r="G138" s="100">
        <v>39412</v>
      </c>
      <c r="H138" s="14">
        <f t="shared" si="6"/>
        <v>92.974934036939302</v>
      </c>
      <c r="I138" s="14">
        <f t="shared" si="7"/>
        <v>105.22019334049408</v>
      </c>
      <c r="J138" s="14">
        <f t="shared" si="8"/>
        <v>102.44532460823146</v>
      </c>
    </row>
    <row r="139" spans="1:10">
      <c r="A139" s="100">
        <v>39413</v>
      </c>
      <c r="B139">
        <v>142.57</v>
      </c>
      <c r="C139">
        <v>49.96</v>
      </c>
      <c r="D139">
        <v>60.2</v>
      </c>
      <c r="G139" s="100">
        <v>39413</v>
      </c>
      <c r="H139" s="14">
        <f t="shared" si="6"/>
        <v>94.043535620052765</v>
      </c>
      <c r="I139" s="14">
        <f t="shared" si="7"/>
        <v>107.32545649838883</v>
      </c>
      <c r="J139" s="14">
        <f t="shared" si="8"/>
        <v>103.66798691234717</v>
      </c>
    </row>
    <row r="140" spans="1:10">
      <c r="A140" s="100">
        <v>39414</v>
      </c>
      <c r="B140">
        <v>147.13</v>
      </c>
      <c r="C140">
        <v>51.48</v>
      </c>
      <c r="D140">
        <v>62.15</v>
      </c>
      <c r="G140" s="100">
        <v>39414</v>
      </c>
      <c r="H140" s="14">
        <f t="shared" si="6"/>
        <v>97.05145118733509</v>
      </c>
      <c r="I140" s="14">
        <f t="shared" si="7"/>
        <v>110.59076262083781</v>
      </c>
      <c r="J140" s="14">
        <f t="shared" si="8"/>
        <v>107.02600309970724</v>
      </c>
    </row>
    <row r="141" spans="1:10">
      <c r="A141" s="100">
        <v>39415</v>
      </c>
      <c r="B141">
        <v>147.18</v>
      </c>
      <c r="C141">
        <v>51.7</v>
      </c>
      <c r="D141">
        <v>62.66</v>
      </c>
      <c r="G141" s="100">
        <v>39415</v>
      </c>
      <c r="H141" s="14">
        <f t="shared" si="6"/>
        <v>97.084432717678098</v>
      </c>
      <c r="I141" s="14">
        <f t="shared" si="7"/>
        <v>111.06337271750807</v>
      </c>
      <c r="J141" s="14">
        <f t="shared" si="8"/>
        <v>107.90425348717065</v>
      </c>
    </row>
    <row r="142" spans="1:10">
      <c r="A142" s="100">
        <v>39416</v>
      </c>
      <c r="B142">
        <v>148.66</v>
      </c>
      <c r="C142">
        <v>51.31</v>
      </c>
      <c r="D142">
        <v>61.75</v>
      </c>
      <c r="G142" s="100">
        <v>39416</v>
      </c>
      <c r="H142" s="14">
        <f t="shared" si="6"/>
        <v>98.060686015831138</v>
      </c>
      <c r="I142" s="14">
        <f t="shared" si="7"/>
        <v>110.22556390977445</v>
      </c>
      <c r="J142" s="14">
        <f t="shared" si="8"/>
        <v>106.33717926640263</v>
      </c>
    </row>
    <row r="143" spans="1:10">
      <c r="A143" s="100">
        <v>39419</v>
      </c>
      <c r="B143">
        <v>147.68</v>
      </c>
      <c r="C143">
        <v>50.88</v>
      </c>
      <c r="D143">
        <v>61.18</v>
      </c>
      <c r="G143" s="100">
        <v>39419</v>
      </c>
      <c r="H143" s="14">
        <f t="shared" si="6"/>
        <v>97.414248021108179</v>
      </c>
      <c r="I143" s="14">
        <f t="shared" si="7"/>
        <v>109.30182599355534</v>
      </c>
      <c r="J143" s="14">
        <f t="shared" si="8"/>
        <v>105.35560530394352</v>
      </c>
    </row>
    <row r="144" spans="1:10">
      <c r="A144" s="100">
        <v>39420</v>
      </c>
      <c r="B144">
        <v>146.36000000000001</v>
      </c>
      <c r="C144">
        <v>50.67</v>
      </c>
      <c r="D144">
        <v>60.9</v>
      </c>
      <c r="G144" s="100">
        <v>39420</v>
      </c>
      <c r="H144" s="14">
        <f t="shared" si="6"/>
        <v>96.543535620052779</v>
      </c>
      <c r="I144" s="14">
        <f t="shared" si="7"/>
        <v>108.85069817400645</v>
      </c>
      <c r="J144" s="14">
        <f t="shared" si="8"/>
        <v>104.87342862063028</v>
      </c>
    </row>
    <row r="145" spans="1:10">
      <c r="A145" s="100">
        <v>39421</v>
      </c>
      <c r="B145">
        <v>148.81</v>
      </c>
      <c r="C145">
        <v>51.58</v>
      </c>
      <c r="D145">
        <v>62.45</v>
      </c>
      <c r="G145" s="100">
        <v>39421</v>
      </c>
      <c r="H145" s="14">
        <f t="shared" si="6"/>
        <v>98.159630606860162</v>
      </c>
      <c r="I145" s="14">
        <f t="shared" si="7"/>
        <v>110.80558539205157</v>
      </c>
      <c r="J145" s="14">
        <f t="shared" si="8"/>
        <v>107.54262097468572</v>
      </c>
    </row>
    <row r="146" spans="1:10">
      <c r="A146" s="100">
        <v>39422</v>
      </c>
      <c r="B146">
        <v>150.94</v>
      </c>
      <c r="C146">
        <v>52.32</v>
      </c>
      <c r="D146">
        <v>63.39</v>
      </c>
      <c r="G146" s="100">
        <v>39422</v>
      </c>
      <c r="H146" s="14">
        <f t="shared" si="6"/>
        <v>99.564643799472293</v>
      </c>
      <c r="I146" s="14">
        <f t="shared" si="7"/>
        <v>112.3952738990333</v>
      </c>
      <c r="J146" s="14">
        <f t="shared" si="8"/>
        <v>109.16135698295162</v>
      </c>
    </row>
    <row r="147" spans="1:10">
      <c r="A147" s="100">
        <v>39423</v>
      </c>
      <c r="B147">
        <v>150.91</v>
      </c>
      <c r="C147">
        <v>52.33</v>
      </c>
      <c r="D147">
        <v>63.17</v>
      </c>
      <c r="G147" s="100">
        <v>39423</v>
      </c>
      <c r="H147" s="14">
        <f t="shared" si="6"/>
        <v>99.544854881266488</v>
      </c>
      <c r="I147" s="14">
        <f t="shared" si="7"/>
        <v>112.41675617615468</v>
      </c>
      <c r="J147" s="14">
        <f t="shared" si="8"/>
        <v>108.78250387463406</v>
      </c>
    </row>
    <row r="148" spans="1:10">
      <c r="A148" s="100">
        <v>39426</v>
      </c>
      <c r="B148">
        <v>152.08000000000001</v>
      </c>
      <c r="C148">
        <v>52.54</v>
      </c>
      <c r="D148">
        <v>63.4</v>
      </c>
      <c r="G148" s="100">
        <v>39426</v>
      </c>
      <c r="H148" s="14">
        <f t="shared" si="6"/>
        <v>100.31662269129289</v>
      </c>
      <c r="I148" s="14">
        <f t="shared" si="7"/>
        <v>112.86788399570355</v>
      </c>
      <c r="J148" s="14">
        <f t="shared" si="8"/>
        <v>109.17857757878421</v>
      </c>
    </row>
    <row r="149" spans="1:10">
      <c r="A149" s="100">
        <v>39427</v>
      </c>
      <c r="B149">
        <v>147.91</v>
      </c>
      <c r="C149">
        <v>51.32</v>
      </c>
      <c r="D149">
        <v>62.53</v>
      </c>
      <c r="G149" s="100">
        <v>39427</v>
      </c>
      <c r="H149" s="14">
        <f t="shared" si="6"/>
        <v>97.565963060686016</v>
      </c>
      <c r="I149" s="14">
        <f t="shared" si="7"/>
        <v>110.24704618689583</v>
      </c>
      <c r="J149" s="14">
        <f t="shared" si="8"/>
        <v>107.68038574134667</v>
      </c>
    </row>
    <row r="150" spans="1:10">
      <c r="A150" s="100">
        <v>39428</v>
      </c>
      <c r="B150">
        <v>149.37</v>
      </c>
      <c r="C150">
        <v>51.78</v>
      </c>
      <c r="D150">
        <v>63.15</v>
      </c>
      <c r="G150" s="100">
        <v>39428</v>
      </c>
      <c r="H150" s="14">
        <f t="shared" si="6"/>
        <v>98.529023746701853</v>
      </c>
      <c r="I150" s="14">
        <f t="shared" si="7"/>
        <v>111.23523093447906</v>
      </c>
      <c r="J150" s="14">
        <f t="shared" si="8"/>
        <v>108.74806268296884</v>
      </c>
    </row>
    <row r="151" spans="1:10">
      <c r="A151" s="100">
        <v>39429</v>
      </c>
      <c r="B151">
        <v>149.06</v>
      </c>
      <c r="C151">
        <v>51.5</v>
      </c>
      <c r="D151">
        <v>63.1</v>
      </c>
      <c r="G151" s="100">
        <v>39429</v>
      </c>
      <c r="H151" s="14">
        <f t="shared" si="6"/>
        <v>98.324538258575203</v>
      </c>
      <c r="I151" s="14">
        <f t="shared" si="7"/>
        <v>110.63372717508058</v>
      </c>
      <c r="J151" s="14">
        <f t="shared" si="8"/>
        <v>108.66195970380575</v>
      </c>
    </row>
    <row r="152" spans="1:10">
      <c r="A152" s="100">
        <v>39430</v>
      </c>
      <c r="B152">
        <v>147.16999999999999</v>
      </c>
      <c r="C152">
        <v>50.97</v>
      </c>
      <c r="D152">
        <v>62.41</v>
      </c>
      <c r="G152" s="100">
        <v>39430</v>
      </c>
      <c r="H152" s="14">
        <f t="shared" si="6"/>
        <v>97.077836411609496</v>
      </c>
      <c r="I152" s="14">
        <f t="shared" si="7"/>
        <v>109.49516648764769</v>
      </c>
      <c r="J152" s="14">
        <f t="shared" si="8"/>
        <v>107.47373859135524</v>
      </c>
    </row>
    <row r="153" spans="1:10">
      <c r="A153" s="100">
        <v>39433</v>
      </c>
      <c r="B153">
        <v>145.07</v>
      </c>
      <c r="C153">
        <v>49.73</v>
      </c>
      <c r="D153">
        <v>61.05</v>
      </c>
      <c r="G153" s="100">
        <v>39433</v>
      </c>
      <c r="H153" s="14">
        <f t="shared" si="6"/>
        <v>95.69261213720317</v>
      </c>
      <c r="I153" s="14">
        <f t="shared" si="7"/>
        <v>106.83136412459721</v>
      </c>
      <c r="J153" s="14">
        <f t="shared" si="8"/>
        <v>105.13173755811951</v>
      </c>
    </row>
    <row r="154" spans="1:10">
      <c r="A154" s="100">
        <v>39434</v>
      </c>
      <c r="B154">
        <v>145.88</v>
      </c>
      <c r="C154">
        <v>49.89</v>
      </c>
      <c r="D154">
        <v>61.37</v>
      </c>
      <c r="G154" s="100">
        <v>39434</v>
      </c>
      <c r="H154" s="14">
        <f t="shared" si="6"/>
        <v>96.226912928759901</v>
      </c>
      <c r="I154" s="14">
        <f t="shared" si="7"/>
        <v>107.17508055853922</v>
      </c>
      <c r="J154" s="14">
        <f t="shared" si="8"/>
        <v>105.68279662476321</v>
      </c>
    </row>
    <row r="155" spans="1:10">
      <c r="A155" s="100">
        <v>39435</v>
      </c>
      <c r="B155">
        <v>145.88</v>
      </c>
      <c r="C155">
        <v>49.88</v>
      </c>
      <c r="D155">
        <v>61.49</v>
      </c>
      <c r="G155" s="100">
        <v>39435</v>
      </c>
      <c r="H155" s="14">
        <f t="shared" si="6"/>
        <v>96.226912928759901</v>
      </c>
      <c r="I155" s="14">
        <f t="shared" si="7"/>
        <v>107.15359828141784</v>
      </c>
      <c r="J155" s="14">
        <f t="shared" si="8"/>
        <v>105.8894437747546</v>
      </c>
    </row>
    <row r="156" spans="1:10">
      <c r="A156" s="100">
        <v>39436</v>
      </c>
      <c r="B156">
        <v>146.80000000000001</v>
      </c>
      <c r="C156">
        <v>50.9</v>
      </c>
      <c r="D156">
        <v>62.69</v>
      </c>
      <c r="G156" s="100">
        <v>39436</v>
      </c>
      <c r="H156" s="14">
        <f t="shared" si="6"/>
        <v>96.833773087071251</v>
      </c>
      <c r="I156" s="14">
        <f t="shared" si="7"/>
        <v>109.34479054779807</v>
      </c>
      <c r="J156" s="14">
        <f t="shared" si="8"/>
        <v>107.9559152746685</v>
      </c>
    </row>
    <row r="157" spans="1:10">
      <c r="A157" s="100">
        <v>39437</v>
      </c>
      <c r="B157">
        <v>148.13</v>
      </c>
      <c r="C157">
        <v>51.85</v>
      </c>
      <c r="D157">
        <v>63.53</v>
      </c>
      <c r="G157" s="100">
        <v>39437</v>
      </c>
      <c r="H157" s="14">
        <f t="shared" si="6"/>
        <v>97.711081794195252</v>
      </c>
      <c r="I157" s="14">
        <f t="shared" si="7"/>
        <v>111.38560687432869</v>
      </c>
      <c r="J157" s="14">
        <f t="shared" si="8"/>
        <v>109.40244532460824</v>
      </c>
    </row>
    <row r="158" spans="1:10">
      <c r="A158" s="100">
        <v>39440</v>
      </c>
      <c r="B158">
        <v>149.22999999999999</v>
      </c>
      <c r="C158">
        <v>52.24</v>
      </c>
      <c r="D158">
        <v>64.05</v>
      </c>
      <c r="G158" s="100">
        <v>39440</v>
      </c>
      <c r="H158" s="14">
        <f t="shared" si="6"/>
        <v>98.436675461741416</v>
      </c>
      <c r="I158" s="14">
        <f t="shared" si="7"/>
        <v>112.22341568206231</v>
      </c>
      <c r="J158" s="14">
        <f t="shared" si="8"/>
        <v>110.29791630790425</v>
      </c>
    </row>
    <row r="159" spans="1:10">
      <c r="A159" s="100">
        <v>39442</v>
      </c>
      <c r="B159">
        <v>149.55000000000001</v>
      </c>
      <c r="C159">
        <v>52.5</v>
      </c>
      <c r="D159">
        <v>64.2</v>
      </c>
      <c r="G159" s="100">
        <v>39442</v>
      </c>
      <c r="H159" s="14">
        <f t="shared" si="6"/>
        <v>98.647757255936682</v>
      </c>
      <c r="I159" s="14">
        <f t="shared" si="7"/>
        <v>112.78195488721805</v>
      </c>
      <c r="J159" s="14">
        <f t="shared" si="8"/>
        <v>110.55622524539351</v>
      </c>
    </row>
    <row r="160" spans="1:10">
      <c r="A160" s="100">
        <v>39443</v>
      </c>
      <c r="B160">
        <v>147.66999999999999</v>
      </c>
      <c r="C160">
        <v>51.87</v>
      </c>
      <c r="D160">
        <v>63.26</v>
      </c>
      <c r="G160" s="100">
        <v>39443</v>
      </c>
      <c r="H160" s="14">
        <f t="shared" si="6"/>
        <v>97.407651715039577</v>
      </c>
      <c r="I160" s="14">
        <f t="shared" si="7"/>
        <v>111.42857142857143</v>
      </c>
      <c r="J160" s="14">
        <f t="shared" si="8"/>
        <v>108.93748923712761</v>
      </c>
    </row>
    <row r="161" spans="1:10">
      <c r="A161" s="100">
        <v>39444</v>
      </c>
      <c r="B161">
        <v>147.30000000000001</v>
      </c>
      <c r="C161">
        <v>51.82</v>
      </c>
      <c r="D161">
        <v>63.16</v>
      </c>
      <c r="G161" s="100">
        <v>39444</v>
      </c>
      <c r="H161" s="14">
        <f t="shared" si="6"/>
        <v>97.163588390501332</v>
      </c>
      <c r="I161" s="14">
        <f t="shared" si="7"/>
        <v>111.32116004296455</v>
      </c>
      <c r="J161" s="14">
        <f t="shared" si="8"/>
        <v>108.76528327880143</v>
      </c>
    </row>
    <row r="162" spans="1:10">
      <c r="A162" s="100">
        <v>39447</v>
      </c>
      <c r="B162">
        <v>146.21</v>
      </c>
      <c r="C162">
        <v>51.22</v>
      </c>
      <c r="D162">
        <v>62.46</v>
      </c>
      <c r="G162" s="100">
        <v>39447</v>
      </c>
      <c r="H162" s="14">
        <f t="shared" si="6"/>
        <v>96.444591029023755</v>
      </c>
      <c r="I162" s="14">
        <f t="shared" si="7"/>
        <v>110.03222341568207</v>
      </c>
      <c r="J162" s="14">
        <f t="shared" si="8"/>
        <v>107.55984157051834</v>
      </c>
    </row>
    <row r="163" spans="1:10">
      <c r="A163" s="100">
        <v>39449</v>
      </c>
      <c r="B163">
        <v>144.93</v>
      </c>
      <c r="C163">
        <v>50.41</v>
      </c>
      <c r="D163">
        <v>61.25</v>
      </c>
      <c r="G163" s="100">
        <v>39449</v>
      </c>
      <c r="H163" s="14">
        <f t="shared" si="6"/>
        <v>95.600263852242747</v>
      </c>
      <c r="I163" s="14">
        <f t="shared" si="7"/>
        <v>108.2921589688507</v>
      </c>
      <c r="J163" s="14">
        <f t="shared" si="8"/>
        <v>105.47614947477182</v>
      </c>
    </row>
    <row r="164" spans="1:10">
      <c r="A164" s="100">
        <v>39450</v>
      </c>
      <c r="B164">
        <v>144.86000000000001</v>
      </c>
      <c r="C164">
        <v>50.62</v>
      </c>
      <c r="D164">
        <v>61</v>
      </c>
      <c r="G164" s="100">
        <v>39450</v>
      </c>
      <c r="H164" s="14">
        <f t="shared" si="6"/>
        <v>95.55408970976255</v>
      </c>
      <c r="I164" s="14">
        <f t="shared" si="7"/>
        <v>108.74328678839957</v>
      </c>
      <c r="J164" s="14">
        <f t="shared" si="8"/>
        <v>105.04563457895644</v>
      </c>
    </row>
    <row r="165" spans="1:10">
      <c r="A165" s="100">
        <v>39451</v>
      </c>
      <c r="B165">
        <v>141.31</v>
      </c>
      <c r="C165">
        <v>48.4</v>
      </c>
      <c r="D165">
        <v>58.38</v>
      </c>
      <c r="G165" s="100">
        <v>39451</v>
      </c>
      <c r="H165" s="14">
        <f t="shared" si="6"/>
        <v>93.212401055408975</v>
      </c>
      <c r="I165" s="14">
        <f t="shared" si="7"/>
        <v>103.97422126745435</v>
      </c>
      <c r="J165" s="14">
        <f t="shared" si="8"/>
        <v>100.53383847081111</v>
      </c>
    </row>
    <row r="166" spans="1:10">
      <c r="A166" s="100">
        <v>39454</v>
      </c>
      <c r="B166">
        <v>141.19</v>
      </c>
      <c r="C166">
        <v>48.17</v>
      </c>
      <c r="D166">
        <v>57.83</v>
      </c>
      <c r="G166" s="100">
        <v>39454</v>
      </c>
      <c r="H166" s="14">
        <f t="shared" si="6"/>
        <v>93.133245382585756</v>
      </c>
      <c r="I166" s="14">
        <f t="shared" si="7"/>
        <v>103.48012889366274</v>
      </c>
      <c r="J166" s="14">
        <f t="shared" si="8"/>
        <v>99.58670570001722</v>
      </c>
    </row>
    <row r="167" spans="1:10">
      <c r="A167" s="100">
        <v>39455</v>
      </c>
      <c r="B167">
        <v>138.91</v>
      </c>
      <c r="C167">
        <v>46.92</v>
      </c>
      <c r="D167">
        <v>56.09</v>
      </c>
      <c r="G167" s="100">
        <v>39455</v>
      </c>
      <c r="H167" s="14">
        <f t="shared" si="6"/>
        <v>91.6292875989446</v>
      </c>
      <c r="I167" s="14">
        <f t="shared" si="7"/>
        <v>100.79484425349088</v>
      </c>
      <c r="J167" s="14">
        <f t="shared" si="8"/>
        <v>96.590322025142072</v>
      </c>
    </row>
    <row r="168" spans="1:10">
      <c r="A168" s="100">
        <v>39456</v>
      </c>
      <c r="B168">
        <v>140.37</v>
      </c>
      <c r="C168">
        <v>47.92</v>
      </c>
      <c r="D168">
        <v>57.4</v>
      </c>
      <c r="G168" s="100">
        <v>39456</v>
      </c>
      <c r="H168" s="14">
        <f t="shared" si="6"/>
        <v>92.592348284960423</v>
      </c>
      <c r="I168" s="14">
        <f t="shared" si="7"/>
        <v>102.94307196562838</v>
      </c>
      <c r="J168" s="14">
        <f t="shared" si="8"/>
        <v>98.846220079214746</v>
      </c>
    </row>
    <row r="169" spans="1:10">
      <c r="A169" s="100">
        <v>39457</v>
      </c>
      <c r="B169">
        <v>141.29</v>
      </c>
      <c r="C169">
        <v>47.99</v>
      </c>
      <c r="D169">
        <v>57.43</v>
      </c>
      <c r="G169" s="100">
        <v>39457</v>
      </c>
      <c r="H169" s="14">
        <f t="shared" si="6"/>
        <v>93.199208443271758</v>
      </c>
      <c r="I169" s="14">
        <f t="shared" si="7"/>
        <v>103.09344790547799</v>
      </c>
      <c r="J169" s="14">
        <f t="shared" si="8"/>
        <v>98.897881866712595</v>
      </c>
    </row>
    <row r="170" spans="1:10">
      <c r="A170" s="100">
        <v>39458</v>
      </c>
      <c r="B170">
        <v>140.15</v>
      </c>
      <c r="C170">
        <v>47.05</v>
      </c>
      <c r="D170">
        <v>56.37</v>
      </c>
      <c r="G170" s="100">
        <v>39458</v>
      </c>
      <c r="H170" s="14">
        <f t="shared" si="6"/>
        <v>92.447229551451187</v>
      </c>
      <c r="I170" s="14">
        <f t="shared" si="7"/>
        <v>101.07411385606875</v>
      </c>
      <c r="J170" s="14">
        <f t="shared" si="8"/>
        <v>97.072498708455313</v>
      </c>
    </row>
    <row r="171" spans="1:10">
      <c r="A171" s="100">
        <v>39461</v>
      </c>
      <c r="B171">
        <v>141.28</v>
      </c>
      <c r="C171">
        <v>47.87</v>
      </c>
      <c r="D171">
        <v>57.86</v>
      </c>
      <c r="G171" s="100">
        <v>39461</v>
      </c>
      <c r="H171" s="14">
        <f t="shared" si="6"/>
        <v>93.19261213720317</v>
      </c>
      <c r="I171" s="14">
        <f t="shared" si="7"/>
        <v>102.8356605800215</v>
      </c>
      <c r="J171" s="14">
        <f t="shared" si="8"/>
        <v>99.638367487515069</v>
      </c>
    </row>
    <row r="172" spans="1:10">
      <c r="A172" s="100">
        <v>39462</v>
      </c>
      <c r="B172">
        <v>138.16999999999999</v>
      </c>
      <c r="C172">
        <v>46.55</v>
      </c>
      <c r="D172">
        <v>56.5</v>
      </c>
      <c r="G172" s="100">
        <v>39462</v>
      </c>
      <c r="H172" s="14">
        <f t="shared" si="6"/>
        <v>91.141160949868066</v>
      </c>
      <c r="I172" s="14">
        <f t="shared" si="7"/>
        <v>100</v>
      </c>
      <c r="J172" s="14">
        <f t="shared" si="8"/>
        <v>97.296366454279308</v>
      </c>
    </row>
    <row r="173" spans="1:10">
      <c r="A173" s="100">
        <v>39463</v>
      </c>
      <c r="B173">
        <v>136.97999999999999</v>
      </c>
      <c r="C173">
        <v>46.05</v>
      </c>
      <c r="D173">
        <v>55.25</v>
      </c>
      <c r="G173" s="100">
        <v>39463</v>
      </c>
      <c r="H173" s="14">
        <f t="shared" si="6"/>
        <v>90.356200527704473</v>
      </c>
      <c r="I173" s="14">
        <f t="shared" si="7"/>
        <v>98.925886143931251</v>
      </c>
      <c r="J173" s="14">
        <f t="shared" si="8"/>
        <v>95.143791975202348</v>
      </c>
    </row>
    <row r="174" spans="1:10">
      <c r="A174" s="100">
        <v>39464</v>
      </c>
      <c r="B174">
        <v>133.43</v>
      </c>
      <c r="C174">
        <v>45.41</v>
      </c>
      <c r="D174">
        <v>54.35</v>
      </c>
      <c r="G174" s="100">
        <v>39464</v>
      </c>
      <c r="H174" s="14">
        <f t="shared" si="6"/>
        <v>88.014511873350926</v>
      </c>
      <c r="I174" s="14">
        <f t="shared" si="7"/>
        <v>97.551020408163268</v>
      </c>
      <c r="J174" s="14">
        <f t="shared" si="8"/>
        <v>93.593938350266924</v>
      </c>
    </row>
    <row r="175" spans="1:10">
      <c r="A175" s="100">
        <v>39465</v>
      </c>
      <c r="B175">
        <v>132.06</v>
      </c>
      <c r="C175">
        <v>45.35</v>
      </c>
      <c r="D175">
        <v>54.54</v>
      </c>
      <c r="G175" s="100">
        <v>39465</v>
      </c>
      <c r="H175" s="14">
        <f t="shared" si="6"/>
        <v>87.110817941952519</v>
      </c>
      <c r="I175" s="14">
        <f t="shared" si="7"/>
        <v>97.422126745435023</v>
      </c>
      <c r="J175" s="14">
        <f t="shared" si="8"/>
        <v>93.921129671086618</v>
      </c>
    </row>
    <row r="176" spans="1:10">
      <c r="A176" s="100">
        <v>39469</v>
      </c>
      <c r="B176">
        <v>130.72</v>
      </c>
      <c r="C176">
        <v>44.18</v>
      </c>
      <c r="D176">
        <v>53.01</v>
      </c>
      <c r="G176" s="100">
        <v>39469</v>
      </c>
      <c r="H176" s="14">
        <f t="shared" si="6"/>
        <v>86.226912928759901</v>
      </c>
      <c r="I176" s="14">
        <f t="shared" si="7"/>
        <v>94.908700322234168</v>
      </c>
      <c r="J176" s="14">
        <f t="shared" si="8"/>
        <v>91.286378508696401</v>
      </c>
    </row>
    <row r="177" spans="1:10">
      <c r="A177" s="100">
        <v>39470</v>
      </c>
      <c r="B177">
        <v>133.86000000000001</v>
      </c>
      <c r="C177">
        <v>44.01</v>
      </c>
      <c r="D177">
        <v>52.89</v>
      </c>
      <c r="G177" s="100">
        <v>39470</v>
      </c>
      <c r="H177" s="14">
        <f t="shared" si="6"/>
        <v>88.29815303430081</v>
      </c>
      <c r="I177" s="14">
        <f t="shared" si="7"/>
        <v>94.543501611170782</v>
      </c>
      <c r="J177" s="14">
        <f t="shared" si="8"/>
        <v>91.079731358705004</v>
      </c>
    </row>
    <row r="178" spans="1:10">
      <c r="A178" s="100">
        <v>39471</v>
      </c>
      <c r="B178">
        <v>134.99</v>
      </c>
      <c r="C178">
        <v>44.91</v>
      </c>
      <c r="D178">
        <v>54.49</v>
      </c>
      <c r="G178" s="100">
        <v>39471</v>
      </c>
      <c r="H178" s="14">
        <f t="shared" si="6"/>
        <v>89.043535620052779</v>
      </c>
      <c r="I178" s="14">
        <f t="shared" si="7"/>
        <v>96.476906552094519</v>
      </c>
      <c r="J178" s="14">
        <f t="shared" si="8"/>
        <v>93.835026691923545</v>
      </c>
    </row>
    <row r="179" spans="1:10">
      <c r="A179" s="100">
        <v>39472</v>
      </c>
      <c r="B179">
        <v>133.04</v>
      </c>
      <c r="C179">
        <v>43.99</v>
      </c>
      <c r="D179">
        <v>53.5</v>
      </c>
      <c r="G179" s="100">
        <v>39472</v>
      </c>
      <c r="H179" s="14">
        <f t="shared" si="6"/>
        <v>87.757255936675463</v>
      </c>
      <c r="I179" s="14">
        <f t="shared" si="7"/>
        <v>94.500537056928053</v>
      </c>
      <c r="J179" s="14">
        <f t="shared" si="8"/>
        <v>92.130187704494574</v>
      </c>
    </row>
    <row r="180" spans="1:10">
      <c r="A180" s="100">
        <v>39475</v>
      </c>
      <c r="B180">
        <v>135.24</v>
      </c>
      <c r="C180">
        <v>44.33</v>
      </c>
      <c r="D180">
        <v>53.1</v>
      </c>
      <c r="G180" s="100">
        <v>39475</v>
      </c>
      <c r="H180" s="14">
        <f t="shared" si="6"/>
        <v>89.20844327176782</v>
      </c>
      <c r="I180" s="14">
        <f t="shared" si="7"/>
        <v>95.230934479054781</v>
      </c>
      <c r="J180" s="14">
        <f t="shared" si="8"/>
        <v>91.441363871189935</v>
      </c>
    </row>
    <row r="181" spans="1:10">
      <c r="A181" s="100">
        <v>39476</v>
      </c>
      <c r="B181">
        <v>135.91</v>
      </c>
      <c r="C181">
        <v>44.41</v>
      </c>
      <c r="D181">
        <v>53.9</v>
      </c>
      <c r="G181" s="100">
        <v>39476</v>
      </c>
      <c r="H181" s="14">
        <f t="shared" si="6"/>
        <v>89.650395778364128</v>
      </c>
      <c r="I181" s="14">
        <f t="shared" si="7"/>
        <v>95.40279269602577</v>
      </c>
      <c r="J181" s="14">
        <f t="shared" si="8"/>
        <v>92.819011537799199</v>
      </c>
    </row>
    <row r="182" spans="1:10">
      <c r="A182" s="100">
        <v>39477</v>
      </c>
      <c r="B182">
        <v>134.91</v>
      </c>
      <c r="C182">
        <v>44.37</v>
      </c>
      <c r="D182">
        <v>53.88</v>
      </c>
      <c r="G182" s="100">
        <v>39477</v>
      </c>
      <c r="H182" s="14">
        <f t="shared" si="6"/>
        <v>88.990765171503966</v>
      </c>
      <c r="I182" s="14">
        <f t="shared" si="7"/>
        <v>95.316863587540283</v>
      </c>
      <c r="J182" s="14">
        <f t="shared" si="8"/>
        <v>92.784570346133975</v>
      </c>
    </row>
    <row r="183" spans="1:10">
      <c r="A183" s="100">
        <v>39478</v>
      </c>
      <c r="B183">
        <v>137.37</v>
      </c>
      <c r="C183">
        <v>45.13</v>
      </c>
      <c r="D183">
        <v>54.38</v>
      </c>
      <c r="G183" s="100">
        <v>39478</v>
      </c>
      <c r="H183" s="14">
        <f t="shared" si="6"/>
        <v>90.613456464379951</v>
      </c>
      <c r="I183" s="14">
        <f t="shared" si="7"/>
        <v>96.949516648764771</v>
      </c>
      <c r="J183" s="14">
        <f t="shared" si="8"/>
        <v>93.645600137764774</v>
      </c>
    </row>
    <row r="184" spans="1:10">
      <c r="A184" s="100">
        <v>39479</v>
      </c>
      <c r="B184">
        <v>139.58000000000001</v>
      </c>
      <c r="C184">
        <v>45.59</v>
      </c>
      <c r="D184">
        <v>54.94</v>
      </c>
      <c r="G184" s="100">
        <v>39479</v>
      </c>
      <c r="H184" s="14">
        <f t="shared" si="6"/>
        <v>92.071240105540909</v>
      </c>
      <c r="I184" s="14">
        <f t="shared" si="7"/>
        <v>97.937701396348032</v>
      </c>
      <c r="J184" s="14">
        <f t="shared" si="8"/>
        <v>94.609953504391243</v>
      </c>
    </row>
    <row r="185" spans="1:10">
      <c r="A185" s="100">
        <v>39482</v>
      </c>
      <c r="B185">
        <v>137.82</v>
      </c>
      <c r="C185">
        <v>44.95</v>
      </c>
      <c r="D185">
        <v>54.18</v>
      </c>
      <c r="G185" s="100">
        <v>39482</v>
      </c>
      <c r="H185" s="14">
        <f t="shared" si="6"/>
        <v>90.910290237467024</v>
      </c>
      <c r="I185" s="14">
        <f t="shared" si="7"/>
        <v>96.562835660580035</v>
      </c>
      <c r="J185" s="14">
        <f t="shared" si="8"/>
        <v>93.301188221112454</v>
      </c>
    </row>
    <row r="186" spans="1:10">
      <c r="A186" s="100">
        <v>39483</v>
      </c>
      <c r="B186">
        <v>134.13</v>
      </c>
      <c r="C186">
        <v>43.67</v>
      </c>
      <c r="D186">
        <v>52.55</v>
      </c>
      <c r="G186" s="100">
        <v>39483</v>
      </c>
      <c r="H186" s="14">
        <f t="shared" si="6"/>
        <v>88.476253298153026</v>
      </c>
      <c r="I186" s="14">
        <f t="shared" si="7"/>
        <v>93.813104189044054</v>
      </c>
      <c r="J186" s="14">
        <f t="shared" si="8"/>
        <v>90.494231100396078</v>
      </c>
    </row>
    <row r="187" spans="1:10">
      <c r="A187" s="100">
        <v>39484</v>
      </c>
      <c r="B187">
        <v>133.05000000000001</v>
      </c>
      <c r="C187">
        <v>42.81</v>
      </c>
      <c r="D187">
        <v>51.75</v>
      </c>
      <c r="G187" s="100">
        <v>39484</v>
      </c>
      <c r="H187" s="14">
        <f t="shared" si="6"/>
        <v>87.763852242744079</v>
      </c>
      <c r="I187" s="14">
        <f t="shared" si="7"/>
        <v>91.965628356605805</v>
      </c>
      <c r="J187" s="14">
        <f t="shared" si="8"/>
        <v>89.116583433786815</v>
      </c>
    </row>
    <row r="188" spans="1:10">
      <c r="A188" s="100">
        <v>39485</v>
      </c>
      <c r="B188">
        <v>133.93</v>
      </c>
      <c r="C188">
        <v>43.11</v>
      </c>
      <c r="D188">
        <v>51.61</v>
      </c>
      <c r="G188" s="100">
        <v>39485</v>
      </c>
      <c r="H188" s="14">
        <f t="shared" si="6"/>
        <v>88.344327176781007</v>
      </c>
      <c r="I188" s="14">
        <f t="shared" si="7"/>
        <v>92.61009667024706</v>
      </c>
      <c r="J188" s="14">
        <f t="shared" si="8"/>
        <v>88.87549509213018</v>
      </c>
    </row>
    <row r="189" spans="1:10">
      <c r="A189" s="100">
        <v>39486</v>
      </c>
      <c r="B189">
        <v>133.07</v>
      </c>
      <c r="C189">
        <v>43.6</v>
      </c>
      <c r="D189">
        <v>52.35</v>
      </c>
      <c r="G189" s="100">
        <v>39486</v>
      </c>
      <c r="H189" s="14">
        <f t="shared" si="6"/>
        <v>87.777044854881268</v>
      </c>
      <c r="I189" s="14">
        <f t="shared" si="7"/>
        <v>93.66272824919443</v>
      </c>
      <c r="J189" s="14">
        <f t="shared" si="8"/>
        <v>90.149819183743759</v>
      </c>
    </row>
    <row r="190" spans="1:10">
      <c r="A190" s="100">
        <v>39489</v>
      </c>
      <c r="B190">
        <v>133.75</v>
      </c>
      <c r="C190">
        <v>44.07</v>
      </c>
      <c r="D190">
        <v>52.95</v>
      </c>
      <c r="G190" s="100">
        <v>39489</v>
      </c>
      <c r="H190" s="14">
        <f t="shared" si="6"/>
        <v>88.225593667546178</v>
      </c>
      <c r="I190" s="14">
        <f t="shared" si="7"/>
        <v>94.672395273899042</v>
      </c>
      <c r="J190" s="14">
        <f t="shared" si="8"/>
        <v>91.183054933700717</v>
      </c>
    </row>
    <row r="191" spans="1:10">
      <c r="A191" s="100">
        <v>39490</v>
      </c>
      <c r="B191">
        <v>134.99</v>
      </c>
      <c r="C191">
        <v>43.82</v>
      </c>
      <c r="D191">
        <v>52.84</v>
      </c>
      <c r="G191" s="100">
        <v>39490</v>
      </c>
      <c r="H191" s="14">
        <f t="shared" si="6"/>
        <v>89.043535620052779</v>
      </c>
      <c r="I191" s="14">
        <f t="shared" si="7"/>
        <v>94.135338345864668</v>
      </c>
      <c r="J191" s="14">
        <f t="shared" si="8"/>
        <v>90.993628379541931</v>
      </c>
    </row>
    <row r="192" spans="1:10">
      <c r="A192" s="100">
        <v>39491</v>
      </c>
      <c r="B192">
        <v>136.37</v>
      </c>
      <c r="C192">
        <v>44.78</v>
      </c>
      <c r="D192">
        <v>54.22</v>
      </c>
      <c r="G192" s="100">
        <v>39491</v>
      </c>
      <c r="H192" s="14">
        <f t="shared" si="6"/>
        <v>89.953825857519803</v>
      </c>
      <c r="I192" s="14">
        <f t="shared" si="7"/>
        <v>96.197636949516649</v>
      </c>
      <c r="J192" s="14">
        <f t="shared" si="8"/>
        <v>93.370070604442915</v>
      </c>
    </row>
    <row r="193" spans="1:10">
      <c r="A193" s="100">
        <v>39492</v>
      </c>
      <c r="B193">
        <v>135.16999999999999</v>
      </c>
      <c r="C193">
        <v>43.97</v>
      </c>
      <c r="D193">
        <v>53.17</v>
      </c>
      <c r="G193" s="100">
        <v>39492</v>
      </c>
      <c r="H193" s="14">
        <f t="shared" si="6"/>
        <v>89.162269129287594</v>
      </c>
      <c r="I193" s="14">
        <f t="shared" si="7"/>
        <v>94.457572502685281</v>
      </c>
      <c r="J193" s="14">
        <f t="shared" si="8"/>
        <v>91.56190804201826</v>
      </c>
    </row>
    <row r="194" spans="1:10">
      <c r="A194" s="100">
        <v>39493</v>
      </c>
      <c r="B194">
        <v>135.13999999999999</v>
      </c>
      <c r="C194">
        <v>43.82</v>
      </c>
      <c r="D194">
        <v>52.8</v>
      </c>
      <c r="G194" s="100">
        <v>39493</v>
      </c>
      <c r="H194" s="14">
        <f t="shared" si="6"/>
        <v>89.142480211081789</v>
      </c>
      <c r="I194" s="14">
        <f t="shared" si="7"/>
        <v>94.135338345864668</v>
      </c>
      <c r="J194" s="14">
        <f t="shared" si="8"/>
        <v>90.92474599621147</v>
      </c>
    </row>
    <row r="195" spans="1:10">
      <c r="A195" s="100">
        <v>39497</v>
      </c>
      <c r="B195">
        <v>135.52000000000001</v>
      </c>
      <c r="C195">
        <v>43.74</v>
      </c>
      <c r="D195">
        <v>52.33</v>
      </c>
      <c r="G195" s="100">
        <v>39497</v>
      </c>
      <c r="H195" s="14">
        <f t="shared" si="6"/>
        <v>89.393139841688665</v>
      </c>
      <c r="I195" s="14">
        <f t="shared" si="7"/>
        <v>93.963480128893679</v>
      </c>
      <c r="J195" s="14">
        <f t="shared" si="8"/>
        <v>90.115377992078521</v>
      </c>
    </row>
    <row r="196" spans="1:10">
      <c r="A196" s="100">
        <v>39498</v>
      </c>
      <c r="B196">
        <v>135.91999999999999</v>
      </c>
      <c r="C196">
        <v>43.94</v>
      </c>
      <c r="D196">
        <v>53.09</v>
      </c>
      <c r="G196" s="100">
        <v>39498</v>
      </c>
      <c r="H196" s="14">
        <f t="shared" si="6"/>
        <v>89.656992084432702</v>
      </c>
      <c r="I196" s="14">
        <f t="shared" si="7"/>
        <v>94.393125671321172</v>
      </c>
      <c r="J196" s="14">
        <f t="shared" si="8"/>
        <v>91.424143275357324</v>
      </c>
    </row>
    <row r="197" spans="1:10">
      <c r="A197" s="100">
        <v>39499</v>
      </c>
      <c r="B197">
        <v>134.79</v>
      </c>
      <c r="C197">
        <v>43.52</v>
      </c>
      <c r="D197">
        <v>52.63</v>
      </c>
      <c r="G197" s="100">
        <v>39499</v>
      </c>
      <c r="H197" s="14">
        <f t="shared" ref="H197:H260" si="9">B197/$B$4*100</f>
        <v>88.911609498680733</v>
      </c>
      <c r="I197" s="14">
        <f t="shared" ref="I197:I260" si="10">C197/$C$4*100</f>
        <v>93.490870032223427</v>
      </c>
      <c r="J197" s="14">
        <f t="shared" ref="J197:J260" si="11">D197/$D$4*100</f>
        <v>90.631995867057</v>
      </c>
    </row>
    <row r="198" spans="1:10">
      <c r="A198" s="100">
        <v>39500</v>
      </c>
      <c r="B198">
        <v>135.62</v>
      </c>
      <c r="C198">
        <v>43.68</v>
      </c>
      <c r="D198">
        <v>52.69</v>
      </c>
      <c r="G198" s="100">
        <v>39500</v>
      </c>
      <c r="H198" s="14">
        <f t="shared" si="9"/>
        <v>89.459102902374681</v>
      </c>
      <c r="I198" s="14">
        <f t="shared" si="10"/>
        <v>93.834586466165419</v>
      </c>
      <c r="J198" s="14">
        <f t="shared" si="11"/>
        <v>90.735319442052685</v>
      </c>
    </row>
    <row r="199" spans="1:10">
      <c r="A199" s="100">
        <v>39503</v>
      </c>
      <c r="B199">
        <v>137.33000000000001</v>
      </c>
      <c r="C199">
        <v>43.9</v>
      </c>
      <c r="D199">
        <v>53.17</v>
      </c>
      <c r="G199" s="100">
        <v>39503</v>
      </c>
      <c r="H199" s="14">
        <f t="shared" si="9"/>
        <v>90.587071240105558</v>
      </c>
      <c r="I199" s="14">
        <f t="shared" si="10"/>
        <v>94.307196562835657</v>
      </c>
      <c r="J199" s="14">
        <f t="shared" si="11"/>
        <v>91.56190804201826</v>
      </c>
    </row>
    <row r="200" spans="1:10">
      <c r="A200" s="100">
        <v>39504</v>
      </c>
      <c r="B200">
        <v>138.36000000000001</v>
      </c>
      <c r="C200">
        <v>44.07</v>
      </c>
      <c r="D200">
        <v>53.76</v>
      </c>
      <c r="G200" s="100">
        <v>39504</v>
      </c>
      <c r="H200" s="14">
        <f t="shared" si="9"/>
        <v>91.266490765171511</v>
      </c>
      <c r="I200" s="14">
        <f t="shared" si="10"/>
        <v>94.672395273899042</v>
      </c>
      <c r="J200" s="14">
        <f t="shared" si="11"/>
        <v>92.577923196142592</v>
      </c>
    </row>
    <row r="201" spans="1:10">
      <c r="A201" s="100">
        <v>39505</v>
      </c>
      <c r="B201">
        <v>138.22</v>
      </c>
      <c r="C201">
        <v>44.29</v>
      </c>
      <c r="D201">
        <v>54.16</v>
      </c>
      <c r="G201" s="100">
        <v>39505</v>
      </c>
      <c r="H201" s="14">
        <f t="shared" si="9"/>
        <v>91.174142480211088</v>
      </c>
      <c r="I201" s="14">
        <f t="shared" si="10"/>
        <v>95.14500537056928</v>
      </c>
      <c r="J201" s="14">
        <f t="shared" si="11"/>
        <v>93.266747029447217</v>
      </c>
    </row>
    <row r="202" spans="1:10">
      <c r="A202" s="100">
        <v>39506</v>
      </c>
      <c r="B202">
        <v>136.87</v>
      </c>
      <c r="C202">
        <v>44.12</v>
      </c>
      <c r="D202">
        <v>53.69</v>
      </c>
      <c r="G202" s="100">
        <v>39506</v>
      </c>
      <c r="H202" s="14">
        <f t="shared" si="9"/>
        <v>90.283641160949884</v>
      </c>
      <c r="I202" s="14">
        <f t="shared" si="10"/>
        <v>94.779806659505908</v>
      </c>
      <c r="J202" s="14">
        <f t="shared" si="11"/>
        <v>92.457379025314268</v>
      </c>
    </row>
    <row r="203" spans="1:10">
      <c r="A203" s="100">
        <v>39507</v>
      </c>
      <c r="B203">
        <v>133.82</v>
      </c>
      <c r="C203">
        <v>42.95</v>
      </c>
      <c r="D203">
        <v>52.4</v>
      </c>
      <c r="G203" s="100">
        <v>39507</v>
      </c>
      <c r="H203" s="14">
        <f t="shared" si="9"/>
        <v>88.271767810026375</v>
      </c>
      <c r="I203" s="14">
        <f t="shared" si="10"/>
        <v>92.266380236305054</v>
      </c>
      <c r="J203" s="14">
        <f t="shared" si="11"/>
        <v>90.235922162906832</v>
      </c>
    </row>
    <row r="204" spans="1:10">
      <c r="A204" s="100">
        <v>39510</v>
      </c>
      <c r="B204">
        <v>133.5</v>
      </c>
      <c r="C204">
        <v>42.67</v>
      </c>
      <c r="D204">
        <v>52.1</v>
      </c>
      <c r="G204" s="100">
        <v>39510</v>
      </c>
      <c r="H204" s="14">
        <f t="shared" si="9"/>
        <v>88.060686015831138</v>
      </c>
      <c r="I204" s="14">
        <f t="shared" si="10"/>
        <v>91.664876476906571</v>
      </c>
      <c r="J204" s="14">
        <f t="shared" si="11"/>
        <v>89.719304287928367</v>
      </c>
    </row>
    <row r="205" spans="1:10">
      <c r="A205" s="100">
        <v>39511</v>
      </c>
      <c r="B205">
        <v>132.99</v>
      </c>
      <c r="C205">
        <v>42.91</v>
      </c>
      <c r="D205">
        <v>52.2</v>
      </c>
      <c r="G205" s="100">
        <v>39511</v>
      </c>
      <c r="H205" s="14">
        <f t="shared" si="9"/>
        <v>87.724274406332455</v>
      </c>
      <c r="I205" s="14">
        <f t="shared" si="10"/>
        <v>92.180451127819552</v>
      </c>
      <c r="J205" s="14">
        <f t="shared" si="11"/>
        <v>89.891510246254526</v>
      </c>
    </row>
    <row r="206" spans="1:10">
      <c r="A206" s="100">
        <v>39512</v>
      </c>
      <c r="B206">
        <v>133.83000000000001</v>
      </c>
      <c r="C206">
        <v>43.12</v>
      </c>
      <c r="D206">
        <v>52.58</v>
      </c>
      <c r="G206" s="100">
        <v>39512</v>
      </c>
      <c r="H206" s="14">
        <f t="shared" si="9"/>
        <v>88.278364116094991</v>
      </c>
      <c r="I206" s="14">
        <f t="shared" si="10"/>
        <v>92.631578947368425</v>
      </c>
      <c r="J206" s="14">
        <f t="shared" si="11"/>
        <v>90.545892887893913</v>
      </c>
    </row>
    <row r="207" spans="1:10">
      <c r="A207" s="100">
        <v>39513</v>
      </c>
      <c r="B207">
        <v>131.06</v>
      </c>
      <c r="C207">
        <v>42.17</v>
      </c>
      <c r="D207">
        <v>51.6</v>
      </c>
      <c r="G207" s="100">
        <v>39513</v>
      </c>
      <c r="H207" s="14">
        <f t="shared" si="9"/>
        <v>86.451187335092357</v>
      </c>
      <c r="I207" s="14">
        <f t="shared" si="10"/>
        <v>90.590762620837822</v>
      </c>
      <c r="J207" s="14">
        <f t="shared" si="11"/>
        <v>88.858274496297568</v>
      </c>
    </row>
    <row r="208" spans="1:10">
      <c r="A208" s="100">
        <v>39514</v>
      </c>
      <c r="B208">
        <v>129.71</v>
      </c>
      <c r="C208">
        <v>42.07</v>
      </c>
      <c r="D208">
        <v>51.65</v>
      </c>
      <c r="G208" s="100">
        <v>39514</v>
      </c>
      <c r="H208" s="14">
        <f t="shared" si="9"/>
        <v>85.560686015831138</v>
      </c>
      <c r="I208" s="14">
        <f t="shared" si="10"/>
        <v>90.375939849624061</v>
      </c>
      <c r="J208" s="14">
        <f t="shared" si="11"/>
        <v>88.944377475460641</v>
      </c>
    </row>
    <row r="209" spans="1:10">
      <c r="A209" s="100">
        <v>39517</v>
      </c>
      <c r="B209">
        <v>128</v>
      </c>
      <c r="C209">
        <v>41.26</v>
      </c>
      <c r="D209">
        <v>51.18</v>
      </c>
      <c r="G209" s="100">
        <v>39517</v>
      </c>
      <c r="H209" s="14">
        <f t="shared" si="9"/>
        <v>84.432717678100261</v>
      </c>
      <c r="I209" s="14">
        <f t="shared" si="10"/>
        <v>88.635875402792692</v>
      </c>
      <c r="J209" s="14">
        <f t="shared" si="11"/>
        <v>88.135009471327706</v>
      </c>
    </row>
    <row r="210" spans="1:10">
      <c r="A210" s="100">
        <v>39518</v>
      </c>
      <c r="B210">
        <v>132.6</v>
      </c>
      <c r="C210">
        <v>42.83</v>
      </c>
      <c r="D210">
        <v>52.91</v>
      </c>
      <c r="G210" s="100">
        <v>39518</v>
      </c>
      <c r="H210" s="14">
        <f t="shared" si="9"/>
        <v>87.467018469656992</v>
      </c>
      <c r="I210" s="14">
        <f t="shared" si="10"/>
        <v>92.008592910848549</v>
      </c>
      <c r="J210" s="14">
        <f t="shared" si="11"/>
        <v>91.114172550370228</v>
      </c>
    </row>
    <row r="211" spans="1:10">
      <c r="A211" s="100">
        <v>39519</v>
      </c>
      <c r="B211">
        <v>131.36000000000001</v>
      </c>
      <c r="C211">
        <v>42.71</v>
      </c>
      <c r="D211">
        <v>52.63</v>
      </c>
      <c r="G211" s="100">
        <v>39519</v>
      </c>
      <c r="H211" s="14">
        <f t="shared" si="9"/>
        <v>86.649076517150405</v>
      </c>
      <c r="I211" s="14">
        <f t="shared" si="10"/>
        <v>91.750805585392058</v>
      </c>
      <c r="J211" s="14">
        <f t="shared" si="11"/>
        <v>90.631995867057</v>
      </c>
    </row>
    <row r="212" spans="1:10">
      <c r="A212" s="100">
        <v>39520</v>
      </c>
      <c r="B212">
        <v>131.65</v>
      </c>
      <c r="C212">
        <v>43.04</v>
      </c>
      <c r="D212">
        <v>52.82</v>
      </c>
      <c r="G212" s="100">
        <v>39520</v>
      </c>
      <c r="H212" s="14">
        <f t="shared" si="9"/>
        <v>86.840369393139852</v>
      </c>
      <c r="I212" s="14">
        <f t="shared" si="10"/>
        <v>92.459720730397422</v>
      </c>
      <c r="J212" s="14">
        <f t="shared" si="11"/>
        <v>90.959187187876694</v>
      </c>
    </row>
    <row r="213" spans="1:10">
      <c r="A213" s="100">
        <v>39521</v>
      </c>
      <c r="B213">
        <v>129.61000000000001</v>
      </c>
      <c r="C213">
        <v>42.25</v>
      </c>
      <c r="D213">
        <v>51.85</v>
      </c>
      <c r="G213" s="100">
        <v>39521</v>
      </c>
      <c r="H213" s="14">
        <f t="shared" si="9"/>
        <v>85.494722955145136</v>
      </c>
      <c r="I213" s="14">
        <f t="shared" si="10"/>
        <v>90.762620837808811</v>
      </c>
      <c r="J213" s="14">
        <f t="shared" si="11"/>
        <v>89.28878939211296</v>
      </c>
    </row>
    <row r="214" spans="1:10">
      <c r="A214" s="100">
        <v>39524</v>
      </c>
      <c r="B214">
        <v>128.30000000000001</v>
      </c>
      <c r="C214">
        <v>41.48</v>
      </c>
      <c r="D214">
        <v>51.53</v>
      </c>
      <c r="G214" s="100">
        <v>39524</v>
      </c>
      <c r="H214" s="14">
        <f t="shared" si="9"/>
        <v>84.630606860158323</v>
      </c>
      <c r="I214" s="14">
        <f t="shared" si="10"/>
        <v>89.108485499462944</v>
      </c>
      <c r="J214" s="14">
        <f t="shared" si="11"/>
        <v>88.737730325469272</v>
      </c>
    </row>
    <row r="215" spans="1:10">
      <c r="A215" s="100">
        <v>39525</v>
      </c>
      <c r="B215">
        <v>133.63</v>
      </c>
      <c r="C215">
        <v>43.33</v>
      </c>
      <c r="D215">
        <v>53.45</v>
      </c>
      <c r="G215" s="100">
        <v>39525</v>
      </c>
      <c r="H215" s="14">
        <f t="shared" si="9"/>
        <v>88.146437994722959</v>
      </c>
      <c r="I215" s="14">
        <f t="shared" si="10"/>
        <v>93.082706766917298</v>
      </c>
      <c r="J215" s="14">
        <f t="shared" si="11"/>
        <v>92.044084725331501</v>
      </c>
    </row>
    <row r="216" spans="1:10">
      <c r="A216" s="100">
        <v>39526</v>
      </c>
      <c r="B216">
        <v>130.32</v>
      </c>
      <c r="C216">
        <v>42.26</v>
      </c>
      <c r="D216">
        <v>51.97</v>
      </c>
      <c r="G216" s="100">
        <v>39526</v>
      </c>
      <c r="H216" s="14">
        <f t="shared" si="9"/>
        <v>85.963060686015837</v>
      </c>
      <c r="I216" s="14">
        <f t="shared" si="10"/>
        <v>90.784103114930176</v>
      </c>
      <c r="J216" s="14">
        <f t="shared" si="11"/>
        <v>89.495436542104358</v>
      </c>
    </row>
    <row r="217" spans="1:10">
      <c r="A217" s="100">
        <v>39527</v>
      </c>
      <c r="B217">
        <v>132.08000000000001</v>
      </c>
      <c r="C217">
        <v>43.09</v>
      </c>
      <c r="D217">
        <v>52.81</v>
      </c>
      <c r="G217" s="100">
        <v>39527</v>
      </c>
      <c r="H217" s="14">
        <f t="shared" si="9"/>
        <v>87.124010554089722</v>
      </c>
      <c r="I217" s="14">
        <f t="shared" si="10"/>
        <v>92.567132116004316</v>
      </c>
      <c r="J217" s="14">
        <f t="shared" si="11"/>
        <v>90.941966592044082</v>
      </c>
    </row>
    <row r="218" spans="1:10">
      <c r="A218" s="100">
        <v>39531</v>
      </c>
      <c r="B218">
        <v>134.72</v>
      </c>
      <c r="C218">
        <v>44.58</v>
      </c>
      <c r="D218">
        <v>54.22</v>
      </c>
      <c r="G218" s="100">
        <v>39531</v>
      </c>
      <c r="H218" s="14">
        <f t="shared" si="9"/>
        <v>88.865435356200521</v>
      </c>
      <c r="I218" s="14">
        <f t="shared" si="10"/>
        <v>95.767991407089156</v>
      </c>
      <c r="J218" s="14">
        <f t="shared" si="11"/>
        <v>93.370070604442915</v>
      </c>
    </row>
    <row r="219" spans="1:10">
      <c r="A219" s="100">
        <v>39532</v>
      </c>
      <c r="B219">
        <v>134.85</v>
      </c>
      <c r="C219">
        <v>44.83</v>
      </c>
      <c r="D219">
        <v>54.36</v>
      </c>
      <c r="G219" s="100">
        <v>39532</v>
      </c>
      <c r="H219" s="14">
        <f t="shared" si="9"/>
        <v>88.951187335092357</v>
      </c>
      <c r="I219" s="14">
        <f t="shared" si="10"/>
        <v>96.305048335123516</v>
      </c>
      <c r="J219" s="14">
        <f t="shared" si="11"/>
        <v>93.611158946099536</v>
      </c>
    </row>
    <row r="220" spans="1:10">
      <c r="A220" s="100">
        <v>39533</v>
      </c>
      <c r="B220">
        <v>133.19999999999999</v>
      </c>
      <c r="C220">
        <v>44.7</v>
      </c>
      <c r="D220">
        <v>53.8</v>
      </c>
      <c r="G220" s="100">
        <v>39533</v>
      </c>
      <c r="H220" s="14">
        <f t="shared" si="9"/>
        <v>87.862796833773089</v>
      </c>
      <c r="I220" s="14">
        <f t="shared" si="10"/>
        <v>96.02577873254566</v>
      </c>
      <c r="J220" s="14">
        <f t="shared" si="11"/>
        <v>92.646805579473039</v>
      </c>
    </row>
    <row r="221" spans="1:10">
      <c r="A221" s="100">
        <v>39534</v>
      </c>
      <c r="B221">
        <v>132.78</v>
      </c>
      <c r="C221">
        <v>43.71</v>
      </c>
      <c r="D221">
        <v>52.53</v>
      </c>
      <c r="G221" s="100">
        <v>39534</v>
      </c>
      <c r="H221" s="14">
        <f t="shared" si="9"/>
        <v>87.585751978891821</v>
      </c>
      <c r="I221" s="14">
        <f t="shared" si="10"/>
        <v>93.899033297529542</v>
      </c>
      <c r="J221" s="14">
        <f t="shared" si="11"/>
        <v>90.459789908730841</v>
      </c>
    </row>
    <row r="222" spans="1:10">
      <c r="A222" s="100">
        <v>39535</v>
      </c>
      <c r="B222">
        <v>131.51</v>
      </c>
      <c r="C222">
        <v>43.49</v>
      </c>
      <c r="D222">
        <v>52.24</v>
      </c>
      <c r="G222" s="100">
        <v>39535</v>
      </c>
      <c r="H222" s="14">
        <f t="shared" si="9"/>
        <v>86.748021108179415</v>
      </c>
      <c r="I222" s="14">
        <f t="shared" si="10"/>
        <v>93.426423200859304</v>
      </c>
      <c r="J222" s="14">
        <f t="shared" si="11"/>
        <v>89.960392629584987</v>
      </c>
    </row>
    <row r="223" spans="1:10">
      <c r="A223" s="100">
        <v>39538</v>
      </c>
      <c r="B223">
        <v>131.97</v>
      </c>
      <c r="C223">
        <v>43.72</v>
      </c>
      <c r="D223">
        <v>52.5</v>
      </c>
      <c r="G223" s="100">
        <v>39538</v>
      </c>
      <c r="H223" s="14">
        <f t="shared" si="9"/>
        <v>87.05145118733509</v>
      </c>
      <c r="I223" s="14">
        <f t="shared" si="10"/>
        <v>93.920515574650921</v>
      </c>
      <c r="J223" s="14">
        <f t="shared" si="11"/>
        <v>90.408128121232991</v>
      </c>
    </row>
    <row r="224" spans="1:10">
      <c r="A224" s="100">
        <v>39539</v>
      </c>
      <c r="B224">
        <v>136.61000000000001</v>
      </c>
      <c r="C224">
        <v>45.59</v>
      </c>
      <c r="D224">
        <v>54.32</v>
      </c>
      <c r="G224" s="100">
        <v>39539</v>
      </c>
      <c r="H224" s="14">
        <f t="shared" si="9"/>
        <v>90.112137203166242</v>
      </c>
      <c r="I224" s="14">
        <f t="shared" si="10"/>
        <v>97.937701396348032</v>
      </c>
      <c r="J224" s="14">
        <f t="shared" si="11"/>
        <v>93.542276562769061</v>
      </c>
    </row>
    <row r="225" spans="1:10">
      <c r="A225" s="100">
        <v>39540</v>
      </c>
      <c r="B225">
        <v>136.69999999999999</v>
      </c>
      <c r="C225">
        <v>45.49</v>
      </c>
      <c r="D225">
        <v>54.23</v>
      </c>
      <c r="G225" s="100">
        <v>39540</v>
      </c>
      <c r="H225" s="14">
        <f t="shared" si="9"/>
        <v>90.171503957783642</v>
      </c>
      <c r="I225" s="14">
        <f t="shared" si="10"/>
        <v>97.722878625134285</v>
      </c>
      <c r="J225" s="14">
        <f t="shared" si="11"/>
        <v>93.387291200275527</v>
      </c>
    </row>
    <row r="226" spans="1:10">
      <c r="A226" s="100">
        <v>39541</v>
      </c>
      <c r="B226">
        <v>137.04</v>
      </c>
      <c r="C226">
        <v>45.59</v>
      </c>
      <c r="D226">
        <v>54.35</v>
      </c>
      <c r="G226" s="100">
        <v>39541</v>
      </c>
      <c r="H226" s="14">
        <f t="shared" si="9"/>
        <v>90.395778364116097</v>
      </c>
      <c r="I226" s="14">
        <f t="shared" si="10"/>
        <v>97.937701396348032</v>
      </c>
      <c r="J226" s="14">
        <f t="shared" si="11"/>
        <v>93.593938350266924</v>
      </c>
    </row>
    <row r="227" spans="1:10">
      <c r="A227" s="100">
        <v>39542</v>
      </c>
      <c r="B227">
        <v>136.88999999999999</v>
      </c>
      <c r="C227">
        <v>45.86</v>
      </c>
      <c r="D227">
        <v>54.47</v>
      </c>
      <c r="G227" s="100">
        <v>39542</v>
      </c>
      <c r="H227" s="14">
        <f t="shared" si="9"/>
        <v>90.296833773087073</v>
      </c>
      <c r="I227" s="14">
        <f t="shared" si="10"/>
        <v>98.517722878625136</v>
      </c>
      <c r="J227" s="14">
        <f t="shared" si="11"/>
        <v>93.800585500258308</v>
      </c>
    </row>
    <row r="228" spans="1:10">
      <c r="A228" s="100">
        <v>39545</v>
      </c>
      <c r="B228">
        <v>136.96</v>
      </c>
      <c r="C228">
        <v>45.76</v>
      </c>
      <c r="D228">
        <v>54.28</v>
      </c>
      <c r="G228" s="100">
        <v>39545</v>
      </c>
      <c r="H228" s="14">
        <f t="shared" si="9"/>
        <v>90.343007915567284</v>
      </c>
      <c r="I228" s="14">
        <f t="shared" si="10"/>
        <v>98.302900107411389</v>
      </c>
      <c r="J228" s="14">
        <f t="shared" si="11"/>
        <v>93.4733941794386</v>
      </c>
    </row>
    <row r="229" spans="1:10">
      <c r="A229" s="100">
        <v>39546</v>
      </c>
      <c r="B229">
        <v>136.82</v>
      </c>
      <c r="C229">
        <v>45.41</v>
      </c>
      <c r="D229">
        <v>53.7</v>
      </c>
      <c r="G229" s="100">
        <v>39546</v>
      </c>
      <c r="H229" s="14">
        <f t="shared" si="9"/>
        <v>90.250659630606862</v>
      </c>
      <c r="I229" s="14">
        <f t="shared" si="10"/>
        <v>97.551020408163268</v>
      </c>
      <c r="J229" s="14">
        <f t="shared" si="11"/>
        <v>92.474599621146893</v>
      </c>
    </row>
    <row r="230" spans="1:10">
      <c r="A230" s="100">
        <v>39547</v>
      </c>
      <c r="B230">
        <v>135.83000000000001</v>
      </c>
      <c r="C230">
        <v>44.9</v>
      </c>
      <c r="D230">
        <v>53.62</v>
      </c>
      <c r="G230" s="100">
        <v>39547</v>
      </c>
      <c r="H230" s="14">
        <f t="shared" si="9"/>
        <v>89.597625329815315</v>
      </c>
      <c r="I230" s="14">
        <f t="shared" si="10"/>
        <v>96.45542427497314</v>
      </c>
      <c r="J230" s="14">
        <f t="shared" si="11"/>
        <v>92.336834854485957</v>
      </c>
    </row>
    <row r="231" spans="1:10">
      <c r="A231" s="100">
        <v>39548</v>
      </c>
      <c r="B231">
        <v>136.02000000000001</v>
      </c>
      <c r="C231">
        <v>45.54</v>
      </c>
      <c r="D231">
        <v>54.39</v>
      </c>
      <c r="G231" s="100">
        <v>39548</v>
      </c>
      <c r="H231" s="14">
        <f t="shared" si="9"/>
        <v>89.722955145118746</v>
      </c>
      <c r="I231" s="14">
        <f t="shared" si="10"/>
        <v>97.830290010741138</v>
      </c>
      <c r="J231" s="14">
        <f t="shared" si="11"/>
        <v>93.662820733597385</v>
      </c>
    </row>
    <row r="232" spans="1:10">
      <c r="A232" s="100">
        <v>39549</v>
      </c>
      <c r="B232">
        <v>133.38</v>
      </c>
      <c r="C232">
        <v>44.28</v>
      </c>
      <c r="D232">
        <v>52.96</v>
      </c>
      <c r="G232" s="100">
        <v>39549</v>
      </c>
      <c r="H232" s="14">
        <f t="shared" si="9"/>
        <v>87.981530343007918</v>
      </c>
      <c r="I232" s="14">
        <f t="shared" si="10"/>
        <v>95.123523093447915</v>
      </c>
      <c r="J232" s="14">
        <f t="shared" si="11"/>
        <v>91.200275529533329</v>
      </c>
    </row>
    <row r="233" spans="1:10">
      <c r="A233" s="100">
        <v>39552</v>
      </c>
      <c r="B233">
        <v>132.93</v>
      </c>
      <c r="C233">
        <v>44.08</v>
      </c>
      <c r="D233">
        <v>52.59</v>
      </c>
      <c r="G233" s="100">
        <v>39552</v>
      </c>
      <c r="H233" s="14">
        <f t="shared" si="9"/>
        <v>87.684696569920845</v>
      </c>
      <c r="I233" s="14">
        <f t="shared" si="10"/>
        <v>94.693877551020407</v>
      </c>
      <c r="J233" s="14">
        <f t="shared" si="11"/>
        <v>90.563113483726539</v>
      </c>
    </row>
    <row r="234" spans="1:10">
      <c r="A234" s="100">
        <v>39553</v>
      </c>
      <c r="B234">
        <v>133.24</v>
      </c>
      <c r="C234">
        <v>44.14</v>
      </c>
      <c r="D234">
        <v>52.59</v>
      </c>
      <c r="G234" s="100">
        <v>39553</v>
      </c>
      <c r="H234" s="14">
        <f t="shared" si="9"/>
        <v>87.889182058047496</v>
      </c>
      <c r="I234" s="14">
        <f t="shared" si="10"/>
        <v>94.822771213748666</v>
      </c>
      <c r="J234" s="14">
        <f t="shared" si="11"/>
        <v>90.563113483726539</v>
      </c>
    </row>
    <row r="235" spans="1:10">
      <c r="A235" s="100">
        <v>39554</v>
      </c>
      <c r="B235">
        <v>136.85</v>
      </c>
      <c r="C235">
        <v>45.37</v>
      </c>
      <c r="D235">
        <v>54.89</v>
      </c>
      <c r="G235" s="100">
        <v>39554</v>
      </c>
      <c r="H235" s="14">
        <f t="shared" si="9"/>
        <v>90.270448548812666</v>
      </c>
      <c r="I235" s="14">
        <f t="shared" si="10"/>
        <v>97.465091299677766</v>
      </c>
      <c r="J235" s="14">
        <f t="shared" si="11"/>
        <v>94.52385052522817</v>
      </c>
    </row>
    <row r="236" spans="1:10">
      <c r="A236" s="100">
        <v>39555</v>
      </c>
      <c r="B236">
        <v>137.05000000000001</v>
      </c>
      <c r="C236">
        <v>45.27</v>
      </c>
      <c r="D236">
        <v>54.37</v>
      </c>
      <c r="G236" s="100">
        <v>39555</v>
      </c>
      <c r="H236" s="14">
        <f t="shared" si="9"/>
        <v>90.402374670184699</v>
      </c>
      <c r="I236" s="14">
        <f t="shared" si="10"/>
        <v>97.250268528464034</v>
      </c>
      <c r="J236" s="14">
        <f t="shared" si="11"/>
        <v>93.628379541932148</v>
      </c>
    </row>
    <row r="237" spans="1:10">
      <c r="A237" s="100">
        <v>39556</v>
      </c>
      <c r="B237">
        <v>138.47999999999999</v>
      </c>
      <c r="C237">
        <v>46.71</v>
      </c>
      <c r="D237">
        <v>56.11</v>
      </c>
      <c r="G237" s="100">
        <v>39556</v>
      </c>
      <c r="H237" s="14">
        <f t="shared" si="9"/>
        <v>91.345646437994716</v>
      </c>
      <c r="I237" s="14">
        <f t="shared" si="10"/>
        <v>100.34371643394199</v>
      </c>
      <c r="J237" s="14">
        <f t="shared" si="11"/>
        <v>96.624763216807295</v>
      </c>
    </row>
    <row r="238" spans="1:10">
      <c r="A238" s="100">
        <v>39559</v>
      </c>
      <c r="B238">
        <v>138.55000000000001</v>
      </c>
      <c r="C238">
        <v>47.04</v>
      </c>
      <c r="D238">
        <v>56.68</v>
      </c>
      <c r="G238" s="100">
        <v>39559</v>
      </c>
      <c r="H238" s="14">
        <f t="shared" si="9"/>
        <v>91.391820580474942</v>
      </c>
      <c r="I238" s="14">
        <f t="shared" si="10"/>
        <v>101.05263157894737</v>
      </c>
      <c r="J238" s="14">
        <f t="shared" si="11"/>
        <v>97.606337179266404</v>
      </c>
    </row>
    <row r="239" spans="1:10">
      <c r="A239" s="100">
        <v>39560</v>
      </c>
      <c r="B239">
        <v>137.94</v>
      </c>
      <c r="C239">
        <v>46.34</v>
      </c>
      <c r="D239">
        <v>55.99</v>
      </c>
      <c r="G239" s="100">
        <v>39560</v>
      </c>
      <c r="H239" s="14">
        <f t="shared" si="9"/>
        <v>90.989445910290229</v>
      </c>
      <c r="I239" s="14">
        <f t="shared" si="10"/>
        <v>99.548872180451141</v>
      </c>
      <c r="J239" s="14">
        <f t="shared" si="11"/>
        <v>96.418116066815912</v>
      </c>
    </row>
    <row r="240" spans="1:10">
      <c r="A240" s="100">
        <v>39561</v>
      </c>
      <c r="B240">
        <v>137.72</v>
      </c>
      <c r="C240">
        <v>46.85</v>
      </c>
      <c r="D240">
        <v>56.69</v>
      </c>
      <c r="G240" s="100">
        <v>39561</v>
      </c>
      <c r="H240" s="14">
        <f t="shared" si="9"/>
        <v>90.844327176781007</v>
      </c>
      <c r="I240" s="14">
        <f t="shared" si="10"/>
        <v>100.64446831364124</v>
      </c>
      <c r="J240" s="14">
        <f t="shared" si="11"/>
        <v>97.623557775099016</v>
      </c>
    </row>
    <row r="241" spans="1:10">
      <c r="A241" s="100">
        <v>39562</v>
      </c>
      <c r="B241">
        <v>138.32</v>
      </c>
      <c r="C241">
        <v>47.27</v>
      </c>
      <c r="D241">
        <v>57.39</v>
      </c>
      <c r="G241" s="100">
        <v>39562</v>
      </c>
      <c r="H241" s="14">
        <f t="shared" si="9"/>
        <v>91.240105540897105</v>
      </c>
      <c r="I241" s="14">
        <f t="shared" si="10"/>
        <v>101.546723952739</v>
      </c>
      <c r="J241" s="14">
        <f t="shared" si="11"/>
        <v>98.828999483382134</v>
      </c>
    </row>
    <row r="242" spans="1:10">
      <c r="A242" s="100">
        <v>39563</v>
      </c>
      <c r="B242">
        <v>139.6</v>
      </c>
      <c r="C242">
        <v>47.15</v>
      </c>
      <c r="D242">
        <v>56.81</v>
      </c>
      <c r="G242" s="100">
        <v>39563</v>
      </c>
      <c r="H242" s="14">
        <f t="shared" si="9"/>
        <v>92.084432717678098</v>
      </c>
      <c r="I242" s="14">
        <f t="shared" si="10"/>
        <v>101.28893662728248</v>
      </c>
      <c r="J242" s="14">
        <f t="shared" si="11"/>
        <v>97.830204925090413</v>
      </c>
    </row>
    <row r="243" spans="1:10">
      <c r="A243" s="100">
        <v>39566</v>
      </c>
      <c r="B243">
        <v>139.63</v>
      </c>
      <c r="C243">
        <v>47.24</v>
      </c>
      <c r="D243">
        <v>56.56</v>
      </c>
      <c r="G243" s="100">
        <v>39566</v>
      </c>
      <c r="H243" s="14">
        <f t="shared" si="9"/>
        <v>92.104221635883903</v>
      </c>
      <c r="I243" s="14">
        <f t="shared" si="10"/>
        <v>101.48227712137488</v>
      </c>
      <c r="J243" s="14">
        <f t="shared" si="11"/>
        <v>97.399690029275021</v>
      </c>
    </row>
    <row r="244" spans="1:10">
      <c r="A244" s="100">
        <v>39567</v>
      </c>
      <c r="B244">
        <v>139.08000000000001</v>
      </c>
      <c r="C244">
        <v>47.6</v>
      </c>
      <c r="D244">
        <v>56.9</v>
      </c>
      <c r="G244" s="100">
        <v>39567</v>
      </c>
      <c r="H244" s="14">
        <f t="shared" si="9"/>
        <v>91.741424802110828</v>
      </c>
      <c r="I244" s="14">
        <f t="shared" si="10"/>
        <v>102.25563909774438</v>
      </c>
      <c r="J244" s="14">
        <f t="shared" si="11"/>
        <v>97.985190287583947</v>
      </c>
    </row>
    <row r="245" spans="1:10">
      <c r="A245" s="100">
        <v>39568</v>
      </c>
      <c r="B245">
        <v>138.26</v>
      </c>
      <c r="C245">
        <v>47.21</v>
      </c>
      <c r="D245">
        <v>56.43</v>
      </c>
      <c r="G245" s="100">
        <v>39568</v>
      </c>
      <c r="H245" s="14">
        <f t="shared" si="9"/>
        <v>91.200527704485495</v>
      </c>
      <c r="I245" s="14">
        <f t="shared" si="10"/>
        <v>101.41783029001074</v>
      </c>
      <c r="J245" s="14">
        <f t="shared" si="11"/>
        <v>97.175822283451012</v>
      </c>
    </row>
    <row r="246" spans="1:10">
      <c r="A246" s="100">
        <v>39569</v>
      </c>
      <c r="B246">
        <v>141.12</v>
      </c>
      <c r="C246">
        <v>48.7</v>
      </c>
      <c r="D246">
        <v>58.06</v>
      </c>
      <c r="G246" s="100">
        <v>39569</v>
      </c>
      <c r="H246" s="14">
        <f t="shared" si="9"/>
        <v>93.087071240105544</v>
      </c>
      <c r="I246" s="14">
        <f t="shared" si="10"/>
        <v>104.61868958109561</v>
      </c>
      <c r="J246" s="14">
        <f t="shared" si="11"/>
        <v>99.982779404167388</v>
      </c>
    </row>
    <row r="247" spans="1:10">
      <c r="A247" s="100">
        <v>39570</v>
      </c>
      <c r="B247">
        <v>141.51</v>
      </c>
      <c r="C247">
        <v>48.77</v>
      </c>
      <c r="D247">
        <v>58.05</v>
      </c>
      <c r="G247" s="100">
        <v>39570</v>
      </c>
      <c r="H247" s="14">
        <f t="shared" si="9"/>
        <v>93.344327176781007</v>
      </c>
      <c r="I247" s="14">
        <f t="shared" si="10"/>
        <v>104.76906552094522</v>
      </c>
      <c r="J247" s="14">
        <f t="shared" si="11"/>
        <v>99.965558808334762</v>
      </c>
    </row>
    <row r="248" spans="1:10">
      <c r="A248" s="100">
        <v>39573</v>
      </c>
      <c r="B248">
        <v>140.83000000000001</v>
      </c>
      <c r="C248">
        <v>48.63</v>
      </c>
      <c r="D248">
        <v>57.76</v>
      </c>
      <c r="G248" s="100">
        <v>39573</v>
      </c>
      <c r="H248" s="14">
        <f t="shared" si="9"/>
        <v>92.895778364116111</v>
      </c>
      <c r="I248" s="14">
        <f t="shared" si="10"/>
        <v>104.46831364124598</v>
      </c>
      <c r="J248" s="14">
        <f t="shared" si="11"/>
        <v>99.466161529188895</v>
      </c>
    </row>
    <row r="249" spans="1:10">
      <c r="A249" s="100">
        <v>39574</v>
      </c>
      <c r="B249">
        <v>142.05000000000001</v>
      </c>
      <c r="C249">
        <v>48.93</v>
      </c>
      <c r="D249">
        <v>58.36</v>
      </c>
      <c r="G249" s="100">
        <v>39574</v>
      </c>
      <c r="H249" s="14">
        <f t="shared" si="9"/>
        <v>93.700527704485509</v>
      </c>
      <c r="I249" s="14">
        <f t="shared" si="10"/>
        <v>105.11278195488723</v>
      </c>
      <c r="J249" s="14">
        <f t="shared" si="11"/>
        <v>100.49939727914585</v>
      </c>
    </row>
    <row r="250" spans="1:10">
      <c r="A250" s="100">
        <v>39575</v>
      </c>
      <c r="B250">
        <v>139.52000000000001</v>
      </c>
      <c r="C250">
        <v>48.04</v>
      </c>
      <c r="D250">
        <v>57.59</v>
      </c>
      <c r="G250" s="100">
        <v>39575</v>
      </c>
      <c r="H250" s="14">
        <f t="shared" si="9"/>
        <v>92.031662269129299</v>
      </c>
      <c r="I250" s="14">
        <f t="shared" si="10"/>
        <v>103.20085929108487</v>
      </c>
      <c r="J250" s="14">
        <f t="shared" si="11"/>
        <v>99.173411400034453</v>
      </c>
    </row>
    <row r="251" spans="1:10">
      <c r="A251" s="100">
        <v>39576</v>
      </c>
      <c r="B251">
        <v>139.16</v>
      </c>
      <c r="C251">
        <v>48.4</v>
      </c>
      <c r="D251">
        <v>57.97</v>
      </c>
      <c r="G251" s="100">
        <v>39576</v>
      </c>
      <c r="H251" s="14">
        <f t="shared" si="9"/>
        <v>91.794195250659627</v>
      </c>
      <c r="I251" s="14">
        <f t="shared" si="10"/>
        <v>103.97422126745435</v>
      </c>
      <c r="J251" s="14">
        <f t="shared" si="11"/>
        <v>99.82779404167384</v>
      </c>
    </row>
    <row r="252" spans="1:10">
      <c r="A252" s="100">
        <v>39577</v>
      </c>
      <c r="B252">
        <v>138.9</v>
      </c>
      <c r="C252">
        <v>48.21</v>
      </c>
      <c r="D252">
        <v>57.76</v>
      </c>
      <c r="G252" s="100">
        <v>39577</v>
      </c>
      <c r="H252" s="14">
        <f t="shared" si="9"/>
        <v>91.622691292875999</v>
      </c>
      <c r="I252" s="14">
        <f t="shared" si="10"/>
        <v>103.56605800214824</v>
      </c>
      <c r="J252" s="14">
        <f t="shared" si="11"/>
        <v>99.466161529188895</v>
      </c>
    </row>
    <row r="253" spans="1:10">
      <c r="A253" s="100">
        <v>39580</v>
      </c>
      <c r="B253">
        <v>140.46</v>
      </c>
      <c r="C253">
        <v>49.09</v>
      </c>
      <c r="D253">
        <v>58.42</v>
      </c>
      <c r="G253" s="100">
        <v>39580</v>
      </c>
      <c r="H253" s="14">
        <f t="shared" si="9"/>
        <v>92.651715039577837</v>
      </c>
      <c r="I253" s="14">
        <f t="shared" si="10"/>
        <v>105.45649838882922</v>
      </c>
      <c r="J253" s="14">
        <f t="shared" si="11"/>
        <v>100.60272085414155</v>
      </c>
    </row>
    <row r="254" spans="1:10">
      <c r="A254" s="100">
        <v>39581</v>
      </c>
      <c r="B254">
        <v>140.47999999999999</v>
      </c>
      <c r="C254">
        <v>49.22</v>
      </c>
      <c r="D254">
        <v>58.63</v>
      </c>
      <c r="G254" s="100">
        <v>39581</v>
      </c>
      <c r="H254" s="14">
        <f t="shared" si="9"/>
        <v>92.664907651715041</v>
      </c>
      <c r="I254" s="14">
        <f t="shared" si="10"/>
        <v>105.73576799140709</v>
      </c>
      <c r="J254" s="14">
        <f t="shared" si="11"/>
        <v>100.96435336662648</v>
      </c>
    </row>
    <row r="255" spans="1:10">
      <c r="A255" s="100">
        <v>39582</v>
      </c>
      <c r="B255">
        <v>140.77000000000001</v>
      </c>
      <c r="C255">
        <v>49.11</v>
      </c>
      <c r="D255">
        <v>58.81</v>
      </c>
      <c r="G255" s="100">
        <v>39582</v>
      </c>
      <c r="H255" s="14">
        <f t="shared" si="9"/>
        <v>92.856200527704488</v>
      </c>
      <c r="I255" s="14">
        <f t="shared" si="10"/>
        <v>105.49946294307198</v>
      </c>
      <c r="J255" s="14">
        <f t="shared" si="11"/>
        <v>101.27432409161356</v>
      </c>
    </row>
    <row r="256" spans="1:10">
      <c r="A256" s="100">
        <v>39583</v>
      </c>
      <c r="B256">
        <v>142.53</v>
      </c>
      <c r="C256">
        <v>49.97</v>
      </c>
      <c r="D256">
        <v>60.09</v>
      </c>
      <c r="G256" s="100">
        <v>39583</v>
      </c>
      <c r="H256" s="14">
        <f t="shared" si="9"/>
        <v>94.017150395778373</v>
      </c>
      <c r="I256" s="14">
        <f t="shared" si="10"/>
        <v>107.34693877551021</v>
      </c>
      <c r="J256" s="14">
        <f t="shared" si="11"/>
        <v>103.4785603581884</v>
      </c>
    </row>
    <row r="257" spans="1:10">
      <c r="A257" s="100">
        <v>39584</v>
      </c>
      <c r="B257">
        <v>142.66</v>
      </c>
      <c r="C257">
        <v>50.01</v>
      </c>
      <c r="D257">
        <v>60.17</v>
      </c>
      <c r="G257" s="100">
        <v>39584</v>
      </c>
      <c r="H257" s="14">
        <f t="shared" si="9"/>
        <v>94.10290237467018</v>
      </c>
      <c r="I257" s="14">
        <f t="shared" si="10"/>
        <v>107.43286788399571</v>
      </c>
      <c r="J257" s="14">
        <f t="shared" si="11"/>
        <v>103.61632512484933</v>
      </c>
    </row>
    <row r="258" spans="1:10">
      <c r="A258" s="100">
        <v>39587</v>
      </c>
      <c r="B258">
        <v>143.05000000000001</v>
      </c>
      <c r="C258">
        <v>49.65</v>
      </c>
      <c r="D258">
        <v>59.81</v>
      </c>
      <c r="G258" s="100">
        <v>39587</v>
      </c>
      <c r="H258" s="14">
        <f t="shared" si="9"/>
        <v>94.360158311345657</v>
      </c>
      <c r="I258" s="14">
        <f t="shared" si="10"/>
        <v>106.65950590762621</v>
      </c>
      <c r="J258" s="14">
        <f t="shared" si="11"/>
        <v>102.99638367487516</v>
      </c>
    </row>
    <row r="259" spans="1:10">
      <c r="A259" s="100">
        <v>39588</v>
      </c>
      <c r="B259">
        <v>141.88999999999999</v>
      </c>
      <c r="C259">
        <v>49.27</v>
      </c>
      <c r="D259">
        <v>58.92</v>
      </c>
      <c r="G259" s="100">
        <v>39588</v>
      </c>
      <c r="H259" s="14">
        <f t="shared" si="9"/>
        <v>93.594986807387855</v>
      </c>
      <c r="I259" s="14">
        <f t="shared" si="10"/>
        <v>105.84317937701397</v>
      </c>
      <c r="J259" s="14">
        <f t="shared" si="11"/>
        <v>101.46375064577235</v>
      </c>
    </row>
    <row r="260" spans="1:10">
      <c r="A260" s="100">
        <v>39589</v>
      </c>
      <c r="B260">
        <v>139.49</v>
      </c>
      <c r="C260">
        <v>48.18</v>
      </c>
      <c r="D260">
        <v>57.86</v>
      </c>
      <c r="G260" s="100">
        <v>39589</v>
      </c>
      <c r="H260" s="14">
        <f t="shared" si="9"/>
        <v>92.011873350923494</v>
      </c>
      <c r="I260" s="14">
        <f t="shared" si="10"/>
        <v>103.50161117078412</v>
      </c>
      <c r="J260" s="14">
        <f t="shared" si="11"/>
        <v>99.638367487515069</v>
      </c>
    </row>
    <row r="261" spans="1:10">
      <c r="A261" s="100">
        <v>39590</v>
      </c>
      <c r="B261">
        <v>139.51</v>
      </c>
      <c r="C261">
        <v>48.35</v>
      </c>
      <c r="D261">
        <v>58.13</v>
      </c>
      <c r="G261" s="100">
        <v>39590</v>
      </c>
      <c r="H261" s="14">
        <f t="shared" ref="H261:H324" si="12">B261/$B$4*100</f>
        <v>92.025065963060683</v>
      </c>
      <c r="I261" s="14">
        <f t="shared" ref="I261:I324" si="13">C261/$C$4*100</f>
        <v>103.86680988184749</v>
      </c>
      <c r="J261" s="14">
        <f t="shared" ref="J261:J324" si="14">D261/$D$4*100</f>
        <v>100.1033235749957</v>
      </c>
    </row>
    <row r="262" spans="1:10">
      <c r="A262" s="100">
        <v>39591</v>
      </c>
      <c r="B262">
        <v>137.63999999999999</v>
      </c>
      <c r="C262">
        <v>48.2</v>
      </c>
      <c r="D262">
        <v>57.84</v>
      </c>
      <c r="G262" s="100">
        <v>39591</v>
      </c>
      <c r="H262" s="14">
        <f t="shared" si="12"/>
        <v>90.79155672823218</v>
      </c>
      <c r="I262" s="14">
        <f t="shared" si="13"/>
        <v>103.54457572502686</v>
      </c>
      <c r="J262" s="14">
        <f t="shared" si="14"/>
        <v>99.603926295849845</v>
      </c>
    </row>
    <row r="263" spans="1:10">
      <c r="A263" s="100">
        <v>39595</v>
      </c>
      <c r="B263">
        <v>138.66</v>
      </c>
      <c r="C263">
        <v>49.05</v>
      </c>
      <c r="D263">
        <v>58.81</v>
      </c>
      <c r="G263" s="100">
        <v>39595</v>
      </c>
      <c r="H263" s="14">
        <f t="shared" si="12"/>
        <v>91.46437994722956</v>
      </c>
      <c r="I263" s="14">
        <f t="shared" si="13"/>
        <v>105.37056928034372</v>
      </c>
      <c r="J263" s="14">
        <f t="shared" si="14"/>
        <v>101.27432409161356</v>
      </c>
    </row>
    <row r="264" spans="1:10">
      <c r="A264" s="100">
        <v>39596</v>
      </c>
      <c r="B264">
        <v>139.30000000000001</v>
      </c>
      <c r="C264">
        <v>49.25</v>
      </c>
      <c r="D264">
        <v>59.12</v>
      </c>
      <c r="G264" s="100">
        <v>39596</v>
      </c>
      <c r="H264" s="14">
        <f t="shared" si="12"/>
        <v>91.886543535620063</v>
      </c>
      <c r="I264" s="14">
        <f t="shared" si="13"/>
        <v>105.80021482277122</v>
      </c>
      <c r="J264" s="14">
        <f t="shared" si="14"/>
        <v>101.80816256242467</v>
      </c>
    </row>
    <row r="265" spans="1:10">
      <c r="A265" s="100">
        <v>39597</v>
      </c>
      <c r="B265">
        <v>140</v>
      </c>
      <c r="C265">
        <v>49.69</v>
      </c>
      <c r="D265">
        <v>59.39</v>
      </c>
      <c r="G265" s="100">
        <v>39597</v>
      </c>
      <c r="H265" s="14">
        <f t="shared" si="12"/>
        <v>92.348284960422163</v>
      </c>
      <c r="I265" s="14">
        <f t="shared" si="13"/>
        <v>106.74543501611171</v>
      </c>
      <c r="J265" s="14">
        <f t="shared" si="14"/>
        <v>102.27311864990529</v>
      </c>
    </row>
    <row r="266" spans="1:10">
      <c r="A266" s="100">
        <v>39598</v>
      </c>
      <c r="B266">
        <v>140.35</v>
      </c>
      <c r="C266">
        <v>50.01</v>
      </c>
      <c r="D266">
        <v>59.96</v>
      </c>
      <c r="G266" s="100">
        <v>39598</v>
      </c>
      <c r="H266" s="14">
        <f t="shared" si="12"/>
        <v>92.579155672823219</v>
      </c>
      <c r="I266" s="14">
        <f t="shared" si="13"/>
        <v>107.43286788399571</v>
      </c>
      <c r="J266" s="14">
        <f t="shared" si="14"/>
        <v>103.25469261236439</v>
      </c>
    </row>
    <row r="267" spans="1:10">
      <c r="A267" s="100">
        <v>39601</v>
      </c>
      <c r="B267">
        <v>138.9</v>
      </c>
      <c r="C267">
        <v>49.4</v>
      </c>
      <c r="D267">
        <v>59.07</v>
      </c>
      <c r="G267" s="100">
        <v>39601</v>
      </c>
      <c r="H267" s="14">
        <f t="shared" si="12"/>
        <v>91.622691292875999</v>
      </c>
      <c r="I267" s="14">
        <f t="shared" si="13"/>
        <v>106.12244897959184</v>
      </c>
      <c r="J267" s="14">
        <f t="shared" si="14"/>
        <v>101.72205958326157</v>
      </c>
    </row>
    <row r="268" spans="1:10">
      <c r="A268" s="100">
        <v>39602</v>
      </c>
      <c r="B268">
        <v>138.09</v>
      </c>
      <c r="C268">
        <v>49.13</v>
      </c>
      <c r="D268">
        <v>58.8</v>
      </c>
      <c r="G268" s="100">
        <v>39602</v>
      </c>
      <c r="H268" s="14">
        <f t="shared" si="12"/>
        <v>91.088390501319267</v>
      </c>
      <c r="I268" s="14">
        <f t="shared" si="13"/>
        <v>105.54242749731473</v>
      </c>
      <c r="J268" s="14">
        <f t="shared" si="14"/>
        <v>101.25710349578094</v>
      </c>
    </row>
    <row r="269" spans="1:10">
      <c r="A269" s="100">
        <v>39603</v>
      </c>
      <c r="B269">
        <v>138.02000000000001</v>
      </c>
      <c r="C269">
        <v>49.76</v>
      </c>
      <c r="D269">
        <v>59.27</v>
      </c>
      <c r="G269" s="100">
        <v>39603</v>
      </c>
      <c r="H269" s="14">
        <f t="shared" si="12"/>
        <v>91.042216358839056</v>
      </c>
      <c r="I269" s="14">
        <f t="shared" si="13"/>
        <v>106.89581095596132</v>
      </c>
      <c r="J269" s="14">
        <f t="shared" si="14"/>
        <v>102.0664714999139</v>
      </c>
    </row>
    <row r="270" spans="1:10">
      <c r="A270" s="100">
        <v>39604</v>
      </c>
      <c r="B270">
        <v>140.78</v>
      </c>
      <c r="C270">
        <v>50.55</v>
      </c>
      <c r="D270">
        <v>60.25</v>
      </c>
      <c r="G270" s="100">
        <v>39604</v>
      </c>
      <c r="H270" s="14">
        <f t="shared" si="12"/>
        <v>92.862796833773089</v>
      </c>
      <c r="I270" s="14">
        <f t="shared" si="13"/>
        <v>108.59291084854993</v>
      </c>
      <c r="J270" s="14">
        <f t="shared" si="14"/>
        <v>103.75408989151025</v>
      </c>
    </row>
    <row r="271" spans="1:10">
      <c r="A271" s="100">
        <v>39605</v>
      </c>
      <c r="B271">
        <v>136.29</v>
      </c>
      <c r="C271">
        <v>49.03</v>
      </c>
      <c r="D271">
        <v>58.72</v>
      </c>
      <c r="G271" s="100">
        <v>39605</v>
      </c>
      <c r="H271" s="14">
        <f t="shared" si="12"/>
        <v>89.901055408970976</v>
      </c>
      <c r="I271" s="14">
        <f t="shared" si="13"/>
        <v>105.32760472610096</v>
      </c>
      <c r="J271" s="14">
        <f t="shared" si="14"/>
        <v>101.11933872912002</v>
      </c>
    </row>
    <row r="272" spans="1:10">
      <c r="A272" s="100">
        <v>39608</v>
      </c>
      <c r="B272">
        <v>136.62</v>
      </c>
      <c r="C272">
        <v>48.77</v>
      </c>
      <c r="D272">
        <v>58.52</v>
      </c>
      <c r="G272" s="100">
        <v>39608</v>
      </c>
      <c r="H272" s="14">
        <f t="shared" si="12"/>
        <v>90.118733509234843</v>
      </c>
      <c r="I272" s="14">
        <f t="shared" si="13"/>
        <v>104.76906552094522</v>
      </c>
      <c r="J272" s="14">
        <f t="shared" si="14"/>
        <v>100.77492681246771</v>
      </c>
    </row>
    <row r="273" spans="1:10">
      <c r="A273" s="100">
        <v>39609</v>
      </c>
      <c r="B273">
        <v>135.94</v>
      </c>
      <c r="C273">
        <v>48.54</v>
      </c>
      <c r="D273">
        <v>58.36</v>
      </c>
      <c r="G273" s="100">
        <v>39609</v>
      </c>
      <c r="H273" s="14">
        <f t="shared" si="12"/>
        <v>89.670184696569919</v>
      </c>
      <c r="I273" s="14">
        <f t="shared" si="13"/>
        <v>104.27497314715359</v>
      </c>
      <c r="J273" s="14">
        <f t="shared" si="14"/>
        <v>100.49939727914585</v>
      </c>
    </row>
    <row r="274" spans="1:10">
      <c r="A274" s="100">
        <v>39610</v>
      </c>
      <c r="B274">
        <v>133.94</v>
      </c>
      <c r="C274">
        <v>47.37</v>
      </c>
      <c r="D274">
        <v>56.96</v>
      </c>
      <c r="G274" s="100">
        <v>39610</v>
      </c>
      <c r="H274" s="14">
        <f t="shared" si="12"/>
        <v>88.350923482849609</v>
      </c>
      <c r="I274" s="14">
        <f t="shared" si="13"/>
        <v>101.76154672395275</v>
      </c>
      <c r="J274" s="14">
        <f t="shared" si="14"/>
        <v>98.088513862579646</v>
      </c>
    </row>
    <row r="275" spans="1:10">
      <c r="A275" s="100">
        <v>39611</v>
      </c>
      <c r="B275">
        <v>134.44999999999999</v>
      </c>
      <c r="C275">
        <v>47.42</v>
      </c>
      <c r="D275">
        <v>57.34</v>
      </c>
      <c r="G275" s="100">
        <v>39611</v>
      </c>
      <c r="H275" s="14">
        <f t="shared" si="12"/>
        <v>88.687335092348292</v>
      </c>
      <c r="I275" s="14">
        <f t="shared" si="13"/>
        <v>101.86895810955963</v>
      </c>
      <c r="J275" s="14">
        <f t="shared" si="14"/>
        <v>98.742896504219047</v>
      </c>
    </row>
    <row r="276" spans="1:10">
      <c r="A276" s="100">
        <v>39612</v>
      </c>
      <c r="B276">
        <v>136.15</v>
      </c>
      <c r="C276">
        <v>48.37</v>
      </c>
      <c r="D276">
        <v>58.5</v>
      </c>
      <c r="G276" s="100">
        <v>39612</v>
      </c>
      <c r="H276" s="14">
        <f t="shared" si="12"/>
        <v>89.808707124010553</v>
      </c>
      <c r="I276" s="14">
        <f t="shared" si="13"/>
        <v>103.90977443609022</v>
      </c>
      <c r="J276" s="14">
        <f t="shared" si="14"/>
        <v>100.74048562080249</v>
      </c>
    </row>
    <row r="277" spans="1:10">
      <c r="A277" s="100">
        <v>39615</v>
      </c>
      <c r="B277">
        <v>136.22999999999999</v>
      </c>
      <c r="C277">
        <v>48.8</v>
      </c>
      <c r="D277">
        <v>58.77</v>
      </c>
      <c r="G277" s="100">
        <v>39615</v>
      </c>
      <c r="H277" s="14">
        <f t="shared" si="12"/>
        <v>89.861477572559366</v>
      </c>
      <c r="I277" s="14">
        <f t="shared" si="13"/>
        <v>104.83351235230936</v>
      </c>
      <c r="J277" s="14">
        <f t="shared" si="14"/>
        <v>101.20544170828312</v>
      </c>
    </row>
    <row r="278" spans="1:10">
      <c r="A278" s="100">
        <v>39616</v>
      </c>
      <c r="B278">
        <v>135.57</v>
      </c>
      <c r="C278">
        <v>48.54</v>
      </c>
      <c r="D278">
        <v>58.42</v>
      </c>
      <c r="G278" s="100">
        <v>39616</v>
      </c>
      <c r="H278" s="14">
        <f t="shared" si="12"/>
        <v>89.426121372031659</v>
      </c>
      <c r="I278" s="14">
        <f t="shared" si="13"/>
        <v>104.27497314715359</v>
      </c>
      <c r="J278" s="14">
        <f t="shared" si="14"/>
        <v>100.60272085414155</v>
      </c>
    </row>
    <row r="279" spans="1:10">
      <c r="A279" s="100">
        <v>39617</v>
      </c>
      <c r="B279">
        <v>134.25</v>
      </c>
      <c r="C279">
        <v>48.02</v>
      </c>
      <c r="D279">
        <v>57.66</v>
      </c>
      <c r="G279" s="100">
        <v>39617</v>
      </c>
      <c r="H279" s="14">
        <f t="shared" si="12"/>
        <v>88.555408970976259</v>
      </c>
      <c r="I279" s="14">
        <f t="shared" si="13"/>
        <v>103.15789473684211</v>
      </c>
      <c r="J279" s="14">
        <f t="shared" si="14"/>
        <v>99.293955570862749</v>
      </c>
    </row>
    <row r="280" spans="1:10">
      <c r="A280" s="100">
        <v>39618</v>
      </c>
      <c r="B280">
        <v>134.41999999999999</v>
      </c>
      <c r="C280">
        <v>48.77</v>
      </c>
      <c r="D280">
        <v>58.37</v>
      </c>
      <c r="G280" s="100">
        <v>39618</v>
      </c>
      <c r="H280" s="14">
        <f t="shared" si="12"/>
        <v>88.667546174142473</v>
      </c>
      <c r="I280" s="14">
        <f t="shared" si="13"/>
        <v>104.76906552094522</v>
      </c>
      <c r="J280" s="14">
        <f t="shared" si="14"/>
        <v>100.51661787497848</v>
      </c>
    </row>
    <row r="281" spans="1:10">
      <c r="A281" s="100">
        <v>39619</v>
      </c>
      <c r="B281">
        <v>131.58000000000001</v>
      </c>
      <c r="C281">
        <v>47.42</v>
      </c>
      <c r="D281">
        <v>56.91</v>
      </c>
      <c r="G281" s="100">
        <v>39619</v>
      </c>
      <c r="H281" s="14">
        <f t="shared" si="12"/>
        <v>86.794195250659641</v>
      </c>
      <c r="I281" s="14">
        <f t="shared" si="13"/>
        <v>101.86895810955963</v>
      </c>
      <c r="J281" s="14">
        <f t="shared" si="14"/>
        <v>98.002410883416559</v>
      </c>
    </row>
    <row r="282" spans="1:10">
      <c r="A282" s="100">
        <v>39622</v>
      </c>
      <c r="B282">
        <v>131.44999999999999</v>
      </c>
      <c r="C282">
        <v>47.05</v>
      </c>
      <c r="D282">
        <v>56.54</v>
      </c>
      <c r="G282" s="100">
        <v>39622</v>
      </c>
      <c r="H282" s="14">
        <f t="shared" si="12"/>
        <v>86.708443271767806</v>
      </c>
      <c r="I282" s="14">
        <f t="shared" si="13"/>
        <v>101.07411385606875</v>
      </c>
      <c r="J282" s="14">
        <f t="shared" si="14"/>
        <v>97.365248837609769</v>
      </c>
    </row>
    <row r="283" spans="1:10">
      <c r="A283" s="100">
        <v>39623</v>
      </c>
      <c r="B283">
        <v>131.19</v>
      </c>
      <c r="C283">
        <v>46.81</v>
      </c>
      <c r="D283">
        <v>56.23</v>
      </c>
      <c r="G283" s="100">
        <v>39623</v>
      </c>
      <c r="H283" s="14">
        <f t="shared" si="12"/>
        <v>86.536939313984178</v>
      </c>
      <c r="I283" s="14">
        <f t="shared" si="13"/>
        <v>100.55853920515577</v>
      </c>
      <c r="J283" s="14">
        <f t="shared" si="14"/>
        <v>96.831410366798693</v>
      </c>
    </row>
    <row r="284" spans="1:10">
      <c r="A284" s="100">
        <v>39624</v>
      </c>
      <c r="B284">
        <v>131.81</v>
      </c>
      <c r="C284">
        <v>47.57</v>
      </c>
      <c r="D284">
        <v>57.05</v>
      </c>
      <c r="G284" s="100">
        <v>39624</v>
      </c>
      <c r="H284" s="14">
        <f t="shared" si="12"/>
        <v>86.945910290237478</v>
      </c>
      <c r="I284" s="14">
        <f t="shared" si="13"/>
        <v>102.19119226638026</v>
      </c>
      <c r="J284" s="14">
        <f t="shared" si="14"/>
        <v>98.24349922507318</v>
      </c>
    </row>
    <row r="285" spans="1:10">
      <c r="A285" s="100">
        <v>39625</v>
      </c>
      <c r="B285">
        <v>128.22999999999999</v>
      </c>
      <c r="C285">
        <v>45.65</v>
      </c>
      <c r="D285">
        <v>55.02</v>
      </c>
      <c r="G285" s="100">
        <v>39625</v>
      </c>
      <c r="H285" s="14">
        <f t="shared" si="12"/>
        <v>84.584432717678098</v>
      </c>
      <c r="I285" s="14">
        <f t="shared" si="13"/>
        <v>98.066595059076263</v>
      </c>
      <c r="J285" s="14">
        <f t="shared" si="14"/>
        <v>94.747718271052179</v>
      </c>
    </row>
    <row r="286" spans="1:10">
      <c r="A286" s="100">
        <v>39626</v>
      </c>
      <c r="B286">
        <v>127.53</v>
      </c>
      <c r="C286">
        <v>45.65</v>
      </c>
      <c r="D286">
        <v>54.8</v>
      </c>
      <c r="G286" s="100">
        <v>39626</v>
      </c>
      <c r="H286" s="14">
        <f t="shared" si="12"/>
        <v>84.122691292875999</v>
      </c>
      <c r="I286" s="14">
        <f t="shared" si="13"/>
        <v>98.066595059076263</v>
      </c>
      <c r="J286" s="14">
        <f t="shared" si="14"/>
        <v>94.368865162734622</v>
      </c>
    </row>
    <row r="287" spans="1:10">
      <c r="A287" s="100">
        <v>39629</v>
      </c>
      <c r="B287">
        <v>127.98</v>
      </c>
      <c r="C287">
        <v>45.17</v>
      </c>
      <c r="D287">
        <v>54.19</v>
      </c>
      <c r="G287" s="100">
        <v>39629</v>
      </c>
      <c r="H287" s="14">
        <f t="shared" si="12"/>
        <v>84.419525065963057</v>
      </c>
      <c r="I287" s="14">
        <f t="shared" si="13"/>
        <v>97.035445757250287</v>
      </c>
      <c r="J287" s="14">
        <f t="shared" si="14"/>
        <v>93.318408816945066</v>
      </c>
    </row>
    <row r="288" spans="1:10">
      <c r="A288" s="100">
        <v>39630</v>
      </c>
      <c r="B288">
        <v>128.38</v>
      </c>
      <c r="C288">
        <v>45.81</v>
      </c>
      <c r="D288">
        <v>54.35</v>
      </c>
      <c r="G288" s="100">
        <v>39630</v>
      </c>
      <c r="H288" s="14">
        <f t="shared" si="12"/>
        <v>84.683377308707122</v>
      </c>
      <c r="I288" s="14">
        <f t="shared" si="13"/>
        <v>98.41031149301827</v>
      </c>
      <c r="J288" s="14">
        <f t="shared" si="14"/>
        <v>93.593938350266924</v>
      </c>
    </row>
    <row r="289" spans="1:10">
      <c r="A289" s="100">
        <v>39631</v>
      </c>
      <c r="B289">
        <v>126.18</v>
      </c>
      <c r="C289">
        <v>44.71</v>
      </c>
      <c r="D289">
        <v>53.38</v>
      </c>
      <c r="G289" s="100">
        <v>39631</v>
      </c>
      <c r="H289" s="14">
        <f t="shared" si="12"/>
        <v>83.23218997361478</v>
      </c>
      <c r="I289" s="14">
        <f t="shared" si="13"/>
        <v>96.047261009667025</v>
      </c>
      <c r="J289" s="14">
        <f t="shared" si="14"/>
        <v>91.923540554503191</v>
      </c>
    </row>
    <row r="290" spans="1:10">
      <c r="A290" s="100">
        <v>39632</v>
      </c>
      <c r="B290">
        <v>126.31</v>
      </c>
      <c r="C290">
        <v>44.63</v>
      </c>
      <c r="D290">
        <v>53.37</v>
      </c>
      <c r="G290" s="100">
        <v>39632</v>
      </c>
      <c r="H290" s="14">
        <f t="shared" si="12"/>
        <v>83.317941952506601</v>
      </c>
      <c r="I290" s="14">
        <f t="shared" si="13"/>
        <v>95.875402792696036</v>
      </c>
      <c r="J290" s="14">
        <f t="shared" si="14"/>
        <v>91.906319958670565</v>
      </c>
    </row>
    <row r="291" spans="1:10">
      <c r="A291" s="100">
        <v>39636</v>
      </c>
      <c r="B291">
        <v>125.02</v>
      </c>
      <c r="C291">
        <v>44.9</v>
      </c>
      <c r="D291">
        <v>53.7</v>
      </c>
      <c r="G291" s="100">
        <v>39636</v>
      </c>
      <c r="H291" s="14">
        <f t="shared" si="12"/>
        <v>82.467018469656992</v>
      </c>
      <c r="I291" s="14">
        <f t="shared" si="13"/>
        <v>96.45542427497314</v>
      </c>
      <c r="J291" s="14">
        <f t="shared" si="14"/>
        <v>92.474599621146893</v>
      </c>
    </row>
    <row r="292" spans="1:10">
      <c r="A292" s="100">
        <v>39637</v>
      </c>
      <c r="B292">
        <v>127.24</v>
      </c>
      <c r="C292">
        <v>45.97</v>
      </c>
      <c r="D292">
        <v>54.16</v>
      </c>
      <c r="G292" s="100">
        <v>39637</v>
      </c>
      <c r="H292" s="14">
        <f t="shared" si="12"/>
        <v>83.931398416886537</v>
      </c>
      <c r="I292" s="14">
        <f t="shared" si="13"/>
        <v>98.754027926960262</v>
      </c>
      <c r="J292" s="14">
        <f t="shared" si="14"/>
        <v>93.266747029447217</v>
      </c>
    </row>
    <row r="293" spans="1:10">
      <c r="A293" s="100">
        <v>39638</v>
      </c>
      <c r="B293">
        <v>124.79</v>
      </c>
      <c r="C293">
        <v>44.75</v>
      </c>
      <c r="D293">
        <v>52.49</v>
      </c>
      <c r="G293" s="100">
        <v>39638</v>
      </c>
      <c r="H293" s="14">
        <f t="shared" si="12"/>
        <v>82.315303430079169</v>
      </c>
      <c r="I293" s="14">
        <f t="shared" si="13"/>
        <v>96.133190118152527</v>
      </c>
      <c r="J293" s="14">
        <f t="shared" si="14"/>
        <v>90.39090752540038</v>
      </c>
    </row>
    <row r="294" spans="1:10">
      <c r="A294" s="100">
        <v>39639</v>
      </c>
      <c r="B294">
        <v>125.3</v>
      </c>
      <c r="C294">
        <v>45.28</v>
      </c>
      <c r="D294">
        <v>53.17</v>
      </c>
      <c r="G294" s="100">
        <v>39639</v>
      </c>
      <c r="H294" s="14">
        <f t="shared" si="12"/>
        <v>82.651715039577837</v>
      </c>
      <c r="I294" s="14">
        <f t="shared" si="13"/>
        <v>97.271750805585398</v>
      </c>
      <c r="J294" s="14">
        <f t="shared" si="14"/>
        <v>91.56190804201826</v>
      </c>
    </row>
    <row r="295" spans="1:10">
      <c r="A295" s="100">
        <v>39640</v>
      </c>
      <c r="B295">
        <v>123.84</v>
      </c>
      <c r="C295">
        <v>44.56</v>
      </c>
      <c r="D295">
        <v>52.74</v>
      </c>
      <c r="G295" s="100">
        <v>39640</v>
      </c>
      <c r="H295" s="14">
        <f t="shared" si="12"/>
        <v>81.688654353562001</v>
      </c>
      <c r="I295" s="14">
        <f t="shared" si="13"/>
        <v>95.725026852846412</v>
      </c>
      <c r="J295" s="14">
        <f t="shared" si="14"/>
        <v>90.821422421215786</v>
      </c>
    </row>
    <row r="296" spans="1:10">
      <c r="A296" s="100">
        <v>39643</v>
      </c>
      <c r="B296">
        <v>122.72</v>
      </c>
      <c r="C296">
        <v>44.23</v>
      </c>
      <c r="D296">
        <v>52.15</v>
      </c>
      <c r="G296" s="100">
        <v>39643</v>
      </c>
      <c r="H296" s="14">
        <f t="shared" si="12"/>
        <v>80.949868073878633</v>
      </c>
      <c r="I296" s="14">
        <f t="shared" si="13"/>
        <v>95.016111707841034</v>
      </c>
      <c r="J296" s="14">
        <f t="shared" si="14"/>
        <v>89.805407267091439</v>
      </c>
    </row>
    <row r="297" spans="1:10">
      <c r="A297" s="100">
        <v>39644</v>
      </c>
      <c r="B297">
        <v>120.99</v>
      </c>
      <c r="C297">
        <v>44.24</v>
      </c>
      <c r="D297">
        <v>52.3</v>
      </c>
      <c r="G297" s="100">
        <v>39644</v>
      </c>
      <c r="H297" s="14">
        <f t="shared" si="12"/>
        <v>79.808707124010553</v>
      </c>
      <c r="I297" s="14">
        <f t="shared" si="13"/>
        <v>95.037593984962427</v>
      </c>
      <c r="J297" s="14">
        <f t="shared" si="14"/>
        <v>90.063716204580672</v>
      </c>
    </row>
    <row r="298" spans="1:10">
      <c r="A298" s="100">
        <v>39645</v>
      </c>
      <c r="B298">
        <v>123.96</v>
      </c>
      <c r="C298">
        <v>45.34</v>
      </c>
      <c r="D298">
        <v>53.39</v>
      </c>
      <c r="G298" s="100">
        <v>39645</v>
      </c>
      <c r="H298" s="14">
        <f t="shared" si="12"/>
        <v>81.76781002638522</v>
      </c>
      <c r="I298" s="14">
        <f t="shared" si="13"/>
        <v>97.400644468313658</v>
      </c>
      <c r="J298" s="14">
        <f t="shared" si="14"/>
        <v>91.940761150335803</v>
      </c>
    </row>
    <row r="299" spans="1:10">
      <c r="A299" s="100">
        <v>39646</v>
      </c>
      <c r="B299">
        <v>125.2</v>
      </c>
      <c r="C299">
        <v>45.64</v>
      </c>
      <c r="D299">
        <v>54.21</v>
      </c>
      <c r="G299" s="100">
        <v>39646</v>
      </c>
      <c r="H299" s="14">
        <f t="shared" si="12"/>
        <v>82.585751978891835</v>
      </c>
      <c r="I299" s="14">
        <f t="shared" si="13"/>
        <v>98.045112781954884</v>
      </c>
      <c r="J299" s="14">
        <f t="shared" si="14"/>
        <v>93.352850008610304</v>
      </c>
    </row>
    <row r="300" spans="1:10">
      <c r="A300" s="100">
        <v>39647</v>
      </c>
      <c r="B300">
        <v>125.98</v>
      </c>
      <c r="C300">
        <v>44.59</v>
      </c>
      <c r="D300">
        <v>53.29</v>
      </c>
      <c r="G300" s="100">
        <v>39647</v>
      </c>
      <c r="H300" s="14">
        <f t="shared" si="12"/>
        <v>83.100263852242747</v>
      </c>
      <c r="I300" s="14">
        <f t="shared" si="13"/>
        <v>95.789473684210535</v>
      </c>
      <c r="J300" s="14">
        <f t="shared" si="14"/>
        <v>91.768555192009643</v>
      </c>
    </row>
    <row r="301" spans="1:10">
      <c r="A301" s="100">
        <v>39650</v>
      </c>
      <c r="B301">
        <v>126.05</v>
      </c>
      <c r="C301">
        <v>44.78</v>
      </c>
      <c r="D301">
        <v>53.09</v>
      </c>
      <c r="G301" s="100">
        <v>39650</v>
      </c>
      <c r="H301" s="14">
        <f t="shared" si="12"/>
        <v>83.146437994722959</v>
      </c>
      <c r="I301" s="14">
        <f t="shared" si="13"/>
        <v>96.197636949516649</v>
      </c>
      <c r="J301" s="14">
        <f t="shared" si="14"/>
        <v>91.424143275357324</v>
      </c>
    </row>
    <row r="302" spans="1:10">
      <c r="A302" s="100">
        <v>39651</v>
      </c>
      <c r="B302">
        <v>127.48</v>
      </c>
      <c r="C302">
        <v>44.78</v>
      </c>
      <c r="D302">
        <v>52.88</v>
      </c>
      <c r="G302" s="100">
        <v>39651</v>
      </c>
      <c r="H302" s="14">
        <f t="shared" si="12"/>
        <v>84.089709762532976</v>
      </c>
      <c r="I302" s="14">
        <f t="shared" si="13"/>
        <v>96.197636949516649</v>
      </c>
      <c r="J302" s="14">
        <f t="shared" si="14"/>
        <v>91.062510762872392</v>
      </c>
    </row>
    <row r="303" spans="1:10">
      <c r="A303" s="100">
        <v>39652</v>
      </c>
      <c r="B303">
        <v>128.16999999999999</v>
      </c>
      <c r="C303">
        <v>45.37</v>
      </c>
      <c r="D303">
        <v>53.58</v>
      </c>
      <c r="G303" s="100">
        <v>39652</v>
      </c>
      <c r="H303" s="14">
        <f t="shared" si="12"/>
        <v>84.544854881266488</v>
      </c>
      <c r="I303" s="14">
        <f t="shared" si="13"/>
        <v>97.465091299677766</v>
      </c>
      <c r="J303" s="14">
        <f t="shared" si="14"/>
        <v>92.267952471155496</v>
      </c>
    </row>
    <row r="304" spans="1:10">
      <c r="A304" s="100">
        <v>39653</v>
      </c>
      <c r="B304">
        <v>125.51</v>
      </c>
      <c r="C304">
        <v>44.69</v>
      </c>
      <c r="D304">
        <v>52.67</v>
      </c>
      <c r="G304" s="100">
        <v>39653</v>
      </c>
      <c r="H304" s="14">
        <f t="shared" si="12"/>
        <v>82.790237467018486</v>
      </c>
      <c r="I304" s="14">
        <f t="shared" si="13"/>
        <v>96.004296455424281</v>
      </c>
      <c r="J304" s="14">
        <f t="shared" si="14"/>
        <v>90.700878250387461</v>
      </c>
    </row>
    <row r="305" spans="1:10">
      <c r="A305" s="100">
        <v>39654</v>
      </c>
      <c r="B305">
        <v>125.48</v>
      </c>
      <c r="C305">
        <v>45.27</v>
      </c>
      <c r="D305">
        <v>53.43</v>
      </c>
      <c r="G305" s="100">
        <v>39654</v>
      </c>
      <c r="H305" s="14">
        <f t="shared" si="12"/>
        <v>82.770448548812666</v>
      </c>
      <c r="I305" s="14">
        <f t="shared" si="13"/>
        <v>97.250268528464034</v>
      </c>
      <c r="J305" s="14">
        <f t="shared" si="14"/>
        <v>92.009643533666264</v>
      </c>
    </row>
    <row r="306" spans="1:10">
      <c r="A306" s="100">
        <v>39657</v>
      </c>
      <c r="B306">
        <v>123.64</v>
      </c>
      <c r="C306">
        <v>44.42</v>
      </c>
      <c r="D306">
        <v>52.41</v>
      </c>
      <c r="G306" s="100">
        <v>39657</v>
      </c>
      <c r="H306" s="14">
        <f t="shared" si="12"/>
        <v>81.556728232189982</v>
      </c>
      <c r="I306" s="14">
        <f t="shared" si="13"/>
        <v>95.424274973147163</v>
      </c>
      <c r="J306" s="14">
        <f t="shared" si="14"/>
        <v>90.253142758739443</v>
      </c>
    </row>
    <row r="307" spans="1:10">
      <c r="A307" s="100">
        <v>39658</v>
      </c>
      <c r="B307">
        <v>126.28</v>
      </c>
      <c r="C307">
        <v>45.34</v>
      </c>
      <c r="D307">
        <v>53.4</v>
      </c>
      <c r="G307" s="100">
        <v>39658</v>
      </c>
      <c r="H307" s="14">
        <f t="shared" si="12"/>
        <v>83.298153034300796</v>
      </c>
      <c r="I307" s="14">
        <f t="shared" si="13"/>
        <v>97.400644468313658</v>
      </c>
      <c r="J307" s="14">
        <f t="shared" si="14"/>
        <v>91.957981746168414</v>
      </c>
    </row>
    <row r="308" spans="1:10">
      <c r="A308" s="100">
        <v>39659</v>
      </c>
      <c r="B308">
        <v>128.53</v>
      </c>
      <c r="C308">
        <v>45.57</v>
      </c>
      <c r="D308">
        <v>53.73</v>
      </c>
      <c r="G308" s="100">
        <v>39659</v>
      </c>
      <c r="H308" s="14">
        <f t="shared" si="12"/>
        <v>84.782321899736161</v>
      </c>
      <c r="I308" s="14">
        <f t="shared" si="13"/>
        <v>97.894736842105274</v>
      </c>
      <c r="J308" s="14">
        <f t="shared" si="14"/>
        <v>92.526261408644743</v>
      </c>
    </row>
    <row r="309" spans="1:10">
      <c r="A309" s="100">
        <v>39660</v>
      </c>
      <c r="B309">
        <v>126.83</v>
      </c>
      <c r="C309">
        <v>45.46</v>
      </c>
      <c r="D309">
        <v>53.49</v>
      </c>
      <c r="G309" s="100">
        <v>39660</v>
      </c>
      <c r="H309" s="14">
        <f t="shared" si="12"/>
        <v>83.660949868073885</v>
      </c>
      <c r="I309" s="14">
        <f t="shared" si="13"/>
        <v>97.658431793770148</v>
      </c>
      <c r="J309" s="14">
        <f t="shared" si="14"/>
        <v>92.112967108661962</v>
      </c>
    </row>
    <row r="310" spans="1:10">
      <c r="A310" s="100">
        <v>39661</v>
      </c>
      <c r="B310">
        <v>126.16</v>
      </c>
      <c r="C310">
        <v>44.88</v>
      </c>
      <c r="D310">
        <v>53.15</v>
      </c>
      <c r="G310" s="100">
        <v>39661</v>
      </c>
      <c r="H310" s="14">
        <f t="shared" si="12"/>
        <v>83.218997361477577</v>
      </c>
      <c r="I310" s="14">
        <f t="shared" si="13"/>
        <v>96.412459720730396</v>
      </c>
      <c r="J310" s="14">
        <f t="shared" si="14"/>
        <v>91.527466850353022</v>
      </c>
    </row>
    <row r="311" spans="1:10">
      <c r="A311" s="100">
        <v>39664</v>
      </c>
      <c r="B311">
        <v>124.99</v>
      </c>
      <c r="C311">
        <v>44.43</v>
      </c>
      <c r="D311">
        <v>52.95</v>
      </c>
      <c r="G311" s="100">
        <v>39664</v>
      </c>
      <c r="H311" s="14">
        <f t="shared" si="12"/>
        <v>82.447229551451187</v>
      </c>
      <c r="I311" s="14">
        <f t="shared" si="13"/>
        <v>95.445757250268542</v>
      </c>
      <c r="J311" s="14">
        <f t="shared" si="14"/>
        <v>91.183054933700717</v>
      </c>
    </row>
    <row r="312" spans="1:10">
      <c r="A312" s="100">
        <v>39665</v>
      </c>
      <c r="B312">
        <v>128.36000000000001</v>
      </c>
      <c r="C312">
        <v>45.93</v>
      </c>
      <c r="D312">
        <v>54.33</v>
      </c>
      <c r="G312" s="100">
        <v>39665</v>
      </c>
      <c r="H312" s="14">
        <f t="shared" si="12"/>
        <v>84.670184696569933</v>
      </c>
      <c r="I312" s="14">
        <f t="shared" si="13"/>
        <v>98.66809881847476</v>
      </c>
      <c r="J312" s="14">
        <f t="shared" si="14"/>
        <v>93.559497158601673</v>
      </c>
    </row>
    <row r="313" spans="1:10">
      <c r="A313" s="100">
        <v>39666</v>
      </c>
      <c r="B313">
        <v>128.93</v>
      </c>
      <c r="C313">
        <v>46.63</v>
      </c>
      <c r="D313">
        <v>55.15</v>
      </c>
      <c r="G313" s="100">
        <v>39666</v>
      </c>
      <c r="H313" s="14">
        <f t="shared" si="12"/>
        <v>85.046174142480226</v>
      </c>
      <c r="I313" s="14">
        <f t="shared" si="13"/>
        <v>100.171858216971</v>
      </c>
      <c r="J313" s="14">
        <f t="shared" si="14"/>
        <v>94.971586016876188</v>
      </c>
    </row>
    <row r="314" spans="1:10">
      <c r="A314" s="100">
        <v>39667</v>
      </c>
      <c r="B314">
        <v>127.01</v>
      </c>
      <c r="C314">
        <v>46.27</v>
      </c>
      <c r="D314">
        <v>55.24</v>
      </c>
      <c r="G314" s="100">
        <v>39667</v>
      </c>
      <c r="H314" s="14">
        <f t="shared" si="12"/>
        <v>83.779683377308714</v>
      </c>
      <c r="I314" s="14">
        <f t="shared" si="13"/>
        <v>99.398496240601517</v>
      </c>
      <c r="J314" s="14">
        <f t="shared" si="14"/>
        <v>95.126571379369722</v>
      </c>
    </row>
    <row r="315" spans="1:10">
      <c r="A315" s="100">
        <v>39668</v>
      </c>
      <c r="B315">
        <v>129.37</v>
      </c>
      <c r="C315">
        <v>47.32</v>
      </c>
      <c r="D315">
        <v>56.26</v>
      </c>
      <c r="G315" s="100">
        <v>39668</v>
      </c>
      <c r="H315" s="14">
        <f t="shared" si="12"/>
        <v>85.336411609498683</v>
      </c>
      <c r="I315" s="14">
        <f t="shared" si="13"/>
        <v>101.65413533834587</v>
      </c>
      <c r="J315" s="14">
        <f t="shared" si="14"/>
        <v>96.883072154296528</v>
      </c>
    </row>
    <row r="316" spans="1:10">
      <c r="A316" s="100">
        <v>39671</v>
      </c>
      <c r="B316">
        <v>130.71</v>
      </c>
      <c r="C316">
        <v>47.75</v>
      </c>
      <c r="D316">
        <v>56.64</v>
      </c>
      <c r="G316" s="100">
        <v>39671</v>
      </c>
      <c r="H316" s="14">
        <f t="shared" si="12"/>
        <v>86.2203166226913</v>
      </c>
      <c r="I316" s="14">
        <f t="shared" si="13"/>
        <v>102.57787325456501</v>
      </c>
      <c r="J316" s="14">
        <f t="shared" si="14"/>
        <v>97.537454795935943</v>
      </c>
    </row>
    <row r="317" spans="1:10">
      <c r="A317" s="100">
        <v>39672</v>
      </c>
      <c r="B317">
        <v>129.35</v>
      </c>
      <c r="C317">
        <v>47.8</v>
      </c>
      <c r="D317">
        <v>56.69</v>
      </c>
      <c r="G317" s="100">
        <v>39672</v>
      </c>
      <c r="H317" s="14">
        <f t="shared" si="12"/>
        <v>85.323218997361465</v>
      </c>
      <c r="I317" s="14">
        <f t="shared" si="13"/>
        <v>102.68528464017186</v>
      </c>
      <c r="J317" s="14">
        <f t="shared" si="14"/>
        <v>97.623557775099016</v>
      </c>
    </row>
    <row r="318" spans="1:10">
      <c r="A318" s="100">
        <v>39673</v>
      </c>
      <c r="B318">
        <v>128.57</v>
      </c>
      <c r="C318">
        <v>47.7</v>
      </c>
      <c r="D318">
        <v>56.66</v>
      </c>
      <c r="G318" s="100">
        <v>39673</v>
      </c>
      <c r="H318" s="14">
        <f t="shared" si="12"/>
        <v>84.808707124010553</v>
      </c>
      <c r="I318" s="14">
        <f t="shared" si="13"/>
        <v>102.47046186895813</v>
      </c>
      <c r="J318" s="14">
        <f t="shared" si="14"/>
        <v>97.571895987601167</v>
      </c>
    </row>
    <row r="319" spans="1:10">
      <c r="A319" s="100">
        <v>39674</v>
      </c>
      <c r="B319">
        <v>129.54</v>
      </c>
      <c r="C319">
        <v>48.25</v>
      </c>
      <c r="D319">
        <v>57.01</v>
      </c>
      <c r="G319" s="100">
        <v>39674</v>
      </c>
      <c r="H319" s="14">
        <f t="shared" si="12"/>
        <v>85.44854881266491</v>
      </c>
      <c r="I319" s="14">
        <f t="shared" si="13"/>
        <v>103.65198711063373</v>
      </c>
      <c r="J319" s="14">
        <f t="shared" si="14"/>
        <v>98.174616841742719</v>
      </c>
    </row>
    <row r="320" spans="1:10">
      <c r="A320" s="100">
        <v>39675</v>
      </c>
      <c r="B320">
        <v>130.16999999999999</v>
      </c>
      <c r="C320">
        <v>48.16</v>
      </c>
      <c r="D320">
        <v>57.04</v>
      </c>
      <c r="G320" s="100">
        <v>39675</v>
      </c>
      <c r="H320" s="14">
        <f t="shared" si="12"/>
        <v>85.864116094986798</v>
      </c>
      <c r="I320" s="14">
        <f t="shared" si="13"/>
        <v>103.45864661654136</v>
      </c>
      <c r="J320" s="14">
        <f t="shared" si="14"/>
        <v>98.226278629240568</v>
      </c>
    </row>
    <row r="321" spans="1:10">
      <c r="A321" s="100">
        <v>39678</v>
      </c>
      <c r="B321">
        <v>128.38999999999999</v>
      </c>
      <c r="C321">
        <v>47.6</v>
      </c>
      <c r="D321">
        <v>56.31</v>
      </c>
      <c r="G321" s="100">
        <v>39678</v>
      </c>
      <c r="H321" s="14">
        <f t="shared" si="12"/>
        <v>84.68997361477571</v>
      </c>
      <c r="I321" s="14">
        <f t="shared" si="13"/>
        <v>102.25563909774438</v>
      </c>
      <c r="J321" s="14">
        <f t="shared" si="14"/>
        <v>96.969175133459615</v>
      </c>
    </row>
    <row r="322" spans="1:10">
      <c r="A322" s="100">
        <v>39679</v>
      </c>
      <c r="B322">
        <v>126.99</v>
      </c>
      <c r="C322">
        <v>47.01</v>
      </c>
      <c r="D322">
        <v>55.47</v>
      </c>
      <c r="G322" s="100">
        <v>39679</v>
      </c>
      <c r="H322" s="14">
        <f t="shared" si="12"/>
        <v>83.766490765171511</v>
      </c>
      <c r="I322" s="14">
        <f t="shared" si="13"/>
        <v>100.98818474758325</v>
      </c>
      <c r="J322" s="14">
        <f t="shared" si="14"/>
        <v>95.52264508351989</v>
      </c>
    </row>
    <row r="323" spans="1:10">
      <c r="A323" s="100">
        <v>39680</v>
      </c>
      <c r="B323">
        <v>127.58</v>
      </c>
      <c r="C323">
        <v>47.09</v>
      </c>
      <c r="D323">
        <v>55.64</v>
      </c>
      <c r="G323" s="100">
        <v>39680</v>
      </c>
      <c r="H323" s="14">
        <f t="shared" si="12"/>
        <v>84.155672823218993</v>
      </c>
      <c r="I323" s="14">
        <f t="shared" si="13"/>
        <v>101.16004296455425</v>
      </c>
      <c r="J323" s="14">
        <f t="shared" si="14"/>
        <v>95.81539521267436</v>
      </c>
    </row>
    <row r="324" spans="1:10">
      <c r="A324" s="100">
        <v>39681</v>
      </c>
      <c r="B324">
        <v>127.8</v>
      </c>
      <c r="C324">
        <v>46.87</v>
      </c>
      <c r="D324">
        <v>55.62</v>
      </c>
      <c r="G324" s="100">
        <v>39681</v>
      </c>
      <c r="H324" s="14">
        <f t="shared" si="12"/>
        <v>84.300791556728242</v>
      </c>
      <c r="I324" s="14">
        <f t="shared" si="13"/>
        <v>100.687432867884</v>
      </c>
      <c r="J324" s="14">
        <f t="shared" si="14"/>
        <v>95.780954021009123</v>
      </c>
    </row>
    <row r="325" spans="1:10">
      <c r="A325" s="100">
        <v>39682</v>
      </c>
      <c r="B325">
        <v>129.65</v>
      </c>
      <c r="C325">
        <v>47.49</v>
      </c>
      <c r="D325">
        <v>56.38</v>
      </c>
      <c r="G325" s="100">
        <v>39682</v>
      </c>
      <c r="H325" s="14">
        <f t="shared" ref="H325:H388" si="15">B325/$B$4*100</f>
        <v>85.521108179419542</v>
      </c>
      <c r="I325" s="14">
        <f t="shared" ref="I325:I388" si="16">C325/$C$4*100</f>
        <v>102.01933404940924</v>
      </c>
      <c r="J325" s="14">
        <f t="shared" ref="J325:J388" si="17">D325/$D$4*100</f>
        <v>97.089719304287939</v>
      </c>
    </row>
    <row r="326" spans="1:10">
      <c r="A326" s="100">
        <v>39685</v>
      </c>
      <c r="B326">
        <v>127.02</v>
      </c>
      <c r="C326">
        <v>46.49</v>
      </c>
      <c r="D326">
        <v>55.42</v>
      </c>
      <c r="G326" s="100">
        <v>39685</v>
      </c>
      <c r="H326" s="14">
        <f t="shared" si="15"/>
        <v>83.786279683377302</v>
      </c>
      <c r="I326" s="14">
        <f t="shared" si="16"/>
        <v>99.871106337271769</v>
      </c>
      <c r="J326" s="14">
        <f t="shared" si="17"/>
        <v>95.436542104356818</v>
      </c>
    </row>
    <row r="327" spans="1:10">
      <c r="A327" s="100">
        <v>39686</v>
      </c>
      <c r="B327">
        <v>127.39</v>
      </c>
      <c r="C327">
        <v>46.43</v>
      </c>
      <c r="D327">
        <v>55.16</v>
      </c>
      <c r="G327" s="100">
        <v>39686</v>
      </c>
      <c r="H327" s="14">
        <f t="shared" si="15"/>
        <v>84.030343007915576</v>
      </c>
      <c r="I327" s="14">
        <f t="shared" si="16"/>
        <v>99.742212674543509</v>
      </c>
      <c r="J327" s="14">
        <f t="shared" si="17"/>
        <v>94.9888066127088</v>
      </c>
    </row>
    <row r="328" spans="1:10">
      <c r="A328" s="100">
        <v>39687</v>
      </c>
      <c r="B328">
        <v>128.63</v>
      </c>
      <c r="C328">
        <v>46.73</v>
      </c>
      <c r="D328">
        <v>55.55</v>
      </c>
      <c r="G328" s="100">
        <v>39687</v>
      </c>
      <c r="H328" s="14">
        <f t="shared" si="15"/>
        <v>84.848284960422163</v>
      </c>
      <c r="I328" s="14">
        <f t="shared" si="16"/>
        <v>100.38668098818475</v>
      </c>
      <c r="J328" s="14">
        <f t="shared" si="17"/>
        <v>95.660409850180812</v>
      </c>
    </row>
    <row r="329" spans="1:10">
      <c r="A329" s="100">
        <v>39688</v>
      </c>
      <c r="B329">
        <v>130.19</v>
      </c>
      <c r="C329">
        <v>47.11</v>
      </c>
      <c r="D329">
        <v>56.11</v>
      </c>
      <c r="G329" s="100">
        <v>39688</v>
      </c>
      <c r="H329" s="14">
        <f t="shared" si="15"/>
        <v>85.877308707124016</v>
      </c>
      <c r="I329" s="14">
        <f t="shared" si="16"/>
        <v>101.20300751879701</v>
      </c>
      <c r="J329" s="14">
        <f t="shared" si="17"/>
        <v>96.624763216807295</v>
      </c>
    </row>
    <row r="330" spans="1:10">
      <c r="A330" s="100">
        <v>39689</v>
      </c>
      <c r="B330">
        <v>128.79</v>
      </c>
      <c r="C330">
        <v>46.12</v>
      </c>
      <c r="D330">
        <v>54.8</v>
      </c>
      <c r="G330" s="100">
        <v>39689</v>
      </c>
      <c r="H330" s="14">
        <f t="shared" si="15"/>
        <v>84.953825857519789</v>
      </c>
      <c r="I330" s="14">
        <f t="shared" si="16"/>
        <v>99.07626208378089</v>
      </c>
      <c r="J330" s="14">
        <f t="shared" si="17"/>
        <v>94.368865162734622</v>
      </c>
    </row>
    <row r="331" spans="1:10">
      <c r="A331" s="100">
        <v>39693</v>
      </c>
      <c r="B331">
        <v>127.99</v>
      </c>
      <c r="C331">
        <v>45.55</v>
      </c>
      <c r="D331">
        <v>53.92</v>
      </c>
      <c r="G331" s="100">
        <v>39693</v>
      </c>
      <c r="H331" s="14">
        <f t="shared" si="15"/>
        <v>84.426121372031659</v>
      </c>
      <c r="I331" s="14">
        <f t="shared" si="16"/>
        <v>97.851772287862516</v>
      </c>
      <c r="J331" s="14">
        <f t="shared" si="17"/>
        <v>92.85345272946445</v>
      </c>
    </row>
    <row r="332" spans="1:10">
      <c r="A332" s="100">
        <v>39694</v>
      </c>
      <c r="B332">
        <v>127.88</v>
      </c>
      <c r="C332">
        <v>45.12</v>
      </c>
      <c r="D332">
        <v>52.97</v>
      </c>
      <c r="G332" s="100">
        <v>39694</v>
      </c>
      <c r="H332" s="14">
        <f t="shared" si="15"/>
        <v>84.353562005277055</v>
      </c>
      <c r="I332" s="14">
        <f t="shared" si="16"/>
        <v>96.928034371643392</v>
      </c>
      <c r="J332" s="14">
        <f t="shared" si="17"/>
        <v>91.21749612536594</v>
      </c>
    </row>
    <row r="333" spans="1:10">
      <c r="A333" s="100">
        <v>39695</v>
      </c>
      <c r="B333">
        <v>124.03</v>
      </c>
      <c r="C333">
        <v>43.66</v>
      </c>
      <c r="D333">
        <v>51.33</v>
      </c>
      <c r="G333" s="100">
        <v>39695</v>
      </c>
      <c r="H333" s="14">
        <f t="shared" si="15"/>
        <v>81.813984168865446</v>
      </c>
      <c r="I333" s="14">
        <f t="shared" si="16"/>
        <v>93.791621911922661</v>
      </c>
      <c r="J333" s="14">
        <f t="shared" si="17"/>
        <v>88.393318408816953</v>
      </c>
    </row>
    <row r="334" spans="1:10">
      <c r="A334" s="100">
        <v>39696</v>
      </c>
      <c r="B334">
        <v>124.42</v>
      </c>
      <c r="C334">
        <v>43.45</v>
      </c>
      <c r="D334">
        <v>51.15</v>
      </c>
      <c r="G334" s="100">
        <v>39696</v>
      </c>
      <c r="H334" s="14">
        <f t="shared" si="15"/>
        <v>82.071240105540895</v>
      </c>
      <c r="I334" s="14">
        <f t="shared" si="16"/>
        <v>93.340494092373802</v>
      </c>
      <c r="J334" s="14">
        <f t="shared" si="17"/>
        <v>88.083347683829857</v>
      </c>
    </row>
    <row r="335" spans="1:10">
      <c r="A335" s="100">
        <v>39699</v>
      </c>
      <c r="B335">
        <v>126.99</v>
      </c>
      <c r="C335">
        <v>43.37</v>
      </c>
      <c r="D335">
        <v>51.36</v>
      </c>
      <c r="G335" s="100">
        <v>39699</v>
      </c>
      <c r="H335" s="14">
        <f t="shared" si="15"/>
        <v>83.766490765171511</v>
      </c>
      <c r="I335" s="14">
        <f t="shared" si="16"/>
        <v>93.168635875402799</v>
      </c>
      <c r="J335" s="14">
        <f t="shared" si="17"/>
        <v>88.444980196314788</v>
      </c>
    </row>
    <row r="336" spans="1:10">
      <c r="A336" s="100">
        <v>39700</v>
      </c>
      <c r="B336">
        <v>123.22</v>
      </c>
      <c r="C336">
        <v>42.45</v>
      </c>
      <c r="D336">
        <v>50.3</v>
      </c>
      <c r="G336" s="100">
        <v>39700</v>
      </c>
      <c r="H336" s="14">
        <f t="shared" si="15"/>
        <v>81.279683377308714</v>
      </c>
      <c r="I336" s="14">
        <f t="shared" si="16"/>
        <v>91.192266380236319</v>
      </c>
      <c r="J336" s="14">
        <f t="shared" si="17"/>
        <v>86.61959703805752</v>
      </c>
    </row>
    <row r="337" spans="1:10">
      <c r="A337" s="100">
        <v>39701</v>
      </c>
      <c r="B337">
        <v>123.72</v>
      </c>
      <c r="C337">
        <v>42.8</v>
      </c>
      <c r="D337">
        <v>50.6</v>
      </c>
      <c r="G337" s="100">
        <v>39701</v>
      </c>
      <c r="H337" s="14">
        <f t="shared" si="15"/>
        <v>81.609498680738795</v>
      </c>
      <c r="I337" s="14">
        <f t="shared" si="16"/>
        <v>91.944146079484426</v>
      </c>
      <c r="J337" s="14">
        <f t="shared" si="17"/>
        <v>87.136214913035985</v>
      </c>
    </row>
    <row r="338" spans="1:10">
      <c r="A338" s="100">
        <v>39702</v>
      </c>
      <c r="B338">
        <v>125.51</v>
      </c>
      <c r="C338">
        <v>43.6</v>
      </c>
      <c r="D338">
        <v>51.22</v>
      </c>
      <c r="G338" s="100">
        <v>39702</v>
      </c>
      <c r="H338" s="14">
        <f t="shared" si="15"/>
        <v>82.790237467018486</v>
      </c>
      <c r="I338" s="14">
        <f t="shared" si="16"/>
        <v>93.66272824919443</v>
      </c>
      <c r="J338" s="14">
        <f t="shared" si="17"/>
        <v>88.203891854658167</v>
      </c>
    </row>
    <row r="339" spans="1:10">
      <c r="A339" s="100">
        <v>39703</v>
      </c>
      <c r="B339">
        <v>126.09</v>
      </c>
      <c r="C339">
        <v>43.43</v>
      </c>
      <c r="D339">
        <v>51.3</v>
      </c>
      <c r="G339" s="100">
        <v>39703</v>
      </c>
      <c r="H339" s="14">
        <f t="shared" si="15"/>
        <v>83.172823218997365</v>
      </c>
      <c r="I339" s="14">
        <f t="shared" si="16"/>
        <v>93.297529538131059</v>
      </c>
      <c r="J339" s="14">
        <f t="shared" si="17"/>
        <v>88.341656621319089</v>
      </c>
    </row>
    <row r="340" spans="1:10">
      <c r="A340" s="100">
        <v>39706</v>
      </c>
      <c r="B340">
        <v>120.09</v>
      </c>
      <c r="C340">
        <v>42.08</v>
      </c>
      <c r="D340">
        <v>49.45</v>
      </c>
      <c r="G340" s="100">
        <v>39706</v>
      </c>
      <c r="H340" s="14">
        <f t="shared" si="15"/>
        <v>79.215039577836421</v>
      </c>
      <c r="I340" s="14">
        <f t="shared" si="16"/>
        <v>90.39742212674544</v>
      </c>
      <c r="J340" s="14">
        <f t="shared" si="17"/>
        <v>85.15584639228517</v>
      </c>
    </row>
    <row r="341" spans="1:10">
      <c r="A341" s="100">
        <v>39707</v>
      </c>
      <c r="B341">
        <v>122.1</v>
      </c>
      <c r="C341">
        <v>42.41</v>
      </c>
      <c r="D341">
        <v>49.54</v>
      </c>
      <c r="G341" s="100">
        <v>39707</v>
      </c>
      <c r="H341" s="14">
        <f t="shared" si="15"/>
        <v>80.540897097625333</v>
      </c>
      <c r="I341" s="14">
        <f t="shared" si="16"/>
        <v>91.106337271750803</v>
      </c>
      <c r="J341" s="14">
        <f t="shared" si="17"/>
        <v>85.310831754778718</v>
      </c>
    </row>
    <row r="342" spans="1:10">
      <c r="A342" s="100">
        <v>39708</v>
      </c>
      <c r="B342">
        <v>116.61</v>
      </c>
      <c r="C342">
        <v>40.21</v>
      </c>
      <c r="D342">
        <v>47.35</v>
      </c>
      <c r="G342" s="100">
        <v>39708</v>
      </c>
      <c r="H342" s="14">
        <f t="shared" si="15"/>
        <v>76.919525065963072</v>
      </c>
      <c r="I342" s="14">
        <f t="shared" si="16"/>
        <v>86.380236305048342</v>
      </c>
      <c r="J342" s="14">
        <f t="shared" si="17"/>
        <v>81.539521267435859</v>
      </c>
    </row>
    <row r="343" spans="1:10">
      <c r="A343" s="100">
        <v>39709</v>
      </c>
      <c r="B343">
        <v>120.07</v>
      </c>
      <c r="C343">
        <v>41.57</v>
      </c>
      <c r="D343">
        <v>48.94</v>
      </c>
      <c r="G343" s="100">
        <v>39709</v>
      </c>
      <c r="H343" s="14">
        <f t="shared" si="15"/>
        <v>79.201846965699204</v>
      </c>
      <c r="I343" s="14">
        <f t="shared" si="16"/>
        <v>89.301825993555326</v>
      </c>
      <c r="J343" s="14">
        <f t="shared" si="17"/>
        <v>84.27759600482176</v>
      </c>
    </row>
    <row r="344" spans="1:10">
      <c r="A344" s="100">
        <v>39710</v>
      </c>
      <c r="B344">
        <v>124.12</v>
      </c>
      <c r="C344">
        <v>42.9</v>
      </c>
      <c r="D344">
        <v>50.42</v>
      </c>
      <c r="G344" s="100">
        <v>39710</v>
      </c>
      <c r="H344" s="14">
        <f t="shared" si="15"/>
        <v>81.87335092348286</v>
      </c>
      <c r="I344" s="14">
        <f t="shared" si="16"/>
        <v>92.158968850698173</v>
      </c>
      <c r="J344" s="14">
        <f t="shared" si="17"/>
        <v>86.826244188048904</v>
      </c>
    </row>
    <row r="345" spans="1:10">
      <c r="A345" s="100">
        <v>39713</v>
      </c>
      <c r="B345">
        <v>121.31</v>
      </c>
      <c r="C345">
        <v>40.880000000000003</v>
      </c>
      <c r="D345">
        <v>48.7</v>
      </c>
      <c r="G345" s="100">
        <v>39713</v>
      </c>
      <c r="H345" s="14">
        <f t="shared" si="15"/>
        <v>80.019788918205819</v>
      </c>
      <c r="I345" s="14">
        <f t="shared" si="16"/>
        <v>87.819548872180462</v>
      </c>
      <c r="J345" s="14">
        <f t="shared" si="17"/>
        <v>83.864301704838994</v>
      </c>
    </row>
    <row r="346" spans="1:10">
      <c r="A346" s="100">
        <v>39714</v>
      </c>
      <c r="B346">
        <v>118.55</v>
      </c>
      <c r="C346">
        <v>40.57</v>
      </c>
      <c r="D346">
        <v>48.44</v>
      </c>
      <c r="G346" s="100">
        <v>39714</v>
      </c>
      <c r="H346" s="14">
        <f t="shared" si="15"/>
        <v>78.199208443271772</v>
      </c>
      <c r="I346" s="14">
        <f t="shared" si="16"/>
        <v>87.153598281417828</v>
      </c>
      <c r="J346" s="14">
        <f t="shared" si="17"/>
        <v>83.416566213190961</v>
      </c>
    </row>
    <row r="347" spans="1:10">
      <c r="A347" s="100">
        <v>39715</v>
      </c>
      <c r="B347">
        <v>118.93</v>
      </c>
      <c r="C347">
        <v>40.85</v>
      </c>
      <c r="D347">
        <v>48.66</v>
      </c>
      <c r="G347" s="100">
        <v>39715</v>
      </c>
      <c r="H347" s="14">
        <f t="shared" si="15"/>
        <v>78.449868073878633</v>
      </c>
      <c r="I347" s="14">
        <f t="shared" si="16"/>
        <v>87.75510204081634</v>
      </c>
      <c r="J347" s="14">
        <f t="shared" si="17"/>
        <v>83.795419321508518</v>
      </c>
    </row>
    <row r="348" spans="1:10">
      <c r="A348" s="100">
        <v>39716</v>
      </c>
      <c r="B348">
        <v>120.79</v>
      </c>
      <c r="C348">
        <v>41.5</v>
      </c>
      <c r="D348">
        <v>49.7</v>
      </c>
      <c r="G348" s="100">
        <v>39716</v>
      </c>
      <c r="H348" s="14">
        <f t="shared" si="15"/>
        <v>79.676781002638535</v>
      </c>
      <c r="I348" s="14">
        <f t="shared" si="16"/>
        <v>89.151450053705688</v>
      </c>
      <c r="J348" s="14">
        <f t="shared" si="17"/>
        <v>85.586361288100576</v>
      </c>
    </row>
    <row r="349" spans="1:10">
      <c r="A349" s="100">
        <v>39717</v>
      </c>
      <c r="B349">
        <v>120.85</v>
      </c>
      <c r="C349">
        <v>41.08</v>
      </c>
      <c r="D349">
        <v>49.79</v>
      </c>
      <c r="G349" s="100">
        <v>39717</v>
      </c>
      <c r="H349" s="14">
        <f t="shared" si="15"/>
        <v>79.71635883905013</v>
      </c>
      <c r="I349" s="14">
        <f t="shared" si="16"/>
        <v>88.249194414607942</v>
      </c>
      <c r="J349" s="14">
        <f t="shared" si="17"/>
        <v>85.74134665059411</v>
      </c>
    </row>
    <row r="350" spans="1:10">
      <c r="A350" s="100">
        <v>39720</v>
      </c>
      <c r="B350">
        <v>111.38</v>
      </c>
      <c r="C350">
        <v>37.82</v>
      </c>
      <c r="D350">
        <v>45.62</v>
      </c>
      <c r="G350" s="100">
        <v>39720</v>
      </c>
      <c r="H350" s="14">
        <f t="shared" si="15"/>
        <v>73.469656992084424</v>
      </c>
      <c r="I350" s="14">
        <f t="shared" si="16"/>
        <v>81.245972073039752</v>
      </c>
      <c r="J350" s="14">
        <f t="shared" si="17"/>
        <v>78.560358188393309</v>
      </c>
    </row>
    <row r="351" spans="1:10">
      <c r="A351" s="100">
        <v>39721</v>
      </c>
      <c r="B351">
        <v>115.99</v>
      </c>
      <c r="C351">
        <v>38.909999999999997</v>
      </c>
      <c r="D351">
        <v>47.43</v>
      </c>
      <c r="G351" s="100">
        <v>39721</v>
      </c>
      <c r="H351" s="14">
        <f t="shared" si="15"/>
        <v>76.510554089709757</v>
      </c>
      <c r="I351" s="14">
        <f t="shared" si="16"/>
        <v>83.587540279269604</v>
      </c>
      <c r="J351" s="14">
        <f t="shared" si="17"/>
        <v>81.677286034096781</v>
      </c>
    </row>
    <row r="352" spans="1:10">
      <c r="A352" s="100">
        <v>39722</v>
      </c>
      <c r="B352">
        <v>116.06</v>
      </c>
      <c r="C352">
        <v>38.5</v>
      </c>
      <c r="D352">
        <v>46.8</v>
      </c>
      <c r="G352" s="100">
        <v>39722</v>
      </c>
      <c r="H352" s="14">
        <f t="shared" si="15"/>
        <v>76.556728232189968</v>
      </c>
      <c r="I352" s="14">
        <f t="shared" si="16"/>
        <v>82.706766917293237</v>
      </c>
      <c r="J352" s="14">
        <f t="shared" si="17"/>
        <v>80.592388496641973</v>
      </c>
    </row>
    <row r="353" spans="1:10">
      <c r="A353" s="100">
        <v>39723</v>
      </c>
      <c r="B353">
        <v>111.85</v>
      </c>
      <c r="C353">
        <v>36.75</v>
      </c>
      <c r="D353">
        <v>44.68</v>
      </c>
      <c r="G353" s="100">
        <v>39723</v>
      </c>
      <c r="H353" s="14">
        <f t="shared" si="15"/>
        <v>73.7796833773087</v>
      </c>
      <c r="I353" s="14">
        <f t="shared" si="16"/>
        <v>78.94736842105263</v>
      </c>
      <c r="J353" s="14">
        <f t="shared" si="17"/>
        <v>76.941622180127439</v>
      </c>
    </row>
    <row r="354" spans="1:10">
      <c r="A354" s="100">
        <v>39724</v>
      </c>
      <c r="B354">
        <v>110.34</v>
      </c>
      <c r="C354">
        <v>36.18</v>
      </c>
      <c r="D354">
        <v>44.06</v>
      </c>
      <c r="G354" s="100">
        <v>39724</v>
      </c>
      <c r="H354" s="14">
        <f t="shared" si="15"/>
        <v>72.78364116094987</v>
      </c>
      <c r="I354" s="14">
        <f t="shared" si="16"/>
        <v>77.722878625134271</v>
      </c>
      <c r="J354" s="14">
        <f t="shared" si="17"/>
        <v>75.873945238505257</v>
      </c>
    </row>
    <row r="355" spans="1:10">
      <c r="A355" s="100">
        <v>39727</v>
      </c>
      <c r="B355">
        <v>104.72</v>
      </c>
      <c r="C355">
        <v>34.86</v>
      </c>
      <c r="D355">
        <v>42.43</v>
      </c>
      <c r="G355" s="100">
        <v>39727</v>
      </c>
      <c r="H355" s="14">
        <f t="shared" si="15"/>
        <v>69.076517150395773</v>
      </c>
      <c r="I355" s="14">
        <f t="shared" si="16"/>
        <v>74.887218045112775</v>
      </c>
      <c r="J355" s="14">
        <f t="shared" si="17"/>
        <v>73.066988117788881</v>
      </c>
    </row>
    <row r="356" spans="1:10">
      <c r="A356" s="100">
        <v>39728</v>
      </c>
      <c r="B356">
        <v>100.03</v>
      </c>
      <c r="C356">
        <v>32.65</v>
      </c>
      <c r="D356">
        <v>39.770000000000003</v>
      </c>
      <c r="G356" s="100">
        <v>39728</v>
      </c>
      <c r="H356" s="14">
        <f t="shared" si="15"/>
        <v>65.982849604221641</v>
      </c>
      <c r="I356" s="14">
        <f t="shared" si="16"/>
        <v>70.139634801288935</v>
      </c>
      <c r="J356" s="14">
        <f t="shared" si="17"/>
        <v>68.486309626313073</v>
      </c>
    </row>
    <row r="357" spans="1:10">
      <c r="A357" s="100">
        <v>39729</v>
      </c>
      <c r="B357">
        <v>97.51</v>
      </c>
      <c r="C357">
        <v>32.39</v>
      </c>
      <c r="D357">
        <v>39.479999999999997</v>
      </c>
      <c r="G357" s="100">
        <v>39729</v>
      </c>
      <c r="H357" s="14">
        <f t="shared" si="15"/>
        <v>64.320580474934047</v>
      </c>
      <c r="I357" s="14">
        <f t="shared" si="16"/>
        <v>69.581095596133196</v>
      </c>
      <c r="J357" s="14">
        <f t="shared" si="17"/>
        <v>67.986912347167205</v>
      </c>
    </row>
    <row r="358" spans="1:10">
      <c r="A358" s="100">
        <v>39730</v>
      </c>
      <c r="B358">
        <v>90.7</v>
      </c>
      <c r="C358">
        <v>31.52</v>
      </c>
      <c r="D358">
        <v>38.39</v>
      </c>
      <c r="G358" s="100">
        <v>39730</v>
      </c>
      <c r="H358" s="14">
        <f t="shared" si="15"/>
        <v>59.828496042216358</v>
      </c>
      <c r="I358" s="14">
        <f t="shared" si="16"/>
        <v>67.712137486573582</v>
      </c>
      <c r="J358" s="14">
        <f t="shared" si="17"/>
        <v>66.109867401412089</v>
      </c>
    </row>
    <row r="359" spans="1:10">
      <c r="A359" s="100">
        <v>39731</v>
      </c>
      <c r="B359">
        <v>88.5</v>
      </c>
      <c r="C359">
        <v>31.32</v>
      </c>
      <c r="D359">
        <v>38.090000000000003</v>
      </c>
      <c r="G359" s="100">
        <v>39731</v>
      </c>
      <c r="H359" s="14">
        <f t="shared" si="15"/>
        <v>58.377308707124008</v>
      </c>
      <c r="I359" s="14">
        <f t="shared" si="16"/>
        <v>67.282491944146088</v>
      </c>
      <c r="J359" s="14">
        <f t="shared" si="17"/>
        <v>65.593249526433624</v>
      </c>
    </row>
    <row r="360" spans="1:10">
      <c r="A360" s="100">
        <v>39734</v>
      </c>
      <c r="B360">
        <v>101.35</v>
      </c>
      <c r="C360">
        <v>35.130000000000003</v>
      </c>
      <c r="D360">
        <v>42.15</v>
      </c>
      <c r="G360" s="100">
        <v>39734</v>
      </c>
      <c r="H360" s="14">
        <f t="shared" si="15"/>
        <v>66.853562005277041</v>
      </c>
      <c r="I360" s="14">
        <f t="shared" si="16"/>
        <v>75.467239527389921</v>
      </c>
      <c r="J360" s="14">
        <f t="shared" si="17"/>
        <v>72.584811434475625</v>
      </c>
    </row>
    <row r="361" spans="1:10">
      <c r="A361" s="100">
        <v>39735</v>
      </c>
      <c r="B361">
        <v>99.85</v>
      </c>
      <c r="C361">
        <v>33.61</v>
      </c>
      <c r="D361">
        <v>40.590000000000003</v>
      </c>
      <c r="G361" s="100">
        <v>39735</v>
      </c>
      <c r="H361" s="14">
        <f t="shared" si="15"/>
        <v>65.864116094986798</v>
      </c>
      <c r="I361" s="14">
        <f t="shared" si="16"/>
        <v>72.201933404940931</v>
      </c>
      <c r="J361" s="14">
        <f t="shared" si="17"/>
        <v>69.898398484587574</v>
      </c>
    </row>
    <row r="362" spans="1:10">
      <c r="A362" s="100">
        <v>39736</v>
      </c>
      <c r="B362">
        <v>90.02</v>
      </c>
      <c r="C362">
        <v>30.6</v>
      </c>
      <c r="D362">
        <v>37.590000000000003</v>
      </c>
      <c r="G362" s="100">
        <v>39736</v>
      </c>
      <c r="H362" s="14">
        <f t="shared" si="15"/>
        <v>59.379947229551455</v>
      </c>
      <c r="I362" s="14">
        <f t="shared" si="16"/>
        <v>65.735767991407101</v>
      </c>
      <c r="J362" s="14">
        <f t="shared" si="17"/>
        <v>64.732219734802825</v>
      </c>
    </row>
    <row r="363" spans="1:10">
      <c r="A363" s="100">
        <v>39737</v>
      </c>
      <c r="B363">
        <v>93.77</v>
      </c>
      <c r="C363">
        <v>32.26</v>
      </c>
      <c r="D363">
        <v>39.44</v>
      </c>
      <c r="G363" s="100">
        <v>39737</v>
      </c>
      <c r="H363" s="14">
        <f t="shared" si="15"/>
        <v>61.853562005277041</v>
      </c>
      <c r="I363" s="14">
        <f t="shared" si="16"/>
        <v>69.301825993555326</v>
      </c>
      <c r="J363" s="14">
        <f t="shared" si="17"/>
        <v>67.918029963836744</v>
      </c>
    </row>
    <row r="364" spans="1:10">
      <c r="A364" s="100">
        <v>39738</v>
      </c>
      <c r="B364">
        <v>93.21</v>
      </c>
      <c r="C364">
        <v>32.299999999999997</v>
      </c>
      <c r="D364">
        <v>39.299999999999997</v>
      </c>
      <c r="G364" s="100">
        <v>39738</v>
      </c>
      <c r="H364" s="14">
        <f t="shared" si="15"/>
        <v>61.48416886543535</v>
      </c>
      <c r="I364" s="14">
        <f t="shared" si="16"/>
        <v>69.387755102040813</v>
      </c>
      <c r="J364" s="14">
        <f t="shared" si="17"/>
        <v>67.676941622180124</v>
      </c>
    </row>
    <row r="365" spans="1:10">
      <c r="A365" s="100">
        <v>39741</v>
      </c>
      <c r="B365">
        <v>98.81</v>
      </c>
      <c r="C365">
        <v>33.200000000000003</v>
      </c>
      <c r="D365">
        <v>40.61</v>
      </c>
      <c r="G365" s="100">
        <v>39741</v>
      </c>
      <c r="H365" s="14">
        <f t="shared" si="15"/>
        <v>65.178100263852244</v>
      </c>
      <c r="I365" s="14">
        <f t="shared" si="16"/>
        <v>71.321160042964564</v>
      </c>
      <c r="J365" s="14">
        <f t="shared" si="17"/>
        <v>69.932839676252797</v>
      </c>
    </row>
    <row r="366" spans="1:10">
      <c r="A366" s="100">
        <v>39742</v>
      </c>
      <c r="B366">
        <v>95.86</v>
      </c>
      <c r="C366">
        <v>31.48</v>
      </c>
      <c r="D366">
        <v>38.47</v>
      </c>
      <c r="G366" s="100">
        <v>39742</v>
      </c>
      <c r="H366" s="14">
        <f t="shared" si="15"/>
        <v>63.23218997361478</v>
      </c>
      <c r="I366" s="14">
        <f t="shared" si="16"/>
        <v>67.62620837808808</v>
      </c>
      <c r="J366" s="14">
        <f t="shared" si="17"/>
        <v>66.247632168073011</v>
      </c>
    </row>
    <row r="367" spans="1:10">
      <c r="A367" s="100">
        <v>39743</v>
      </c>
      <c r="B367">
        <v>90.64</v>
      </c>
      <c r="C367">
        <v>30.61</v>
      </c>
      <c r="D367">
        <v>37.159999999999997</v>
      </c>
      <c r="G367" s="100">
        <v>39743</v>
      </c>
      <c r="H367" s="14">
        <f t="shared" si="15"/>
        <v>59.788918205804755</v>
      </c>
      <c r="I367" s="14">
        <f t="shared" si="16"/>
        <v>65.757250268528466</v>
      </c>
      <c r="J367" s="14">
        <f t="shared" si="17"/>
        <v>63.991734114000344</v>
      </c>
    </row>
    <row r="368" spans="1:10">
      <c r="A368" s="100">
        <v>39744</v>
      </c>
      <c r="B368">
        <v>91.69</v>
      </c>
      <c r="C368">
        <v>30.49</v>
      </c>
      <c r="D368">
        <v>36.79</v>
      </c>
      <c r="G368" s="100">
        <v>39744</v>
      </c>
      <c r="H368" s="14">
        <f t="shared" si="15"/>
        <v>60.481530343007918</v>
      </c>
      <c r="I368" s="14">
        <f t="shared" si="16"/>
        <v>65.499462943071961</v>
      </c>
      <c r="J368" s="14">
        <f t="shared" si="17"/>
        <v>63.354572068193562</v>
      </c>
    </row>
    <row r="369" spans="1:10">
      <c r="A369" s="100">
        <v>39745</v>
      </c>
      <c r="B369">
        <v>87.04</v>
      </c>
      <c r="C369">
        <v>29.51</v>
      </c>
      <c r="D369">
        <v>35.78</v>
      </c>
      <c r="G369" s="100">
        <v>39745</v>
      </c>
      <c r="H369" s="14">
        <f t="shared" si="15"/>
        <v>57.414248021108186</v>
      </c>
      <c r="I369" s="14">
        <f t="shared" si="16"/>
        <v>63.394199785177243</v>
      </c>
      <c r="J369" s="14">
        <f t="shared" si="17"/>
        <v>61.615291889099367</v>
      </c>
    </row>
    <row r="370" spans="1:10">
      <c r="A370" s="100">
        <v>39748</v>
      </c>
      <c r="B370">
        <v>83.95</v>
      </c>
      <c r="C370">
        <v>28.69</v>
      </c>
      <c r="D370">
        <v>34.86</v>
      </c>
      <c r="G370" s="100">
        <v>39748</v>
      </c>
      <c r="H370" s="14">
        <f t="shared" si="15"/>
        <v>55.375989445910292</v>
      </c>
      <c r="I370" s="14">
        <f t="shared" si="16"/>
        <v>61.632653061224495</v>
      </c>
      <c r="J370" s="14">
        <f t="shared" si="17"/>
        <v>60.030997072498707</v>
      </c>
    </row>
    <row r="371" spans="1:10">
      <c r="A371" s="100">
        <v>39749</v>
      </c>
      <c r="B371">
        <v>93.76</v>
      </c>
      <c r="C371">
        <v>31.86</v>
      </c>
      <c r="D371">
        <v>38.53</v>
      </c>
      <c r="G371" s="100">
        <v>39749</v>
      </c>
      <c r="H371" s="14">
        <f t="shared" si="15"/>
        <v>61.846965699208447</v>
      </c>
      <c r="I371" s="14">
        <f t="shared" si="16"/>
        <v>68.442534908700324</v>
      </c>
      <c r="J371" s="14">
        <f t="shared" si="17"/>
        <v>66.35095574306871</v>
      </c>
    </row>
    <row r="372" spans="1:10">
      <c r="A372" s="100">
        <v>39750</v>
      </c>
      <c r="B372">
        <v>93.08</v>
      </c>
      <c r="C372">
        <v>31.78</v>
      </c>
      <c r="D372">
        <v>37.99</v>
      </c>
      <c r="G372" s="100">
        <v>39750</v>
      </c>
      <c r="H372" s="14">
        <f t="shared" si="15"/>
        <v>61.398416886543536</v>
      </c>
      <c r="I372" s="14">
        <f t="shared" si="16"/>
        <v>68.270676691729321</v>
      </c>
      <c r="J372" s="14">
        <f t="shared" si="17"/>
        <v>65.421043568107464</v>
      </c>
    </row>
    <row r="373" spans="1:10">
      <c r="A373" s="100">
        <v>39751</v>
      </c>
      <c r="B373">
        <v>96.3</v>
      </c>
      <c r="C373">
        <v>32.840000000000003</v>
      </c>
      <c r="D373">
        <v>39.18</v>
      </c>
      <c r="G373" s="100">
        <v>39751</v>
      </c>
      <c r="H373" s="14">
        <f t="shared" si="15"/>
        <v>63.522427440633244</v>
      </c>
      <c r="I373" s="14">
        <f t="shared" si="16"/>
        <v>70.547798066595064</v>
      </c>
      <c r="J373" s="14">
        <f t="shared" si="17"/>
        <v>67.470294472188741</v>
      </c>
    </row>
    <row r="374" spans="1:10">
      <c r="A374" s="100">
        <v>39752</v>
      </c>
      <c r="B374">
        <v>96.83</v>
      </c>
      <c r="C374">
        <v>32.89</v>
      </c>
      <c r="D374">
        <v>39.49</v>
      </c>
      <c r="G374" s="100">
        <v>39752</v>
      </c>
      <c r="H374" s="14">
        <f t="shared" si="15"/>
        <v>63.872031662269137</v>
      </c>
      <c r="I374" s="14">
        <f t="shared" si="16"/>
        <v>70.655209452201944</v>
      </c>
      <c r="J374" s="14">
        <f t="shared" si="17"/>
        <v>68.004132942999831</v>
      </c>
    </row>
    <row r="375" spans="1:10">
      <c r="A375" s="100">
        <v>39755</v>
      </c>
      <c r="B375">
        <v>97.11</v>
      </c>
      <c r="C375">
        <v>32.82</v>
      </c>
      <c r="D375">
        <v>39.200000000000003</v>
      </c>
      <c r="G375" s="100">
        <v>39755</v>
      </c>
      <c r="H375" s="14">
        <f t="shared" si="15"/>
        <v>64.056728232189968</v>
      </c>
      <c r="I375" s="14">
        <f t="shared" si="16"/>
        <v>70.50483351235232</v>
      </c>
      <c r="J375" s="14">
        <f t="shared" si="17"/>
        <v>67.504735663853978</v>
      </c>
    </row>
    <row r="376" spans="1:10">
      <c r="A376" s="100">
        <v>39756</v>
      </c>
      <c r="B376">
        <v>100.41</v>
      </c>
      <c r="C376">
        <v>33.75</v>
      </c>
      <c r="D376">
        <v>40.46</v>
      </c>
      <c r="G376" s="100">
        <v>39756</v>
      </c>
      <c r="H376" s="14">
        <f t="shared" si="15"/>
        <v>66.233509234828489</v>
      </c>
      <c r="I376" s="14">
        <f t="shared" si="16"/>
        <v>72.502685284640179</v>
      </c>
      <c r="J376" s="14">
        <f t="shared" si="17"/>
        <v>69.674530738763565</v>
      </c>
    </row>
    <row r="377" spans="1:10">
      <c r="A377" s="100">
        <v>39757</v>
      </c>
      <c r="B377">
        <v>96.19</v>
      </c>
      <c r="C377">
        <v>31.99</v>
      </c>
      <c r="D377">
        <v>38.22</v>
      </c>
      <c r="G377" s="100">
        <v>39757</v>
      </c>
      <c r="H377" s="14">
        <f t="shared" si="15"/>
        <v>63.449868073878626</v>
      </c>
      <c r="I377" s="14">
        <f t="shared" si="16"/>
        <v>68.721804511278194</v>
      </c>
      <c r="J377" s="14">
        <f t="shared" si="17"/>
        <v>65.817117272257619</v>
      </c>
    </row>
    <row r="378" spans="1:10">
      <c r="A378" s="100">
        <v>39758</v>
      </c>
      <c r="B378">
        <v>90.86</v>
      </c>
      <c r="C378">
        <v>30.56</v>
      </c>
      <c r="D378">
        <v>36.39</v>
      </c>
      <c r="G378" s="100">
        <v>39758</v>
      </c>
      <c r="H378" s="14">
        <f t="shared" si="15"/>
        <v>59.934036939313984</v>
      </c>
      <c r="I378" s="14">
        <f t="shared" si="16"/>
        <v>65.6498388829216</v>
      </c>
      <c r="J378" s="14">
        <f t="shared" si="17"/>
        <v>62.66574823488893</v>
      </c>
    </row>
    <row r="379" spans="1:10">
      <c r="A379" s="100">
        <v>39759</v>
      </c>
      <c r="B379">
        <v>93.86</v>
      </c>
      <c r="C379">
        <v>31.19</v>
      </c>
      <c r="D379">
        <v>37.119999999999997</v>
      </c>
      <c r="G379" s="100">
        <v>39759</v>
      </c>
      <c r="H379" s="14">
        <f t="shared" si="15"/>
        <v>61.912928759894456</v>
      </c>
      <c r="I379" s="14">
        <f t="shared" si="16"/>
        <v>67.003222341568218</v>
      </c>
      <c r="J379" s="14">
        <f t="shared" si="17"/>
        <v>63.922851730669869</v>
      </c>
    </row>
    <row r="380" spans="1:10">
      <c r="A380" s="100">
        <v>39762</v>
      </c>
      <c r="B380">
        <v>92.63</v>
      </c>
      <c r="C380">
        <v>30.77</v>
      </c>
      <c r="D380">
        <v>36.47</v>
      </c>
      <c r="G380" s="100">
        <v>39762</v>
      </c>
      <c r="H380" s="14">
        <f t="shared" si="15"/>
        <v>61.101583113456456</v>
      </c>
      <c r="I380" s="14">
        <f t="shared" si="16"/>
        <v>66.100966702470458</v>
      </c>
      <c r="J380" s="14">
        <f t="shared" si="17"/>
        <v>62.803513001549845</v>
      </c>
    </row>
    <row r="381" spans="1:10">
      <c r="A381" s="100">
        <v>39763</v>
      </c>
      <c r="B381">
        <v>89.77</v>
      </c>
      <c r="C381">
        <v>30.1</v>
      </c>
      <c r="D381">
        <v>35.69</v>
      </c>
      <c r="G381" s="100">
        <v>39763</v>
      </c>
      <c r="H381" s="14">
        <f t="shared" si="15"/>
        <v>59.215039577836414</v>
      </c>
      <c r="I381" s="14">
        <f t="shared" si="16"/>
        <v>64.661654135338352</v>
      </c>
      <c r="J381" s="14">
        <f t="shared" si="17"/>
        <v>61.460306526605812</v>
      </c>
    </row>
    <row r="382" spans="1:10">
      <c r="A382" s="100">
        <v>39764</v>
      </c>
      <c r="B382">
        <v>85.82</v>
      </c>
      <c r="C382">
        <v>28.71</v>
      </c>
      <c r="D382">
        <v>33.93</v>
      </c>
      <c r="G382" s="100">
        <v>39764</v>
      </c>
      <c r="H382" s="14">
        <f t="shared" si="15"/>
        <v>56.609498680738781</v>
      </c>
      <c r="I382" s="14">
        <f t="shared" si="16"/>
        <v>61.675617615467246</v>
      </c>
      <c r="J382" s="14">
        <f t="shared" si="17"/>
        <v>58.429481660065441</v>
      </c>
    </row>
    <row r="383" spans="1:10">
      <c r="A383" s="100">
        <v>39765</v>
      </c>
      <c r="B383">
        <v>91.17</v>
      </c>
      <c r="C383">
        <v>30.46</v>
      </c>
      <c r="D383">
        <v>35.83</v>
      </c>
      <c r="G383" s="100">
        <v>39765</v>
      </c>
      <c r="H383" s="14">
        <f t="shared" si="15"/>
        <v>60.138522427440634</v>
      </c>
      <c r="I383" s="14">
        <f t="shared" si="16"/>
        <v>65.435016111707839</v>
      </c>
      <c r="J383" s="14">
        <f t="shared" si="17"/>
        <v>61.70139486826244</v>
      </c>
    </row>
    <row r="384" spans="1:10">
      <c r="A384" s="100">
        <v>39766</v>
      </c>
      <c r="B384">
        <v>86.62</v>
      </c>
      <c r="C384">
        <v>28.98</v>
      </c>
      <c r="D384">
        <v>33.92</v>
      </c>
      <c r="G384" s="100">
        <v>39766</v>
      </c>
      <c r="H384" s="14">
        <f t="shared" si="15"/>
        <v>57.137203166226911</v>
      </c>
      <c r="I384" s="14">
        <f t="shared" si="16"/>
        <v>62.255639097744364</v>
      </c>
      <c r="J384" s="14">
        <f t="shared" si="17"/>
        <v>58.41226106423283</v>
      </c>
    </row>
    <row r="385" spans="1:10">
      <c r="A385" s="100">
        <v>39769</v>
      </c>
      <c r="B385">
        <v>85.47</v>
      </c>
      <c r="C385">
        <v>28.37</v>
      </c>
      <c r="D385">
        <v>33.159999999999997</v>
      </c>
      <c r="G385" s="100">
        <v>39769</v>
      </c>
      <c r="H385" s="14">
        <f t="shared" si="15"/>
        <v>56.378627968337739</v>
      </c>
      <c r="I385" s="14">
        <f t="shared" si="16"/>
        <v>60.945220193340496</v>
      </c>
      <c r="J385" s="14">
        <f t="shared" si="17"/>
        <v>57.10349578095402</v>
      </c>
    </row>
    <row r="386" spans="1:10">
      <c r="A386" s="100">
        <v>39770</v>
      </c>
      <c r="B386">
        <v>87.08</v>
      </c>
      <c r="C386">
        <v>28.34</v>
      </c>
      <c r="D386">
        <v>33.51</v>
      </c>
      <c r="G386" s="100">
        <v>39770</v>
      </c>
      <c r="H386" s="14">
        <f t="shared" si="15"/>
        <v>57.440633245382585</v>
      </c>
      <c r="I386" s="14">
        <f t="shared" si="16"/>
        <v>60.880773361976367</v>
      </c>
      <c r="J386" s="14">
        <f t="shared" si="17"/>
        <v>57.706216635095572</v>
      </c>
    </row>
    <row r="387" spans="1:10">
      <c r="A387" s="100">
        <v>39771</v>
      </c>
      <c r="B387">
        <v>81.5</v>
      </c>
      <c r="C387">
        <v>26.86</v>
      </c>
      <c r="D387">
        <v>31.66</v>
      </c>
      <c r="G387" s="100">
        <v>39771</v>
      </c>
      <c r="H387" s="14">
        <f t="shared" si="15"/>
        <v>53.75989445910291</v>
      </c>
      <c r="I387" s="14">
        <f t="shared" si="16"/>
        <v>57.701396348012892</v>
      </c>
      <c r="J387" s="14">
        <f t="shared" si="17"/>
        <v>54.520406406061653</v>
      </c>
    </row>
    <row r="388" spans="1:10">
      <c r="A388" s="100">
        <v>39772</v>
      </c>
      <c r="B388">
        <v>75.45</v>
      </c>
      <c r="C388">
        <v>25.56</v>
      </c>
      <c r="D388">
        <v>30.15</v>
      </c>
      <c r="G388" s="100">
        <v>39772</v>
      </c>
      <c r="H388" s="14">
        <f t="shared" si="15"/>
        <v>49.76912928759895</v>
      </c>
      <c r="I388" s="14">
        <f t="shared" si="16"/>
        <v>54.908700322234161</v>
      </c>
      <c r="J388" s="14">
        <f t="shared" si="17"/>
        <v>51.92009643533666</v>
      </c>
    </row>
    <row r="389" spans="1:10">
      <c r="A389" s="100">
        <v>39773</v>
      </c>
      <c r="B389">
        <v>79.52</v>
      </c>
      <c r="C389">
        <v>26.67</v>
      </c>
      <c r="D389">
        <v>31.67</v>
      </c>
      <c r="G389" s="100">
        <v>39773</v>
      </c>
      <c r="H389" s="14">
        <f t="shared" ref="H389:H452" si="18">B389/$B$4*100</f>
        <v>52.453825857519789</v>
      </c>
      <c r="I389" s="14">
        <f t="shared" ref="I389:I452" si="19">C389/$C$4*100</f>
        <v>57.293233082706777</v>
      </c>
      <c r="J389" s="14">
        <f t="shared" ref="J389:J452" si="20">D389/$D$4*100</f>
        <v>54.537627001894272</v>
      </c>
    </row>
    <row r="390" spans="1:10">
      <c r="A390" s="100">
        <v>39776</v>
      </c>
      <c r="B390">
        <v>85.03</v>
      </c>
      <c r="C390">
        <v>28.3</v>
      </c>
      <c r="D390">
        <v>33.630000000000003</v>
      </c>
      <c r="G390" s="100">
        <v>39776</v>
      </c>
      <c r="H390" s="14">
        <f t="shared" si="18"/>
        <v>56.08839050131926</v>
      </c>
      <c r="I390" s="14">
        <f t="shared" si="19"/>
        <v>60.794844253490879</v>
      </c>
      <c r="J390" s="14">
        <f t="shared" si="20"/>
        <v>57.912863785086962</v>
      </c>
    </row>
    <row r="391" spans="1:10">
      <c r="A391" s="100">
        <v>39777</v>
      </c>
      <c r="B391">
        <v>85.66</v>
      </c>
      <c r="C391">
        <v>28.17</v>
      </c>
      <c r="D391">
        <v>33.19</v>
      </c>
      <c r="G391" s="100">
        <v>39777</v>
      </c>
      <c r="H391" s="14">
        <f t="shared" si="18"/>
        <v>56.503957783641155</v>
      </c>
      <c r="I391" s="14">
        <f t="shared" si="19"/>
        <v>60.51557465091301</v>
      </c>
      <c r="J391" s="14">
        <f t="shared" si="20"/>
        <v>57.155157568451862</v>
      </c>
    </row>
    <row r="392" spans="1:10">
      <c r="A392" s="100">
        <v>39778</v>
      </c>
      <c r="B392">
        <v>88.97</v>
      </c>
      <c r="C392">
        <v>29.35</v>
      </c>
      <c r="D392">
        <v>34.68</v>
      </c>
      <c r="G392" s="100">
        <v>39778</v>
      </c>
      <c r="H392" s="14">
        <f t="shared" si="18"/>
        <v>58.687335092348292</v>
      </c>
      <c r="I392" s="14">
        <f t="shared" si="19"/>
        <v>63.050483351235243</v>
      </c>
      <c r="J392" s="14">
        <f t="shared" si="20"/>
        <v>59.721026347511618</v>
      </c>
    </row>
    <row r="393" spans="1:10">
      <c r="A393" s="100">
        <v>39780</v>
      </c>
      <c r="B393">
        <v>90.09</v>
      </c>
      <c r="C393">
        <v>29.12</v>
      </c>
      <c r="D393">
        <v>34.549999999999997</v>
      </c>
      <c r="G393" s="100">
        <v>39780</v>
      </c>
      <c r="H393" s="14">
        <f t="shared" si="18"/>
        <v>59.426121372031673</v>
      </c>
      <c r="I393" s="14">
        <f t="shared" si="19"/>
        <v>62.556390977443613</v>
      </c>
      <c r="J393" s="14">
        <f t="shared" si="20"/>
        <v>59.497158601687616</v>
      </c>
    </row>
    <row r="394" spans="1:10">
      <c r="A394" s="100">
        <v>39783</v>
      </c>
      <c r="B394">
        <v>82.11</v>
      </c>
      <c r="C394">
        <v>26.93</v>
      </c>
      <c r="D394">
        <v>32.06</v>
      </c>
      <c r="G394" s="100">
        <v>39783</v>
      </c>
      <c r="H394" s="14">
        <f t="shared" si="18"/>
        <v>54.162269129287601</v>
      </c>
      <c r="I394" s="14">
        <f t="shared" si="19"/>
        <v>57.851772287862516</v>
      </c>
      <c r="J394" s="14">
        <f t="shared" si="20"/>
        <v>55.209230239366278</v>
      </c>
    </row>
    <row r="395" spans="1:10">
      <c r="A395" s="100">
        <v>39784</v>
      </c>
      <c r="B395">
        <v>85.27</v>
      </c>
      <c r="C395">
        <v>27.83</v>
      </c>
      <c r="D395">
        <v>33.07</v>
      </c>
      <c r="G395" s="100">
        <v>39784</v>
      </c>
      <c r="H395" s="14">
        <f t="shared" si="18"/>
        <v>56.246701846965699</v>
      </c>
      <c r="I395" s="14">
        <f t="shared" si="19"/>
        <v>59.785177228786246</v>
      </c>
      <c r="J395" s="14">
        <f t="shared" si="20"/>
        <v>56.948510418460472</v>
      </c>
    </row>
    <row r="396" spans="1:10">
      <c r="A396" s="100">
        <v>39785</v>
      </c>
      <c r="B396">
        <v>87.32</v>
      </c>
      <c r="C396">
        <v>28.62</v>
      </c>
      <c r="D396">
        <v>33.93</v>
      </c>
      <c r="G396" s="100">
        <v>39785</v>
      </c>
      <c r="H396" s="14">
        <f t="shared" si="18"/>
        <v>57.598944591029024</v>
      </c>
      <c r="I396" s="14">
        <f t="shared" si="19"/>
        <v>61.482277121374871</v>
      </c>
      <c r="J396" s="14">
        <f t="shared" si="20"/>
        <v>58.429481660065441</v>
      </c>
    </row>
    <row r="397" spans="1:10">
      <c r="A397" s="100">
        <v>39786</v>
      </c>
      <c r="B397">
        <v>85.3</v>
      </c>
      <c r="C397">
        <v>27.81</v>
      </c>
      <c r="D397">
        <v>32.619999999999997</v>
      </c>
      <c r="G397" s="100">
        <v>39786</v>
      </c>
      <c r="H397" s="14">
        <f t="shared" si="18"/>
        <v>56.266490765171504</v>
      </c>
      <c r="I397" s="14">
        <f t="shared" si="19"/>
        <v>59.742212674543502</v>
      </c>
      <c r="J397" s="14">
        <f t="shared" si="20"/>
        <v>56.173583605992761</v>
      </c>
    </row>
    <row r="398" spans="1:10">
      <c r="A398" s="100">
        <v>39787</v>
      </c>
      <c r="B398">
        <v>87.93</v>
      </c>
      <c r="C398">
        <v>28.94</v>
      </c>
      <c r="D398">
        <v>33.92</v>
      </c>
      <c r="G398" s="100">
        <v>39787</v>
      </c>
      <c r="H398" s="14">
        <f t="shared" si="18"/>
        <v>58.001319261213723</v>
      </c>
      <c r="I398" s="14">
        <f t="shared" si="19"/>
        <v>62.16970998925887</v>
      </c>
      <c r="J398" s="14">
        <f t="shared" si="20"/>
        <v>58.41226106423283</v>
      </c>
    </row>
    <row r="399" spans="1:10">
      <c r="A399" s="100">
        <v>39790</v>
      </c>
      <c r="B399">
        <v>91</v>
      </c>
      <c r="C399">
        <v>30.08</v>
      </c>
      <c r="D399">
        <v>35.58</v>
      </c>
      <c r="G399" s="100">
        <v>39790</v>
      </c>
      <c r="H399" s="14">
        <f t="shared" si="18"/>
        <v>60.026385224274406</v>
      </c>
      <c r="I399" s="14">
        <f t="shared" si="19"/>
        <v>64.618689581095595</v>
      </c>
      <c r="J399" s="14">
        <f t="shared" si="20"/>
        <v>61.270879972447048</v>
      </c>
    </row>
    <row r="400" spans="1:10">
      <c r="A400" s="100">
        <v>39791</v>
      </c>
      <c r="B400">
        <v>89.5</v>
      </c>
      <c r="C400">
        <v>30.01</v>
      </c>
      <c r="D400">
        <v>35.6</v>
      </c>
      <c r="G400" s="100">
        <v>39791</v>
      </c>
      <c r="H400" s="14">
        <f t="shared" si="18"/>
        <v>59.03693931398417</v>
      </c>
      <c r="I400" s="14">
        <f t="shared" si="19"/>
        <v>64.468313641245985</v>
      </c>
      <c r="J400" s="14">
        <f t="shared" si="20"/>
        <v>61.305321164112279</v>
      </c>
    </row>
    <row r="401" spans="1:10">
      <c r="A401" s="100">
        <v>39792</v>
      </c>
      <c r="B401">
        <v>90.11</v>
      </c>
      <c r="C401">
        <v>29.91</v>
      </c>
      <c r="D401">
        <v>35.69</v>
      </c>
      <c r="G401" s="100">
        <v>39792</v>
      </c>
      <c r="H401" s="14">
        <f t="shared" si="18"/>
        <v>59.439313984168862</v>
      </c>
      <c r="I401" s="14">
        <f t="shared" si="19"/>
        <v>64.253490870032223</v>
      </c>
      <c r="J401" s="14">
        <f t="shared" si="20"/>
        <v>61.460306526605812</v>
      </c>
    </row>
    <row r="402" spans="1:10">
      <c r="A402" s="100">
        <v>39793</v>
      </c>
      <c r="B402">
        <v>87.94</v>
      </c>
      <c r="C402">
        <v>29.09</v>
      </c>
      <c r="D402">
        <v>34.64</v>
      </c>
      <c r="G402" s="100">
        <v>39793</v>
      </c>
      <c r="H402" s="14">
        <f t="shared" si="18"/>
        <v>58.007915567282318</v>
      </c>
      <c r="I402" s="14">
        <f t="shared" si="19"/>
        <v>62.49194414607949</v>
      </c>
      <c r="J402" s="14">
        <f t="shared" si="20"/>
        <v>59.652143964181157</v>
      </c>
    </row>
    <row r="403" spans="1:10">
      <c r="A403" s="100">
        <v>39794</v>
      </c>
      <c r="B403">
        <v>88.99</v>
      </c>
      <c r="C403">
        <v>29.68</v>
      </c>
      <c r="D403">
        <v>35.299999999999997</v>
      </c>
      <c r="G403" s="100">
        <v>39794</v>
      </c>
      <c r="H403" s="14">
        <f t="shared" si="18"/>
        <v>58.700527704485481</v>
      </c>
      <c r="I403" s="14">
        <f t="shared" si="19"/>
        <v>63.759398496240607</v>
      </c>
      <c r="J403" s="14">
        <f t="shared" si="20"/>
        <v>60.788703289133792</v>
      </c>
    </row>
    <row r="404" spans="1:10">
      <c r="A404" s="100">
        <v>39797</v>
      </c>
      <c r="B404">
        <v>87.75</v>
      </c>
      <c r="C404">
        <v>29.16</v>
      </c>
      <c r="D404">
        <v>34.85</v>
      </c>
      <c r="G404" s="100">
        <v>39797</v>
      </c>
      <c r="H404" s="14">
        <f t="shared" si="18"/>
        <v>57.882585751978901</v>
      </c>
      <c r="I404" s="14">
        <f t="shared" si="19"/>
        <v>62.642320085929114</v>
      </c>
      <c r="J404" s="14">
        <f t="shared" si="20"/>
        <v>60.013776476666095</v>
      </c>
    </row>
    <row r="405" spans="1:10">
      <c r="A405" s="100">
        <v>39798</v>
      </c>
      <c r="B405">
        <v>91.88</v>
      </c>
      <c r="C405">
        <v>30.56</v>
      </c>
      <c r="D405">
        <v>36.450000000000003</v>
      </c>
      <c r="G405" s="100">
        <v>39798</v>
      </c>
      <c r="H405" s="14">
        <f t="shared" si="18"/>
        <v>60.606860158311349</v>
      </c>
      <c r="I405" s="14">
        <f t="shared" si="19"/>
        <v>65.6498388829216</v>
      </c>
      <c r="J405" s="14">
        <f t="shared" si="20"/>
        <v>62.769071809884622</v>
      </c>
    </row>
    <row r="406" spans="1:10">
      <c r="A406" s="100">
        <v>39799</v>
      </c>
      <c r="B406">
        <v>90.99</v>
      </c>
      <c r="C406">
        <v>30.19</v>
      </c>
      <c r="D406">
        <v>35.97</v>
      </c>
      <c r="G406" s="100">
        <v>39799</v>
      </c>
      <c r="H406" s="14">
        <f t="shared" si="18"/>
        <v>60.019788918205805</v>
      </c>
      <c r="I406" s="14">
        <f t="shared" si="19"/>
        <v>64.854994629430735</v>
      </c>
      <c r="J406" s="14">
        <f t="shared" si="20"/>
        <v>61.942483209919061</v>
      </c>
    </row>
    <row r="407" spans="1:10">
      <c r="A407" s="100">
        <v>39800</v>
      </c>
      <c r="B407">
        <v>89.29</v>
      </c>
      <c r="C407">
        <v>29.66</v>
      </c>
      <c r="D407">
        <v>35.17</v>
      </c>
      <c r="G407" s="100">
        <v>39800</v>
      </c>
      <c r="H407" s="14">
        <f t="shared" si="18"/>
        <v>58.898416886543536</v>
      </c>
      <c r="I407" s="14">
        <f t="shared" si="19"/>
        <v>63.716433941997849</v>
      </c>
      <c r="J407" s="14">
        <f t="shared" si="20"/>
        <v>60.564835543309805</v>
      </c>
    </row>
    <row r="408" spans="1:10">
      <c r="A408" s="100">
        <v>39801</v>
      </c>
      <c r="B408">
        <v>88.19</v>
      </c>
      <c r="C408">
        <v>29.86</v>
      </c>
      <c r="D408">
        <v>35.29</v>
      </c>
      <c r="G408" s="100">
        <v>39801</v>
      </c>
      <c r="H408" s="14">
        <f t="shared" si="18"/>
        <v>58.172823218997358</v>
      </c>
      <c r="I408" s="14">
        <f t="shared" si="19"/>
        <v>64.146079484425357</v>
      </c>
      <c r="J408" s="14">
        <f t="shared" si="20"/>
        <v>60.771482693301181</v>
      </c>
    </row>
    <row r="409" spans="1:10">
      <c r="A409" s="100">
        <v>39804</v>
      </c>
      <c r="B409">
        <v>87.06</v>
      </c>
      <c r="C409">
        <v>29.21</v>
      </c>
      <c r="D409">
        <v>34.72</v>
      </c>
      <c r="G409" s="100">
        <v>39804</v>
      </c>
      <c r="H409" s="14">
        <f t="shared" si="18"/>
        <v>57.427440633245382</v>
      </c>
      <c r="I409" s="14">
        <f t="shared" si="19"/>
        <v>62.749731471535988</v>
      </c>
      <c r="J409" s="14">
        <f t="shared" si="20"/>
        <v>59.789908730842086</v>
      </c>
    </row>
    <row r="410" spans="1:10">
      <c r="A410" s="100">
        <v>39805</v>
      </c>
      <c r="B410">
        <v>86.16</v>
      </c>
      <c r="C410">
        <v>29.06</v>
      </c>
      <c r="D410">
        <v>34.32</v>
      </c>
      <c r="G410" s="100">
        <v>39805</v>
      </c>
      <c r="H410" s="14">
        <f t="shared" si="18"/>
        <v>56.833773087071236</v>
      </c>
      <c r="I410" s="14">
        <f t="shared" si="19"/>
        <v>62.42749731471536</v>
      </c>
      <c r="J410" s="14">
        <f t="shared" si="20"/>
        <v>59.101084897537461</v>
      </c>
    </row>
    <row r="411" spans="1:10">
      <c r="A411" s="100">
        <v>39806</v>
      </c>
      <c r="B411">
        <v>86.66</v>
      </c>
      <c r="C411">
        <v>29.14</v>
      </c>
      <c r="D411">
        <v>34.299999999999997</v>
      </c>
      <c r="G411" s="100">
        <v>39806</v>
      </c>
      <c r="H411" s="14">
        <f t="shared" si="18"/>
        <v>57.163588390501317</v>
      </c>
      <c r="I411" s="14">
        <f t="shared" si="19"/>
        <v>62.599355531686363</v>
      </c>
      <c r="J411" s="14">
        <f t="shared" si="20"/>
        <v>59.06664370587221</v>
      </c>
    </row>
    <row r="412" spans="1:10">
      <c r="A412" s="100">
        <v>39808</v>
      </c>
      <c r="B412">
        <v>87.16</v>
      </c>
      <c r="C412">
        <v>29.13</v>
      </c>
      <c r="D412">
        <v>34.43</v>
      </c>
      <c r="G412" s="100">
        <v>39808</v>
      </c>
      <c r="H412" s="14">
        <f t="shared" si="18"/>
        <v>57.493403693931398</v>
      </c>
      <c r="I412" s="14">
        <f t="shared" si="19"/>
        <v>62.577873254564985</v>
      </c>
      <c r="J412" s="14">
        <f t="shared" si="20"/>
        <v>59.290511451696226</v>
      </c>
    </row>
    <row r="413" spans="1:10">
      <c r="A413" s="100">
        <v>39811</v>
      </c>
      <c r="B413">
        <v>86.91</v>
      </c>
      <c r="C413">
        <v>28.89</v>
      </c>
      <c r="D413">
        <v>34.200000000000003</v>
      </c>
      <c r="G413" s="100">
        <v>39811</v>
      </c>
      <c r="H413" s="14">
        <f t="shared" si="18"/>
        <v>57.328496042216358</v>
      </c>
      <c r="I413" s="14">
        <f t="shared" si="19"/>
        <v>62.062298603651989</v>
      </c>
      <c r="J413" s="14">
        <f t="shared" si="20"/>
        <v>58.894437747546071</v>
      </c>
    </row>
    <row r="414" spans="1:10">
      <c r="A414" s="100">
        <v>39812</v>
      </c>
      <c r="B414">
        <v>88.97</v>
      </c>
      <c r="C414">
        <v>29.49</v>
      </c>
      <c r="D414">
        <v>35.04</v>
      </c>
      <c r="G414" s="100">
        <v>39812</v>
      </c>
      <c r="H414" s="14">
        <f t="shared" si="18"/>
        <v>58.687335092348292</v>
      </c>
      <c r="I414" s="14">
        <f t="shared" si="19"/>
        <v>63.351235230934478</v>
      </c>
      <c r="J414" s="14">
        <f t="shared" si="20"/>
        <v>60.340967797485789</v>
      </c>
    </row>
    <row r="415" spans="1:10">
      <c r="A415" s="100">
        <v>39813</v>
      </c>
      <c r="B415">
        <v>90.24</v>
      </c>
      <c r="C415">
        <v>29.74</v>
      </c>
      <c r="D415">
        <v>35.33</v>
      </c>
      <c r="G415" s="100">
        <v>39813</v>
      </c>
      <c r="H415" s="14">
        <f t="shared" si="18"/>
        <v>59.525065963060683</v>
      </c>
      <c r="I415" s="14">
        <f t="shared" si="19"/>
        <v>63.888292158968852</v>
      </c>
      <c r="J415" s="14">
        <f t="shared" si="20"/>
        <v>60.840365076631656</v>
      </c>
    </row>
    <row r="416" spans="1:10">
      <c r="A416" s="100">
        <v>39815</v>
      </c>
      <c r="B416">
        <v>92.96</v>
      </c>
      <c r="C416">
        <v>31.03</v>
      </c>
      <c r="D416">
        <v>36.729999999999997</v>
      </c>
      <c r="G416" s="100">
        <v>39815</v>
      </c>
      <c r="H416" s="14">
        <f t="shared" si="18"/>
        <v>61.31926121372031</v>
      </c>
      <c r="I416" s="14">
        <f t="shared" si="19"/>
        <v>66.659505907626212</v>
      </c>
      <c r="J416" s="14">
        <f t="shared" si="20"/>
        <v>63.251248493197856</v>
      </c>
    </row>
    <row r="417" spans="1:10">
      <c r="A417" s="100">
        <v>39818</v>
      </c>
      <c r="B417">
        <v>92.85</v>
      </c>
      <c r="C417">
        <v>31.02</v>
      </c>
      <c r="D417">
        <v>36.950000000000003</v>
      </c>
      <c r="G417" s="100">
        <v>39818</v>
      </c>
      <c r="H417" s="14">
        <f t="shared" si="18"/>
        <v>61.246701846965699</v>
      </c>
      <c r="I417" s="14">
        <f t="shared" si="19"/>
        <v>66.638023630504833</v>
      </c>
      <c r="J417" s="14">
        <f t="shared" si="20"/>
        <v>63.63010160151542</v>
      </c>
    </row>
    <row r="418" spans="1:10">
      <c r="A418" s="100">
        <v>39819</v>
      </c>
      <c r="B418">
        <v>93.47</v>
      </c>
      <c r="C418">
        <v>31.33</v>
      </c>
      <c r="D418">
        <v>37.96</v>
      </c>
      <c r="G418" s="100">
        <v>39819</v>
      </c>
      <c r="H418" s="14">
        <f t="shared" si="18"/>
        <v>61.655672823219</v>
      </c>
      <c r="I418" s="14">
        <f t="shared" si="19"/>
        <v>67.303974221267453</v>
      </c>
      <c r="J418" s="14">
        <f t="shared" si="20"/>
        <v>65.369381780609615</v>
      </c>
    </row>
    <row r="419" spans="1:10">
      <c r="A419" s="100">
        <v>39820</v>
      </c>
      <c r="B419">
        <v>90.67</v>
      </c>
      <c r="C419">
        <v>30.44</v>
      </c>
      <c r="D419">
        <v>36.69</v>
      </c>
      <c r="G419" s="100">
        <v>39820</v>
      </c>
      <c r="H419" s="14">
        <f t="shared" si="18"/>
        <v>59.80870712401056</v>
      </c>
      <c r="I419" s="14">
        <f t="shared" si="19"/>
        <v>65.392051557465109</v>
      </c>
      <c r="J419" s="14">
        <f t="shared" si="20"/>
        <v>63.182366109867395</v>
      </c>
    </row>
    <row r="420" spans="1:10">
      <c r="A420" s="100">
        <v>39821</v>
      </c>
      <c r="B420">
        <v>91.04</v>
      </c>
      <c r="C420">
        <v>30.76</v>
      </c>
      <c r="D420">
        <v>36.92</v>
      </c>
      <c r="G420" s="100">
        <v>39821</v>
      </c>
      <c r="H420" s="14">
        <f t="shared" si="18"/>
        <v>60.05277044854882</v>
      </c>
      <c r="I420" s="14">
        <f t="shared" si="19"/>
        <v>66.079484425349094</v>
      </c>
      <c r="J420" s="14">
        <f t="shared" si="20"/>
        <v>63.578439814017564</v>
      </c>
    </row>
    <row r="421" spans="1:10">
      <c r="A421" s="100">
        <v>39822</v>
      </c>
      <c r="B421">
        <v>89.09</v>
      </c>
      <c r="C421">
        <v>30.07</v>
      </c>
      <c r="D421">
        <v>36</v>
      </c>
      <c r="G421" s="100">
        <v>39822</v>
      </c>
      <c r="H421" s="14">
        <f t="shared" si="18"/>
        <v>58.766490765171511</v>
      </c>
      <c r="I421" s="14">
        <f t="shared" si="19"/>
        <v>64.59720730397423</v>
      </c>
      <c r="J421" s="14">
        <f t="shared" si="20"/>
        <v>61.99414499741691</v>
      </c>
    </row>
    <row r="422" spans="1:10">
      <c r="A422" s="100">
        <v>39825</v>
      </c>
      <c r="B422">
        <v>86.95</v>
      </c>
      <c r="C422">
        <v>29.52</v>
      </c>
      <c r="D422">
        <v>35.5</v>
      </c>
      <c r="G422" s="100">
        <v>39825</v>
      </c>
      <c r="H422" s="14">
        <f t="shared" si="18"/>
        <v>57.354881266490764</v>
      </c>
      <c r="I422" s="14">
        <f t="shared" si="19"/>
        <v>63.415682062298607</v>
      </c>
      <c r="J422" s="14">
        <f t="shared" si="20"/>
        <v>61.133115205786112</v>
      </c>
    </row>
    <row r="423" spans="1:10">
      <c r="A423" s="100">
        <v>39826</v>
      </c>
      <c r="B423">
        <v>87.11</v>
      </c>
      <c r="C423">
        <v>29.53</v>
      </c>
      <c r="D423">
        <v>35.409999999999997</v>
      </c>
      <c r="G423" s="100">
        <v>39826</v>
      </c>
      <c r="H423" s="14">
        <f t="shared" si="18"/>
        <v>57.46042216358839</v>
      </c>
      <c r="I423" s="14">
        <f t="shared" si="19"/>
        <v>63.437164339419979</v>
      </c>
      <c r="J423" s="14">
        <f t="shared" si="20"/>
        <v>60.978129843292571</v>
      </c>
    </row>
    <row r="424" spans="1:10">
      <c r="A424" s="100">
        <v>39827</v>
      </c>
      <c r="B424">
        <v>84.37</v>
      </c>
      <c r="C424">
        <v>28.63</v>
      </c>
      <c r="D424">
        <v>34.28</v>
      </c>
      <c r="G424" s="100">
        <v>39827</v>
      </c>
      <c r="H424" s="14">
        <f t="shared" si="18"/>
        <v>55.65303430079156</v>
      </c>
      <c r="I424" s="14">
        <f t="shared" si="19"/>
        <v>61.503759398496236</v>
      </c>
      <c r="J424" s="14">
        <f t="shared" si="20"/>
        <v>59.032202514206986</v>
      </c>
    </row>
    <row r="425" spans="1:10">
      <c r="A425" s="100">
        <v>39828</v>
      </c>
      <c r="B425">
        <v>84.4</v>
      </c>
      <c r="C425">
        <v>29.1</v>
      </c>
      <c r="D425">
        <v>34.479999999999997</v>
      </c>
      <c r="G425" s="100">
        <v>39828</v>
      </c>
      <c r="H425" s="14">
        <f t="shared" si="18"/>
        <v>55.672823218997372</v>
      </c>
      <c r="I425" s="14">
        <f t="shared" si="19"/>
        <v>62.513426423200869</v>
      </c>
      <c r="J425" s="14">
        <f t="shared" si="20"/>
        <v>59.376614430859298</v>
      </c>
    </row>
    <row r="426" spans="1:10">
      <c r="A426" s="100">
        <v>39829</v>
      </c>
      <c r="B426">
        <v>85.06</v>
      </c>
      <c r="C426">
        <v>29.42</v>
      </c>
      <c r="D426">
        <v>34.840000000000003</v>
      </c>
      <c r="G426" s="100">
        <v>39829</v>
      </c>
      <c r="H426" s="14">
        <f t="shared" si="18"/>
        <v>56.108179419525072</v>
      </c>
      <c r="I426" s="14">
        <f t="shared" si="19"/>
        <v>63.200859291084868</v>
      </c>
      <c r="J426" s="14">
        <f t="shared" si="20"/>
        <v>59.996555880833483</v>
      </c>
    </row>
    <row r="427" spans="1:10">
      <c r="A427" s="100">
        <v>39833</v>
      </c>
      <c r="B427">
        <v>80.569999999999993</v>
      </c>
      <c r="C427">
        <v>27.96</v>
      </c>
      <c r="D427">
        <v>33.119999999999997</v>
      </c>
      <c r="G427" s="100">
        <v>39833</v>
      </c>
      <c r="H427" s="14">
        <f t="shared" si="18"/>
        <v>53.146437994722952</v>
      </c>
      <c r="I427" s="14">
        <f t="shared" si="19"/>
        <v>60.06444683136413</v>
      </c>
      <c r="J427" s="14">
        <f t="shared" si="20"/>
        <v>57.034613397623559</v>
      </c>
    </row>
    <row r="428" spans="1:10">
      <c r="A428" s="100">
        <v>39834</v>
      </c>
      <c r="B428">
        <v>84.05</v>
      </c>
      <c r="C428">
        <v>29.15</v>
      </c>
      <c r="D428">
        <v>34.799999999999997</v>
      </c>
      <c r="G428" s="100">
        <v>39834</v>
      </c>
      <c r="H428" s="14">
        <f t="shared" si="18"/>
        <v>55.441952506596301</v>
      </c>
      <c r="I428" s="14">
        <f t="shared" si="19"/>
        <v>62.620837808807735</v>
      </c>
      <c r="J428" s="14">
        <f t="shared" si="20"/>
        <v>59.927673497503008</v>
      </c>
    </row>
    <row r="429" spans="1:10">
      <c r="A429" s="100">
        <v>39835</v>
      </c>
      <c r="B429">
        <v>82.75</v>
      </c>
      <c r="C429">
        <v>28.76</v>
      </c>
      <c r="D429">
        <v>34.06</v>
      </c>
      <c r="G429" s="100">
        <v>39835</v>
      </c>
      <c r="H429" s="14">
        <f t="shared" si="18"/>
        <v>54.584432717678098</v>
      </c>
      <c r="I429" s="14">
        <f t="shared" si="19"/>
        <v>61.783029001074119</v>
      </c>
      <c r="J429" s="14">
        <f t="shared" si="20"/>
        <v>58.653349405889443</v>
      </c>
    </row>
    <row r="430" spans="1:10">
      <c r="A430" s="100">
        <v>39836</v>
      </c>
      <c r="B430">
        <v>83.11</v>
      </c>
      <c r="C430">
        <v>28.9</v>
      </c>
      <c r="D430">
        <v>34.56</v>
      </c>
      <c r="G430" s="100">
        <v>39836</v>
      </c>
      <c r="H430" s="14">
        <f t="shared" si="18"/>
        <v>54.821899736147763</v>
      </c>
      <c r="I430" s="14">
        <f t="shared" si="19"/>
        <v>62.083780880773368</v>
      </c>
      <c r="J430" s="14">
        <f t="shared" si="20"/>
        <v>59.514379197520242</v>
      </c>
    </row>
    <row r="431" spans="1:10">
      <c r="A431" s="100">
        <v>39839</v>
      </c>
      <c r="B431">
        <v>83.68</v>
      </c>
      <c r="C431">
        <v>29.11</v>
      </c>
      <c r="D431">
        <v>34.92</v>
      </c>
      <c r="G431" s="100">
        <v>39839</v>
      </c>
      <c r="H431" s="14">
        <f t="shared" si="18"/>
        <v>55.197889182058056</v>
      </c>
      <c r="I431" s="14">
        <f t="shared" si="19"/>
        <v>62.534908700322234</v>
      </c>
      <c r="J431" s="14">
        <f t="shared" si="20"/>
        <v>60.134320647494413</v>
      </c>
    </row>
    <row r="432" spans="1:10">
      <c r="A432" s="100">
        <v>39840</v>
      </c>
      <c r="B432">
        <v>84.53</v>
      </c>
      <c r="C432">
        <v>29.32</v>
      </c>
      <c r="D432">
        <v>35.39</v>
      </c>
      <c r="G432" s="100">
        <v>39840</v>
      </c>
      <c r="H432" s="14">
        <f t="shared" si="18"/>
        <v>55.758575197889179</v>
      </c>
      <c r="I432" s="14">
        <f t="shared" si="19"/>
        <v>62.986036519871114</v>
      </c>
      <c r="J432" s="14">
        <f t="shared" si="20"/>
        <v>60.943688651627347</v>
      </c>
    </row>
    <row r="433" spans="1:10">
      <c r="A433" s="100">
        <v>39841</v>
      </c>
      <c r="B433">
        <v>87.39</v>
      </c>
      <c r="C433">
        <v>30.35</v>
      </c>
      <c r="D433">
        <v>36.56</v>
      </c>
      <c r="G433" s="100">
        <v>39841</v>
      </c>
      <c r="H433" s="14">
        <f t="shared" si="18"/>
        <v>57.645118733509236</v>
      </c>
      <c r="I433" s="14">
        <f t="shared" si="19"/>
        <v>65.198711063372727</v>
      </c>
      <c r="J433" s="14">
        <f t="shared" si="20"/>
        <v>62.9584983640434</v>
      </c>
    </row>
    <row r="434" spans="1:10">
      <c r="A434" s="100">
        <v>39842</v>
      </c>
      <c r="B434">
        <v>84.55</v>
      </c>
      <c r="C434">
        <v>29.58</v>
      </c>
      <c r="D434">
        <v>35.44</v>
      </c>
      <c r="G434" s="100">
        <v>39842</v>
      </c>
      <c r="H434" s="14">
        <f t="shared" si="18"/>
        <v>55.771767810026383</v>
      </c>
      <c r="I434" s="14">
        <f t="shared" si="19"/>
        <v>63.544575725026853</v>
      </c>
      <c r="J434" s="14">
        <f t="shared" si="20"/>
        <v>61.02979163079042</v>
      </c>
    </row>
    <row r="435" spans="1:10">
      <c r="A435" s="100">
        <v>39843</v>
      </c>
      <c r="B435">
        <v>82.83</v>
      </c>
      <c r="C435">
        <v>29.06</v>
      </c>
      <c r="D435">
        <v>34.35</v>
      </c>
      <c r="G435" s="100">
        <v>39843</v>
      </c>
      <c r="H435" s="14">
        <f t="shared" si="18"/>
        <v>54.637203166226911</v>
      </c>
      <c r="I435" s="14">
        <f t="shared" si="19"/>
        <v>62.42749731471536</v>
      </c>
      <c r="J435" s="14">
        <f t="shared" si="20"/>
        <v>59.152746685035304</v>
      </c>
    </row>
    <row r="436" spans="1:10">
      <c r="A436" s="100">
        <v>39846</v>
      </c>
      <c r="B436">
        <v>82.58</v>
      </c>
      <c r="C436">
        <v>29.41</v>
      </c>
      <c r="D436">
        <v>34.86</v>
      </c>
      <c r="G436" s="100">
        <v>39846</v>
      </c>
      <c r="H436" s="14">
        <f t="shared" si="18"/>
        <v>54.47229551451187</v>
      </c>
      <c r="I436" s="14">
        <f t="shared" si="19"/>
        <v>63.179377013963489</v>
      </c>
      <c r="J436" s="14">
        <f t="shared" si="20"/>
        <v>60.030997072498707</v>
      </c>
    </row>
    <row r="437" spans="1:10">
      <c r="A437" s="100">
        <v>39847</v>
      </c>
      <c r="B437">
        <v>83.74</v>
      </c>
      <c r="C437">
        <v>29.87</v>
      </c>
      <c r="D437">
        <v>35.4</v>
      </c>
      <c r="G437" s="100">
        <v>39847</v>
      </c>
      <c r="H437" s="14">
        <f t="shared" si="18"/>
        <v>55.237467018469658</v>
      </c>
      <c r="I437" s="14">
        <f t="shared" si="19"/>
        <v>64.167561761546736</v>
      </c>
      <c r="J437" s="14">
        <f t="shared" si="20"/>
        <v>60.960909247459959</v>
      </c>
    </row>
    <row r="438" spans="1:10">
      <c r="A438" s="100">
        <v>39848</v>
      </c>
      <c r="B438">
        <v>83.33</v>
      </c>
      <c r="C438">
        <v>29.91</v>
      </c>
      <c r="D438">
        <v>35.630000000000003</v>
      </c>
      <c r="G438" s="100">
        <v>39848</v>
      </c>
      <c r="H438" s="14">
        <f t="shared" si="18"/>
        <v>54.967018469656992</v>
      </c>
      <c r="I438" s="14">
        <f t="shared" si="19"/>
        <v>64.253490870032223</v>
      </c>
      <c r="J438" s="14">
        <f t="shared" si="20"/>
        <v>61.356982951610128</v>
      </c>
    </row>
    <row r="439" spans="1:10">
      <c r="A439" s="100">
        <v>39849</v>
      </c>
      <c r="B439">
        <v>84.57</v>
      </c>
      <c r="C439">
        <v>30.57</v>
      </c>
      <c r="D439">
        <v>36.32</v>
      </c>
      <c r="G439" s="100">
        <v>39849</v>
      </c>
      <c r="H439" s="14">
        <f t="shared" si="18"/>
        <v>55.784960422163586</v>
      </c>
      <c r="I439" s="14">
        <f t="shared" si="19"/>
        <v>65.671321160042979</v>
      </c>
      <c r="J439" s="14">
        <f t="shared" si="20"/>
        <v>62.54520406406062</v>
      </c>
    </row>
    <row r="440" spans="1:10">
      <c r="A440" s="100">
        <v>39850</v>
      </c>
      <c r="B440">
        <v>86.98</v>
      </c>
      <c r="C440">
        <v>31.37</v>
      </c>
      <c r="D440">
        <v>37.58</v>
      </c>
      <c r="G440" s="100">
        <v>39850</v>
      </c>
      <c r="H440" s="14">
        <f t="shared" si="18"/>
        <v>57.374670184696576</v>
      </c>
      <c r="I440" s="14">
        <f t="shared" si="19"/>
        <v>67.389903329752968</v>
      </c>
      <c r="J440" s="14">
        <f t="shared" si="20"/>
        <v>64.714999138970214</v>
      </c>
    </row>
    <row r="441" spans="1:10">
      <c r="A441" s="100">
        <v>39853</v>
      </c>
      <c r="B441">
        <v>87.1</v>
      </c>
      <c r="C441">
        <v>31.5</v>
      </c>
      <c r="D441">
        <v>37.75</v>
      </c>
      <c r="G441" s="100">
        <v>39853</v>
      </c>
      <c r="H441" s="14">
        <f t="shared" si="18"/>
        <v>57.453825857519789</v>
      </c>
      <c r="I441" s="14">
        <f t="shared" si="19"/>
        <v>67.669172932330838</v>
      </c>
      <c r="J441" s="14">
        <f t="shared" si="20"/>
        <v>65.007749268124684</v>
      </c>
    </row>
    <row r="442" spans="1:10">
      <c r="A442" s="100">
        <v>39854</v>
      </c>
      <c r="B442">
        <v>83.11</v>
      </c>
      <c r="C442">
        <v>30.34</v>
      </c>
      <c r="D442">
        <v>36.24</v>
      </c>
      <c r="G442" s="100">
        <v>39854</v>
      </c>
      <c r="H442" s="14">
        <f t="shared" si="18"/>
        <v>54.821899736147763</v>
      </c>
      <c r="I442" s="14">
        <f t="shared" si="19"/>
        <v>65.177228786251348</v>
      </c>
      <c r="J442" s="14">
        <f t="shared" si="20"/>
        <v>62.407439297399691</v>
      </c>
    </row>
    <row r="443" spans="1:10">
      <c r="A443" s="100">
        <v>39855</v>
      </c>
      <c r="B443">
        <v>83.6</v>
      </c>
      <c r="C443">
        <v>30.2</v>
      </c>
      <c r="D443">
        <v>36.26</v>
      </c>
      <c r="G443" s="100">
        <v>39855</v>
      </c>
      <c r="H443" s="14">
        <f t="shared" si="18"/>
        <v>55.145118733509236</v>
      </c>
      <c r="I443" s="14">
        <f t="shared" si="19"/>
        <v>64.876476906552099</v>
      </c>
      <c r="J443" s="14">
        <f t="shared" si="20"/>
        <v>62.441880489064914</v>
      </c>
    </row>
    <row r="444" spans="1:10">
      <c r="A444" s="100">
        <v>39856</v>
      </c>
      <c r="B444">
        <v>83.66</v>
      </c>
      <c r="C444">
        <v>30.57</v>
      </c>
      <c r="D444">
        <v>36.450000000000003</v>
      </c>
      <c r="G444" s="100">
        <v>39856</v>
      </c>
      <c r="H444" s="14">
        <f t="shared" si="18"/>
        <v>55.184696569920845</v>
      </c>
      <c r="I444" s="14">
        <f t="shared" si="19"/>
        <v>65.671321160042979</v>
      </c>
      <c r="J444" s="14">
        <f t="shared" si="20"/>
        <v>62.769071809884622</v>
      </c>
    </row>
    <row r="445" spans="1:10">
      <c r="A445" s="100">
        <v>39857</v>
      </c>
      <c r="B445">
        <v>82.76</v>
      </c>
      <c r="C445">
        <v>30.43</v>
      </c>
      <c r="D445">
        <v>36.5</v>
      </c>
      <c r="G445" s="100">
        <v>39857</v>
      </c>
      <c r="H445" s="14">
        <f t="shared" si="18"/>
        <v>54.591029023746707</v>
      </c>
      <c r="I445" s="14">
        <f t="shared" si="19"/>
        <v>65.370569280343716</v>
      </c>
      <c r="J445" s="14">
        <f t="shared" si="20"/>
        <v>62.855174789047695</v>
      </c>
    </row>
    <row r="446" spans="1:10">
      <c r="A446" s="100">
        <v>39861</v>
      </c>
      <c r="B446">
        <v>79.22</v>
      </c>
      <c r="C446">
        <v>29.22</v>
      </c>
      <c r="D446">
        <v>34.869999999999997</v>
      </c>
      <c r="G446" s="100">
        <v>39861</v>
      </c>
      <c r="H446" s="14">
        <f t="shared" si="18"/>
        <v>52.255936675461747</v>
      </c>
      <c r="I446" s="14">
        <f t="shared" si="19"/>
        <v>62.77121374865736</v>
      </c>
      <c r="J446" s="14">
        <f t="shared" si="20"/>
        <v>60.048217668331318</v>
      </c>
    </row>
    <row r="447" spans="1:10">
      <c r="A447" s="100">
        <v>39862</v>
      </c>
      <c r="B447">
        <v>79.03</v>
      </c>
      <c r="C447">
        <v>29.24</v>
      </c>
      <c r="D447">
        <v>34.89</v>
      </c>
      <c r="G447" s="100">
        <v>39862</v>
      </c>
      <c r="H447" s="14">
        <f t="shared" si="18"/>
        <v>52.130606860158309</v>
      </c>
      <c r="I447" s="14">
        <f t="shared" si="19"/>
        <v>62.814178302900103</v>
      </c>
      <c r="J447" s="14">
        <f t="shared" si="20"/>
        <v>60.082658859996549</v>
      </c>
    </row>
    <row r="448" spans="1:10">
      <c r="A448" s="100">
        <v>39863</v>
      </c>
      <c r="B448">
        <v>78.180000000000007</v>
      </c>
      <c r="C448">
        <v>28.79</v>
      </c>
      <c r="D448">
        <v>33.89</v>
      </c>
      <c r="G448" s="100">
        <v>39863</v>
      </c>
      <c r="H448" s="14">
        <f t="shared" si="18"/>
        <v>51.569920844327186</v>
      </c>
      <c r="I448" s="14">
        <f t="shared" si="19"/>
        <v>61.847475832438235</v>
      </c>
      <c r="J448" s="14">
        <f t="shared" si="20"/>
        <v>58.36059927673498</v>
      </c>
    </row>
    <row r="449" spans="1:10">
      <c r="A449" s="100">
        <v>39864</v>
      </c>
      <c r="B449">
        <v>77.42</v>
      </c>
      <c r="C449">
        <v>28.87</v>
      </c>
      <c r="D449">
        <v>33.86</v>
      </c>
      <c r="G449" s="100">
        <v>39864</v>
      </c>
      <c r="H449" s="14">
        <f t="shared" si="18"/>
        <v>51.068601583113463</v>
      </c>
      <c r="I449" s="14">
        <f t="shared" si="19"/>
        <v>62.019334049409245</v>
      </c>
      <c r="J449" s="14">
        <f t="shared" si="20"/>
        <v>58.308937489237124</v>
      </c>
    </row>
    <row r="450" spans="1:10">
      <c r="A450" s="100">
        <v>39867</v>
      </c>
      <c r="B450">
        <v>74.650000000000006</v>
      </c>
      <c r="C450">
        <v>27.86</v>
      </c>
      <c r="D450">
        <v>32.6</v>
      </c>
      <c r="G450" s="100">
        <v>39867</v>
      </c>
      <c r="H450" s="14">
        <f t="shared" si="18"/>
        <v>49.241424802110821</v>
      </c>
      <c r="I450" s="14">
        <f t="shared" si="19"/>
        <v>59.849624060150376</v>
      </c>
      <c r="J450" s="14">
        <f t="shared" si="20"/>
        <v>56.139142414327537</v>
      </c>
    </row>
    <row r="451" spans="1:10">
      <c r="A451" s="100">
        <v>39868</v>
      </c>
      <c r="B451">
        <v>77.48</v>
      </c>
      <c r="C451">
        <v>28.78</v>
      </c>
      <c r="D451">
        <v>33.5</v>
      </c>
      <c r="G451" s="100">
        <v>39868</v>
      </c>
      <c r="H451" s="14">
        <f t="shared" si="18"/>
        <v>51.108179419525065</v>
      </c>
      <c r="I451" s="14">
        <f t="shared" si="19"/>
        <v>61.82599355531687</v>
      </c>
      <c r="J451" s="14">
        <f t="shared" si="20"/>
        <v>57.68899603926296</v>
      </c>
    </row>
    <row r="452" spans="1:10">
      <c r="A452" s="100">
        <v>39869</v>
      </c>
      <c r="B452">
        <v>76.87</v>
      </c>
      <c r="C452">
        <v>28.59</v>
      </c>
      <c r="D452">
        <v>33.56</v>
      </c>
      <c r="G452" s="100">
        <v>39869</v>
      </c>
      <c r="H452" s="14">
        <f t="shared" si="18"/>
        <v>50.705804749340381</v>
      </c>
      <c r="I452" s="14">
        <f t="shared" si="19"/>
        <v>61.417830290010741</v>
      </c>
      <c r="J452" s="14">
        <f t="shared" si="20"/>
        <v>57.792319614258659</v>
      </c>
    </row>
    <row r="453" spans="1:10">
      <c r="A453" s="100">
        <v>39870</v>
      </c>
      <c r="B453">
        <v>75.62</v>
      </c>
      <c r="C453">
        <v>27.79</v>
      </c>
      <c r="D453">
        <v>33.18</v>
      </c>
      <c r="G453" s="100">
        <v>39870</v>
      </c>
      <c r="H453" s="14">
        <f t="shared" ref="H453:H516" si="21">B453/$B$4*100</f>
        <v>49.881266490765178</v>
      </c>
      <c r="I453" s="14">
        <f t="shared" ref="I453:I516" si="22">C453/$C$4*100</f>
        <v>59.699248120300751</v>
      </c>
      <c r="J453" s="14">
        <f t="shared" ref="J453:J516" si="23">D453/$D$4*100</f>
        <v>57.137936972619251</v>
      </c>
    </row>
    <row r="454" spans="1:10">
      <c r="A454" s="100">
        <v>39871</v>
      </c>
      <c r="B454">
        <v>73.930000000000007</v>
      </c>
      <c r="C454">
        <v>27.53</v>
      </c>
      <c r="D454">
        <v>33.15</v>
      </c>
      <c r="G454" s="100">
        <v>39871</v>
      </c>
      <c r="H454" s="14">
        <f t="shared" si="21"/>
        <v>48.766490765171511</v>
      </c>
      <c r="I454" s="14">
        <f t="shared" si="22"/>
        <v>59.140708915145012</v>
      </c>
      <c r="J454" s="14">
        <f t="shared" si="23"/>
        <v>57.086275185121401</v>
      </c>
    </row>
    <row r="455" spans="1:10">
      <c r="A455" s="100">
        <v>39874</v>
      </c>
      <c r="B455">
        <v>70.599999999999994</v>
      </c>
      <c r="C455">
        <v>26.64</v>
      </c>
      <c r="D455">
        <v>32.130000000000003</v>
      </c>
      <c r="G455" s="100">
        <v>39874</v>
      </c>
      <c r="H455" s="14">
        <f t="shared" si="21"/>
        <v>46.569920844327171</v>
      </c>
      <c r="I455" s="14">
        <f t="shared" si="22"/>
        <v>57.228786251342648</v>
      </c>
      <c r="J455" s="14">
        <f t="shared" si="23"/>
        <v>55.329774410194602</v>
      </c>
    </row>
    <row r="456" spans="1:10">
      <c r="A456" s="100">
        <v>39875</v>
      </c>
      <c r="B456">
        <v>70.069999999999993</v>
      </c>
      <c r="C456">
        <v>26.62</v>
      </c>
      <c r="D456">
        <v>32.03</v>
      </c>
      <c r="G456" s="100">
        <v>39875</v>
      </c>
      <c r="H456" s="14">
        <f t="shared" si="21"/>
        <v>46.220316622691286</v>
      </c>
      <c r="I456" s="14">
        <f t="shared" si="22"/>
        <v>57.185821697099904</v>
      </c>
      <c r="J456" s="14">
        <f t="shared" si="23"/>
        <v>55.157568451868435</v>
      </c>
    </row>
    <row r="457" spans="1:10">
      <c r="A457" s="100">
        <v>39876</v>
      </c>
      <c r="B457">
        <v>71.73</v>
      </c>
      <c r="C457">
        <v>27.33</v>
      </c>
      <c r="D457">
        <v>32.93</v>
      </c>
      <c r="G457" s="100">
        <v>39876</v>
      </c>
      <c r="H457" s="14">
        <f t="shared" si="21"/>
        <v>47.315303430079162</v>
      </c>
      <c r="I457" s="14">
        <f t="shared" si="22"/>
        <v>58.711063372717511</v>
      </c>
      <c r="J457" s="14">
        <f t="shared" si="23"/>
        <v>56.707422076803859</v>
      </c>
    </row>
    <row r="458" spans="1:10">
      <c r="A458" s="100">
        <v>39877</v>
      </c>
      <c r="B458">
        <v>68.8</v>
      </c>
      <c r="C458">
        <v>26.51</v>
      </c>
      <c r="D458">
        <v>31.93</v>
      </c>
      <c r="G458" s="100">
        <v>39877</v>
      </c>
      <c r="H458" s="14">
        <f t="shared" si="21"/>
        <v>45.382585751978894</v>
      </c>
      <c r="I458" s="14">
        <f t="shared" si="22"/>
        <v>56.949516648764778</v>
      </c>
      <c r="J458" s="14">
        <f t="shared" si="23"/>
        <v>54.985362493542276</v>
      </c>
    </row>
    <row r="459" spans="1:10">
      <c r="A459" s="100">
        <v>39878</v>
      </c>
      <c r="B459">
        <v>68.92</v>
      </c>
      <c r="C459">
        <v>26.3</v>
      </c>
      <c r="D459">
        <v>31.71</v>
      </c>
      <c r="G459" s="100">
        <v>39878</v>
      </c>
      <c r="H459" s="14">
        <f t="shared" si="21"/>
        <v>45.461741424802113</v>
      </c>
      <c r="I459" s="14">
        <f t="shared" si="22"/>
        <v>56.498388829215905</v>
      </c>
      <c r="J459" s="14">
        <f t="shared" si="23"/>
        <v>54.606509385224733</v>
      </c>
    </row>
    <row r="460" spans="1:10">
      <c r="A460" s="100">
        <v>39881</v>
      </c>
      <c r="B460">
        <v>68.11</v>
      </c>
      <c r="C460">
        <v>25.74</v>
      </c>
      <c r="D460">
        <v>30.85</v>
      </c>
      <c r="G460" s="100">
        <v>39881</v>
      </c>
      <c r="H460" s="14">
        <f t="shared" si="21"/>
        <v>44.927440633245382</v>
      </c>
      <c r="I460" s="14">
        <f t="shared" si="22"/>
        <v>55.295381310418904</v>
      </c>
      <c r="J460" s="14">
        <f t="shared" si="23"/>
        <v>53.125538143619764</v>
      </c>
    </row>
    <row r="461" spans="1:10">
      <c r="A461" s="100">
        <v>39882</v>
      </c>
      <c r="B461">
        <v>72.17</v>
      </c>
      <c r="C461">
        <v>27.33</v>
      </c>
      <c r="D461">
        <v>32.89</v>
      </c>
      <c r="G461" s="100">
        <v>39882</v>
      </c>
      <c r="H461" s="14">
        <f t="shared" si="21"/>
        <v>47.605540897097626</v>
      </c>
      <c r="I461" s="14">
        <f t="shared" si="22"/>
        <v>58.711063372717511</v>
      </c>
      <c r="J461" s="14">
        <f t="shared" si="23"/>
        <v>56.638539693473398</v>
      </c>
    </row>
    <row r="462" spans="1:10">
      <c r="A462" s="100">
        <v>39883</v>
      </c>
      <c r="B462">
        <v>72.64</v>
      </c>
      <c r="C462">
        <v>27.75</v>
      </c>
      <c r="D462">
        <v>33.729999999999997</v>
      </c>
      <c r="G462" s="100">
        <v>39883</v>
      </c>
      <c r="H462" s="14">
        <f t="shared" si="21"/>
        <v>47.915567282321902</v>
      </c>
      <c r="I462" s="14">
        <f t="shared" si="22"/>
        <v>59.613319011815257</v>
      </c>
      <c r="J462" s="14">
        <f t="shared" si="23"/>
        <v>58.085069743413122</v>
      </c>
    </row>
    <row r="463" spans="1:10">
      <c r="A463" s="100">
        <v>39884</v>
      </c>
      <c r="B463">
        <v>75.5</v>
      </c>
      <c r="C463">
        <v>28.67</v>
      </c>
      <c r="D463">
        <v>34.71</v>
      </c>
      <c r="G463" s="100">
        <v>39884</v>
      </c>
      <c r="H463" s="14">
        <f t="shared" si="21"/>
        <v>49.802110817941951</v>
      </c>
      <c r="I463" s="14">
        <f t="shared" si="22"/>
        <v>61.589688506981744</v>
      </c>
      <c r="J463" s="14">
        <f t="shared" si="23"/>
        <v>59.772688135009474</v>
      </c>
    </row>
    <row r="464" spans="1:10">
      <c r="A464" s="100">
        <v>39885</v>
      </c>
      <c r="B464">
        <v>76.09</v>
      </c>
      <c r="C464">
        <v>28.74</v>
      </c>
      <c r="D464">
        <v>34.659999999999997</v>
      </c>
      <c r="G464" s="100">
        <v>39885</v>
      </c>
      <c r="H464" s="14">
        <f t="shared" si="21"/>
        <v>50.191292875989447</v>
      </c>
      <c r="I464" s="14">
        <f t="shared" si="22"/>
        <v>61.740064446831369</v>
      </c>
      <c r="J464" s="14">
        <f t="shared" si="23"/>
        <v>59.68658515584638</v>
      </c>
    </row>
    <row r="465" spans="1:10">
      <c r="A465" s="100">
        <v>39888</v>
      </c>
      <c r="B465">
        <v>75.86</v>
      </c>
      <c r="C465">
        <v>28.26</v>
      </c>
      <c r="D465">
        <v>34.130000000000003</v>
      </c>
      <c r="G465" s="100">
        <v>39888</v>
      </c>
      <c r="H465" s="14">
        <f t="shared" si="21"/>
        <v>50.03957783641161</v>
      </c>
      <c r="I465" s="14">
        <f t="shared" si="22"/>
        <v>60.708915145005385</v>
      </c>
      <c r="J465" s="14">
        <f t="shared" si="23"/>
        <v>58.773893576717761</v>
      </c>
    </row>
    <row r="466" spans="1:10">
      <c r="A466" s="100">
        <v>39889</v>
      </c>
      <c r="B466">
        <v>78.180000000000007</v>
      </c>
      <c r="C466">
        <v>29.33</v>
      </c>
      <c r="D466">
        <v>35.29</v>
      </c>
      <c r="G466" s="100">
        <v>39889</v>
      </c>
      <c r="H466" s="14">
        <f t="shared" si="21"/>
        <v>51.569920844327186</v>
      </c>
      <c r="I466" s="14">
        <f t="shared" si="22"/>
        <v>63.007518796992478</v>
      </c>
      <c r="J466" s="14">
        <f t="shared" si="23"/>
        <v>60.771482693301181</v>
      </c>
    </row>
    <row r="467" spans="1:10">
      <c r="A467" s="100">
        <v>39890</v>
      </c>
      <c r="B467">
        <v>79.930000000000007</v>
      </c>
      <c r="C467">
        <v>29.7</v>
      </c>
      <c r="D467">
        <v>35.950000000000003</v>
      </c>
      <c r="G467" s="100">
        <v>39890</v>
      </c>
      <c r="H467" s="14">
        <f t="shared" si="21"/>
        <v>52.724274406332462</v>
      </c>
      <c r="I467" s="14">
        <f t="shared" si="22"/>
        <v>63.802363050483358</v>
      </c>
      <c r="J467" s="14">
        <f t="shared" si="23"/>
        <v>61.908042018253838</v>
      </c>
    </row>
    <row r="468" spans="1:10">
      <c r="A468" s="100">
        <v>39891</v>
      </c>
      <c r="B468">
        <v>78.94</v>
      </c>
      <c r="C468">
        <v>29.68</v>
      </c>
      <c r="D468">
        <v>36.17</v>
      </c>
      <c r="G468" s="100">
        <v>39891</v>
      </c>
      <c r="H468" s="14">
        <f t="shared" si="21"/>
        <v>52.071240105540895</v>
      </c>
      <c r="I468" s="14">
        <f t="shared" si="22"/>
        <v>63.759398496240607</v>
      </c>
      <c r="J468" s="14">
        <f t="shared" si="23"/>
        <v>62.286895126571387</v>
      </c>
    </row>
    <row r="469" spans="1:10">
      <c r="A469" s="100">
        <v>39892</v>
      </c>
      <c r="B469">
        <v>76.709999999999994</v>
      </c>
      <c r="C469">
        <v>29.18</v>
      </c>
      <c r="D469">
        <v>35.49</v>
      </c>
      <c r="G469" s="100">
        <v>39892</v>
      </c>
      <c r="H469" s="14">
        <f t="shared" si="21"/>
        <v>50.600263852242747</v>
      </c>
      <c r="I469" s="14">
        <f t="shared" si="22"/>
        <v>62.685284640171858</v>
      </c>
      <c r="J469" s="14">
        <f t="shared" si="23"/>
        <v>61.1158946099535</v>
      </c>
    </row>
    <row r="470" spans="1:10">
      <c r="A470" s="100">
        <v>39895</v>
      </c>
      <c r="B470">
        <v>82.22</v>
      </c>
      <c r="C470">
        <v>30.9</v>
      </c>
      <c r="D470">
        <v>37.54</v>
      </c>
      <c r="G470" s="100">
        <v>39895</v>
      </c>
      <c r="H470" s="14">
        <f t="shared" si="21"/>
        <v>54.234828496042219</v>
      </c>
      <c r="I470" s="14">
        <f t="shared" si="22"/>
        <v>66.380236305048328</v>
      </c>
      <c r="J470" s="14">
        <f t="shared" si="23"/>
        <v>64.646116755639753</v>
      </c>
    </row>
    <row r="471" spans="1:10">
      <c r="A471" s="100">
        <v>39896</v>
      </c>
      <c r="B471">
        <v>80.599999999999994</v>
      </c>
      <c r="C471">
        <v>30.33</v>
      </c>
      <c r="D471">
        <v>37.06</v>
      </c>
      <c r="G471" s="100">
        <v>39896</v>
      </c>
      <c r="H471" s="14">
        <f t="shared" si="21"/>
        <v>53.166226912928764</v>
      </c>
      <c r="I471" s="14">
        <f t="shared" si="22"/>
        <v>65.155746509129969</v>
      </c>
      <c r="J471" s="14">
        <f t="shared" si="23"/>
        <v>63.819528155674185</v>
      </c>
    </row>
    <row r="472" spans="1:10">
      <c r="A472" s="100">
        <v>39897</v>
      </c>
      <c r="B472">
        <v>81.45</v>
      </c>
      <c r="C472">
        <v>30.47</v>
      </c>
      <c r="D472">
        <v>37.130000000000003</v>
      </c>
      <c r="G472" s="100">
        <v>39897</v>
      </c>
      <c r="H472" s="14">
        <f t="shared" si="21"/>
        <v>53.726912928759894</v>
      </c>
      <c r="I472" s="14">
        <f t="shared" si="22"/>
        <v>65.456498388829218</v>
      </c>
      <c r="J472" s="14">
        <f t="shared" si="23"/>
        <v>63.940072326502509</v>
      </c>
    </row>
    <row r="473" spans="1:10">
      <c r="A473" s="100">
        <v>39898</v>
      </c>
      <c r="B473">
        <v>83.11</v>
      </c>
      <c r="C473">
        <v>31.41</v>
      </c>
      <c r="D473">
        <v>38.369999999999997</v>
      </c>
      <c r="G473" s="100">
        <v>39898</v>
      </c>
      <c r="H473" s="14">
        <f t="shared" si="21"/>
        <v>54.821899736147763</v>
      </c>
      <c r="I473" s="14">
        <f t="shared" si="22"/>
        <v>67.475832438238456</v>
      </c>
      <c r="J473" s="14">
        <f t="shared" si="23"/>
        <v>66.075426209746851</v>
      </c>
    </row>
    <row r="474" spans="1:10">
      <c r="A474" s="100">
        <v>39899</v>
      </c>
      <c r="B474">
        <v>81.61</v>
      </c>
      <c r="C474">
        <v>30.82</v>
      </c>
      <c r="D474">
        <v>37.49</v>
      </c>
      <c r="G474" s="100">
        <v>39899</v>
      </c>
      <c r="H474" s="14">
        <f t="shared" si="21"/>
        <v>53.83245382585752</v>
      </c>
      <c r="I474" s="14">
        <f t="shared" si="22"/>
        <v>66.208378088077339</v>
      </c>
      <c r="J474" s="14">
        <f t="shared" si="23"/>
        <v>64.560013776476666</v>
      </c>
    </row>
    <row r="475" spans="1:10">
      <c r="A475" s="100">
        <v>39902</v>
      </c>
      <c r="B475">
        <v>78.790000000000006</v>
      </c>
      <c r="C475">
        <v>30.06</v>
      </c>
      <c r="D475">
        <v>36.44</v>
      </c>
      <c r="G475" s="100">
        <v>39902</v>
      </c>
      <c r="H475" s="14">
        <f t="shared" si="21"/>
        <v>51.972295514511877</v>
      </c>
      <c r="I475" s="14">
        <f t="shared" si="22"/>
        <v>64.575725026852851</v>
      </c>
      <c r="J475" s="14">
        <f t="shared" si="23"/>
        <v>62.751851214052003</v>
      </c>
    </row>
    <row r="476" spans="1:10">
      <c r="A476" s="100">
        <v>39903</v>
      </c>
      <c r="B476">
        <v>79.52</v>
      </c>
      <c r="C476">
        <v>30.32</v>
      </c>
      <c r="D476">
        <v>37.03</v>
      </c>
      <c r="G476" s="100">
        <v>39903</v>
      </c>
      <c r="H476" s="14">
        <f t="shared" si="21"/>
        <v>52.453825857519789</v>
      </c>
      <c r="I476" s="14">
        <f t="shared" si="22"/>
        <v>65.134264232008604</v>
      </c>
      <c r="J476" s="14">
        <f t="shared" si="23"/>
        <v>63.767866368176342</v>
      </c>
    </row>
    <row r="477" spans="1:10">
      <c r="A477" s="100">
        <v>39904</v>
      </c>
      <c r="B477">
        <v>81.06</v>
      </c>
      <c r="C477">
        <v>30.77</v>
      </c>
      <c r="D477">
        <v>37.85</v>
      </c>
      <c r="G477" s="100">
        <v>39904</v>
      </c>
      <c r="H477" s="14">
        <f t="shared" si="21"/>
        <v>53.469656992084438</v>
      </c>
      <c r="I477" s="14">
        <f t="shared" si="22"/>
        <v>66.100966702470458</v>
      </c>
      <c r="J477" s="14">
        <f t="shared" si="23"/>
        <v>65.179955226450829</v>
      </c>
    </row>
    <row r="478" spans="1:10">
      <c r="A478" s="100">
        <v>39905</v>
      </c>
      <c r="B478">
        <v>83.43</v>
      </c>
      <c r="C478">
        <v>31.76</v>
      </c>
      <c r="D478">
        <v>39.06</v>
      </c>
      <c r="G478" s="100">
        <v>39905</v>
      </c>
      <c r="H478" s="14">
        <f t="shared" si="21"/>
        <v>55.032981530343015</v>
      </c>
      <c r="I478" s="14">
        <f t="shared" si="22"/>
        <v>68.227712137486591</v>
      </c>
      <c r="J478" s="14">
        <f t="shared" si="23"/>
        <v>67.263647322197357</v>
      </c>
    </row>
    <row r="479" spans="1:10">
      <c r="A479" s="100">
        <v>39906</v>
      </c>
      <c r="B479">
        <v>84.26</v>
      </c>
      <c r="C479">
        <v>32.35</v>
      </c>
      <c r="D479">
        <v>39.72</v>
      </c>
      <c r="G479" s="100">
        <v>39906</v>
      </c>
      <c r="H479" s="14">
        <f t="shared" si="21"/>
        <v>55.58047493403695</v>
      </c>
      <c r="I479" s="14">
        <f t="shared" si="22"/>
        <v>69.495166487647694</v>
      </c>
      <c r="J479" s="14">
        <f t="shared" si="23"/>
        <v>68.400206647149986</v>
      </c>
    </row>
    <row r="480" spans="1:10">
      <c r="A480" s="100">
        <v>39909</v>
      </c>
      <c r="B480">
        <v>83.6</v>
      </c>
      <c r="C480">
        <v>32.270000000000003</v>
      </c>
      <c r="D480">
        <v>39.26</v>
      </c>
      <c r="G480" s="100">
        <v>39909</v>
      </c>
      <c r="H480" s="14">
        <f t="shared" si="21"/>
        <v>55.145118733509236</v>
      </c>
      <c r="I480" s="14">
        <f t="shared" si="22"/>
        <v>69.323308270676705</v>
      </c>
      <c r="J480" s="14">
        <f t="shared" si="23"/>
        <v>67.608059238849663</v>
      </c>
    </row>
    <row r="481" spans="1:10">
      <c r="A481" s="100">
        <v>39910</v>
      </c>
      <c r="B481">
        <v>81.650000000000006</v>
      </c>
      <c r="C481">
        <v>31.42</v>
      </c>
      <c r="D481">
        <v>38.17</v>
      </c>
      <c r="G481" s="100">
        <v>39910</v>
      </c>
      <c r="H481" s="14">
        <f t="shared" si="21"/>
        <v>53.858839050131934</v>
      </c>
      <c r="I481" s="14">
        <f t="shared" si="22"/>
        <v>67.497314715359835</v>
      </c>
      <c r="J481" s="14">
        <f t="shared" si="23"/>
        <v>65.731014293094546</v>
      </c>
    </row>
    <row r="482" spans="1:10">
      <c r="A482" s="100">
        <v>39911</v>
      </c>
      <c r="B482">
        <v>82.53</v>
      </c>
      <c r="C482">
        <v>31.95</v>
      </c>
      <c r="D482">
        <v>38.97</v>
      </c>
      <c r="G482" s="100">
        <v>39911</v>
      </c>
      <c r="H482" s="14">
        <f t="shared" si="21"/>
        <v>54.439313984168869</v>
      </c>
      <c r="I482" s="14">
        <f t="shared" si="22"/>
        <v>68.635875402792706</v>
      </c>
      <c r="J482" s="14">
        <f t="shared" si="23"/>
        <v>67.108661959703809</v>
      </c>
    </row>
    <row r="483" spans="1:10">
      <c r="A483" s="100">
        <v>39912</v>
      </c>
      <c r="B483">
        <v>85.81</v>
      </c>
      <c r="C483">
        <v>32.94</v>
      </c>
      <c r="D483">
        <v>40.01</v>
      </c>
      <c r="G483" s="100">
        <v>39912</v>
      </c>
      <c r="H483" s="14">
        <f t="shared" si="21"/>
        <v>56.60290237467018</v>
      </c>
      <c r="I483" s="14">
        <f t="shared" si="22"/>
        <v>70.762620837808811</v>
      </c>
      <c r="J483" s="14">
        <f t="shared" si="23"/>
        <v>68.899603926295853</v>
      </c>
    </row>
    <row r="484" spans="1:10">
      <c r="A484" s="100">
        <v>39916</v>
      </c>
      <c r="B484">
        <v>85.83</v>
      </c>
      <c r="C484">
        <v>32.89</v>
      </c>
      <c r="D484">
        <v>39.97</v>
      </c>
      <c r="G484" s="100">
        <v>39916</v>
      </c>
      <c r="H484" s="14">
        <f t="shared" si="21"/>
        <v>56.616094986807383</v>
      </c>
      <c r="I484" s="14">
        <f t="shared" si="22"/>
        <v>70.655209452201944</v>
      </c>
      <c r="J484" s="14">
        <f t="shared" si="23"/>
        <v>68.830721542965392</v>
      </c>
    </row>
    <row r="485" spans="1:10">
      <c r="A485" s="100">
        <v>39917</v>
      </c>
      <c r="B485">
        <v>84.35</v>
      </c>
      <c r="C485">
        <v>32.49</v>
      </c>
      <c r="D485">
        <v>39.5</v>
      </c>
      <c r="G485" s="100">
        <v>39917</v>
      </c>
      <c r="H485" s="14">
        <f t="shared" si="21"/>
        <v>55.639841688654357</v>
      </c>
      <c r="I485" s="14">
        <f t="shared" si="22"/>
        <v>69.795918367346943</v>
      </c>
      <c r="J485" s="14">
        <f t="shared" si="23"/>
        <v>68.021353538832443</v>
      </c>
    </row>
    <row r="486" spans="1:10">
      <c r="A486" s="100">
        <v>39918</v>
      </c>
      <c r="B486">
        <v>85.25</v>
      </c>
      <c r="C486">
        <v>32.4</v>
      </c>
      <c r="D486">
        <v>39.36</v>
      </c>
      <c r="G486" s="100">
        <v>39918</v>
      </c>
      <c r="H486" s="14">
        <f t="shared" si="21"/>
        <v>56.233509234828496</v>
      </c>
      <c r="I486" s="14">
        <f t="shared" si="22"/>
        <v>69.602577873254575</v>
      </c>
      <c r="J486" s="14">
        <f t="shared" si="23"/>
        <v>67.780265197175822</v>
      </c>
    </row>
    <row r="487" spans="1:10">
      <c r="A487" s="100">
        <v>39919</v>
      </c>
      <c r="B487">
        <v>86.5</v>
      </c>
      <c r="C487">
        <v>33.24</v>
      </c>
      <c r="D487">
        <v>40.520000000000003</v>
      </c>
      <c r="G487" s="100">
        <v>39919</v>
      </c>
      <c r="H487" s="14">
        <f t="shared" si="21"/>
        <v>57.058047493403699</v>
      </c>
      <c r="I487" s="14">
        <f t="shared" si="22"/>
        <v>71.407089151450066</v>
      </c>
      <c r="J487" s="14">
        <f t="shared" si="23"/>
        <v>69.777854313759264</v>
      </c>
    </row>
    <row r="488" spans="1:10">
      <c r="A488" s="100">
        <v>39920</v>
      </c>
      <c r="B488">
        <v>87.08</v>
      </c>
      <c r="C488">
        <v>33.31</v>
      </c>
      <c r="D488">
        <v>40.53</v>
      </c>
      <c r="G488" s="100">
        <v>39920</v>
      </c>
      <c r="H488" s="14">
        <f t="shared" si="21"/>
        <v>57.440633245382585</v>
      </c>
      <c r="I488" s="14">
        <f t="shared" si="22"/>
        <v>71.55746509129969</v>
      </c>
      <c r="J488" s="14">
        <f t="shared" si="23"/>
        <v>69.795074909591875</v>
      </c>
    </row>
    <row r="489" spans="1:10">
      <c r="A489" s="100">
        <v>39923</v>
      </c>
      <c r="B489">
        <v>83.43</v>
      </c>
      <c r="C489">
        <v>32.24</v>
      </c>
      <c r="D489">
        <v>39.33</v>
      </c>
      <c r="G489" s="100">
        <v>39923</v>
      </c>
      <c r="H489" s="14">
        <f t="shared" si="21"/>
        <v>55.032981530343015</v>
      </c>
      <c r="I489" s="14">
        <f t="shared" si="22"/>
        <v>69.258861439312582</v>
      </c>
      <c r="J489" s="14">
        <f t="shared" si="23"/>
        <v>67.728603409677973</v>
      </c>
    </row>
    <row r="490" spans="1:10">
      <c r="A490" s="100">
        <v>39924</v>
      </c>
      <c r="B490">
        <v>85.06</v>
      </c>
      <c r="C490">
        <v>32.69</v>
      </c>
      <c r="D490">
        <v>39.909999999999997</v>
      </c>
      <c r="G490" s="100">
        <v>39924</v>
      </c>
      <c r="H490" s="14">
        <f t="shared" si="21"/>
        <v>56.108179419525072</v>
      </c>
      <c r="I490" s="14">
        <f t="shared" si="22"/>
        <v>70.225563909774436</v>
      </c>
      <c r="J490" s="14">
        <f t="shared" si="23"/>
        <v>68.727397967969679</v>
      </c>
    </row>
    <row r="491" spans="1:10">
      <c r="A491" s="100">
        <v>39925</v>
      </c>
      <c r="B491">
        <v>84.54</v>
      </c>
      <c r="C491">
        <v>32.79</v>
      </c>
      <c r="D491">
        <v>40.03</v>
      </c>
      <c r="G491" s="100">
        <v>39925</v>
      </c>
      <c r="H491" s="14">
        <f t="shared" si="21"/>
        <v>55.765171503957788</v>
      </c>
      <c r="I491" s="14">
        <f t="shared" si="22"/>
        <v>70.440386680988183</v>
      </c>
      <c r="J491" s="14">
        <f t="shared" si="23"/>
        <v>68.934045117961091</v>
      </c>
    </row>
    <row r="492" spans="1:10">
      <c r="A492" s="100">
        <v>39926</v>
      </c>
      <c r="B492">
        <v>85.37</v>
      </c>
      <c r="C492">
        <v>33.11</v>
      </c>
      <c r="D492">
        <v>40.130000000000003</v>
      </c>
      <c r="G492" s="100">
        <v>39926</v>
      </c>
      <c r="H492" s="14">
        <f t="shared" si="21"/>
        <v>56.312664907651723</v>
      </c>
      <c r="I492" s="14">
        <f t="shared" si="22"/>
        <v>71.127819548872182</v>
      </c>
      <c r="J492" s="14">
        <f t="shared" si="23"/>
        <v>69.106251076287236</v>
      </c>
    </row>
    <row r="493" spans="1:10">
      <c r="A493" s="100">
        <v>39927</v>
      </c>
      <c r="B493">
        <v>86.66</v>
      </c>
      <c r="C493">
        <v>33.69</v>
      </c>
      <c r="D493">
        <v>41.04</v>
      </c>
      <c r="G493" s="100">
        <v>39927</v>
      </c>
      <c r="H493" s="14">
        <f t="shared" si="21"/>
        <v>57.163588390501317</v>
      </c>
      <c r="I493" s="14">
        <f t="shared" si="22"/>
        <v>72.37379162191192</v>
      </c>
      <c r="J493" s="14">
        <f t="shared" si="23"/>
        <v>70.673325297055271</v>
      </c>
    </row>
    <row r="494" spans="1:10">
      <c r="A494" s="100">
        <v>39930</v>
      </c>
      <c r="B494">
        <v>85.84</v>
      </c>
      <c r="C494">
        <v>33.729999999999997</v>
      </c>
      <c r="D494">
        <v>40.83</v>
      </c>
      <c r="G494" s="100">
        <v>39930</v>
      </c>
      <c r="H494" s="14">
        <f t="shared" si="21"/>
        <v>56.622691292875992</v>
      </c>
      <c r="I494" s="14">
        <f t="shared" si="22"/>
        <v>72.459720730397407</v>
      </c>
      <c r="J494" s="14">
        <f t="shared" si="23"/>
        <v>70.31169278457034</v>
      </c>
    </row>
    <row r="495" spans="1:10">
      <c r="A495" s="100">
        <v>39931</v>
      </c>
      <c r="B495">
        <v>85.57</v>
      </c>
      <c r="C495">
        <v>33.479999999999997</v>
      </c>
      <c r="D495">
        <v>40.520000000000003</v>
      </c>
      <c r="G495" s="100">
        <v>39931</v>
      </c>
      <c r="H495" s="14">
        <f t="shared" si="21"/>
        <v>56.444591029023748</v>
      </c>
      <c r="I495" s="14">
        <f t="shared" si="22"/>
        <v>71.922663802363047</v>
      </c>
      <c r="J495" s="14">
        <f t="shared" si="23"/>
        <v>69.777854313759264</v>
      </c>
    </row>
    <row r="496" spans="1:10">
      <c r="A496" s="100">
        <v>39932</v>
      </c>
      <c r="B496">
        <v>87.39</v>
      </c>
      <c r="C496">
        <v>33.94</v>
      </c>
      <c r="D496">
        <v>41.35</v>
      </c>
      <c r="G496" s="100">
        <v>39932</v>
      </c>
      <c r="H496" s="14">
        <f t="shared" si="21"/>
        <v>57.645118733509236</v>
      </c>
      <c r="I496" s="14">
        <f t="shared" si="22"/>
        <v>72.910848549946294</v>
      </c>
      <c r="J496" s="14">
        <f t="shared" si="23"/>
        <v>71.207163767866362</v>
      </c>
    </row>
    <row r="497" spans="1:10">
      <c r="A497" s="100">
        <v>39933</v>
      </c>
      <c r="B497">
        <v>87.42</v>
      </c>
      <c r="C497">
        <v>34.28</v>
      </c>
      <c r="D497">
        <v>41.61</v>
      </c>
      <c r="G497" s="100">
        <v>39933</v>
      </c>
      <c r="H497" s="14">
        <f t="shared" si="21"/>
        <v>57.664907651715048</v>
      </c>
      <c r="I497" s="14">
        <f t="shared" si="22"/>
        <v>73.641245972073051</v>
      </c>
      <c r="J497" s="14">
        <f t="shared" si="23"/>
        <v>71.65489925951438</v>
      </c>
    </row>
    <row r="498" spans="1:10">
      <c r="A498" s="100">
        <v>39934</v>
      </c>
      <c r="B498">
        <v>87.89</v>
      </c>
      <c r="C498">
        <v>34.369999999999997</v>
      </c>
      <c r="D498">
        <v>41.87</v>
      </c>
      <c r="G498" s="100">
        <v>39934</v>
      </c>
      <c r="H498" s="14">
        <f t="shared" si="21"/>
        <v>57.974934036939317</v>
      </c>
      <c r="I498" s="14">
        <f t="shared" si="22"/>
        <v>73.834586466165405</v>
      </c>
      <c r="J498" s="14">
        <f t="shared" si="23"/>
        <v>72.102634751162384</v>
      </c>
    </row>
    <row r="499" spans="1:10">
      <c r="A499" s="100">
        <v>39937</v>
      </c>
      <c r="B499">
        <v>90.88</v>
      </c>
      <c r="C499">
        <v>35.049999999999997</v>
      </c>
      <c r="D499">
        <v>42.57</v>
      </c>
      <c r="G499" s="100">
        <v>39937</v>
      </c>
      <c r="H499" s="14">
        <f t="shared" si="21"/>
        <v>59.947229551451187</v>
      </c>
      <c r="I499" s="14">
        <f t="shared" si="22"/>
        <v>75.295381310418904</v>
      </c>
      <c r="J499" s="14">
        <f t="shared" si="23"/>
        <v>73.308076459445488</v>
      </c>
    </row>
    <row r="500" spans="1:10">
      <c r="A500" s="100">
        <v>39938</v>
      </c>
      <c r="B500">
        <v>90.57</v>
      </c>
      <c r="C500">
        <v>35.020000000000003</v>
      </c>
      <c r="D500">
        <v>42.48</v>
      </c>
      <c r="G500" s="100">
        <v>39938</v>
      </c>
      <c r="H500" s="14">
        <f t="shared" si="21"/>
        <v>59.742744063324537</v>
      </c>
      <c r="I500" s="14">
        <f t="shared" si="22"/>
        <v>75.230934479054795</v>
      </c>
      <c r="J500" s="14">
        <f t="shared" si="23"/>
        <v>73.153091096951954</v>
      </c>
    </row>
    <row r="501" spans="1:10">
      <c r="A501" s="100">
        <v>39939</v>
      </c>
      <c r="B501">
        <v>92.14</v>
      </c>
      <c r="C501">
        <v>35.03</v>
      </c>
      <c r="D501">
        <v>42.47</v>
      </c>
      <c r="G501" s="100">
        <v>39939</v>
      </c>
      <c r="H501" s="14">
        <f t="shared" si="21"/>
        <v>60.778364116094984</v>
      </c>
      <c r="I501" s="14">
        <f t="shared" si="22"/>
        <v>75.25241675617616</v>
      </c>
      <c r="J501" s="14">
        <f t="shared" si="23"/>
        <v>73.135870501119342</v>
      </c>
    </row>
    <row r="502" spans="1:10">
      <c r="A502" s="100">
        <v>39940</v>
      </c>
      <c r="B502">
        <v>90.86</v>
      </c>
      <c r="C502">
        <v>34.21</v>
      </c>
      <c r="D502">
        <v>41.12</v>
      </c>
      <c r="G502" s="100">
        <v>39940</v>
      </c>
      <c r="H502" s="14">
        <f t="shared" si="21"/>
        <v>59.934036939313984</v>
      </c>
      <c r="I502" s="14">
        <f t="shared" si="22"/>
        <v>73.490870032223427</v>
      </c>
      <c r="J502" s="14">
        <f t="shared" si="23"/>
        <v>70.811090063716193</v>
      </c>
    </row>
    <row r="503" spans="1:10">
      <c r="A503" s="100">
        <v>39941</v>
      </c>
      <c r="B503">
        <v>92.98</v>
      </c>
      <c r="C503">
        <v>34.229999999999997</v>
      </c>
      <c r="D503">
        <v>40.950000000000003</v>
      </c>
      <c r="G503" s="100">
        <v>39941</v>
      </c>
      <c r="H503" s="14">
        <f t="shared" si="21"/>
        <v>61.332453825857527</v>
      </c>
      <c r="I503" s="14">
        <f t="shared" si="22"/>
        <v>73.533834586466156</v>
      </c>
      <c r="J503" s="14">
        <f t="shared" si="23"/>
        <v>70.518339934561737</v>
      </c>
    </row>
    <row r="504" spans="1:10">
      <c r="A504" s="100">
        <v>39944</v>
      </c>
      <c r="B504">
        <v>91.24</v>
      </c>
      <c r="C504">
        <v>34.35</v>
      </c>
      <c r="D504">
        <v>40.97</v>
      </c>
      <c r="G504" s="100">
        <v>39944</v>
      </c>
      <c r="H504" s="14">
        <f t="shared" si="21"/>
        <v>60.184696569920845</v>
      </c>
      <c r="I504" s="14">
        <f t="shared" si="22"/>
        <v>73.791621911922661</v>
      </c>
      <c r="J504" s="14">
        <f t="shared" si="23"/>
        <v>70.552781126226961</v>
      </c>
    </row>
    <row r="505" spans="1:10">
      <c r="A505" s="100">
        <v>39945</v>
      </c>
      <c r="B505">
        <v>90.97</v>
      </c>
      <c r="C505">
        <v>33.93</v>
      </c>
      <c r="D505">
        <v>40.700000000000003</v>
      </c>
      <c r="G505" s="100">
        <v>39945</v>
      </c>
      <c r="H505" s="14">
        <f t="shared" si="21"/>
        <v>60.006596306068602</v>
      </c>
      <c r="I505" s="14">
        <f t="shared" si="22"/>
        <v>72.889366272824915</v>
      </c>
      <c r="J505" s="14">
        <f t="shared" si="23"/>
        <v>70.087825038746345</v>
      </c>
    </row>
    <row r="506" spans="1:10">
      <c r="A506" s="100">
        <v>39946</v>
      </c>
      <c r="B506">
        <v>88.68</v>
      </c>
      <c r="C506">
        <v>33.020000000000003</v>
      </c>
      <c r="D506">
        <v>39.75</v>
      </c>
      <c r="G506" s="100">
        <v>39946</v>
      </c>
      <c r="H506" s="14">
        <f t="shared" si="21"/>
        <v>58.496042216358845</v>
      </c>
      <c r="I506" s="14">
        <f t="shared" si="22"/>
        <v>70.934479054779814</v>
      </c>
      <c r="J506" s="14">
        <f t="shared" si="23"/>
        <v>68.451868434647835</v>
      </c>
    </row>
    <row r="507" spans="1:10">
      <c r="A507" s="100">
        <v>39947</v>
      </c>
      <c r="B507">
        <v>89.44</v>
      </c>
      <c r="C507">
        <v>33.39</v>
      </c>
      <c r="D507">
        <v>40.29</v>
      </c>
      <c r="G507" s="100">
        <v>39947</v>
      </c>
      <c r="H507" s="14">
        <f t="shared" si="21"/>
        <v>58.997361477572561</v>
      </c>
      <c r="I507" s="14">
        <f t="shared" si="22"/>
        <v>71.729323308270693</v>
      </c>
      <c r="J507" s="14">
        <f t="shared" si="23"/>
        <v>69.381780609609095</v>
      </c>
    </row>
    <row r="508" spans="1:10">
      <c r="A508" s="100">
        <v>39948</v>
      </c>
      <c r="B508">
        <v>88.71</v>
      </c>
      <c r="C508">
        <v>33.369999999999997</v>
      </c>
      <c r="D508">
        <v>40.32</v>
      </c>
      <c r="G508" s="100">
        <v>39948</v>
      </c>
      <c r="H508" s="14">
        <f t="shared" si="21"/>
        <v>58.515831134564642</v>
      </c>
      <c r="I508" s="14">
        <f t="shared" si="22"/>
        <v>71.686358754027921</v>
      </c>
      <c r="J508" s="14">
        <f t="shared" si="23"/>
        <v>69.433442397106944</v>
      </c>
    </row>
    <row r="509" spans="1:10">
      <c r="A509" s="100">
        <v>39951</v>
      </c>
      <c r="B509">
        <v>91.23</v>
      </c>
      <c r="C509">
        <v>34.24</v>
      </c>
      <c r="D509">
        <v>41.38</v>
      </c>
      <c r="G509" s="100">
        <v>39951</v>
      </c>
      <c r="H509" s="14">
        <f t="shared" si="21"/>
        <v>60.178100263852251</v>
      </c>
      <c r="I509" s="14">
        <f t="shared" si="22"/>
        <v>73.555316863587549</v>
      </c>
      <c r="J509" s="14">
        <f t="shared" si="23"/>
        <v>71.258825555364226</v>
      </c>
    </row>
    <row r="510" spans="1:10">
      <c r="A510" s="100">
        <v>39952</v>
      </c>
      <c r="B510">
        <v>91.12</v>
      </c>
      <c r="C510">
        <v>34.4</v>
      </c>
      <c r="D510">
        <v>41.71</v>
      </c>
      <c r="G510" s="100">
        <v>39952</v>
      </c>
      <c r="H510" s="14">
        <f t="shared" si="21"/>
        <v>60.105540897097633</v>
      </c>
      <c r="I510" s="14">
        <f t="shared" si="22"/>
        <v>73.899033297529542</v>
      </c>
      <c r="J510" s="14">
        <f t="shared" si="23"/>
        <v>71.82710521784054</v>
      </c>
    </row>
    <row r="511" spans="1:10">
      <c r="A511" s="100">
        <v>39953</v>
      </c>
      <c r="B511">
        <v>90.51</v>
      </c>
      <c r="C511">
        <v>34.28</v>
      </c>
      <c r="D511">
        <v>41.4</v>
      </c>
      <c r="G511" s="100">
        <v>39953</v>
      </c>
      <c r="H511" s="14">
        <f t="shared" si="21"/>
        <v>59.703166226912927</v>
      </c>
      <c r="I511" s="14">
        <f t="shared" si="22"/>
        <v>73.641245972073051</v>
      </c>
      <c r="J511" s="14">
        <f t="shared" si="23"/>
        <v>71.293266747029449</v>
      </c>
    </row>
    <row r="512" spans="1:10">
      <c r="A512" s="100">
        <v>39954</v>
      </c>
      <c r="B512">
        <v>89.21</v>
      </c>
      <c r="C512">
        <v>33.65</v>
      </c>
      <c r="D512">
        <v>40.81</v>
      </c>
      <c r="G512" s="100">
        <v>39954</v>
      </c>
      <c r="H512" s="14">
        <f t="shared" si="21"/>
        <v>58.845646437994723</v>
      </c>
      <c r="I512" s="14">
        <f t="shared" si="22"/>
        <v>72.287862513426433</v>
      </c>
      <c r="J512" s="14">
        <f t="shared" si="23"/>
        <v>70.277251592905117</v>
      </c>
    </row>
    <row r="513" spans="1:10">
      <c r="A513" s="100">
        <v>39955</v>
      </c>
      <c r="B513">
        <v>89.02</v>
      </c>
      <c r="C513">
        <v>33.54</v>
      </c>
      <c r="D513">
        <v>40.53</v>
      </c>
      <c r="G513" s="100">
        <v>39955</v>
      </c>
      <c r="H513" s="14">
        <f t="shared" si="21"/>
        <v>58.720316622691293</v>
      </c>
      <c r="I513" s="14">
        <f t="shared" si="22"/>
        <v>72.051557465091292</v>
      </c>
      <c r="J513" s="14">
        <f t="shared" si="23"/>
        <v>69.795074909591875</v>
      </c>
    </row>
    <row r="514" spans="1:10">
      <c r="A514" s="100">
        <v>39959</v>
      </c>
      <c r="B514">
        <v>91.3</v>
      </c>
      <c r="C514">
        <v>34.79</v>
      </c>
      <c r="D514">
        <v>42.02</v>
      </c>
      <c r="G514" s="100">
        <v>39959</v>
      </c>
      <c r="H514" s="14">
        <f t="shared" si="21"/>
        <v>60.224274406332455</v>
      </c>
      <c r="I514" s="14">
        <f t="shared" si="22"/>
        <v>74.73684210526315</v>
      </c>
      <c r="J514" s="14">
        <f t="shared" si="23"/>
        <v>72.360943688651631</v>
      </c>
    </row>
    <row r="515" spans="1:10">
      <c r="A515" s="100">
        <v>39960</v>
      </c>
      <c r="B515">
        <v>89.67</v>
      </c>
      <c r="C515">
        <v>34.549999999999997</v>
      </c>
      <c r="D515">
        <v>41.71</v>
      </c>
      <c r="G515" s="100">
        <v>39960</v>
      </c>
      <c r="H515" s="14">
        <f t="shared" si="21"/>
        <v>59.149076517150398</v>
      </c>
      <c r="I515" s="14">
        <f t="shared" si="22"/>
        <v>74.221267454350155</v>
      </c>
      <c r="J515" s="14">
        <f t="shared" si="23"/>
        <v>71.82710521784054</v>
      </c>
    </row>
    <row r="516" spans="1:10">
      <c r="A516" s="100">
        <v>39961</v>
      </c>
      <c r="B516">
        <v>90.92</v>
      </c>
      <c r="C516">
        <v>34.950000000000003</v>
      </c>
      <c r="D516">
        <v>42.32</v>
      </c>
      <c r="G516" s="100">
        <v>39961</v>
      </c>
      <c r="H516" s="14">
        <f t="shared" si="21"/>
        <v>59.973614775725594</v>
      </c>
      <c r="I516" s="14">
        <f t="shared" si="22"/>
        <v>75.080558539205171</v>
      </c>
      <c r="J516" s="14">
        <f t="shared" si="23"/>
        <v>72.877561563630096</v>
      </c>
    </row>
    <row r="517" spans="1:10">
      <c r="A517" s="100">
        <v>39962</v>
      </c>
      <c r="B517">
        <v>92.53</v>
      </c>
      <c r="C517">
        <v>35.380000000000003</v>
      </c>
      <c r="D517">
        <v>42.69</v>
      </c>
      <c r="G517" s="100">
        <v>39962</v>
      </c>
      <c r="H517" s="14">
        <f t="shared" ref="H517:H580" si="24">B517/$B$4*100</f>
        <v>61.035620052770454</v>
      </c>
      <c r="I517" s="14">
        <f t="shared" ref="I517:I580" si="25">C517/$C$4*100</f>
        <v>76.004296455424281</v>
      </c>
      <c r="J517" s="14">
        <f t="shared" ref="J517:J580" si="26">D517/$D$4*100</f>
        <v>73.514723609436885</v>
      </c>
    </row>
    <row r="518" spans="1:10">
      <c r="A518" s="100">
        <v>39965</v>
      </c>
      <c r="B518">
        <v>94.77</v>
      </c>
      <c r="C518">
        <v>36.39</v>
      </c>
      <c r="D518">
        <v>44.16</v>
      </c>
      <c r="G518" s="100">
        <v>39965</v>
      </c>
      <c r="H518" s="14">
        <f t="shared" si="24"/>
        <v>62.513192612137203</v>
      </c>
      <c r="I518" s="14">
        <f t="shared" si="25"/>
        <v>78.174006444683144</v>
      </c>
      <c r="J518" s="14">
        <f t="shared" si="26"/>
        <v>76.046151196831403</v>
      </c>
    </row>
    <row r="519" spans="1:10">
      <c r="A519" s="100">
        <v>39966</v>
      </c>
      <c r="B519">
        <v>94.85</v>
      </c>
      <c r="C519">
        <v>36.44</v>
      </c>
      <c r="D519">
        <v>43.94</v>
      </c>
      <c r="G519" s="100">
        <v>39966</v>
      </c>
      <c r="H519" s="14">
        <f t="shared" si="24"/>
        <v>62.565963060686016</v>
      </c>
      <c r="I519" s="14">
        <f t="shared" si="25"/>
        <v>78.28141783029001</v>
      </c>
      <c r="J519" s="14">
        <f t="shared" si="26"/>
        <v>75.66729808851386</v>
      </c>
    </row>
    <row r="520" spans="1:10">
      <c r="A520" s="100">
        <v>39967</v>
      </c>
      <c r="B520">
        <v>93.65</v>
      </c>
      <c r="C520">
        <v>36.33</v>
      </c>
      <c r="D520">
        <v>43.7</v>
      </c>
      <c r="G520" s="100">
        <v>39967</v>
      </c>
      <c r="H520" s="14">
        <f t="shared" si="24"/>
        <v>61.774406332453836</v>
      </c>
      <c r="I520" s="14">
        <f t="shared" si="25"/>
        <v>78.045112781954884</v>
      </c>
      <c r="J520" s="14">
        <f t="shared" si="26"/>
        <v>75.254003788531094</v>
      </c>
    </row>
    <row r="521" spans="1:10">
      <c r="A521" s="100">
        <v>39968</v>
      </c>
      <c r="B521">
        <v>94.53</v>
      </c>
      <c r="C521">
        <v>36.74</v>
      </c>
      <c r="D521">
        <v>44.28</v>
      </c>
      <c r="G521" s="100">
        <v>39968</v>
      </c>
      <c r="H521" s="14">
        <f t="shared" si="24"/>
        <v>62.354881266490771</v>
      </c>
      <c r="I521" s="14">
        <f t="shared" si="25"/>
        <v>78.925886143931265</v>
      </c>
      <c r="J521" s="14">
        <f t="shared" si="26"/>
        <v>76.2527983468228</v>
      </c>
    </row>
    <row r="522" spans="1:10">
      <c r="A522" s="100">
        <v>39969</v>
      </c>
      <c r="B522">
        <v>94.55</v>
      </c>
      <c r="C522">
        <v>36.78</v>
      </c>
      <c r="D522">
        <v>44.49</v>
      </c>
      <c r="G522" s="100">
        <v>39969</v>
      </c>
      <c r="H522" s="14">
        <f t="shared" si="24"/>
        <v>62.368073878627975</v>
      </c>
      <c r="I522" s="14">
        <f t="shared" si="25"/>
        <v>79.011815252416767</v>
      </c>
      <c r="J522" s="14">
        <f t="shared" si="26"/>
        <v>76.614430859307731</v>
      </c>
    </row>
    <row r="523" spans="1:10">
      <c r="A523" s="100">
        <v>39972</v>
      </c>
      <c r="B523">
        <v>94.16</v>
      </c>
      <c r="C523">
        <v>36.67</v>
      </c>
      <c r="D523">
        <v>44.42</v>
      </c>
      <c r="G523" s="100">
        <v>39972</v>
      </c>
      <c r="H523" s="14">
        <f t="shared" si="24"/>
        <v>62.110817941952511</v>
      </c>
      <c r="I523" s="14">
        <f t="shared" si="25"/>
        <v>78.775510204081641</v>
      </c>
      <c r="J523" s="14">
        <f t="shared" si="26"/>
        <v>76.493886688479435</v>
      </c>
    </row>
    <row r="524" spans="1:10">
      <c r="A524" s="100">
        <v>39973</v>
      </c>
      <c r="B524">
        <v>94.64</v>
      </c>
      <c r="C524">
        <v>36.950000000000003</v>
      </c>
      <c r="D524">
        <v>44.89</v>
      </c>
      <c r="G524" s="100">
        <v>39973</v>
      </c>
      <c r="H524" s="14">
        <f t="shared" si="24"/>
        <v>62.427440633245389</v>
      </c>
      <c r="I524" s="14">
        <f t="shared" si="25"/>
        <v>79.377013963480138</v>
      </c>
      <c r="J524" s="14">
        <f t="shared" si="26"/>
        <v>77.30325469261237</v>
      </c>
    </row>
    <row r="525" spans="1:10">
      <c r="A525" s="100">
        <v>39974</v>
      </c>
      <c r="B525">
        <v>94.4</v>
      </c>
      <c r="C525">
        <v>36.82</v>
      </c>
      <c r="D525">
        <v>44.55</v>
      </c>
      <c r="G525" s="100">
        <v>39974</v>
      </c>
      <c r="H525" s="14">
        <f t="shared" si="24"/>
        <v>62.269129287598943</v>
      </c>
      <c r="I525" s="14">
        <f t="shared" si="25"/>
        <v>79.097744360902254</v>
      </c>
      <c r="J525" s="14">
        <f t="shared" si="26"/>
        <v>76.717754434303416</v>
      </c>
    </row>
    <row r="526" spans="1:10">
      <c r="A526" s="100">
        <v>39975</v>
      </c>
      <c r="B526">
        <v>94.82</v>
      </c>
      <c r="C526">
        <v>36.82</v>
      </c>
      <c r="D526">
        <v>45.01</v>
      </c>
      <c r="G526" s="100">
        <v>39975</v>
      </c>
      <c r="H526" s="14">
        <f t="shared" si="24"/>
        <v>62.546174142480204</v>
      </c>
      <c r="I526" s="14">
        <f t="shared" si="25"/>
        <v>79.097744360902254</v>
      </c>
      <c r="J526" s="14">
        <f t="shared" si="26"/>
        <v>77.509901842603739</v>
      </c>
    </row>
    <row r="527" spans="1:10">
      <c r="A527" s="100">
        <v>39976</v>
      </c>
      <c r="B527">
        <v>95.08</v>
      </c>
      <c r="C527">
        <v>36.65</v>
      </c>
      <c r="D527">
        <v>44.94</v>
      </c>
      <c r="G527" s="100">
        <v>39976</v>
      </c>
      <c r="H527" s="14">
        <f t="shared" si="24"/>
        <v>62.717678100263853</v>
      </c>
      <c r="I527" s="14">
        <f t="shared" si="25"/>
        <v>78.732545649838883</v>
      </c>
      <c r="J527" s="14">
        <f t="shared" si="26"/>
        <v>77.389357671775443</v>
      </c>
    </row>
    <row r="528" spans="1:10">
      <c r="A528" s="100">
        <v>39979</v>
      </c>
      <c r="B528">
        <v>92.9</v>
      </c>
      <c r="C528">
        <v>35.9</v>
      </c>
      <c r="D528">
        <v>44.24</v>
      </c>
      <c r="G528" s="100">
        <v>39979</v>
      </c>
      <c r="H528" s="14">
        <f t="shared" si="24"/>
        <v>61.279683377308714</v>
      </c>
      <c r="I528" s="14">
        <f t="shared" si="25"/>
        <v>77.121374865735774</v>
      </c>
      <c r="J528" s="14">
        <f t="shared" si="26"/>
        <v>76.183915963492339</v>
      </c>
    </row>
    <row r="529" spans="1:10">
      <c r="A529" s="100">
        <v>39980</v>
      </c>
      <c r="B529">
        <v>91.64</v>
      </c>
      <c r="C529">
        <v>35.549999999999997</v>
      </c>
      <c r="D529">
        <v>43.81</v>
      </c>
      <c r="G529" s="100">
        <v>39980</v>
      </c>
      <c r="H529" s="14">
        <f t="shared" si="24"/>
        <v>60.448548812664917</v>
      </c>
      <c r="I529" s="14">
        <f t="shared" si="25"/>
        <v>76.369495166487638</v>
      </c>
      <c r="J529" s="14">
        <f t="shared" si="26"/>
        <v>75.443430342689865</v>
      </c>
    </row>
    <row r="530" spans="1:10">
      <c r="A530" s="100">
        <v>39981</v>
      </c>
      <c r="B530">
        <v>91.55</v>
      </c>
      <c r="C530">
        <v>35.89</v>
      </c>
      <c r="D530">
        <v>44.07</v>
      </c>
      <c r="G530" s="100">
        <v>39981</v>
      </c>
      <c r="H530" s="14">
        <f t="shared" si="24"/>
        <v>60.389182058047496</v>
      </c>
      <c r="I530" s="14">
        <f t="shared" si="25"/>
        <v>77.099892588614395</v>
      </c>
      <c r="J530" s="14">
        <f t="shared" si="26"/>
        <v>75.891165834337869</v>
      </c>
    </row>
    <row r="531" spans="1:10">
      <c r="A531" s="100">
        <v>39982</v>
      </c>
      <c r="B531">
        <v>92.22</v>
      </c>
      <c r="C531">
        <v>35.82</v>
      </c>
      <c r="D531">
        <v>43.83</v>
      </c>
      <c r="G531" s="100">
        <v>39982</v>
      </c>
      <c r="H531" s="14">
        <f t="shared" si="24"/>
        <v>60.831134564643797</v>
      </c>
      <c r="I531" s="14">
        <f t="shared" si="25"/>
        <v>76.949516648764771</v>
      </c>
      <c r="J531" s="14">
        <f t="shared" si="26"/>
        <v>75.477871534355089</v>
      </c>
    </row>
    <row r="532" spans="1:10">
      <c r="A532" s="100">
        <v>39983</v>
      </c>
      <c r="B532">
        <v>92.04</v>
      </c>
      <c r="C532">
        <v>36.159999999999997</v>
      </c>
      <c r="D532">
        <v>44.36</v>
      </c>
      <c r="G532" s="100">
        <v>39983</v>
      </c>
      <c r="H532" s="14">
        <f t="shared" si="24"/>
        <v>60.712401055408982</v>
      </c>
      <c r="I532" s="14">
        <f t="shared" si="25"/>
        <v>77.679914070891513</v>
      </c>
      <c r="J532" s="14">
        <f t="shared" si="26"/>
        <v>76.390563113483722</v>
      </c>
    </row>
    <row r="533" spans="1:10">
      <c r="A533" s="100">
        <v>39986</v>
      </c>
      <c r="B533">
        <v>89.28</v>
      </c>
      <c r="C533">
        <v>35.08</v>
      </c>
      <c r="D533">
        <v>43.27</v>
      </c>
      <c r="G533" s="100">
        <v>39986</v>
      </c>
      <c r="H533" s="14">
        <f t="shared" si="24"/>
        <v>58.891820580474942</v>
      </c>
      <c r="I533" s="14">
        <f t="shared" si="25"/>
        <v>75.359828141783026</v>
      </c>
      <c r="J533" s="14">
        <f t="shared" si="26"/>
        <v>74.513518167728606</v>
      </c>
    </row>
    <row r="534" spans="1:10">
      <c r="A534" s="100">
        <v>39987</v>
      </c>
      <c r="B534">
        <v>89.35</v>
      </c>
      <c r="C534">
        <v>35</v>
      </c>
      <c r="D534">
        <v>43.03</v>
      </c>
      <c r="G534" s="100">
        <v>39987</v>
      </c>
      <c r="H534" s="14">
        <f t="shared" si="24"/>
        <v>58.937994722955146</v>
      </c>
      <c r="I534" s="14">
        <f t="shared" si="25"/>
        <v>75.187969924812037</v>
      </c>
      <c r="J534" s="14">
        <f t="shared" si="26"/>
        <v>74.100223867745825</v>
      </c>
    </row>
    <row r="535" spans="1:10">
      <c r="A535" s="100">
        <v>39988</v>
      </c>
      <c r="B535">
        <v>90.12</v>
      </c>
      <c r="C535">
        <v>35.590000000000003</v>
      </c>
      <c r="D535">
        <v>43.61</v>
      </c>
      <c r="G535" s="100">
        <v>39988</v>
      </c>
      <c r="H535" s="14">
        <f t="shared" si="24"/>
        <v>59.445910290237471</v>
      </c>
      <c r="I535" s="14">
        <f t="shared" si="25"/>
        <v>76.455424274973154</v>
      </c>
      <c r="J535" s="14">
        <f t="shared" si="26"/>
        <v>75.099018426037546</v>
      </c>
    </row>
    <row r="536" spans="1:10">
      <c r="A536" s="100">
        <v>39989</v>
      </c>
      <c r="B536">
        <v>92.08</v>
      </c>
      <c r="C536">
        <v>36.29</v>
      </c>
      <c r="D536">
        <v>44.51</v>
      </c>
      <c r="G536" s="100">
        <v>39989</v>
      </c>
      <c r="H536" s="14">
        <f t="shared" si="24"/>
        <v>60.738786279683374</v>
      </c>
      <c r="I536" s="14">
        <f t="shared" si="25"/>
        <v>77.959183673469397</v>
      </c>
      <c r="J536" s="14">
        <f t="shared" si="26"/>
        <v>76.648872050972955</v>
      </c>
    </row>
    <row r="537" spans="1:10">
      <c r="A537" s="100">
        <v>39990</v>
      </c>
      <c r="B537">
        <v>91.84</v>
      </c>
      <c r="C537">
        <v>36.369999999999997</v>
      </c>
      <c r="D537">
        <v>44.44</v>
      </c>
      <c r="G537" s="100">
        <v>39990</v>
      </c>
      <c r="H537" s="14">
        <f t="shared" si="24"/>
        <v>60.580474934036943</v>
      </c>
      <c r="I537" s="14">
        <f t="shared" si="25"/>
        <v>78.131041890440386</v>
      </c>
      <c r="J537" s="14">
        <f t="shared" si="26"/>
        <v>76.528327880144658</v>
      </c>
    </row>
    <row r="538" spans="1:10">
      <c r="A538" s="100">
        <v>39993</v>
      </c>
      <c r="B538">
        <v>92.7</v>
      </c>
      <c r="C538">
        <v>36.450000000000003</v>
      </c>
      <c r="D538">
        <v>44.74</v>
      </c>
      <c r="G538" s="100">
        <v>39993</v>
      </c>
      <c r="H538" s="14">
        <f t="shared" si="24"/>
        <v>61.147757255936675</v>
      </c>
      <c r="I538" s="14">
        <f t="shared" si="25"/>
        <v>78.302900107411403</v>
      </c>
      <c r="J538" s="14">
        <f t="shared" si="26"/>
        <v>77.044945755123123</v>
      </c>
    </row>
    <row r="539" spans="1:10">
      <c r="A539" s="100">
        <v>39994</v>
      </c>
      <c r="B539">
        <v>91.95</v>
      </c>
      <c r="C539">
        <v>36.380000000000003</v>
      </c>
      <c r="D539">
        <v>44.49</v>
      </c>
      <c r="G539" s="100">
        <v>39994</v>
      </c>
      <c r="H539" s="14">
        <f t="shared" si="24"/>
        <v>60.65303430079156</v>
      </c>
      <c r="I539" s="14">
        <f t="shared" si="25"/>
        <v>78.152524167561779</v>
      </c>
      <c r="J539" s="14">
        <f t="shared" si="26"/>
        <v>76.614430859307731</v>
      </c>
    </row>
    <row r="540" spans="1:10">
      <c r="A540" s="100">
        <v>39995</v>
      </c>
      <c r="B540">
        <v>92.33</v>
      </c>
      <c r="C540">
        <v>36.4</v>
      </c>
      <c r="D540">
        <v>44.79</v>
      </c>
      <c r="G540" s="100">
        <v>39995</v>
      </c>
      <c r="H540" s="14">
        <f t="shared" si="24"/>
        <v>60.903693931398415</v>
      </c>
      <c r="I540" s="14">
        <f t="shared" si="25"/>
        <v>78.195488721804523</v>
      </c>
      <c r="J540" s="14">
        <f t="shared" si="26"/>
        <v>77.131048734286196</v>
      </c>
    </row>
    <row r="541" spans="1:10">
      <c r="A541" s="100">
        <v>39996</v>
      </c>
      <c r="B541">
        <v>89.81</v>
      </c>
      <c r="C541">
        <v>35.6</v>
      </c>
      <c r="D541">
        <v>43.84</v>
      </c>
      <c r="G541" s="100">
        <v>39996</v>
      </c>
      <c r="H541" s="14">
        <f t="shared" si="24"/>
        <v>59.241424802110821</v>
      </c>
      <c r="I541" s="14">
        <f t="shared" si="25"/>
        <v>76.476906552094519</v>
      </c>
      <c r="J541" s="14">
        <f t="shared" si="26"/>
        <v>75.495092130187714</v>
      </c>
    </row>
    <row r="542" spans="1:10">
      <c r="A542" s="100">
        <v>40000</v>
      </c>
      <c r="B542">
        <v>89.8</v>
      </c>
      <c r="C542">
        <v>35.409999999999997</v>
      </c>
      <c r="D542">
        <v>43.56</v>
      </c>
      <c r="G542" s="100">
        <v>40000</v>
      </c>
      <c r="H542" s="14">
        <f t="shared" si="24"/>
        <v>59.234828496042212</v>
      </c>
      <c r="I542" s="14">
        <f t="shared" si="25"/>
        <v>76.068743286788404</v>
      </c>
      <c r="J542" s="14">
        <f t="shared" si="26"/>
        <v>75.012915446874459</v>
      </c>
    </row>
    <row r="543" spans="1:10">
      <c r="A543" s="100">
        <v>40001</v>
      </c>
      <c r="B543">
        <v>88.06</v>
      </c>
      <c r="C543">
        <v>34.53</v>
      </c>
      <c r="D543">
        <v>42.45</v>
      </c>
      <c r="G543" s="100">
        <v>40001</v>
      </c>
      <c r="H543" s="14">
        <f t="shared" si="24"/>
        <v>58.087071240105544</v>
      </c>
      <c r="I543" s="14">
        <f t="shared" si="25"/>
        <v>74.178302900107411</v>
      </c>
      <c r="J543" s="14">
        <f t="shared" si="26"/>
        <v>73.101429309454119</v>
      </c>
    </row>
    <row r="544" spans="1:10">
      <c r="A544" s="100">
        <v>40002</v>
      </c>
      <c r="B544">
        <v>88</v>
      </c>
      <c r="C544">
        <v>34.71</v>
      </c>
      <c r="D544">
        <v>42.49</v>
      </c>
      <c r="G544" s="100">
        <v>40002</v>
      </c>
      <c r="H544" s="14">
        <f t="shared" si="24"/>
        <v>58.047493403693927</v>
      </c>
      <c r="I544" s="14">
        <f t="shared" si="25"/>
        <v>74.564983888292176</v>
      </c>
      <c r="J544" s="14">
        <f t="shared" si="26"/>
        <v>73.17031169278458</v>
      </c>
    </row>
    <row r="545" spans="1:10">
      <c r="A545" s="100">
        <v>40003</v>
      </c>
      <c r="B545">
        <v>88.17</v>
      </c>
      <c r="C545">
        <v>34.770000000000003</v>
      </c>
      <c r="D545">
        <v>42.68</v>
      </c>
      <c r="G545" s="100">
        <v>40003</v>
      </c>
      <c r="H545" s="14">
        <f t="shared" si="24"/>
        <v>58.159630606860155</v>
      </c>
      <c r="I545" s="14">
        <f t="shared" si="25"/>
        <v>74.693877551020421</v>
      </c>
      <c r="J545" s="14">
        <f t="shared" si="26"/>
        <v>73.497503013604273</v>
      </c>
    </row>
    <row r="546" spans="1:10">
      <c r="A546" s="100">
        <v>40004</v>
      </c>
      <c r="B546">
        <v>87.96</v>
      </c>
      <c r="C546">
        <v>34.92</v>
      </c>
      <c r="D546">
        <v>42.95</v>
      </c>
      <c r="G546" s="100">
        <v>40004</v>
      </c>
      <c r="H546" s="14">
        <f t="shared" si="24"/>
        <v>58.021108179419521</v>
      </c>
      <c r="I546" s="14">
        <f t="shared" si="25"/>
        <v>75.016111707841034</v>
      </c>
      <c r="J546" s="14">
        <f t="shared" si="26"/>
        <v>73.962459101084903</v>
      </c>
    </row>
    <row r="547" spans="1:10">
      <c r="A547" s="100">
        <v>40007</v>
      </c>
      <c r="B547">
        <v>90.1</v>
      </c>
      <c r="C547">
        <v>35.590000000000003</v>
      </c>
      <c r="D547">
        <v>43.79</v>
      </c>
      <c r="G547" s="100">
        <v>40007</v>
      </c>
      <c r="H547" s="14">
        <f t="shared" si="24"/>
        <v>59.432717678100268</v>
      </c>
      <c r="I547" s="14">
        <f t="shared" si="25"/>
        <v>76.455424274973154</v>
      </c>
      <c r="J547" s="14">
        <f t="shared" si="26"/>
        <v>75.408989151024613</v>
      </c>
    </row>
    <row r="548" spans="1:10">
      <c r="A548" s="100">
        <v>40008</v>
      </c>
      <c r="B548">
        <v>90.61</v>
      </c>
      <c r="C548">
        <v>35.72</v>
      </c>
      <c r="D548">
        <v>43.96</v>
      </c>
      <c r="G548" s="100">
        <v>40008</v>
      </c>
      <c r="H548" s="14">
        <f t="shared" si="24"/>
        <v>59.769129287598943</v>
      </c>
      <c r="I548" s="14">
        <f t="shared" si="25"/>
        <v>76.734693877551024</v>
      </c>
      <c r="J548" s="14">
        <f t="shared" si="26"/>
        <v>75.701739280179098</v>
      </c>
    </row>
    <row r="549" spans="1:10">
      <c r="A549" s="100">
        <v>40009</v>
      </c>
      <c r="B549">
        <v>93.26</v>
      </c>
      <c r="C549">
        <v>36.92</v>
      </c>
      <c r="D549">
        <v>45.81</v>
      </c>
      <c r="G549" s="100">
        <v>40009</v>
      </c>
      <c r="H549" s="14">
        <f t="shared" si="24"/>
        <v>61.517150395778373</v>
      </c>
      <c r="I549" s="14">
        <f t="shared" si="25"/>
        <v>79.312567132116001</v>
      </c>
      <c r="J549" s="14">
        <f t="shared" si="26"/>
        <v>78.887549509213017</v>
      </c>
    </row>
    <row r="550" spans="1:10">
      <c r="A550" s="100">
        <v>40010</v>
      </c>
      <c r="B550">
        <v>93.11</v>
      </c>
      <c r="C550">
        <v>37.36</v>
      </c>
      <c r="D550">
        <v>46.6</v>
      </c>
      <c r="G550" s="100">
        <v>40010</v>
      </c>
      <c r="H550" s="14">
        <f t="shared" si="24"/>
        <v>61.418205804749334</v>
      </c>
      <c r="I550" s="14">
        <f t="shared" si="25"/>
        <v>80.257787325456491</v>
      </c>
      <c r="J550" s="14">
        <f t="shared" si="26"/>
        <v>80.247976579989668</v>
      </c>
    </row>
    <row r="551" spans="1:10">
      <c r="A551" s="100">
        <v>40011</v>
      </c>
      <c r="B551">
        <v>94.13</v>
      </c>
      <c r="C551">
        <v>37.56</v>
      </c>
      <c r="D551">
        <v>47.02</v>
      </c>
      <c r="G551" s="100">
        <v>40011</v>
      </c>
      <c r="H551" s="14">
        <f t="shared" si="24"/>
        <v>62.0910290237467</v>
      </c>
      <c r="I551" s="14">
        <f t="shared" si="25"/>
        <v>80.687432867883999</v>
      </c>
      <c r="J551" s="14">
        <f t="shared" si="26"/>
        <v>80.97124160495953</v>
      </c>
    </row>
    <row r="552" spans="1:10">
      <c r="A552" s="100">
        <v>40014</v>
      </c>
      <c r="B552">
        <v>95.13</v>
      </c>
      <c r="C552">
        <v>37.92</v>
      </c>
      <c r="D552">
        <v>47.46</v>
      </c>
      <c r="G552" s="100">
        <v>40014</v>
      </c>
      <c r="H552" s="14">
        <f t="shared" si="24"/>
        <v>62.750659630606862</v>
      </c>
      <c r="I552" s="14">
        <f t="shared" si="25"/>
        <v>81.460794844253499</v>
      </c>
      <c r="J552" s="14">
        <f t="shared" si="26"/>
        <v>81.72894782159463</v>
      </c>
    </row>
    <row r="553" spans="1:10">
      <c r="A553" s="100">
        <v>40015</v>
      </c>
      <c r="B553">
        <v>95.57</v>
      </c>
      <c r="C553">
        <v>38.18</v>
      </c>
      <c r="D553">
        <v>47.72</v>
      </c>
      <c r="G553" s="100">
        <v>40015</v>
      </c>
      <c r="H553" s="14">
        <f t="shared" si="24"/>
        <v>63.040897097625326</v>
      </c>
      <c r="I553" s="14">
        <f t="shared" si="25"/>
        <v>82.019334049409238</v>
      </c>
      <c r="J553" s="14">
        <f t="shared" si="26"/>
        <v>82.176683313242634</v>
      </c>
    </row>
    <row r="554" spans="1:10">
      <c r="A554" s="100">
        <v>40016</v>
      </c>
      <c r="B554">
        <v>95.55</v>
      </c>
      <c r="C554">
        <v>38.5</v>
      </c>
      <c r="D554">
        <v>48.02</v>
      </c>
      <c r="G554" s="100">
        <v>40016</v>
      </c>
      <c r="H554" s="14">
        <f t="shared" si="24"/>
        <v>63.027704485488123</v>
      </c>
      <c r="I554" s="14">
        <f t="shared" si="25"/>
        <v>82.706766917293237</v>
      </c>
      <c r="J554" s="14">
        <f t="shared" si="26"/>
        <v>82.693301188221113</v>
      </c>
    </row>
    <row r="555" spans="1:10">
      <c r="A555" s="100">
        <v>40017</v>
      </c>
      <c r="B555">
        <v>97.66</v>
      </c>
      <c r="C555">
        <v>39.35</v>
      </c>
      <c r="D555">
        <v>48.86</v>
      </c>
      <c r="G555" s="100">
        <v>40017</v>
      </c>
      <c r="H555" s="14">
        <f t="shared" si="24"/>
        <v>64.419525065963057</v>
      </c>
      <c r="I555" s="14">
        <f t="shared" si="25"/>
        <v>84.532760472610107</v>
      </c>
      <c r="J555" s="14">
        <f t="shared" si="26"/>
        <v>84.139831238160838</v>
      </c>
    </row>
    <row r="556" spans="1:10">
      <c r="A556" s="100">
        <v>40018</v>
      </c>
      <c r="B556">
        <v>98.06</v>
      </c>
      <c r="C556">
        <v>39.35</v>
      </c>
      <c r="D556">
        <v>48.55</v>
      </c>
      <c r="G556" s="100">
        <v>40018</v>
      </c>
      <c r="H556" s="14">
        <f t="shared" si="24"/>
        <v>64.683377308707122</v>
      </c>
      <c r="I556" s="14">
        <f t="shared" si="25"/>
        <v>84.532760472610107</v>
      </c>
      <c r="J556" s="14">
        <f t="shared" si="26"/>
        <v>83.605992767349747</v>
      </c>
    </row>
    <row r="557" spans="1:10">
      <c r="A557" s="100">
        <v>40021</v>
      </c>
      <c r="B557">
        <v>98.35</v>
      </c>
      <c r="C557">
        <v>39.35</v>
      </c>
      <c r="D557">
        <v>48.39</v>
      </c>
      <c r="G557" s="100">
        <v>40021</v>
      </c>
      <c r="H557" s="14">
        <f t="shared" si="24"/>
        <v>64.874670184696569</v>
      </c>
      <c r="I557" s="14">
        <f t="shared" si="25"/>
        <v>84.532760472610107</v>
      </c>
      <c r="J557" s="14">
        <f t="shared" si="26"/>
        <v>83.330463234027903</v>
      </c>
    </row>
    <row r="558" spans="1:10">
      <c r="A558" s="100">
        <v>40022</v>
      </c>
      <c r="B558">
        <v>97.89</v>
      </c>
      <c r="C558">
        <v>39.47</v>
      </c>
      <c r="D558">
        <v>48.54</v>
      </c>
      <c r="G558" s="100">
        <v>40022</v>
      </c>
      <c r="H558" s="14">
        <f t="shared" si="24"/>
        <v>64.571240105540895</v>
      </c>
      <c r="I558" s="14">
        <f t="shared" si="25"/>
        <v>84.790547798066598</v>
      </c>
      <c r="J558" s="14">
        <f t="shared" si="26"/>
        <v>83.588772171517135</v>
      </c>
    </row>
    <row r="559" spans="1:10">
      <c r="A559" s="100">
        <v>40023</v>
      </c>
      <c r="B559">
        <v>97.65</v>
      </c>
      <c r="C559">
        <v>39.340000000000003</v>
      </c>
      <c r="D559">
        <v>48.4</v>
      </c>
      <c r="G559" s="100">
        <v>40023</v>
      </c>
      <c r="H559" s="14">
        <f t="shared" si="24"/>
        <v>64.412928759894456</v>
      </c>
      <c r="I559" s="14">
        <f t="shared" si="25"/>
        <v>84.511278195488742</v>
      </c>
      <c r="J559" s="14">
        <f t="shared" si="26"/>
        <v>83.347683829860514</v>
      </c>
    </row>
    <row r="560" spans="1:10">
      <c r="A560" s="100">
        <v>40024</v>
      </c>
      <c r="B560">
        <v>98.67</v>
      </c>
      <c r="C560">
        <v>39.57</v>
      </c>
      <c r="D560">
        <v>48.6</v>
      </c>
      <c r="G560" s="100">
        <v>40024</v>
      </c>
      <c r="H560" s="14">
        <f t="shared" si="24"/>
        <v>65.085751978891821</v>
      </c>
      <c r="I560" s="14">
        <f t="shared" si="25"/>
        <v>85.005370569280345</v>
      </c>
      <c r="J560" s="14">
        <f t="shared" si="26"/>
        <v>83.692095746512834</v>
      </c>
    </row>
    <row r="561" spans="1:10">
      <c r="A561" s="100">
        <v>40025</v>
      </c>
      <c r="B561">
        <v>98.81</v>
      </c>
      <c r="C561">
        <v>39.450000000000003</v>
      </c>
      <c r="D561">
        <v>48.51</v>
      </c>
      <c r="G561" s="100">
        <v>40025</v>
      </c>
      <c r="H561" s="14">
        <f t="shared" si="24"/>
        <v>65.178100263852244</v>
      </c>
      <c r="I561" s="14">
        <f t="shared" si="25"/>
        <v>84.747583243823854</v>
      </c>
      <c r="J561" s="14">
        <f t="shared" si="26"/>
        <v>83.537110384019286</v>
      </c>
    </row>
    <row r="562" spans="1:10">
      <c r="A562" s="100">
        <v>40028</v>
      </c>
      <c r="B562">
        <v>100.44</v>
      </c>
      <c r="C562">
        <v>40.04</v>
      </c>
      <c r="D562">
        <v>49.28</v>
      </c>
      <c r="G562" s="100">
        <v>40028</v>
      </c>
      <c r="H562" s="14">
        <f t="shared" si="24"/>
        <v>66.253298153034308</v>
      </c>
      <c r="I562" s="14">
        <f t="shared" si="25"/>
        <v>86.015037593984971</v>
      </c>
      <c r="J562" s="14">
        <f t="shared" si="26"/>
        <v>84.863096263130714</v>
      </c>
    </row>
    <row r="563" spans="1:10">
      <c r="A563" s="100">
        <v>40029</v>
      </c>
      <c r="B563">
        <v>100.7</v>
      </c>
      <c r="C563">
        <v>40.04</v>
      </c>
      <c r="D563">
        <v>49.07</v>
      </c>
      <c r="G563" s="100">
        <v>40029</v>
      </c>
      <c r="H563" s="14">
        <f t="shared" si="24"/>
        <v>66.42480211081795</v>
      </c>
      <c r="I563" s="14">
        <f t="shared" si="25"/>
        <v>86.015037593984971</v>
      </c>
      <c r="J563" s="14">
        <f t="shared" si="26"/>
        <v>84.501463750645783</v>
      </c>
    </row>
    <row r="564" spans="1:10">
      <c r="A564" s="100">
        <v>40030</v>
      </c>
      <c r="B564">
        <v>100.41</v>
      </c>
      <c r="C564">
        <v>39.729999999999997</v>
      </c>
      <c r="D564">
        <v>48.73</v>
      </c>
      <c r="G564" s="100">
        <v>40030</v>
      </c>
      <c r="H564" s="14">
        <f t="shared" si="24"/>
        <v>66.233509234828489</v>
      </c>
      <c r="I564" s="14">
        <f t="shared" si="25"/>
        <v>85.349087003222337</v>
      </c>
      <c r="J564" s="14">
        <f t="shared" si="26"/>
        <v>83.915963492336829</v>
      </c>
    </row>
    <row r="565" spans="1:10">
      <c r="A565" s="100">
        <v>40031</v>
      </c>
      <c r="B565">
        <v>99.89</v>
      </c>
      <c r="C565">
        <v>39.380000000000003</v>
      </c>
      <c r="D565">
        <v>48.37</v>
      </c>
      <c r="G565" s="100">
        <v>40031</v>
      </c>
      <c r="H565" s="14">
        <f t="shared" si="24"/>
        <v>65.890501319261219</v>
      </c>
      <c r="I565" s="14">
        <f t="shared" si="25"/>
        <v>84.59720730397423</v>
      </c>
      <c r="J565" s="14">
        <f t="shared" si="26"/>
        <v>83.296022042362665</v>
      </c>
    </row>
    <row r="566" spans="1:10">
      <c r="A566" s="100">
        <v>40032</v>
      </c>
      <c r="B566">
        <v>101.2</v>
      </c>
      <c r="C566">
        <v>39.880000000000003</v>
      </c>
      <c r="D566">
        <v>48.8</v>
      </c>
      <c r="G566" s="100">
        <v>40032</v>
      </c>
      <c r="H566" s="14">
        <f t="shared" si="24"/>
        <v>66.754617414248031</v>
      </c>
      <c r="I566" s="14">
        <f t="shared" si="25"/>
        <v>85.671321160042979</v>
      </c>
      <c r="J566" s="14">
        <f t="shared" si="26"/>
        <v>84.036507663165139</v>
      </c>
    </row>
    <row r="567" spans="1:10">
      <c r="A567" s="100">
        <v>40035</v>
      </c>
      <c r="B567">
        <v>100.99</v>
      </c>
      <c r="C567">
        <v>39.6</v>
      </c>
      <c r="D567">
        <v>48.51</v>
      </c>
      <c r="G567" s="100">
        <v>40035</v>
      </c>
      <c r="H567" s="14">
        <f t="shared" si="24"/>
        <v>66.616094986807383</v>
      </c>
      <c r="I567" s="14">
        <f t="shared" si="25"/>
        <v>85.069817400644482</v>
      </c>
      <c r="J567" s="14">
        <f t="shared" si="26"/>
        <v>83.537110384019286</v>
      </c>
    </row>
    <row r="568" spans="1:10">
      <c r="A568" s="100">
        <v>40036</v>
      </c>
      <c r="B568">
        <v>99.73</v>
      </c>
      <c r="C568">
        <v>39.26</v>
      </c>
      <c r="D568">
        <v>47.99</v>
      </c>
      <c r="G568" s="100">
        <v>40036</v>
      </c>
      <c r="H568" s="14">
        <f t="shared" si="24"/>
        <v>65.784960422163593</v>
      </c>
      <c r="I568" s="14">
        <f t="shared" si="25"/>
        <v>84.339419978517725</v>
      </c>
      <c r="J568" s="14">
        <f t="shared" si="26"/>
        <v>82.641639400723264</v>
      </c>
    </row>
    <row r="569" spans="1:10">
      <c r="A569" s="100">
        <v>40037</v>
      </c>
      <c r="B569">
        <v>100.8</v>
      </c>
      <c r="C569">
        <v>39.869999999999997</v>
      </c>
      <c r="D569">
        <v>48.83</v>
      </c>
      <c r="G569" s="100">
        <v>40037</v>
      </c>
      <c r="H569" s="14">
        <f t="shared" si="24"/>
        <v>66.490765171503966</v>
      </c>
      <c r="I569" s="14">
        <f t="shared" si="25"/>
        <v>85.649838882921586</v>
      </c>
      <c r="J569" s="14">
        <f t="shared" si="26"/>
        <v>84.088169450662988</v>
      </c>
    </row>
    <row r="570" spans="1:10">
      <c r="A570" s="100">
        <v>40038</v>
      </c>
      <c r="B570">
        <v>101.57</v>
      </c>
      <c r="C570">
        <v>40.090000000000003</v>
      </c>
      <c r="D570">
        <v>49.28</v>
      </c>
      <c r="G570" s="100">
        <v>40038</v>
      </c>
      <c r="H570" s="14">
        <f t="shared" si="24"/>
        <v>66.998680738786277</v>
      </c>
      <c r="I570" s="14">
        <f t="shared" si="25"/>
        <v>86.122448979591852</v>
      </c>
      <c r="J570" s="14">
        <f t="shared" si="26"/>
        <v>84.863096263130714</v>
      </c>
    </row>
    <row r="571" spans="1:10">
      <c r="A571" s="100">
        <v>40039</v>
      </c>
      <c r="B571">
        <v>100.79</v>
      </c>
      <c r="C571">
        <v>39.630000000000003</v>
      </c>
      <c r="D571">
        <v>48.77</v>
      </c>
      <c r="G571" s="100">
        <v>40039</v>
      </c>
      <c r="H571" s="14">
        <f t="shared" si="24"/>
        <v>66.484168865435365</v>
      </c>
      <c r="I571" s="14">
        <f t="shared" si="25"/>
        <v>85.134264232008604</v>
      </c>
      <c r="J571" s="14">
        <f t="shared" si="26"/>
        <v>83.984845875667304</v>
      </c>
    </row>
    <row r="572" spans="1:10">
      <c r="A572" s="100">
        <v>40042</v>
      </c>
      <c r="B572">
        <v>98.31</v>
      </c>
      <c r="C572">
        <v>38.479999999999997</v>
      </c>
      <c r="D572">
        <v>47.53</v>
      </c>
      <c r="G572" s="100">
        <v>40042</v>
      </c>
      <c r="H572" s="14">
        <f t="shared" si="24"/>
        <v>64.848284960422163</v>
      </c>
      <c r="I572" s="14">
        <f t="shared" si="25"/>
        <v>82.663802363050493</v>
      </c>
      <c r="J572" s="14">
        <f t="shared" si="26"/>
        <v>81.849491992422941</v>
      </c>
    </row>
    <row r="573" spans="1:10">
      <c r="A573" s="100">
        <v>40043</v>
      </c>
      <c r="B573">
        <v>99.09</v>
      </c>
      <c r="C573">
        <v>39.03</v>
      </c>
      <c r="D573">
        <v>48.2</v>
      </c>
      <c r="G573" s="100">
        <v>40043</v>
      </c>
      <c r="H573" s="14">
        <f t="shared" si="24"/>
        <v>65.362796833773089</v>
      </c>
      <c r="I573" s="14">
        <f t="shared" si="25"/>
        <v>83.845327604726108</v>
      </c>
      <c r="J573" s="14">
        <f t="shared" si="26"/>
        <v>83.003271913208195</v>
      </c>
    </row>
    <row r="574" spans="1:10">
      <c r="A574" s="100">
        <v>40044</v>
      </c>
      <c r="B574">
        <v>99.96</v>
      </c>
      <c r="C574">
        <v>39.299999999999997</v>
      </c>
      <c r="D574">
        <v>48.45</v>
      </c>
      <c r="G574" s="100">
        <v>40044</v>
      </c>
      <c r="H574" s="14">
        <f t="shared" si="24"/>
        <v>65.93667546174143</v>
      </c>
      <c r="I574" s="14">
        <f t="shared" si="25"/>
        <v>84.425349087003227</v>
      </c>
      <c r="J574" s="14">
        <f t="shared" si="26"/>
        <v>83.433786809023587</v>
      </c>
    </row>
    <row r="575" spans="1:10">
      <c r="A575" s="100">
        <v>40045</v>
      </c>
      <c r="B575">
        <v>100.99</v>
      </c>
      <c r="C575">
        <v>39.76</v>
      </c>
      <c r="D575">
        <v>48.98</v>
      </c>
      <c r="G575" s="100">
        <v>40045</v>
      </c>
      <c r="H575" s="14">
        <f t="shared" si="24"/>
        <v>66.616094986807383</v>
      </c>
      <c r="I575" s="14">
        <f t="shared" si="25"/>
        <v>85.41353383458646</v>
      </c>
      <c r="J575" s="14">
        <f t="shared" si="26"/>
        <v>84.346478388152221</v>
      </c>
    </row>
    <row r="576" spans="1:10">
      <c r="A576" s="100">
        <v>40046</v>
      </c>
      <c r="B576">
        <v>102.97</v>
      </c>
      <c r="C576">
        <v>40.29</v>
      </c>
      <c r="D576">
        <v>49.7</v>
      </c>
      <c r="G576" s="100">
        <v>40046</v>
      </c>
      <c r="H576" s="14">
        <f t="shared" si="24"/>
        <v>67.922163588390504</v>
      </c>
      <c r="I576" s="14">
        <f t="shared" si="25"/>
        <v>86.552094522019345</v>
      </c>
      <c r="J576" s="14">
        <f t="shared" si="26"/>
        <v>85.586361288100576</v>
      </c>
    </row>
    <row r="577" spans="1:10">
      <c r="A577" s="100">
        <v>40049</v>
      </c>
      <c r="B577">
        <v>102.96</v>
      </c>
      <c r="C577">
        <v>40.25</v>
      </c>
      <c r="D577">
        <v>49.6</v>
      </c>
      <c r="G577" s="100">
        <v>40049</v>
      </c>
      <c r="H577" s="14">
        <f t="shared" si="24"/>
        <v>67.915567282321902</v>
      </c>
      <c r="I577" s="14">
        <f t="shared" si="25"/>
        <v>86.46616541353383</v>
      </c>
      <c r="J577" s="14">
        <f t="shared" si="26"/>
        <v>85.414155329774417</v>
      </c>
    </row>
    <row r="578" spans="1:10">
      <c r="A578" s="100">
        <v>40050</v>
      </c>
      <c r="B578">
        <v>103.16</v>
      </c>
      <c r="C578">
        <v>40.369999999999997</v>
      </c>
      <c r="D578">
        <v>49.67</v>
      </c>
      <c r="G578" s="100">
        <v>40050</v>
      </c>
      <c r="H578" s="14">
        <f t="shared" si="24"/>
        <v>68.047493403693935</v>
      </c>
      <c r="I578" s="14">
        <f t="shared" si="25"/>
        <v>86.723952738990334</v>
      </c>
      <c r="J578" s="14">
        <f t="shared" si="26"/>
        <v>85.534699500602727</v>
      </c>
    </row>
    <row r="579" spans="1:10">
      <c r="A579" s="100">
        <v>40051</v>
      </c>
      <c r="B579">
        <v>103.17</v>
      </c>
      <c r="C579">
        <v>40.299999999999997</v>
      </c>
      <c r="D579">
        <v>49.73</v>
      </c>
      <c r="G579" s="100">
        <v>40051</v>
      </c>
      <c r="H579" s="14">
        <f t="shared" si="24"/>
        <v>68.054089709762536</v>
      </c>
      <c r="I579" s="14">
        <f t="shared" si="25"/>
        <v>86.57357679914071</v>
      </c>
      <c r="J579" s="14">
        <f t="shared" si="26"/>
        <v>85.638023075598412</v>
      </c>
    </row>
    <row r="580" spans="1:10">
      <c r="A580" s="100">
        <v>40052</v>
      </c>
      <c r="B580">
        <v>103.4</v>
      </c>
      <c r="C580">
        <v>40.4</v>
      </c>
      <c r="D580">
        <v>49.93</v>
      </c>
      <c r="G580" s="100">
        <v>40052</v>
      </c>
      <c r="H580" s="14">
        <f t="shared" si="24"/>
        <v>68.205804749340373</v>
      </c>
      <c r="I580" s="14">
        <f t="shared" si="25"/>
        <v>86.788399570354457</v>
      </c>
      <c r="J580" s="14">
        <f t="shared" si="26"/>
        <v>85.982434992250731</v>
      </c>
    </row>
    <row r="581" spans="1:10">
      <c r="A581" s="100">
        <v>40053</v>
      </c>
      <c r="B581">
        <v>103.38</v>
      </c>
      <c r="C581">
        <v>40.44</v>
      </c>
      <c r="D581">
        <v>50.11</v>
      </c>
      <c r="G581" s="100">
        <v>40053</v>
      </c>
      <c r="H581" s="14">
        <f t="shared" ref="H581:H644" si="27">B581/$B$4*100</f>
        <v>68.19261213720317</v>
      </c>
      <c r="I581" s="14">
        <f t="shared" ref="I581:I644" si="28">C581/$C$4*100</f>
        <v>86.874328678839959</v>
      </c>
      <c r="J581" s="14">
        <f t="shared" ref="J581:J644" si="29">D581/$D$4*100</f>
        <v>86.292405717237813</v>
      </c>
    </row>
    <row r="582" spans="1:10">
      <c r="A582" s="100">
        <v>40056</v>
      </c>
      <c r="B582">
        <v>102.46</v>
      </c>
      <c r="C582">
        <v>40.03</v>
      </c>
      <c r="D582">
        <v>49.62</v>
      </c>
      <c r="G582" s="100">
        <v>40056</v>
      </c>
      <c r="H582" s="14">
        <f t="shared" si="27"/>
        <v>67.585751978891821</v>
      </c>
      <c r="I582" s="14">
        <f t="shared" si="28"/>
        <v>85.993555316863592</v>
      </c>
      <c r="J582" s="14">
        <f t="shared" si="29"/>
        <v>85.44859652143964</v>
      </c>
    </row>
    <row r="583" spans="1:10">
      <c r="A583" s="100">
        <v>40057</v>
      </c>
      <c r="B583">
        <v>100.2</v>
      </c>
      <c r="C583">
        <v>39.28</v>
      </c>
      <c r="D583">
        <v>48.6</v>
      </c>
      <c r="G583" s="100">
        <v>40057</v>
      </c>
      <c r="H583" s="14">
        <f t="shared" si="27"/>
        <v>66.094986807387869</v>
      </c>
      <c r="I583" s="14">
        <f t="shared" si="28"/>
        <v>84.382384532760483</v>
      </c>
      <c r="J583" s="14">
        <f t="shared" si="29"/>
        <v>83.692095746512834</v>
      </c>
    </row>
    <row r="584" spans="1:10">
      <c r="A584" s="100">
        <v>40058</v>
      </c>
      <c r="B584">
        <v>99.82</v>
      </c>
      <c r="C584">
        <v>39.25</v>
      </c>
      <c r="D584">
        <v>48.62</v>
      </c>
      <c r="G584" s="100">
        <v>40058</v>
      </c>
      <c r="H584" s="14">
        <f t="shared" si="27"/>
        <v>65.844327176781007</v>
      </c>
      <c r="I584" s="14">
        <f t="shared" si="28"/>
        <v>84.317937701396346</v>
      </c>
      <c r="J584" s="14">
        <f t="shared" si="29"/>
        <v>83.726536938178057</v>
      </c>
    </row>
    <row r="585" spans="1:10">
      <c r="A585" s="100">
        <v>40059</v>
      </c>
      <c r="B585">
        <v>100.65</v>
      </c>
      <c r="C585">
        <v>39.51</v>
      </c>
      <c r="D585">
        <v>48.9</v>
      </c>
      <c r="G585" s="100">
        <v>40059</v>
      </c>
      <c r="H585" s="14">
        <f t="shared" si="27"/>
        <v>66.391820580474942</v>
      </c>
      <c r="I585" s="14">
        <f t="shared" si="28"/>
        <v>84.876476906552099</v>
      </c>
      <c r="J585" s="14">
        <f t="shared" si="29"/>
        <v>84.208713621491299</v>
      </c>
    </row>
    <row r="586" spans="1:10">
      <c r="A586" s="100">
        <v>40060</v>
      </c>
      <c r="B586">
        <v>102.06</v>
      </c>
      <c r="C586">
        <v>40.36</v>
      </c>
      <c r="D586">
        <v>49.77</v>
      </c>
      <c r="G586" s="100">
        <v>40060</v>
      </c>
      <c r="H586" s="14">
        <f t="shared" si="27"/>
        <v>67.321899736147756</v>
      </c>
      <c r="I586" s="14">
        <f t="shared" si="28"/>
        <v>86.70247046186897</v>
      </c>
      <c r="J586" s="14">
        <f t="shared" si="29"/>
        <v>85.706905458928887</v>
      </c>
    </row>
    <row r="587" spans="1:10">
      <c r="A587" s="100">
        <v>40064</v>
      </c>
      <c r="B587">
        <v>102.94</v>
      </c>
      <c r="C587">
        <v>40.74</v>
      </c>
      <c r="D587">
        <v>50.21</v>
      </c>
      <c r="G587" s="100">
        <v>40064</v>
      </c>
      <c r="H587" s="14">
        <f t="shared" si="27"/>
        <v>67.902374670184699</v>
      </c>
      <c r="I587" s="14">
        <f t="shared" si="28"/>
        <v>87.518796992481214</v>
      </c>
      <c r="J587" s="14">
        <f t="shared" si="29"/>
        <v>86.464611675563972</v>
      </c>
    </row>
    <row r="588" spans="1:10">
      <c r="A588" s="100">
        <v>40065</v>
      </c>
      <c r="B588">
        <v>103.73</v>
      </c>
      <c r="C588">
        <v>41.09</v>
      </c>
      <c r="D588">
        <v>50.6</v>
      </c>
      <c r="G588" s="100">
        <v>40065</v>
      </c>
      <c r="H588" s="14">
        <f t="shared" si="27"/>
        <v>68.423482849604227</v>
      </c>
      <c r="I588" s="14">
        <f t="shared" si="28"/>
        <v>88.270676691729335</v>
      </c>
      <c r="J588" s="14">
        <f t="shared" si="29"/>
        <v>87.136214913035985</v>
      </c>
    </row>
    <row r="589" spans="1:10">
      <c r="A589" s="100">
        <v>40066</v>
      </c>
      <c r="B589">
        <v>104.79</v>
      </c>
      <c r="C589">
        <v>41.48</v>
      </c>
      <c r="D589">
        <v>51.3</v>
      </c>
      <c r="G589" s="100">
        <v>40066</v>
      </c>
      <c r="H589" s="14">
        <f t="shared" si="27"/>
        <v>69.122691292875999</v>
      </c>
      <c r="I589" s="14">
        <f t="shared" si="28"/>
        <v>89.108485499462944</v>
      </c>
      <c r="J589" s="14">
        <f t="shared" si="29"/>
        <v>88.341656621319089</v>
      </c>
    </row>
    <row r="590" spans="1:10">
      <c r="A590" s="100">
        <v>40067</v>
      </c>
      <c r="B590">
        <v>104.77</v>
      </c>
      <c r="C590">
        <v>41.52</v>
      </c>
      <c r="D590">
        <v>51.23</v>
      </c>
      <c r="G590" s="100">
        <v>40067</v>
      </c>
      <c r="H590" s="14">
        <f t="shared" si="27"/>
        <v>69.109498680738795</v>
      </c>
      <c r="I590" s="14">
        <f t="shared" si="28"/>
        <v>89.19441460794846</v>
      </c>
      <c r="J590" s="14">
        <f t="shared" si="29"/>
        <v>88.221112450490779</v>
      </c>
    </row>
    <row r="591" spans="1:10">
      <c r="A591" s="100">
        <v>40070</v>
      </c>
      <c r="B591">
        <v>105.28</v>
      </c>
      <c r="C591">
        <v>41.68</v>
      </c>
      <c r="D591">
        <v>51.25</v>
      </c>
      <c r="G591" s="100">
        <v>40070</v>
      </c>
      <c r="H591" s="14">
        <f t="shared" si="27"/>
        <v>69.445910290237464</v>
      </c>
      <c r="I591" s="14">
        <f t="shared" si="28"/>
        <v>89.538131041890452</v>
      </c>
      <c r="J591" s="14">
        <f t="shared" si="29"/>
        <v>88.255553642156016</v>
      </c>
    </row>
    <row r="592" spans="1:10">
      <c r="A592" s="100">
        <v>40071</v>
      </c>
      <c r="B592">
        <v>105.72</v>
      </c>
      <c r="C592">
        <v>41.81</v>
      </c>
      <c r="D592">
        <v>51.52</v>
      </c>
      <c r="G592" s="100">
        <v>40071</v>
      </c>
      <c r="H592" s="14">
        <f t="shared" si="27"/>
        <v>69.736147757255935</v>
      </c>
      <c r="I592" s="14">
        <f t="shared" si="28"/>
        <v>89.817400644468322</v>
      </c>
      <c r="J592" s="14">
        <f t="shared" si="29"/>
        <v>88.72050972963666</v>
      </c>
    </row>
    <row r="593" spans="1:10">
      <c r="A593" s="100">
        <v>40072</v>
      </c>
      <c r="B593">
        <v>107.32</v>
      </c>
      <c r="C593">
        <v>42.42</v>
      </c>
      <c r="D593">
        <v>52.05</v>
      </c>
      <c r="G593" s="100">
        <v>40072</v>
      </c>
      <c r="H593" s="14">
        <f t="shared" si="27"/>
        <v>70.79155672823218</v>
      </c>
      <c r="I593" s="14">
        <f t="shared" si="28"/>
        <v>91.127819548872196</v>
      </c>
      <c r="J593" s="14">
        <f t="shared" si="29"/>
        <v>89.63320130876528</v>
      </c>
    </row>
    <row r="594" spans="1:10">
      <c r="A594" s="100">
        <v>40073</v>
      </c>
      <c r="B594">
        <v>107.16</v>
      </c>
      <c r="C594">
        <v>42.41</v>
      </c>
      <c r="D594">
        <v>51.96</v>
      </c>
      <c r="G594" s="100">
        <v>40073</v>
      </c>
      <c r="H594" s="14">
        <f t="shared" si="27"/>
        <v>70.686015831134569</v>
      </c>
      <c r="I594" s="14">
        <f t="shared" si="28"/>
        <v>91.106337271750803</v>
      </c>
      <c r="J594" s="14">
        <f t="shared" si="29"/>
        <v>89.478215946271746</v>
      </c>
    </row>
    <row r="595" spans="1:10">
      <c r="A595" s="100">
        <v>40074</v>
      </c>
      <c r="B595">
        <v>106.72</v>
      </c>
      <c r="C595">
        <v>42.44</v>
      </c>
      <c r="D595">
        <v>52.04</v>
      </c>
      <c r="G595" s="100">
        <v>40074</v>
      </c>
      <c r="H595" s="14">
        <f t="shared" si="27"/>
        <v>70.395778364116097</v>
      </c>
      <c r="I595" s="14">
        <f t="shared" si="28"/>
        <v>91.170784103114926</v>
      </c>
      <c r="J595" s="14">
        <f t="shared" si="29"/>
        <v>89.615980712932668</v>
      </c>
    </row>
    <row r="596" spans="1:10">
      <c r="A596" s="100">
        <v>40077</v>
      </c>
      <c r="B596">
        <v>106.45</v>
      </c>
      <c r="C596">
        <v>42.57</v>
      </c>
      <c r="D596">
        <v>52.06</v>
      </c>
      <c r="G596" s="100">
        <v>40077</v>
      </c>
      <c r="H596" s="14">
        <f t="shared" si="27"/>
        <v>70.217678100263853</v>
      </c>
      <c r="I596" s="14">
        <f t="shared" si="28"/>
        <v>91.45005370569281</v>
      </c>
      <c r="J596" s="14">
        <f t="shared" si="29"/>
        <v>89.650421904597906</v>
      </c>
    </row>
    <row r="597" spans="1:10">
      <c r="A597" s="100">
        <v>40078</v>
      </c>
      <c r="B597">
        <v>107.07</v>
      </c>
      <c r="C597">
        <v>42.65</v>
      </c>
      <c r="D597">
        <v>52.2</v>
      </c>
      <c r="G597" s="100">
        <v>40078</v>
      </c>
      <c r="H597" s="14">
        <f t="shared" si="27"/>
        <v>70.62664907651714</v>
      </c>
      <c r="I597" s="14">
        <f t="shared" si="28"/>
        <v>91.621911922663799</v>
      </c>
      <c r="J597" s="14">
        <f t="shared" si="29"/>
        <v>89.891510246254526</v>
      </c>
    </row>
    <row r="598" spans="1:10">
      <c r="A598" s="100">
        <v>40079</v>
      </c>
      <c r="B598">
        <v>106.18</v>
      </c>
      <c r="C598">
        <v>42.45</v>
      </c>
      <c r="D598">
        <v>52</v>
      </c>
      <c r="G598" s="100">
        <v>40079</v>
      </c>
      <c r="H598" s="14">
        <f t="shared" si="27"/>
        <v>70.03957783641161</v>
      </c>
      <c r="I598" s="14">
        <f t="shared" si="28"/>
        <v>91.192266380236319</v>
      </c>
      <c r="J598" s="14">
        <f t="shared" si="29"/>
        <v>89.547098329602207</v>
      </c>
    </row>
    <row r="599" spans="1:10">
      <c r="A599" s="100">
        <v>40080</v>
      </c>
      <c r="B599">
        <v>105.01</v>
      </c>
      <c r="C599">
        <v>42.07</v>
      </c>
      <c r="D599">
        <v>51.69</v>
      </c>
      <c r="G599" s="100">
        <v>40080</v>
      </c>
      <c r="H599" s="14">
        <f t="shared" si="27"/>
        <v>69.267810026385234</v>
      </c>
      <c r="I599" s="14">
        <f t="shared" si="28"/>
        <v>90.375939849624061</v>
      </c>
      <c r="J599" s="14">
        <f t="shared" si="29"/>
        <v>89.013259858791102</v>
      </c>
    </row>
    <row r="600" spans="1:10">
      <c r="A600" s="100">
        <v>40081</v>
      </c>
      <c r="B600">
        <v>104.45</v>
      </c>
      <c r="C600">
        <v>41.7</v>
      </c>
      <c r="D600">
        <v>51.41</v>
      </c>
      <c r="G600" s="100">
        <v>40081</v>
      </c>
      <c r="H600" s="14">
        <f t="shared" si="27"/>
        <v>68.898416886543544</v>
      </c>
      <c r="I600" s="14">
        <f t="shared" si="28"/>
        <v>89.581095596133196</v>
      </c>
      <c r="J600" s="14">
        <f t="shared" si="29"/>
        <v>88.53108317547786</v>
      </c>
    </row>
    <row r="601" spans="1:10">
      <c r="A601" s="100">
        <v>40084</v>
      </c>
      <c r="B601">
        <v>106.32</v>
      </c>
      <c r="C601">
        <v>42.41</v>
      </c>
      <c r="D601">
        <v>52.27</v>
      </c>
      <c r="G601" s="100">
        <v>40084</v>
      </c>
      <c r="H601" s="14">
        <f t="shared" si="27"/>
        <v>70.131926121372032</v>
      </c>
      <c r="I601" s="14">
        <f t="shared" si="28"/>
        <v>91.106337271750803</v>
      </c>
      <c r="J601" s="14">
        <f t="shared" si="29"/>
        <v>90.012054417082837</v>
      </c>
    </row>
    <row r="602" spans="1:10">
      <c r="A602" s="100">
        <v>40085</v>
      </c>
      <c r="B602">
        <v>106</v>
      </c>
      <c r="C602">
        <v>42.22</v>
      </c>
      <c r="D602">
        <v>51.86</v>
      </c>
      <c r="G602" s="100">
        <v>40085</v>
      </c>
      <c r="H602" s="14">
        <f t="shared" si="27"/>
        <v>69.920844327176781</v>
      </c>
      <c r="I602" s="14">
        <f t="shared" si="28"/>
        <v>90.698174006444688</v>
      </c>
      <c r="J602" s="14">
        <f t="shared" si="29"/>
        <v>89.306009987945572</v>
      </c>
    </row>
    <row r="603" spans="1:10">
      <c r="A603" s="100">
        <v>40086</v>
      </c>
      <c r="B603">
        <v>105.59</v>
      </c>
      <c r="C603">
        <v>42.25</v>
      </c>
      <c r="D603">
        <v>51.95</v>
      </c>
      <c r="G603" s="100">
        <v>40086</v>
      </c>
      <c r="H603" s="14">
        <f t="shared" si="27"/>
        <v>69.650395778364114</v>
      </c>
      <c r="I603" s="14">
        <f t="shared" si="28"/>
        <v>90.762620837808811</v>
      </c>
      <c r="J603" s="14">
        <f t="shared" si="29"/>
        <v>89.460995350439134</v>
      </c>
    </row>
    <row r="604" spans="1:10">
      <c r="A604" s="100">
        <v>40087</v>
      </c>
      <c r="B604">
        <v>102.97</v>
      </c>
      <c r="C604">
        <v>41</v>
      </c>
      <c r="D604">
        <v>50.41</v>
      </c>
      <c r="G604" s="100">
        <v>40087</v>
      </c>
      <c r="H604" s="14">
        <f t="shared" si="27"/>
        <v>67.922163588390504</v>
      </c>
      <c r="I604" s="14">
        <f t="shared" si="28"/>
        <v>88.077336197636953</v>
      </c>
      <c r="J604" s="14">
        <f t="shared" si="29"/>
        <v>86.809023592216278</v>
      </c>
    </row>
    <row r="605" spans="1:10">
      <c r="A605" s="100">
        <v>40088</v>
      </c>
      <c r="B605">
        <v>102.49</v>
      </c>
      <c r="C605">
        <v>40.880000000000003</v>
      </c>
      <c r="D605">
        <v>50.34</v>
      </c>
      <c r="G605" s="100">
        <v>40088</v>
      </c>
      <c r="H605" s="14">
        <f t="shared" si="27"/>
        <v>67.605540897097626</v>
      </c>
      <c r="I605" s="14">
        <f t="shared" si="28"/>
        <v>87.819548872180462</v>
      </c>
      <c r="J605" s="14">
        <f t="shared" si="29"/>
        <v>86.688479421387981</v>
      </c>
    </row>
    <row r="606" spans="1:10">
      <c r="A606" s="100">
        <v>40091</v>
      </c>
      <c r="B606">
        <v>104.02</v>
      </c>
      <c r="C606">
        <v>41.21</v>
      </c>
      <c r="D606">
        <v>50.82</v>
      </c>
      <c r="G606" s="100">
        <v>40091</v>
      </c>
      <c r="H606" s="14">
        <f t="shared" si="27"/>
        <v>68.614775725593674</v>
      </c>
      <c r="I606" s="14">
        <f t="shared" si="28"/>
        <v>88.528464017185826</v>
      </c>
      <c r="J606" s="14">
        <f t="shared" si="29"/>
        <v>87.515068021353542</v>
      </c>
    </row>
    <row r="607" spans="1:10">
      <c r="A607" s="100">
        <v>40092</v>
      </c>
      <c r="B607">
        <v>105.51</v>
      </c>
      <c r="C607">
        <v>41.94</v>
      </c>
      <c r="D607">
        <v>51.81</v>
      </c>
      <c r="G607" s="100">
        <v>40092</v>
      </c>
      <c r="H607" s="14">
        <f t="shared" si="27"/>
        <v>69.597625329815301</v>
      </c>
      <c r="I607" s="14">
        <f t="shared" si="28"/>
        <v>90.096670247046191</v>
      </c>
      <c r="J607" s="14">
        <f t="shared" si="29"/>
        <v>89.219907008782513</v>
      </c>
    </row>
    <row r="608" spans="1:10">
      <c r="A608" s="100">
        <v>40093</v>
      </c>
      <c r="B608">
        <v>105.8</v>
      </c>
      <c r="C608">
        <v>42.06</v>
      </c>
      <c r="D608">
        <v>51.9</v>
      </c>
      <c r="G608" s="100">
        <v>40093</v>
      </c>
      <c r="H608" s="14">
        <f t="shared" si="27"/>
        <v>69.788918205804748</v>
      </c>
      <c r="I608" s="14">
        <f t="shared" si="28"/>
        <v>90.354457572502696</v>
      </c>
      <c r="J608" s="14">
        <f t="shared" si="29"/>
        <v>89.374892371276033</v>
      </c>
    </row>
    <row r="609" spans="1:10">
      <c r="A609" s="100">
        <v>40094</v>
      </c>
      <c r="B609">
        <v>106.61</v>
      </c>
      <c r="C609">
        <v>42.24</v>
      </c>
      <c r="D609">
        <v>52.06</v>
      </c>
      <c r="G609" s="100">
        <v>40094</v>
      </c>
      <c r="H609" s="14">
        <f t="shared" si="27"/>
        <v>70.323218997361479</v>
      </c>
      <c r="I609" s="14">
        <f t="shared" si="28"/>
        <v>90.741138560687446</v>
      </c>
      <c r="J609" s="14">
        <f t="shared" si="29"/>
        <v>89.650421904597906</v>
      </c>
    </row>
    <row r="610" spans="1:10">
      <c r="A610" s="100">
        <v>40095</v>
      </c>
      <c r="B610">
        <v>107.26</v>
      </c>
      <c r="C610">
        <v>42.48</v>
      </c>
      <c r="D610">
        <v>52.76</v>
      </c>
      <c r="G610" s="100">
        <v>40095</v>
      </c>
      <c r="H610" s="14">
        <f t="shared" si="27"/>
        <v>70.751978891820585</v>
      </c>
      <c r="I610" s="14">
        <f t="shared" si="28"/>
        <v>91.256713211600427</v>
      </c>
      <c r="J610" s="14">
        <f t="shared" si="29"/>
        <v>90.855863612881009</v>
      </c>
    </row>
    <row r="611" spans="1:10">
      <c r="A611" s="100">
        <v>40098</v>
      </c>
      <c r="B611">
        <v>107.68</v>
      </c>
      <c r="C611">
        <v>42.57</v>
      </c>
      <c r="D611">
        <v>52.95</v>
      </c>
      <c r="G611" s="100">
        <v>40098</v>
      </c>
      <c r="H611" s="14">
        <f t="shared" si="27"/>
        <v>71.029023746701853</v>
      </c>
      <c r="I611" s="14">
        <f t="shared" si="28"/>
        <v>91.45005370569281</v>
      </c>
      <c r="J611" s="14">
        <f t="shared" si="29"/>
        <v>91.183054933700717</v>
      </c>
    </row>
    <row r="612" spans="1:10">
      <c r="A612" s="100">
        <v>40099</v>
      </c>
      <c r="B612">
        <v>107.46</v>
      </c>
      <c r="C612">
        <v>42.58</v>
      </c>
      <c r="D612">
        <v>52.95</v>
      </c>
      <c r="G612" s="100">
        <v>40099</v>
      </c>
      <c r="H612" s="14">
        <f t="shared" si="27"/>
        <v>70.883905013192603</v>
      </c>
      <c r="I612" s="14">
        <f t="shared" si="28"/>
        <v>91.471535982814174</v>
      </c>
      <c r="J612" s="14">
        <f t="shared" si="29"/>
        <v>91.183054933700717</v>
      </c>
    </row>
    <row r="613" spans="1:10">
      <c r="A613" s="100">
        <v>40100</v>
      </c>
      <c r="B613">
        <v>109.31</v>
      </c>
      <c r="C613">
        <v>43.16</v>
      </c>
      <c r="D613">
        <v>53.71</v>
      </c>
      <c r="G613" s="100">
        <v>40100</v>
      </c>
      <c r="H613" s="14">
        <f t="shared" si="27"/>
        <v>72.104221635883917</v>
      </c>
      <c r="I613" s="14">
        <f t="shared" si="28"/>
        <v>92.717508055853912</v>
      </c>
      <c r="J613" s="14">
        <f t="shared" si="29"/>
        <v>92.491820216979505</v>
      </c>
    </row>
    <row r="614" spans="1:10">
      <c r="A614" s="100">
        <v>40101</v>
      </c>
      <c r="B614">
        <v>109.71</v>
      </c>
      <c r="C614">
        <v>43.06</v>
      </c>
      <c r="D614">
        <v>53.64</v>
      </c>
      <c r="G614" s="100">
        <v>40101</v>
      </c>
      <c r="H614" s="14">
        <f t="shared" si="27"/>
        <v>72.368073878627968</v>
      </c>
      <c r="I614" s="14">
        <f t="shared" si="28"/>
        <v>92.502685284640179</v>
      </c>
      <c r="J614" s="14">
        <f t="shared" si="29"/>
        <v>92.371276046151195</v>
      </c>
    </row>
    <row r="615" spans="1:10">
      <c r="A615" s="100">
        <v>40102</v>
      </c>
      <c r="B615">
        <v>108.89</v>
      </c>
      <c r="C615">
        <v>42.78</v>
      </c>
      <c r="D615">
        <v>53.09</v>
      </c>
      <c r="G615" s="100">
        <v>40102</v>
      </c>
      <c r="H615" s="14">
        <f t="shared" si="27"/>
        <v>71.827176781002649</v>
      </c>
      <c r="I615" s="14">
        <f t="shared" si="28"/>
        <v>91.901181525241682</v>
      </c>
      <c r="J615" s="14">
        <f t="shared" si="29"/>
        <v>91.424143275357324</v>
      </c>
    </row>
    <row r="616" spans="1:10">
      <c r="A616" s="100">
        <v>40105</v>
      </c>
      <c r="B616">
        <v>109.79</v>
      </c>
      <c r="C616">
        <v>43.21</v>
      </c>
      <c r="D616">
        <v>53.55</v>
      </c>
      <c r="G616" s="100">
        <v>40105</v>
      </c>
      <c r="H616" s="14">
        <f t="shared" si="27"/>
        <v>72.420844327176795</v>
      </c>
      <c r="I616" s="14">
        <f t="shared" si="28"/>
        <v>92.824919441460807</v>
      </c>
      <c r="J616" s="14">
        <f t="shared" si="29"/>
        <v>92.216290683657647</v>
      </c>
    </row>
    <row r="617" spans="1:10">
      <c r="A617" s="100">
        <v>40106</v>
      </c>
      <c r="B617">
        <v>109.21</v>
      </c>
      <c r="C617">
        <v>43.22</v>
      </c>
      <c r="D617">
        <v>53.61</v>
      </c>
      <c r="G617" s="100">
        <v>40106</v>
      </c>
      <c r="H617" s="14">
        <f t="shared" si="27"/>
        <v>72.038258575197887</v>
      </c>
      <c r="I617" s="14">
        <f t="shared" si="28"/>
        <v>92.846401718582172</v>
      </c>
      <c r="J617" s="14">
        <f t="shared" si="29"/>
        <v>92.319614258653345</v>
      </c>
    </row>
    <row r="618" spans="1:10">
      <c r="A618" s="100">
        <v>40107</v>
      </c>
      <c r="B618">
        <v>108.23</v>
      </c>
      <c r="C618">
        <v>43.14</v>
      </c>
      <c r="D618">
        <v>53.39</v>
      </c>
      <c r="G618" s="100">
        <v>40107</v>
      </c>
      <c r="H618" s="14">
        <f t="shared" si="27"/>
        <v>71.391820580474942</v>
      </c>
      <c r="I618" s="14">
        <f t="shared" si="28"/>
        <v>92.674543501611168</v>
      </c>
      <c r="J618" s="14">
        <f t="shared" si="29"/>
        <v>91.940761150335803</v>
      </c>
    </row>
    <row r="619" spans="1:10">
      <c r="A619" s="100">
        <v>40108</v>
      </c>
      <c r="B619">
        <v>109.33</v>
      </c>
      <c r="C619">
        <v>43.31</v>
      </c>
      <c r="D619">
        <v>53.73</v>
      </c>
      <c r="G619" s="100">
        <v>40108</v>
      </c>
      <c r="H619" s="14">
        <f t="shared" si="27"/>
        <v>72.117414248021106</v>
      </c>
      <c r="I619" s="14">
        <f t="shared" si="28"/>
        <v>93.039742212674554</v>
      </c>
      <c r="J619" s="14">
        <f t="shared" si="29"/>
        <v>92.526261408644743</v>
      </c>
    </row>
    <row r="620" spans="1:10">
      <c r="A620" s="100">
        <v>40109</v>
      </c>
      <c r="B620">
        <v>108.08</v>
      </c>
      <c r="C620">
        <v>43.13</v>
      </c>
      <c r="D620">
        <v>53.59</v>
      </c>
      <c r="G620" s="100">
        <v>40109</v>
      </c>
      <c r="H620" s="14">
        <f t="shared" si="27"/>
        <v>71.292875989445918</v>
      </c>
      <c r="I620" s="14">
        <f t="shared" si="28"/>
        <v>92.653061224489804</v>
      </c>
      <c r="J620" s="14">
        <f t="shared" si="29"/>
        <v>92.285173066988122</v>
      </c>
    </row>
    <row r="621" spans="1:10">
      <c r="A621" s="100">
        <v>40112</v>
      </c>
      <c r="B621">
        <v>106.91</v>
      </c>
      <c r="C621">
        <v>42.99</v>
      </c>
      <c r="D621">
        <v>53.37</v>
      </c>
      <c r="G621" s="100">
        <v>40112</v>
      </c>
      <c r="H621" s="14">
        <f t="shared" si="27"/>
        <v>70.521108179419528</v>
      </c>
      <c r="I621" s="14">
        <f t="shared" si="28"/>
        <v>92.352309344790555</v>
      </c>
      <c r="J621" s="14">
        <f t="shared" si="29"/>
        <v>91.906319958670565</v>
      </c>
    </row>
    <row r="622" spans="1:10">
      <c r="A622" s="100">
        <v>40113</v>
      </c>
      <c r="B622">
        <v>106.42</v>
      </c>
      <c r="C622">
        <v>42.34</v>
      </c>
      <c r="D622">
        <v>52.82</v>
      </c>
      <c r="G622" s="100">
        <v>40113</v>
      </c>
      <c r="H622" s="14">
        <f t="shared" si="27"/>
        <v>70.197889182058049</v>
      </c>
      <c r="I622" s="14">
        <f t="shared" si="28"/>
        <v>90.955961331901193</v>
      </c>
      <c r="J622" s="14">
        <f t="shared" si="29"/>
        <v>90.959187187876694</v>
      </c>
    </row>
    <row r="623" spans="1:10">
      <c r="A623" s="100">
        <v>40114</v>
      </c>
      <c r="B623">
        <v>104.41</v>
      </c>
      <c r="C623">
        <v>41.39</v>
      </c>
      <c r="D623">
        <v>51.84</v>
      </c>
      <c r="G623" s="100">
        <v>40114</v>
      </c>
      <c r="H623" s="14">
        <f t="shared" si="27"/>
        <v>68.872031662269123</v>
      </c>
      <c r="I623" s="14">
        <f t="shared" si="28"/>
        <v>88.915145005370576</v>
      </c>
      <c r="J623" s="14">
        <f t="shared" si="29"/>
        <v>89.271568796280349</v>
      </c>
    </row>
    <row r="624" spans="1:10">
      <c r="A624" s="100">
        <v>40115</v>
      </c>
      <c r="B624">
        <v>106.65</v>
      </c>
      <c r="C624">
        <v>42.09</v>
      </c>
      <c r="D624">
        <v>52.81</v>
      </c>
      <c r="G624" s="100">
        <v>40115</v>
      </c>
      <c r="H624" s="14">
        <f t="shared" si="27"/>
        <v>70.349604221635886</v>
      </c>
      <c r="I624" s="14">
        <f t="shared" si="28"/>
        <v>90.418904403866819</v>
      </c>
      <c r="J624" s="14">
        <f t="shared" si="29"/>
        <v>90.941966592044082</v>
      </c>
    </row>
    <row r="625" spans="1:10">
      <c r="A625" s="100">
        <v>40116</v>
      </c>
      <c r="B625">
        <v>103.56</v>
      </c>
      <c r="C625">
        <v>40.96</v>
      </c>
      <c r="D625">
        <v>51.47</v>
      </c>
      <c r="G625" s="100">
        <v>40116</v>
      </c>
      <c r="H625" s="14">
        <f t="shared" si="27"/>
        <v>68.311345646437999</v>
      </c>
      <c r="I625" s="14">
        <f t="shared" si="28"/>
        <v>87.991407089151451</v>
      </c>
      <c r="J625" s="14">
        <f t="shared" si="29"/>
        <v>88.634406750473559</v>
      </c>
    </row>
    <row r="626" spans="1:10">
      <c r="A626" s="100">
        <v>40119</v>
      </c>
      <c r="B626">
        <v>104.32</v>
      </c>
      <c r="C626">
        <v>41.13</v>
      </c>
      <c r="D626">
        <v>51.6</v>
      </c>
      <c r="G626" s="100">
        <v>40119</v>
      </c>
      <c r="H626" s="14">
        <f t="shared" si="27"/>
        <v>68.812664907651708</v>
      </c>
      <c r="I626" s="14">
        <f t="shared" si="28"/>
        <v>88.356605800214837</v>
      </c>
      <c r="J626" s="14">
        <f t="shared" si="29"/>
        <v>88.858274496297568</v>
      </c>
    </row>
    <row r="627" spans="1:10">
      <c r="A627" s="100">
        <v>40120</v>
      </c>
      <c r="B627">
        <v>104.65</v>
      </c>
      <c r="C627">
        <v>41.26</v>
      </c>
      <c r="D627">
        <v>51.54</v>
      </c>
      <c r="G627" s="100">
        <v>40120</v>
      </c>
      <c r="H627" s="14">
        <f t="shared" si="27"/>
        <v>69.030343007915576</v>
      </c>
      <c r="I627" s="14">
        <f t="shared" si="28"/>
        <v>88.635875402792692</v>
      </c>
      <c r="J627" s="14">
        <f t="shared" si="29"/>
        <v>88.754950921301884</v>
      </c>
    </row>
    <row r="628" spans="1:10">
      <c r="A628" s="100">
        <v>40121</v>
      </c>
      <c r="B628">
        <v>104.92</v>
      </c>
      <c r="C628">
        <v>41.33</v>
      </c>
      <c r="D628">
        <v>51.9</v>
      </c>
      <c r="G628" s="100">
        <v>40121</v>
      </c>
      <c r="H628" s="14">
        <f t="shared" si="27"/>
        <v>69.20844327176782</v>
      </c>
      <c r="I628" s="14">
        <f t="shared" si="28"/>
        <v>88.786251342642316</v>
      </c>
      <c r="J628" s="14">
        <f t="shared" si="29"/>
        <v>89.374892371276033</v>
      </c>
    </row>
    <row r="629" spans="1:10">
      <c r="A629" s="100">
        <v>40122</v>
      </c>
      <c r="B629">
        <v>106.85</v>
      </c>
      <c r="C629">
        <v>42.35</v>
      </c>
      <c r="D629">
        <v>53.05</v>
      </c>
      <c r="G629" s="100">
        <v>40122</v>
      </c>
      <c r="H629" s="14">
        <f t="shared" si="27"/>
        <v>70.481530343007918</v>
      </c>
      <c r="I629" s="14">
        <f t="shared" si="28"/>
        <v>90.977443609022572</v>
      </c>
      <c r="J629" s="14">
        <f t="shared" si="29"/>
        <v>91.355260892026863</v>
      </c>
    </row>
    <row r="630" spans="1:10">
      <c r="A630" s="100">
        <v>40123</v>
      </c>
      <c r="B630">
        <v>107.13</v>
      </c>
      <c r="C630">
        <v>42.6</v>
      </c>
      <c r="D630">
        <v>53.14</v>
      </c>
      <c r="G630" s="100">
        <v>40123</v>
      </c>
      <c r="H630" s="14">
        <f t="shared" si="27"/>
        <v>70.666226912928764</v>
      </c>
      <c r="I630" s="14">
        <f t="shared" si="28"/>
        <v>91.514500537056946</v>
      </c>
      <c r="J630" s="14">
        <f t="shared" si="29"/>
        <v>91.510246254520411</v>
      </c>
    </row>
    <row r="631" spans="1:10">
      <c r="A631" s="100">
        <v>40126</v>
      </c>
      <c r="B631">
        <v>109.57</v>
      </c>
      <c r="C631">
        <v>43.51</v>
      </c>
      <c r="D631">
        <v>54.27</v>
      </c>
      <c r="G631" s="100">
        <v>40126</v>
      </c>
      <c r="H631" s="14">
        <f t="shared" si="27"/>
        <v>72.275725593667545</v>
      </c>
      <c r="I631" s="14">
        <f t="shared" si="28"/>
        <v>93.469387755102034</v>
      </c>
      <c r="J631" s="14">
        <f t="shared" si="29"/>
        <v>93.456173583605988</v>
      </c>
    </row>
    <row r="632" spans="1:10">
      <c r="A632" s="100">
        <v>40127</v>
      </c>
      <c r="B632">
        <v>109.59</v>
      </c>
      <c r="C632">
        <v>43.62</v>
      </c>
      <c r="D632">
        <v>54.25</v>
      </c>
      <c r="G632" s="100">
        <v>40127</v>
      </c>
      <c r="H632" s="14">
        <f t="shared" si="27"/>
        <v>72.288918205804748</v>
      </c>
      <c r="I632" s="14">
        <f t="shared" si="28"/>
        <v>93.705692803437174</v>
      </c>
      <c r="J632" s="14">
        <f t="shared" si="29"/>
        <v>93.421732391940765</v>
      </c>
    </row>
    <row r="633" spans="1:10">
      <c r="A633" s="100">
        <v>40128</v>
      </c>
      <c r="B633">
        <v>110.15</v>
      </c>
      <c r="C633">
        <v>43.9</v>
      </c>
      <c r="D633">
        <v>54.67</v>
      </c>
      <c r="G633" s="100">
        <v>40128</v>
      </c>
      <c r="H633" s="14">
        <f t="shared" si="27"/>
        <v>72.658311345646439</v>
      </c>
      <c r="I633" s="14">
        <f t="shared" si="28"/>
        <v>94.307196562835657</v>
      </c>
      <c r="J633" s="14">
        <f t="shared" si="29"/>
        <v>94.144997416910627</v>
      </c>
    </row>
    <row r="634" spans="1:10">
      <c r="A634" s="100">
        <v>40129</v>
      </c>
      <c r="B634">
        <v>109.03</v>
      </c>
      <c r="C634">
        <v>43.65</v>
      </c>
      <c r="D634">
        <v>54.37</v>
      </c>
      <c r="G634" s="100">
        <v>40129</v>
      </c>
      <c r="H634" s="14">
        <f t="shared" si="27"/>
        <v>71.919525065963057</v>
      </c>
      <c r="I634" s="14">
        <f t="shared" si="28"/>
        <v>93.770139634801282</v>
      </c>
      <c r="J634" s="14">
        <f t="shared" si="29"/>
        <v>93.628379541932148</v>
      </c>
    </row>
    <row r="635" spans="1:10">
      <c r="A635" s="100">
        <v>40130</v>
      </c>
      <c r="B635">
        <v>109.62</v>
      </c>
      <c r="C635">
        <v>44.01</v>
      </c>
      <c r="D635">
        <v>54.89</v>
      </c>
      <c r="G635" s="100">
        <v>40130</v>
      </c>
      <c r="H635" s="14">
        <f t="shared" si="27"/>
        <v>72.308707124010567</v>
      </c>
      <c r="I635" s="14">
        <f t="shared" si="28"/>
        <v>94.543501611170782</v>
      </c>
      <c r="J635" s="14">
        <f t="shared" si="29"/>
        <v>94.52385052522817</v>
      </c>
    </row>
    <row r="636" spans="1:10">
      <c r="A636" s="100">
        <v>40133</v>
      </c>
      <c r="B636">
        <v>111.21</v>
      </c>
      <c r="C636">
        <v>44.46</v>
      </c>
      <c r="D636">
        <v>55.46</v>
      </c>
      <c r="G636" s="100">
        <v>40133</v>
      </c>
      <c r="H636" s="14">
        <f t="shared" si="27"/>
        <v>73.357519788918196</v>
      </c>
      <c r="I636" s="14">
        <f t="shared" si="28"/>
        <v>95.510204081632665</v>
      </c>
      <c r="J636" s="14">
        <f t="shared" si="29"/>
        <v>95.505424487687279</v>
      </c>
    </row>
    <row r="637" spans="1:10">
      <c r="A637" s="100">
        <v>40134</v>
      </c>
      <c r="B637">
        <v>111.34</v>
      </c>
      <c r="C637">
        <v>44.6</v>
      </c>
      <c r="D637">
        <v>55.8</v>
      </c>
      <c r="G637" s="100">
        <v>40134</v>
      </c>
      <c r="H637" s="14">
        <f t="shared" si="27"/>
        <v>73.443271767810032</v>
      </c>
      <c r="I637" s="14">
        <f t="shared" si="28"/>
        <v>95.810955961331913</v>
      </c>
      <c r="J637" s="14">
        <f t="shared" si="29"/>
        <v>96.090924745996205</v>
      </c>
    </row>
    <row r="638" spans="1:10">
      <c r="A638" s="100">
        <v>40135</v>
      </c>
      <c r="B638">
        <v>111.27</v>
      </c>
      <c r="C638">
        <v>44.35</v>
      </c>
      <c r="D638">
        <v>55.47</v>
      </c>
      <c r="G638" s="100">
        <v>40135</v>
      </c>
      <c r="H638" s="14">
        <f t="shared" si="27"/>
        <v>73.397097625329806</v>
      </c>
      <c r="I638" s="14">
        <f t="shared" si="28"/>
        <v>95.273899033297539</v>
      </c>
      <c r="J638" s="14">
        <f t="shared" si="29"/>
        <v>95.52264508351989</v>
      </c>
    </row>
    <row r="639" spans="1:10">
      <c r="A639" s="100">
        <v>40136</v>
      </c>
      <c r="B639">
        <v>109.82</v>
      </c>
      <c r="C639">
        <v>43.66</v>
      </c>
      <c r="D639">
        <v>54.54</v>
      </c>
      <c r="G639" s="100">
        <v>40136</v>
      </c>
      <c r="H639" s="14">
        <f t="shared" si="27"/>
        <v>72.440633245382585</v>
      </c>
      <c r="I639" s="14">
        <f t="shared" si="28"/>
        <v>93.791621911922661</v>
      </c>
      <c r="J639" s="14">
        <f t="shared" si="29"/>
        <v>93.921129671086618</v>
      </c>
    </row>
    <row r="640" spans="1:10">
      <c r="A640" s="100">
        <v>40137</v>
      </c>
      <c r="B640">
        <v>109.43</v>
      </c>
      <c r="C640">
        <v>43.44</v>
      </c>
      <c r="D640">
        <v>54.24</v>
      </c>
      <c r="G640" s="100">
        <v>40137</v>
      </c>
      <c r="H640" s="14">
        <f t="shared" si="27"/>
        <v>72.183377308707136</v>
      </c>
      <c r="I640" s="14">
        <f t="shared" si="28"/>
        <v>93.319011815252424</v>
      </c>
      <c r="J640" s="14">
        <f t="shared" si="29"/>
        <v>93.404511796108153</v>
      </c>
    </row>
    <row r="641" spans="1:10">
      <c r="A641" s="100">
        <v>40140</v>
      </c>
      <c r="B641">
        <v>110.82</v>
      </c>
      <c r="C641">
        <v>44.14</v>
      </c>
      <c r="D641">
        <v>55.05</v>
      </c>
      <c r="G641" s="100">
        <v>40140</v>
      </c>
      <c r="H641" s="14">
        <f t="shared" si="27"/>
        <v>73.100263852242747</v>
      </c>
      <c r="I641" s="14">
        <f t="shared" si="28"/>
        <v>94.822771213748666</v>
      </c>
      <c r="J641" s="14">
        <f t="shared" si="29"/>
        <v>94.799380058550014</v>
      </c>
    </row>
    <row r="642" spans="1:10">
      <c r="A642" s="100">
        <v>40141</v>
      </c>
      <c r="B642">
        <v>110.99</v>
      </c>
      <c r="C642">
        <v>43.99</v>
      </c>
      <c r="D642">
        <v>54.77</v>
      </c>
      <c r="G642" s="100">
        <v>40141</v>
      </c>
      <c r="H642" s="14">
        <f t="shared" si="27"/>
        <v>73.212401055408975</v>
      </c>
      <c r="I642" s="14">
        <f t="shared" si="28"/>
        <v>94.500537056928053</v>
      </c>
      <c r="J642" s="14">
        <f t="shared" si="29"/>
        <v>94.317203375236787</v>
      </c>
    </row>
    <row r="643" spans="1:10">
      <c r="A643" s="100">
        <v>40142</v>
      </c>
      <c r="B643">
        <v>111.38</v>
      </c>
      <c r="C643">
        <v>44.18</v>
      </c>
      <c r="D643">
        <v>54.9</v>
      </c>
      <c r="G643" s="100">
        <v>40142</v>
      </c>
      <c r="H643" s="14">
        <f t="shared" si="27"/>
        <v>73.469656992084424</v>
      </c>
      <c r="I643" s="14">
        <f t="shared" si="28"/>
        <v>94.908700322234168</v>
      </c>
      <c r="J643" s="14">
        <f t="shared" si="29"/>
        <v>94.541071121060781</v>
      </c>
    </row>
    <row r="644" spans="1:10">
      <c r="A644" s="100">
        <v>40144</v>
      </c>
      <c r="B644">
        <v>109.57</v>
      </c>
      <c r="C644">
        <v>43.51</v>
      </c>
      <c r="D644">
        <v>54.01</v>
      </c>
      <c r="G644" s="100">
        <v>40144</v>
      </c>
      <c r="H644" s="14">
        <f t="shared" si="27"/>
        <v>72.275725593667545</v>
      </c>
      <c r="I644" s="14">
        <f t="shared" si="28"/>
        <v>93.469387755102034</v>
      </c>
      <c r="J644" s="14">
        <f t="shared" si="29"/>
        <v>93.008438091957984</v>
      </c>
    </row>
    <row r="645" spans="1:10">
      <c r="A645" s="100">
        <v>40147</v>
      </c>
      <c r="B645">
        <v>109.94</v>
      </c>
      <c r="C645">
        <v>43.56</v>
      </c>
      <c r="D645">
        <v>54.12</v>
      </c>
      <c r="G645" s="100">
        <v>40147</v>
      </c>
      <c r="H645" s="14">
        <f t="shared" ref="H645:H708" si="30">B645/$B$4*100</f>
        <v>72.519788918205805</v>
      </c>
      <c r="I645" s="14">
        <f t="shared" ref="I645:I708" si="31">C645/$C$4*100</f>
        <v>93.576799140708928</v>
      </c>
      <c r="J645" s="14">
        <f t="shared" ref="J645:J708" si="32">D645/$D$4*100</f>
        <v>93.197864646116741</v>
      </c>
    </row>
    <row r="646" spans="1:10">
      <c r="A646" s="100">
        <v>40148</v>
      </c>
      <c r="B646">
        <v>111.3</v>
      </c>
      <c r="C646">
        <v>44.01</v>
      </c>
      <c r="D646">
        <v>54.86</v>
      </c>
      <c r="G646" s="100">
        <v>40148</v>
      </c>
      <c r="H646" s="14">
        <f t="shared" si="30"/>
        <v>73.416886543535625</v>
      </c>
      <c r="I646" s="14">
        <f t="shared" si="31"/>
        <v>94.543501611170782</v>
      </c>
      <c r="J646" s="14">
        <f t="shared" si="32"/>
        <v>94.47218873773032</v>
      </c>
    </row>
    <row r="647" spans="1:10">
      <c r="A647" s="100">
        <v>40149</v>
      </c>
      <c r="B647">
        <v>111.25</v>
      </c>
      <c r="C647">
        <v>44.07</v>
      </c>
      <c r="D647">
        <v>54.91</v>
      </c>
      <c r="G647" s="100">
        <v>40149</v>
      </c>
      <c r="H647" s="14">
        <f t="shared" si="30"/>
        <v>73.383905013192617</v>
      </c>
      <c r="I647" s="14">
        <f t="shared" si="31"/>
        <v>94.672395273899042</v>
      </c>
      <c r="J647" s="14">
        <f t="shared" si="32"/>
        <v>94.558291716893393</v>
      </c>
    </row>
    <row r="648" spans="1:10">
      <c r="A648" s="100">
        <v>40150</v>
      </c>
      <c r="B648">
        <v>110.38</v>
      </c>
      <c r="C648">
        <v>43.89</v>
      </c>
      <c r="D648">
        <v>54.84</v>
      </c>
      <c r="G648" s="100">
        <v>40150</v>
      </c>
      <c r="H648" s="14">
        <f t="shared" si="30"/>
        <v>72.810026385224262</v>
      </c>
      <c r="I648" s="14">
        <f t="shared" si="31"/>
        <v>94.285714285714292</v>
      </c>
      <c r="J648" s="14">
        <f t="shared" si="32"/>
        <v>94.437747546065097</v>
      </c>
    </row>
    <row r="649" spans="1:10">
      <c r="A649" s="100">
        <v>40151</v>
      </c>
      <c r="B649">
        <v>111.01</v>
      </c>
      <c r="C649">
        <v>44.12</v>
      </c>
      <c r="D649">
        <v>55.38</v>
      </c>
      <c r="G649" s="100">
        <v>40151</v>
      </c>
      <c r="H649" s="14">
        <f t="shared" si="30"/>
        <v>73.225593667546178</v>
      </c>
      <c r="I649" s="14">
        <f t="shared" si="31"/>
        <v>94.779806659505908</v>
      </c>
      <c r="J649" s="14">
        <f t="shared" si="32"/>
        <v>95.367659721026357</v>
      </c>
    </row>
    <row r="650" spans="1:10">
      <c r="A650" s="100">
        <v>40154</v>
      </c>
      <c r="B650">
        <v>110.84</v>
      </c>
      <c r="C650">
        <v>43.91</v>
      </c>
      <c r="D650">
        <v>55.09</v>
      </c>
      <c r="G650" s="100">
        <v>40154</v>
      </c>
      <c r="H650" s="14">
        <f t="shared" si="30"/>
        <v>73.113456464379951</v>
      </c>
      <c r="I650" s="14">
        <f t="shared" si="31"/>
        <v>94.328678839957036</v>
      </c>
      <c r="J650" s="14">
        <f t="shared" si="32"/>
        <v>94.868262441880489</v>
      </c>
    </row>
    <row r="651" spans="1:10">
      <c r="A651" s="100">
        <v>40155</v>
      </c>
      <c r="B651">
        <v>109.61</v>
      </c>
      <c r="C651">
        <v>43.64</v>
      </c>
      <c r="D651">
        <v>54.71</v>
      </c>
      <c r="G651" s="100">
        <v>40155</v>
      </c>
      <c r="H651" s="14">
        <f t="shared" si="30"/>
        <v>72.302110817941951</v>
      </c>
      <c r="I651" s="14">
        <f t="shared" si="31"/>
        <v>93.748657357679917</v>
      </c>
      <c r="J651" s="14">
        <f t="shared" si="32"/>
        <v>94.213879800241088</v>
      </c>
    </row>
    <row r="652" spans="1:10">
      <c r="A652" s="100">
        <v>40156</v>
      </c>
      <c r="B652">
        <v>110.02</v>
      </c>
      <c r="C652">
        <v>44.08</v>
      </c>
      <c r="D652">
        <v>55.19</v>
      </c>
      <c r="G652" s="100">
        <v>40156</v>
      </c>
      <c r="H652" s="14">
        <f t="shared" si="30"/>
        <v>72.572559366754618</v>
      </c>
      <c r="I652" s="14">
        <f t="shared" si="31"/>
        <v>94.693877551020407</v>
      </c>
      <c r="J652" s="14">
        <f t="shared" si="32"/>
        <v>95.040468400206649</v>
      </c>
    </row>
    <row r="653" spans="1:10">
      <c r="A653" s="100">
        <v>40157</v>
      </c>
      <c r="B653">
        <v>110.64</v>
      </c>
      <c r="C653">
        <v>44.3</v>
      </c>
      <c r="D653">
        <v>55.37</v>
      </c>
      <c r="G653" s="100">
        <v>40157</v>
      </c>
      <c r="H653" s="14">
        <f t="shared" si="30"/>
        <v>72.981530343007918</v>
      </c>
      <c r="I653" s="14">
        <f t="shared" si="31"/>
        <v>95.166487647690658</v>
      </c>
      <c r="J653" s="14">
        <f t="shared" si="32"/>
        <v>95.350439125193731</v>
      </c>
    </row>
    <row r="654" spans="1:10">
      <c r="A654" s="100">
        <v>40158</v>
      </c>
      <c r="B654">
        <v>111.11</v>
      </c>
      <c r="C654">
        <v>44.13</v>
      </c>
      <c r="D654">
        <v>55.23</v>
      </c>
      <c r="G654" s="100">
        <v>40158</v>
      </c>
      <c r="H654" s="14">
        <f t="shared" si="30"/>
        <v>73.291556728232194</v>
      </c>
      <c r="I654" s="14">
        <f t="shared" si="31"/>
        <v>94.801288936627287</v>
      </c>
      <c r="J654" s="14">
        <f t="shared" si="32"/>
        <v>95.10935078353711</v>
      </c>
    </row>
    <row r="655" spans="1:10">
      <c r="A655" s="100">
        <v>40161</v>
      </c>
      <c r="B655">
        <v>111.87</v>
      </c>
      <c r="C655">
        <v>44.55</v>
      </c>
      <c r="D655">
        <v>55.81</v>
      </c>
      <c r="G655" s="100">
        <v>40161</v>
      </c>
      <c r="H655" s="14">
        <f t="shared" si="30"/>
        <v>73.792875989445918</v>
      </c>
      <c r="I655" s="14">
        <f t="shared" si="31"/>
        <v>95.703544575725033</v>
      </c>
      <c r="J655" s="14">
        <f t="shared" si="32"/>
        <v>96.108145341828831</v>
      </c>
    </row>
    <row r="656" spans="1:10">
      <c r="A656" s="100">
        <v>40162</v>
      </c>
      <c r="B656">
        <v>111.35</v>
      </c>
      <c r="C656">
        <v>44.3</v>
      </c>
      <c r="D656">
        <v>55.49</v>
      </c>
      <c r="G656" s="100">
        <v>40162</v>
      </c>
      <c r="H656" s="14">
        <f t="shared" si="30"/>
        <v>73.449868073878633</v>
      </c>
      <c r="I656" s="14">
        <f t="shared" si="31"/>
        <v>95.166487647690658</v>
      </c>
      <c r="J656" s="14">
        <f t="shared" si="32"/>
        <v>95.557086275185128</v>
      </c>
    </row>
    <row r="657" spans="1:10">
      <c r="A657" s="100">
        <v>40163</v>
      </c>
      <c r="B657">
        <v>111.52</v>
      </c>
      <c r="C657">
        <v>44.36</v>
      </c>
      <c r="D657">
        <v>55.8</v>
      </c>
      <c r="G657" s="100">
        <v>40163</v>
      </c>
      <c r="H657" s="14">
        <f t="shared" si="30"/>
        <v>73.562005277044847</v>
      </c>
      <c r="I657" s="14">
        <f t="shared" si="31"/>
        <v>95.295381310418918</v>
      </c>
      <c r="J657" s="14">
        <f t="shared" si="32"/>
        <v>96.090924745996205</v>
      </c>
    </row>
    <row r="658" spans="1:10">
      <c r="A658" s="100">
        <v>40164</v>
      </c>
      <c r="B658">
        <v>110.18</v>
      </c>
      <c r="C658">
        <v>43.82</v>
      </c>
      <c r="D658">
        <v>55.15</v>
      </c>
      <c r="G658" s="100">
        <v>40164</v>
      </c>
      <c r="H658" s="14">
        <f t="shared" si="30"/>
        <v>72.678100263852258</v>
      </c>
      <c r="I658" s="14">
        <f t="shared" si="31"/>
        <v>94.135338345864668</v>
      </c>
      <c r="J658" s="14">
        <f t="shared" si="32"/>
        <v>94.971586016876188</v>
      </c>
    </row>
    <row r="659" spans="1:10">
      <c r="A659" s="100">
        <v>40165</v>
      </c>
      <c r="B659">
        <v>110.21</v>
      </c>
      <c r="C659">
        <v>44.46</v>
      </c>
      <c r="D659">
        <v>56.04</v>
      </c>
      <c r="G659" s="100">
        <v>40165</v>
      </c>
      <c r="H659" s="14">
        <f t="shared" si="30"/>
        <v>72.697889182058049</v>
      </c>
      <c r="I659" s="14">
        <f t="shared" si="31"/>
        <v>95.510204081632665</v>
      </c>
      <c r="J659" s="14">
        <f t="shared" si="32"/>
        <v>96.504219045978985</v>
      </c>
    </row>
    <row r="660" spans="1:10">
      <c r="A660" s="100">
        <v>40168</v>
      </c>
      <c r="B660">
        <v>111.33</v>
      </c>
      <c r="C660">
        <v>44.96</v>
      </c>
      <c r="D660">
        <v>56.61</v>
      </c>
      <c r="G660" s="100">
        <v>40168</v>
      </c>
      <c r="H660" s="14">
        <f t="shared" si="30"/>
        <v>73.43667546174143</v>
      </c>
      <c r="I660" s="14">
        <f t="shared" si="31"/>
        <v>96.5843179377014</v>
      </c>
      <c r="J660" s="14">
        <f t="shared" si="32"/>
        <v>97.485793008438094</v>
      </c>
    </row>
    <row r="661" spans="1:10">
      <c r="A661" s="100">
        <v>40169</v>
      </c>
      <c r="B661">
        <v>111.73</v>
      </c>
      <c r="C661">
        <v>45.23</v>
      </c>
      <c r="D661">
        <v>56.99</v>
      </c>
      <c r="G661" s="100">
        <v>40169</v>
      </c>
      <c r="H661" s="14">
        <f t="shared" si="30"/>
        <v>73.700527704485495</v>
      </c>
      <c r="I661" s="14">
        <f t="shared" si="31"/>
        <v>97.164339419978518</v>
      </c>
      <c r="J661" s="14">
        <f t="shared" si="32"/>
        <v>98.140175650077495</v>
      </c>
    </row>
    <row r="662" spans="1:10">
      <c r="A662" s="100">
        <v>40170</v>
      </c>
      <c r="B662">
        <v>111.95</v>
      </c>
      <c r="C662">
        <v>45.56</v>
      </c>
      <c r="D662">
        <v>57.32</v>
      </c>
      <c r="G662" s="100">
        <v>40170</v>
      </c>
      <c r="H662" s="14">
        <f t="shared" si="30"/>
        <v>73.845646437994731</v>
      </c>
      <c r="I662" s="14">
        <f t="shared" si="31"/>
        <v>97.87325456498391</v>
      </c>
      <c r="J662" s="14">
        <f t="shared" si="32"/>
        <v>98.708455312553809</v>
      </c>
    </row>
    <row r="663" spans="1:10">
      <c r="A663" s="100">
        <v>40171</v>
      </c>
      <c r="B663">
        <v>112.48</v>
      </c>
      <c r="C663">
        <v>45.98</v>
      </c>
      <c r="D663">
        <v>57.88</v>
      </c>
      <c r="G663" s="100">
        <v>40171</v>
      </c>
      <c r="H663" s="14">
        <f t="shared" si="30"/>
        <v>74.195250659630602</v>
      </c>
      <c r="I663" s="14">
        <f t="shared" si="31"/>
        <v>98.775510204081627</v>
      </c>
      <c r="J663" s="14">
        <f t="shared" si="32"/>
        <v>99.672808679180307</v>
      </c>
    </row>
    <row r="664" spans="1:10">
      <c r="A664" s="100">
        <v>40175</v>
      </c>
      <c r="B664">
        <v>112.72</v>
      </c>
      <c r="C664">
        <v>46.22</v>
      </c>
      <c r="D664">
        <v>57.95</v>
      </c>
      <c r="G664" s="100">
        <v>40175</v>
      </c>
      <c r="H664" s="14">
        <f t="shared" si="30"/>
        <v>74.353562005277055</v>
      </c>
      <c r="I664" s="14">
        <f t="shared" si="31"/>
        <v>99.291084854994637</v>
      </c>
      <c r="J664" s="14">
        <f t="shared" si="32"/>
        <v>99.793352850008603</v>
      </c>
    </row>
    <row r="665" spans="1:10">
      <c r="A665" s="100">
        <v>40176</v>
      </c>
      <c r="B665">
        <v>112.56</v>
      </c>
      <c r="C665">
        <v>46.03</v>
      </c>
      <c r="D665">
        <v>57.84</v>
      </c>
      <c r="G665" s="100">
        <v>40176</v>
      </c>
      <c r="H665" s="14">
        <f t="shared" si="30"/>
        <v>74.248021108179415</v>
      </c>
      <c r="I665" s="14">
        <f t="shared" si="31"/>
        <v>98.882921589688507</v>
      </c>
      <c r="J665" s="14">
        <f t="shared" si="32"/>
        <v>99.603926295849845</v>
      </c>
    </row>
    <row r="666" spans="1:10">
      <c r="A666" s="100">
        <v>40177</v>
      </c>
      <c r="B666">
        <v>112.52</v>
      </c>
      <c r="C666">
        <v>46.17</v>
      </c>
      <c r="D666">
        <v>58.13</v>
      </c>
      <c r="G666" s="100">
        <v>40177</v>
      </c>
      <c r="H666" s="14">
        <f t="shared" si="30"/>
        <v>74.221635883905009</v>
      </c>
      <c r="I666" s="14">
        <f t="shared" si="31"/>
        <v>99.18367346938777</v>
      </c>
      <c r="J666" s="14">
        <f t="shared" si="32"/>
        <v>100.1033235749957</v>
      </c>
    </row>
    <row r="667" spans="1:10">
      <c r="A667" s="100">
        <v>40178</v>
      </c>
      <c r="B667">
        <v>111.44</v>
      </c>
      <c r="C667">
        <v>45.75</v>
      </c>
      <c r="D667">
        <v>57.54</v>
      </c>
      <c r="G667" s="100">
        <v>40178</v>
      </c>
      <c r="H667" s="14">
        <f t="shared" si="30"/>
        <v>73.509234828496034</v>
      </c>
      <c r="I667" s="14">
        <f t="shared" si="31"/>
        <v>98.281417830290025</v>
      </c>
      <c r="J667" s="14">
        <f t="shared" si="32"/>
        <v>99.087308420871352</v>
      </c>
    </row>
    <row r="668" spans="1:10">
      <c r="A668" s="100">
        <v>40182</v>
      </c>
      <c r="B668">
        <v>113.33</v>
      </c>
      <c r="C668">
        <v>46.42</v>
      </c>
      <c r="D668">
        <v>58.49</v>
      </c>
      <c r="G668" s="100">
        <v>40182</v>
      </c>
      <c r="H668" s="14">
        <f t="shared" si="30"/>
        <v>74.75593667546174</v>
      </c>
      <c r="I668" s="14">
        <f t="shared" si="31"/>
        <v>99.720730397422145</v>
      </c>
      <c r="J668" s="14">
        <f t="shared" si="32"/>
        <v>100.72326502496986</v>
      </c>
    </row>
    <row r="669" spans="1:10">
      <c r="A669" s="100">
        <v>40183</v>
      </c>
      <c r="B669">
        <v>113.63</v>
      </c>
      <c r="C669">
        <v>46.42</v>
      </c>
      <c r="D669">
        <v>58.4</v>
      </c>
      <c r="G669" s="100">
        <v>40183</v>
      </c>
      <c r="H669" s="14">
        <f t="shared" si="30"/>
        <v>74.953825857519789</v>
      </c>
      <c r="I669" s="14">
        <f t="shared" si="31"/>
        <v>99.720730397422145</v>
      </c>
      <c r="J669" s="14">
        <f t="shared" si="32"/>
        <v>100.56827966247633</v>
      </c>
    </row>
    <row r="670" spans="1:10">
      <c r="A670" s="100">
        <v>40184</v>
      </c>
      <c r="B670">
        <v>113.71</v>
      </c>
      <c r="C670">
        <v>46.14</v>
      </c>
      <c r="D670">
        <v>57.99</v>
      </c>
      <c r="G670" s="100">
        <v>40184</v>
      </c>
      <c r="H670" s="14">
        <f t="shared" si="30"/>
        <v>75.006596306068602</v>
      </c>
      <c r="I670" s="14">
        <f t="shared" si="31"/>
        <v>99.119226638023633</v>
      </c>
      <c r="J670" s="14">
        <f t="shared" si="32"/>
        <v>99.862235233339078</v>
      </c>
    </row>
    <row r="671" spans="1:10">
      <c r="A671" s="100">
        <v>40185</v>
      </c>
      <c r="B671">
        <v>114.19</v>
      </c>
      <c r="C671">
        <v>46.17</v>
      </c>
      <c r="D671">
        <v>57.77</v>
      </c>
      <c r="G671" s="100">
        <v>40185</v>
      </c>
      <c r="H671" s="14">
        <f t="shared" si="30"/>
        <v>75.323218997361479</v>
      </c>
      <c r="I671" s="14">
        <f t="shared" si="31"/>
        <v>99.18367346938777</v>
      </c>
      <c r="J671" s="14">
        <f t="shared" si="32"/>
        <v>99.483382125021535</v>
      </c>
    </row>
    <row r="672" spans="1:10">
      <c r="A672" s="100">
        <v>40186</v>
      </c>
      <c r="B672">
        <v>114.57</v>
      </c>
      <c r="C672">
        <v>46.55</v>
      </c>
      <c r="D672">
        <v>58.21</v>
      </c>
      <c r="G672" s="100">
        <v>40186</v>
      </c>
      <c r="H672" s="14">
        <f t="shared" si="30"/>
        <v>75.573878627968341</v>
      </c>
      <c r="I672" s="14">
        <f t="shared" si="31"/>
        <v>100</v>
      </c>
      <c r="J672" s="14">
        <f t="shared" si="32"/>
        <v>100.24108834165662</v>
      </c>
    </row>
    <row r="673" spans="1:10">
      <c r="A673" s="100">
        <v>40189</v>
      </c>
      <c r="B673">
        <v>114.73</v>
      </c>
      <c r="C673">
        <v>46.36</v>
      </c>
      <c r="D673">
        <v>57.93</v>
      </c>
      <c r="G673" s="100">
        <v>40189</v>
      </c>
      <c r="H673" s="14">
        <f t="shared" si="30"/>
        <v>75.679419525065967</v>
      </c>
      <c r="I673" s="14">
        <f t="shared" si="31"/>
        <v>99.591836734693885</v>
      </c>
      <c r="J673" s="14">
        <f t="shared" si="32"/>
        <v>99.758911658343379</v>
      </c>
    </row>
    <row r="674" spans="1:10">
      <c r="A674" s="100">
        <v>40190</v>
      </c>
      <c r="B674">
        <v>113.66</v>
      </c>
      <c r="C674">
        <v>45.78</v>
      </c>
      <c r="D674">
        <v>57.23</v>
      </c>
      <c r="G674" s="100">
        <v>40190</v>
      </c>
      <c r="H674" s="14">
        <f t="shared" si="30"/>
        <v>74.973614775725594</v>
      </c>
      <c r="I674" s="14">
        <f t="shared" si="31"/>
        <v>98.345864661654147</v>
      </c>
      <c r="J674" s="14">
        <f t="shared" si="32"/>
        <v>98.553469950060276</v>
      </c>
    </row>
    <row r="675" spans="1:10">
      <c r="A675" s="100">
        <v>40191</v>
      </c>
      <c r="B675">
        <v>114.62</v>
      </c>
      <c r="C675">
        <v>46.35</v>
      </c>
      <c r="D675">
        <v>57.76</v>
      </c>
      <c r="G675" s="100">
        <v>40191</v>
      </c>
      <c r="H675" s="14">
        <f t="shared" si="30"/>
        <v>75.606860158311349</v>
      </c>
      <c r="I675" s="14">
        <f t="shared" si="31"/>
        <v>99.570354457572506</v>
      </c>
      <c r="J675" s="14">
        <f t="shared" si="32"/>
        <v>99.466161529188895</v>
      </c>
    </row>
    <row r="676" spans="1:10">
      <c r="A676" s="100">
        <v>40192</v>
      </c>
      <c r="B676">
        <v>114.93</v>
      </c>
      <c r="C676">
        <v>46.39</v>
      </c>
      <c r="D676">
        <v>58.2</v>
      </c>
      <c r="G676" s="100">
        <v>40192</v>
      </c>
      <c r="H676" s="14">
        <f t="shared" si="30"/>
        <v>75.811345646437999</v>
      </c>
      <c r="I676" s="14">
        <f t="shared" si="31"/>
        <v>99.656283566058008</v>
      </c>
      <c r="J676" s="14">
        <f t="shared" si="32"/>
        <v>100.22386774582401</v>
      </c>
    </row>
    <row r="677" spans="1:10">
      <c r="A677" s="100">
        <v>40193</v>
      </c>
      <c r="B677">
        <v>113.64</v>
      </c>
      <c r="C677">
        <v>45.85</v>
      </c>
      <c r="D677">
        <v>57.41</v>
      </c>
      <c r="G677" s="100">
        <v>40193</v>
      </c>
      <c r="H677" s="14">
        <f t="shared" si="30"/>
        <v>74.96042216358839</v>
      </c>
      <c r="I677" s="14">
        <f t="shared" si="31"/>
        <v>98.496240601503771</v>
      </c>
      <c r="J677" s="14">
        <f t="shared" si="32"/>
        <v>98.863440675047357</v>
      </c>
    </row>
    <row r="678" spans="1:10">
      <c r="A678" s="100">
        <v>40197</v>
      </c>
      <c r="B678">
        <v>115.06</v>
      </c>
      <c r="C678">
        <v>46.59</v>
      </c>
      <c r="D678">
        <v>58.28</v>
      </c>
      <c r="G678" s="100">
        <v>40197</v>
      </c>
      <c r="H678" s="14">
        <f t="shared" si="30"/>
        <v>75.89709762532982</v>
      </c>
      <c r="I678" s="14">
        <f t="shared" si="31"/>
        <v>100.0859291084855</v>
      </c>
      <c r="J678" s="14">
        <f t="shared" si="32"/>
        <v>100.36163251248493</v>
      </c>
    </row>
    <row r="679" spans="1:10">
      <c r="A679" s="100">
        <v>40198</v>
      </c>
      <c r="B679">
        <v>113.89</v>
      </c>
      <c r="C679">
        <v>45.92</v>
      </c>
      <c r="D679">
        <v>57.43</v>
      </c>
      <c r="G679" s="100">
        <v>40198</v>
      </c>
      <c r="H679" s="14">
        <f t="shared" si="30"/>
        <v>75.125329815303431</v>
      </c>
      <c r="I679" s="14">
        <f t="shared" si="31"/>
        <v>98.646616541353396</v>
      </c>
      <c r="J679" s="14">
        <f t="shared" si="32"/>
        <v>98.897881866712595</v>
      </c>
    </row>
    <row r="680" spans="1:10">
      <c r="A680" s="100">
        <v>40199</v>
      </c>
      <c r="B680">
        <v>111.7</v>
      </c>
      <c r="C680">
        <v>45.49</v>
      </c>
      <c r="D680">
        <v>56.86</v>
      </c>
      <c r="G680" s="100">
        <v>40199</v>
      </c>
      <c r="H680" s="14">
        <f t="shared" si="30"/>
        <v>73.68073878627969</v>
      </c>
      <c r="I680" s="14">
        <f t="shared" si="31"/>
        <v>97.722878625134285</v>
      </c>
      <c r="J680" s="14">
        <f t="shared" si="32"/>
        <v>97.916307904253486</v>
      </c>
    </row>
    <row r="681" spans="1:10">
      <c r="A681" s="100">
        <v>40200</v>
      </c>
      <c r="B681">
        <v>109.21</v>
      </c>
      <c r="C681">
        <v>44.16</v>
      </c>
      <c r="D681">
        <v>54.65</v>
      </c>
      <c r="G681" s="100">
        <v>40200</v>
      </c>
      <c r="H681" s="14">
        <f t="shared" si="30"/>
        <v>72.038258575197887</v>
      </c>
      <c r="I681" s="14">
        <f t="shared" si="31"/>
        <v>94.86573576799141</v>
      </c>
      <c r="J681" s="14">
        <f t="shared" si="32"/>
        <v>94.110556225245389</v>
      </c>
    </row>
    <row r="682" spans="1:10">
      <c r="A682" s="100">
        <v>40203</v>
      </c>
      <c r="B682">
        <v>109.77</v>
      </c>
      <c r="C682">
        <v>44.31</v>
      </c>
      <c r="D682">
        <v>55.07</v>
      </c>
      <c r="G682" s="100">
        <v>40203</v>
      </c>
      <c r="H682" s="14">
        <f t="shared" si="30"/>
        <v>72.407651715039577</v>
      </c>
      <c r="I682" s="14">
        <f t="shared" si="31"/>
        <v>95.187969924812037</v>
      </c>
      <c r="J682" s="14">
        <f t="shared" si="32"/>
        <v>94.833821250215252</v>
      </c>
    </row>
    <row r="683" spans="1:10">
      <c r="A683" s="100">
        <v>40204</v>
      </c>
      <c r="B683">
        <v>109.31</v>
      </c>
      <c r="C683">
        <v>44.35</v>
      </c>
      <c r="D683">
        <v>55</v>
      </c>
      <c r="G683" s="100">
        <v>40204</v>
      </c>
      <c r="H683" s="14">
        <f t="shared" si="30"/>
        <v>72.104221635883917</v>
      </c>
      <c r="I683" s="14">
        <f t="shared" si="31"/>
        <v>95.273899033297539</v>
      </c>
      <c r="J683" s="14">
        <f t="shared" si="32"/>
        <v>94.713277079386955</v>
      </c>
    </row>
    <row r="684" spans="1:10">
      <c r="A684" s="100">
        <v>40205</v>
      </c>
      <c r="B684">
        <v>109.83</v>
      </c>
      <c r="C684">
        <v>44.7</v>
      </c>
      <c r="D684">
        <v>55.34</v>
      </c>
      <c r="G684" s="100">
        <v>40205</v>
      </c>
      <c r="H684" s="14">
        <f t="shared" si="30"/>
        <v>72.447229551451187</v>
      </c>
      <c r="I684" s="14">
        <f t="shared" si="31"/>
        <v>96.02577873254566</v>
      </c>
      <c r="J684" s="14">
        <f t="shared" si="32"/>
        <v>95.298777337695896</v>
      </c>
    </row>
    <row r="685" spans="1:10">
      <c r="A685" s="100">
        <v>40206</v>
      </c>
      <c r="B685">
        <v>108.57</v>
      </c>
      <c r="C685">
        <v>43.55</v>
      </c>
      <c r="D685">
        <v>53.8</v>
      </c>
      <c r="G685" s="100">
        <v>40206</v>
      </c>
      <c r="H685" s="14">
        <f t="shared" si="30"/>
        <v>71.616094986807383</v>
      </c>
      <c r="I685" s="14">
        <f t="shared" si="31"/>
        <v>93.555316863587549</v>
      </c>
      <c r="J685" s="14">
        <f t="shared" si="32"/>
        <v>92.646805579473039</v>
      </c>
    </row>
    <row r="686" spans="1:10">
      <c r="A686" s="100">
        <v>40207</v>
      </c>
      <c r="B686">
        <v>107.39</v>
      </c>
      <c r="C686">
        <v>42.79</v>
      </c>
      <c r="D686">
        <v>52.49</v>
      </c>
      <c r="G686" s="100">
        <v>40207</v>
      </c>
      <c r="H686" s="14">
        <f t="shared" si="30"/>
        <v>70.837730870712406</v>
      </c>
      <c r="I686" s="14">
        <f t="shared" si="31"/>
        <v>91.922663802363061</v>
      </c>
      <c r="J686" s="14">
        <f t="shared" si="32"/>
        <v>90.39090752540038</v>
      </c>
    </row>
    <row r="687" spans="1:10">
      <c r="A687" s="100">
        <v>40210</v>
      </c>
      <c r="B687">
        <v>109.06</v>
      </c>
      <c r="C687">
        <v>43.26</v>
      </c>
      <c r="D687">
        <v>53.32</v>
      </c>
      <c r="G687" s="100">
        <v>40210</v>
      </c>
      <c r="H687" s="14">
        <f t="shared" si="30"/>
        <v>71.939313984168876</v>
      </c>
      <c r="I687" s="14">
        <f t="shared" si="31"/>
        <v>92.932330827067659</v>
      </c>
      <c r="J687" s="14">
        <f t="shared" si="32"/>
        <v>91.820216979507492</v>
      </c>
    </row>
    <row r="688" spans="1:10">
      <c r="A688" s="100">
        <v>40211</v>
      </c>
      <c r="B688">
        <v>110.38</v>
      </c>
      <c r="C688">
        <v>43.65</v>
      </c>
      <c r="D688">
        <v>53.79</v>
      </c>
      <c r="G688" s="100">
        <v>40211</v>
      </c>
      <c r="H688" s="14">
        <f t="shared" si="30"/>
        <v>72.810026385224262</v>
      </c>
      <c r="I688" s="14">
        <f t="shared" si="31"/>
        <v>93.770139634801282</v>
      </c>
      <c r="J688" s="14">
        <f t="shared" si="32"/>
        <v>92.629584983640427</v>
      </c>
    </row>
    <row r="689" spans="1:10">
      <c r="A689" s="100">
        <v>40212</v>
      </c>
      <c r="B689">
        <v>109.83</v>
      </c>
      <c r="C689">
        <v>43.89</v>
      </c>
      <c r="D689">
        <v>53.99</v>
      </c>
      <c r="G689" s="100">
        <v>40212</v>
      </c>
      <c r="H689" s="14">
        <f t="shared" si="30"/>
        <v>72.447229551451187</v>
      </c>
      <c r="I689" s="14">
        <f t="shared" si="31"/>
        <v>94.285714285714292</v>
      </c>
      <c r="J689" s="14">
        <f t="shared" si="32"/>
        <v>92.973996900292761</v>
      </c>
    </row>
    <row r="690" spans="1:10">
      <c r="A690" s="100">
        <v>40213</v>
      </c>
      <c r="B690">
        <v>106.44</v>
      </c>
      <c r="C690">
        <v>42.62</v>
      </c>
      <c r="D690">
        <v>52.46</v>
      </c>
      <c r="G690" s="100">
        <v>40213</v>
      </c>
      <c r="H690" s="14">
        <f t="shared" si="30"/>
        <v>70.211081794195252</v>
      </c>
      <c r="I690" s="14">
        <f t="shared" si="31"/>
        <v>91.557465091299676</v>
      </c>
      <c r="J690" s="14">
        <f t="shared" si="32"/>
        <v>90.33924573790253</v>
      </c>
    </row>
    <row r="691" spans="1:10">
      <c r="A691" s="100">
        <v>40214</v>
      </c>
      <c r="B691">
        <v>106.66</v>
      </c>
      <c r="C691">
        <v>42.98</v>
      </c>
      <c r="D691">
        <v>53.04</v>
      </c>
      <c r="G691" s="100">
        <v>40214</v>
      </c>
      <c r="H691" s="14">
        <f t="shared" si="30"/>
        <v>70.356200527704488</v>
      </c>
      <c r="I691" s="14">
        <f t="shared" si="31"/>
        <v>92.330827067669176</v>
      </c>
      <c r="J691" s="14">
        <f t="shared" si="32"/>
        <v>91.338040296194251</v>
      </c>
    </row>
    <row r="692" spans="1:10">
      <c r="A692" s="100">
        <v>40217</v>
      </c>
      <c r="B692">
        <v>105.89</v>
      </c>
      <c r="C692">
        <v>42.67</v>
      </c>
      <c r="D692">
        <v>52.76</v>
      </c>
      <c r="G692" s="100">
        <v>40217</v>
      </c>
      <c r="H692" s="14">
        <f t="shared" si="30"/>
        <v>69.848284960422163</v>
      </c>
      <c r="I692" s="14">
        <f t="shared" si="31"/>
        <v>91.664876476906571</v>
      </c>
      <c r="J692" s="14">
        <f t="shared" si="32"/>
        <v>90.855863612881009</v>
      </c>
    </row>
    <row r="693" spans="1:10">
      <c r="A693" s="100">
        <v>40218</v>
      </c>
      <c r="B693">
        <v>107.22</v>
      </c>
      <c r="C693">
        <v>43.11</v>
      </c>
      <c r="D693">
        <v>53.41</v>
      </c>
      <c r="G693" s="100">
        <v>40218</v>
      </c>
      <c r="H693" s="14">
        <f t="shared" si="30"/>
        <v>70.725593667546178</v>
      </c>
      <c r="I693" s="14">
        <f t="shared" si="31"/>
        <v>92.61009667024706</v>
      </c>
      <c r="J693" s="14">
        <f t="shared" si="32"/>
        <v>91.975202342001026</v>
      </c>
    </row>
    <row r="694" spans="1:10">
      <c r="A694" s="100">
        <v>40219</v>
      </c>
      <c r="B694">
        <v>107.01</v>
      </c>
      <c r="C694">
        <v>43.02</v>
      </c>
      <c r="D694">
        <v>53.21</v>
      </c>
      <c r="G694" s="100">
        <v>40219</v>
      </c>
      <c r="H694" s="14">
        <f t="shared" si="30"/>
        <v>70.587071240105544</v>
      </c>
      <c r="I694" s="14">
        <f t="shared" si="31"/>
        <v>92.416756176154678</v>
      </c>
      <c r="J694" s="14">
        <f t="shared" si="32"/>
        <v>91.630790425348721</v>
      </c>
    </row>
    <row r="695" spans="1:10">
      <c r="A695" s="100">
        <v>40220</v>
      </c>
      <c r="B695">
        <v>108.13</v>
      </c>
      <c r="C695">
        <v>43.67</v>
      </c>
      <c r="D695">
        <v>53.93</v>
      </c>
      <c r="G695" s="100">
        <v>40220</v>
      </c>
      <c r="H695" s="14">
        <f t="shared" si="30"/>
        <v>71.325857519788912</v>
      </c>
      <c r="I695" s="14">
        <f t="shared" si="31"/>
        <v>93.813104189044054</v>
      </c>
      <c r="J695" s="14">
        <f t="shared" si="32"/>
        <v>92.870673325297062</v>
      </c>
    </row>
    <row r="696" spans="1:10">
      <c r="A696" s="100">
        <v>40221</v>
      </c>
      <c r="B696">
        <v>108.04</v>
      </c>
      <c r="C696">
        <v>43.76</v>
      </c>
      <c r="D696">
        <v>54.03</v>
      </c>
      <c r="G696" s="100">
        <v>40221</v>
      </c>
      <c r="H696" s="14">
        <f t="shared" si="30"/>
        <v>71.266490765171511</v>
      </c>
      <c r="I696" s="14">
        <f t="shared" si="31"/>
        <v>94.006444683136408</v>
      </c>
      <c r="J696" s="14">
        <f t="shared" si="32"/>
        <v>93.042879283623208</v>
      </c>
    </row>
    <row r="697" spans="1:10">
      <c r="A697" s="100">
        <v>40225</v>
      </c>
      <c r="B697">
        <v>109.74</v>
      </c>
      <c r="C697">
        <v>44.32</v>
      </c>
      <c r="D697">
        <v>54.82</v>
      </c>
      <c r="G697" s="100">
        <v>40225</v>
      </c>
      <c r="H697" s="14">
        <f t="shared" si="30"/>
        <v>72.387862796833772</v>
      </c>
      <c r="I697" s="14">
        <f t="shared" si="31"/>
        <v>95.209452201933402</v>
      </c>
      <c r="J697" s="14">
        <f t="shared" si="32"/>
        <v>94.403306354399859</v>
      </c>
    </row>
    <row r="698" spans="1:10">
      <c r="A698" s="100">
        <v>40226</v>
      </c>
      <c r="B698">
        <v>110.26</v>
      </c>
      <c r="C698">
        <v>44.57</v>
      </c>
      <c r="D698">
        <v>55.08</v>
      </c>
      <c r="G698" s="100">
        <v>40226</v>
      </c>
      <c r="H698" s="14">
        <f t="shared" si="30"/>
        <v>72.730870712401057</v>
      </c>
      <c r="I698" s="14">
        <f t="shared" si="31"/>
        <v>95.746509129967777</v>
      </c>
      <c r="J698" s="14">
        <f t="shared" si="32"/>
        <v>94.851041846047863</v>
      </c>
    </row>
    <row r="699" spans="1:10">
      <c r="A699" s="100">
        <v>40227</v>
      </c>
      <c r="B699">
        <v>110.91</v>
      </c>
      <c r="C699">
        <v>44.85</v>
      </c>
      <c r="D699">
        <v>55.57</v>
      </c>
      <c r="G699" s="100">
        <v>40227</v>
      </c>
      <c r="H699" s="14">
        <f t="shared" si="30"/>
        <v>73.159630606860162</v>
      </c>
      <c r="I699" s="14">
        <f t="shared" si="31"/>
        <v>96.348012889366288</v>
      </c>
      <c r="J699" s="14">
        <f t="shared" si="32"/>
        <v>95.69485104184605</v>
      </c>
    </row>
    <row r="700" spans="1:10">
      <c r="A700" s="100">
        <v>40228</v>
      </c>
      <c r="B700">
        <v>111.14</v>
      </c>
      <c r="C700">
        <v>44.83</v>
      </c>
      <c r="D700">
        <v>55.53</v>
      </c>
      <c r="G700" s="100">
        <v>40228</v>
      </c>
      <c r="H700" s="14">
        <f t="shared" si="30"/>
        <v>73.311345646437999</v>
      </c>
      <c r="I700" s="14">
        <f t="shared" si="31"/>
        <v>96.305048335123516</v>
      </c>
      <c r="J700" s="14">
        <f t="shared" si="32"/>
        <v>95.625968658515575</v>
      </c>
    </row>
    <row r="701" spans="1:10">
      <c r="A701" s="100">
        <v>40231</v>
      </c>
      <c r="B701">
        <v>111.16</v>
      </c>
      <c r="C701">
        <v>44.74</v>
      </c>
      <c r="D701">
        <v>55.38</v>
      </c>
      <c r="G701" s="100">
        <v>40231</v>
      </c>
      <c r="H701" s="14">
        <f t="shared" si="30"/>
        <v>73.324538258575203</v>
      </c>
      <c r="I701" s="14">
        <f t="shared" si="31"/>
        <v>96.111707841031162</v>
      </c>
      <c r="J701" s="14">
        <f t="shared" si="32"/>
        <v>95.367659721026357</v>
      </c>
    </row>
    <row r="702" spans="1:10">
      <c r="A702" s="100">
        <v>40232</v>
      </c>
      <c r="B702">
        <v>109.81</v>
      </c>
      <c r="C702">
        <v>44.16</v>
      </c>
      <c r="D702">
        <v>54.59</v>
      </c>
      <c r="G702" s="100">
        <v>40232</v>
      </c>
      <c r="H702" s="14">
        <f t="shared" si="30"/>
        <v>72.434036939313984</v>
      </c>
      <c r="I702" s="14">
        <f t="shared" si="31"/>
        <v>94.86573576799141</v>
      </c>
      <c r="J702" s="14">
        <f t="shared" si="32"/>
        <v>94.007232650249705</v>
      </c>
    </row>
    <row r="703" spans="1:10">
      <c r="A703" s="100">
        <v>40233</v>
      </c>
      <c r="B703">
        <v>110.82</v>
      </c>
      <c r="C703">
        <v>44.61</v>
      </c>
      <c r="D703">
        <v>55.11</v>
      </c>
      <c r="G703" s="100">
        <v>40233</v>
      </c>
      <c r="H703" s="14">
        <f t="shared" si="30"/>
        <v>73.100263852242747</v>
      </c>
      <c r="I703" s="14">
        <f t="shared" si="31"/>
        <v>95.832438238453278</v>
      </c>
      <c r="J703" s="14">
        <f t="shared" si="32"/>
        <v>94.902703633545713</v>
      </c>
    </row>
    <row r="704" spans="1:10">
      <c r="A704" s="100">
        <v>40234</v>
      </c>
      <c r="B704">
        <v>110.67</v>
      </c>
      <c r="C704">
        <v>44.6</v>
      </c>
      <c r="D704">
        <v>55.02</v>
      </c>
      <c r="G704" s="100">
        <v>40234</v>
      </c>
      <c r="H704" s="14">
        <f t="shared" si="30"/>
        <v>73.001319261213723</v>
      </c>
      <c r="I704" s="14">
        <f t="shared" si="31"/>
        <v>95.810955961331913</v>
      </c>
      <c r="J704" s="14">
        <f t="shared" si="32"/>
        <v>94.747718271052179</v>
      </c>
    </row>
    <row r="705" spans="1:10">
      <c r="A705" s="100">
        <v>40235</v>
      </c>
      <c r="B705">
        <v>110.74</v>
      </c>
      <c r="C705">
        <v>44.76</v>
      </c>
      <c r="D705">
        <v>55.07</v>
      </c>
      <c r="G705" s="100">
        <v>40235</v>
      </c>
      <c r="H705" s="14">
        <f t="shared" si="30"/>
        <v>73.047493403693935</v>
      </c>
      <c r="I705" s="14">
        <f t="shared" si="31"/>
        <v>96.154672395273906</v>
      </c>
      <c r="J705" s="14">
        <f t="shared" si="32"/>
        <v>94.833821250215252</v>
      </c>
    </row>
    <row r="706" spans="1:10">
      <c r="A706" s="100">
        <v>40238</v>
      </c>
      <c r="B706">
        <v>111.89</v>
      </c>
      <c r="C706">
        <v>45.41</v>
      </c>
      <c r="D706">
        <v>55.79</v>
      </c>
      <c r="G706" s="100">
        <v>40238</v>
      </c>
      <c r="H706" s="14">
        <f t="shared" si="30"/>
        <v>73.806068601583121</v>
      </c>
      <c r="I706" s="14">
        <f t="shared" si="31"/>
        <v>97.551020408163268</v>
      </c>
      <c r="J706" s="14">
        <f t="shared" si="32"/>
        <v>96.073704150163593</v>
      </c>
    </row>
    <row r="707" spans="1:10">
      <c r="A707" s="100">
        <v>40239</v>
      </c>
      <c r="B707">
        <v>112.2</v>
      </c>
      <c r="C707">
        <v>45.55</v>
      </c>
      <c r="D707">
        <v>55.74</v>
      </c>
      <c r="G707" s="100">
        <v>40239</v>
      </c>
      <c r="H707" s="14">
        <f t="shared" si="30"/>
        <v>74.010554089709771</v>
      </c>
      <c r="I707" s="14">
        <f t="shared" si="31"/>
        <v>97.851772287862516</v>
      </c>
      <c r="J707" s="14">
        <f t="shared" si="32"/>
        <v>95.98760117100052</v>
      </c>
    </row>
    <row r="708" spans="1:10">
      <c r="A708" s="100">
        <v>40240</v>
      </c>
      <c r="B708">
        <v>112.3</v>
      </c>
      <c r="C708">
        <v>45.6</v>
      </c>
      <c r="D708">
        <v>55.82</v>
      </c>
      <c r="G708" s="100">
        <v>40240</v>
      </c>
      <c r="H708" s="14">
        <f t="shared" si="30"/>
        <v>74.076517150395787</v>
      </c>
      <c r="I708" s="14">
        <f t="shared" si="31"/>
        <v>97.959183673469397</v>
      </c>
      <c r="J708" s="14">
        <f t="shared" si="32"/>
        <v>96.125365937661442</v>
      </c>
    </row>
    <row r="709" spans="1:10">
      <c r="A709" s="100">
        <v>40241</v>
      </c>
      <c r="B709">
        <v>112.64</v>
      </c>
      <c r="C709">
        <v>45.75</v>
      </c>
      <c r="D709">
        <v>56.05</v>
      </c>
      <c r="G709" s="100">
        <v>40241</v>
      </c>
      <c r="H709" s="14">
        <f t="shared" ref="H709:H772" si="33">B709/$B$4*100</f>
        <v>74.300791556728242</v>
      </c>
      <c r="I709" s="14">
        <f t="shared" ref="I709:I772" si="34">C709/$C$4*100</f>
        <v>98.281417830290025</v>
      </c>
      <c r="J709" s="14">
        <f t="shared" ref="J709:J772" si="35">D709/$D$4*100</f>
        <v>96.521439641811597</v>
      </c>
    </row>
    <row r="710" spans="1:10">
      <c r="A710" s="100">
        <v>40242</v>
      </c>
      <c r="B710">
        <v>114.25</v>
      </c>
      <c r="C710">
        <v>46.44</v>
      </c>
      <c r="D710">
        <v>56.73</v>
      </c>
      <c r="G710" s="100">
        <v>40242</v>
      </c>
      <c r="H710" s="14">
        <f t="shared" si="33"/>
        <v>75.362796833773089</v>
      </c>
      <c r="I710" s="14">
        <f t="shared" si="34"/>
        <v>99.763694951664888</v>
      </c>
      <c r="J710" s="14">
        <f t="shared" si="35"/>
        <v>97.692440158429477</v>
      </c>
    </row>
    <row r="711" spans="1:10">
      <c r="A711" s="100">
        <v>40245</v>
      </c>
      <c r="B711">
        <v>114.27</v>
      </c>
      <c r="C711">
        <v>46.53</v>
      </c>
      <c r="D711">
        <v>56.88</v>
      </c>
      <c r="G711" s="100">
        <v>40245</v>
      </c>
      <c r="H711" s="14">
        <f t="shared" si="33"/>
        <v>75.375989445910278</v>
      </c>
      <c r="I711" s="14">
        <f t="shared" si="34"/>
        <v>99.957035445757256</v>
      </c>
      <c r="J711" s="14">
        <f t="shared" si="35"/>
        <v>97.950749095918724</v>
      </c>
    </row>
    <row r="712" spans="1:10">
      <c r="A712" s="100">
        <v>40246</v>
      </c>
      <c r="B712">
        <v>114.46</v>
      </c>
      <c r="C712">
        <v>46.79</v>
      </c>
      <c r="D712">
        <v>57.14</v>
      </c>
      <c r="G712" s="100">
        <v>40246</v>
      </c>
      <c r="H712" s="14">
        <f t="shared" si="33"/>
        <v>75.501319261213723</v>
      </c>
      <c r="I712" s="14">
        <f t="shared" si="34"/>
        <v>100.51557465091301</v>
      </c>
      <c r="J712" s="14">
        <f t="shared" si="35"/>
        <v>98.398484587566728</v>
      </c>
    </row>
    <row r="713" spans="1:10">
      <c r="A713" s="100">
        <v>40247</v>
      </c>
      <c r="B713">
        <v>114.97</v>
      </c>
      <c r="C713">
        <v>47.17</v>
      </c>
      <c r="D713">
        <v>57.5</v>
      </c>
      <c r="G713" s="100">
        <v>40247</v>
      </c>
      <c r="H713" s="14">
        <f t="shared" si="33"/>
        <v>75.837730870712406</v>
      </c>
      <c r="I713" s="14">
        <f t="shared" si="34"/>
        <v>101.33190118152524</v>
      </c>
      <c r="J713" s="14">
        <f t="shared" si="35"/>
        <v>99.018426037540891</v>
      </c>
    </row>
    <row r="714" spans="1:10">
      <c r="A714" s="100">
        <v>40248</v>
      </c>
      <c r="B714">
        <v>115.45</v>
      </c>
      <c r="C714">
        <v>47.35</v>
      </c>
      <c r="D714">
        <v>57.71</v>
      </c>
      <c r="G714" s="100">
        <v>40248</v>
      </c>
      <c r="H714" s="14">
        <f t="shared" si="33"/>
        <v>76.154353562005284</v>
      </c>
      <c r="I714" s="14">
        <f t="shared" si="34"/>
        <v>101.71858216970999</v>
      </c>
      <c r="J714" s="14">
        <f t="shared" si="35"/>
        <v>99.380058550025836</v>
      </c>
    </row>
    <row r="715" spans="1:10">
      <c r="A715" s="100">
        <v>40249</v>
      </c>
      <c r="B715">
        <v>115.46</v>
      </c>
      <c r="C715">
        <v>47.36</v>
      </c>
      <c r="D715">
        <v>57.74</v>
      </c>
      <c r="G715" s="100">
        <v>40249</v>
      </c>
      <c r="H715" s="14">
        <f t="shared" si="33"/>
        <v>76.160949868073885</v>
      </c>
      <c r="I715" s="14">
        <f t="shared" si="34"/>
        <v>101.74006444683137</v>
      </c>
      <c r="J715" s="14">
        <f t="shared" si="35"/>
        <v>99.431720337523672</v>
      </c>
    </row>
    <row r="716" spans="1:10">
      <c r="A716" s="100">
        <v>40252</v>
      </c>
      <c r="B716">
        <v>115.49</v>
      </c>
      <c r="C716">
        <v>47.24</v>
      </c>
      <c r="D716">
        <v>57.54</v>
      </c>
      <c r="G716" s="100">
        <v>40252</v>
      </c>
      <c r="H716" s="14">
        <f t="shared" si="33"/>
        <v>76.180738786279676</v>
      </c>
      <c r="I716" s="14">
        <f t="shared" si="34"/>
        <v>101.48227712137488</v>
      </c>
      <c r="J716" s="14">
        <f t="shared" si="35"/>
        <v>99.087308420871352</v>
      </c>
    </row>
    <row r="717" spans="1:10">
      <c r="A717" s="100">
        <v>40253</v>
      </c>
      <c r="B717">
        <v>116.41</v>
      </c>
      <c r="C717">
        <v>47.54</v>
      </c>
      <c r="D717">
        <v>58.02</v>
      </c>
      <c r="G717" s="100">
        <v>40253</v>
      </c>
      <c r="H717" s="14">
        <f t="shared" si="33"/>
        <v>76.787598944591025</v>
      </c>
      <c r="I717" s="14">
        <f t="shared" si="34"/>
        <v>102.12674543501612</v>
      </c>
      <c r="J717" s="14">
        <f t="shared" si="35"/>
        <v>99.913897020836927</v>
      </c>
    </row>
    <row r="718" spans="1:10">
      <c r="A718" s="100">
        <v>40254</v>
      </c>
      <c r="B718">
        <v>117.1</v>
      </c>
      <c r="C718">
        <v>47.67</v>
      </c>
      <c r="D718">
        <v>58.27</v>
      </c>
      <c r="G718" s="100">
        <v>40254</v>
      </c>
      <c r="H718" s="14">
        <f t="shared" si="33"/>
        <v>77.242744063324537</v>
      </c>
      <c r="I718" s="14">
        <f t="shared" si="34"/>
        <v>102.40601503759399</v>
      </c>
      <c r="J718" s="14">
        <f t="shared" si="35"/>
        <v>100.34441191665233</v>
      </c>
    </row>
    <row r="719" spans="1:10">
      <c r="A719" s="100">
        <v>40255</v>
      </c>
      <c r="B719">
        <v>117.04</v>
      </c>
      <c r="C719">
        <v>47.83</v>
      </c>
      <c r="D719">
        <v>58.32</v>
      </c>
      <c r="G719" s="100">
        <v>40255</v>
      </c>
      <c r="H719" s="14">
        <f t="shared" si="33"/>
        <v>77.203166226912927</v>
      </c>
      <c r="I719" s="14">
        <f t="shared" si="34"/>
        <v>102.74973147153599</v>
      </c>
      <c r="J719" s="14">
        <f t="shared" si="35"/>
        <v>100.43051489581541</v>
      </c>
    </row>
    <row r="720" spans="1:10">
      <c r="A720" s="100">
        <v>40256</v>
      </c>
      <c r="B720">
        <v>115.97</v>
      </c>
      <c r="C720">
        <v>47.49</v>
      </c>
      <c r="D720">
        <v>57.82</v>
      </c>
      <c r="G720" s="100">
        <v>40256</v>
      </c>
      <c r="H720" s="14">
        <f t="shared" si="33"/>
        <v>76.497361477572554</v>
      </c>
      <c r="I720" s="14">
        <f t="shared" si="34"/>
        <v>102.01933404940924</v>
      </c>
      <c r="J720" s="14">
        <f t="shared" si="35"/>
        <v>99.569485104184608</v>
      </c>
    </row>
    <row r="721" spans="1:10">
      <c r="A721" s="100">
        <v>40259</v>
      </c>
      <c r="B721">
        <v>116.59</v>
      </c>
      <c r="C721">
        <v>47.92</v>
      </c>
      <c r="D721">
        <v>58.33</v>
      </c>
      <c r="G721" s="100">
        <v>40259</v>
      </c>
      <c r="H721" s="14">
        <f t="shared" si="33"/>
        <v>76.906332453825868</v>
      </c>
      <c r="I721" s="14">
        <f t="shared" si="34"/>
        <v>102.94307196562838</v>
      </c>
      <c r="J721" s="14">
        <f t="shared" si="35"/>
        <v>100.447735491648</v>
      </c>
    </row>
    <row r="722" spans="1:10">
      <c r="A722" s="100">
        <v>40260</v>
      </c>
      <c r="B722">
        <v>117.41</v>
      </c>
      <c r="C722">
        <v>48.25</v>
      </c>
      <c r="D722">
        <v>58.94</v>
      </c>
      <c r="G722" s="100">
        <v>40260</v>
      </c>
      <c r="H722" s="14">
        <f t="shared" si="33"/>
        <v>77.447229551451187</v>
      </c>
      <c r="I722" s="14">
        <f t="shared" si="34"/>
        <v>103.65198711063373</v>
      </c>
      <c r="J722" s="14">
        <f t="shared" si="35"/>
        <v>101.49819183743757</v>
      </c>
    </row>
    <row r="723" spans="1:10">
      <c r="A723" s="100">
        <v>40261</v>
      </c>
      <c r="B723">
        <v>116.84</v>
      </c>
      <c r="C723">
        <v>48.02</v>
      </c>
      <c r="D723">
        <v>58.58</v>
      </c>
      <c r="G723" s="100">
        <v>40261</v>
      </c>
      <c r="H723" s="14">
        <f t="shared" si="33"/>
        <v>77.071240105540909</v>
      </c>
      <c r="I723" s="14">
        <f t="shared" si="34"/>
        <v>103.15789473684211</v>
      </c>
      <c r="J723" s="14">
        <f t="shared" si="35"/>
        <v>100.87825038746341</v>
      </c>
    </row>
    <row r="724" spans="1:10">
      <c r="A724" s="100">
        <v>40262</v>
      </c>
      <c r="B724">
        <v>116.65</v>
      </c>
      <c r="C724">
        <v>47.95</v>
      </c>
      <c r="D724">
        <v>58.57</v>
      </c>
      <c r="G724" s="100">
        <v>40262</v>
      </c>
      <c r="H724" s="14">
        <f t="shared" si="33"/>
        <v>76.945910290237478</v>
      </c>
      <c r="I724" s="14">
        <f t="shared" si="34"/>
        <v>103.0075187969925</v>
      </c>
      <c r="J724" s="14">
        <f t="shared" si="35"/>
        <v>100.86102979163078</v>
      </c>
    </row>
    <row r="725" spans="1:10">
      <c r="A725" s="100">
        <v>40263</v>
      </c>
      <c r="B725">
        <v>116.58</v>
      </c>
      <c r="C725">
        <v>48</v>
      </c>
      <c r="D725">
        <v>58.46</v>
      </c>
      <c r="G725" s="100">
        <v>40263</v>
      </c>
      <c r="H725" s="14">
        <f t="shared" si="33"/>
        <v>76.899736147757253</v>
      </c>
      <c r="I725" s="14">
        <f t="shared" si="34"/>
        <v>103.11493018259937</v>
      </c>
      <c r="J725" s="14">
        <f t="shared" si="35"/>
        <v>100.67160323747201</v>
      </c>
    </row>
    <row r="726" spans="1:10">
      <c r="A726" s="100">
        <v>40266</v>
      </c>
      <c r="B726">
        <v>117.32</v>
      </c>
      <c r="C726">
        <v>48.23</v>
      </c>
      <c r="D726">
        <v>58.5</v>
      </c>
      <c r="G726" s="100">
        <v>40266</v>
      </c>
      <c r="H726" s="14">
        <f t="shared" si="33"/>
        <v>77.387862796833772</v>
      </c>
      <c r="I726" s="14">
        <f t="shared" si="34"/>
        <v>103.60902255639097</v>
      </c>
      <c r="J726" s="14">
        <f t="shared" si="35"/>
        <v>100.74048562080249</v>
      </c>
    </row>
    <row r="727" spans="1:10">
      <c r="A727" s="100">
        <v>40267</v>
      </c>
      <c r="B727">
        <v>117.4</v>
      </c>
      <c r="C727">
        <v>48.39</v>
      </c>
      <c r="D727">
        <v>58.77</v>
      </c>
      <c r="G727" s="100">
        <v>40267</v>
      </c>
      <c r="H727" s="14">
        <f t="shared" si="33"/>
        <v>77.4406332453826</v>
      </c>
      <c r="I727" s="14">
        <f t="shared" si="34"/>
        <v>103.95273899033299</v>
      </c>
      <c r="J727" s="14">
        <f t="shared" si="35"/>
        <v>101.20544170828312</v>
      </c>
    </row>
    <row r="728" spans="1:10">
      <c r="A728" s="100">
        <v>40268</v>
      </c>
      <c r="B728">
        <v>117</v>
      </c>
      <c r="C728">
        <v>48.16</v>
      </c>
      <c r="D728">
        <v>58.39</v>
      </c>
      <c r="G728" s="100">
        <v>40268</v>
      </c>
      <c r="H728" s="14">
        <f t="shared" si="33"/>
        <v>77.176781002638535</v>
      </c>
      <c r="I728" s="14">
        <f t="shared" si="34"/>
        <v>103.45864661654136</v>
      </c>
      <c r="J728" s="14">
        <f t="shared" si="35"/>
        <v>100.5510590666437</v>
      </c>
    </row>
    <row r="729" spans="1:10">
      <c r="A729" s="100">
        <v>40269</v>
      </c>
      <c r="B729">
        <v>117.8</v>
      </c>
      <c r="C729">
        <v>48.16</v>
      </c>
      <c r="D729">
        <v>58.44</v>
      </c>
      <c r="G729" s="100">
        <v>40269</v>
      </c>
      <c r="H729" s="14">
        <f t="shared" si="33"/>
        <v>77.70448548812665</v>
      </c>
      <c r="I729" s="14">
        <f t="shared" si="34"/>
        <v>103.45864661654136</v>
      </c>
      <c r="J729" s="14">
        <f t="shared" si="35"/>
        <v>100.63716204580678</v>
      </c>
    </row>
    <row r="730" spans="1:10">
      <c r="A730" s="100">
        <v>40273</v>
      </c>
      <c r="B730">
        <v>118.76</v>
      </c>
      <c r="C730">
        <v>48.61</v>
      </c>
      <c r="D730">
        <v>59.15</v>
      </c>
      <c r="G730" s="100">
        <v>40273</v>
      </c>
      <c r="H730" s="14">
        <f t="shared" si="33"/>
        <v>78.337730870712406</v>
      </c>
      <c r="I730" s="14">
        <f t="shared" si="34"/>
        <v>104.42534908700323</v>
      </c>
      <c r="J730" s="14">
        <f t="shared" si="35"/>
        <v>101.85982434992252</v>
      </c>
    </row>
    <row r="731" spans="1:10">
      <c r="A731" s="100">
        <v>40274</v>
      </c>
      <c r="B731">
        <v>119.04</v>
      </c>
      <c r="C731">
        <v>48.75</v>
      </c>
      <c r="D731">
        <v>59.25</v>
      </c>
      <c r="G731" s="100">
        <v>40274</v>
      </c>
      <c r="H731" s="14">
        <f t="shared" si="33"/>
        <v>78.522427440633251</v>
      </c>
      <c r="I731" s="14">
        <f t="shared" si="34"/>
        <v>104.72610096670248</v>
      </c>
      <c r="J731" s="14">
        <f t="shared" si="35"/>
        <v>102.03203030824865</v>
      </c>
    </row>
    <row r="732" spans="1:10">
      <c r="A732" s="100">
        <v>40275</v>
      </c>
      <c r="B732">
        <v>118.36</v>
      </c>
      <c r="C732">
        <v>48.63</v>
      </c>
      <c r="D732">
        <v>59.1</v>
      </c>
      <c r="G732" s="100">
        <v>40275</v>
      </c>
      <c r="H732" s="14">
        <f t="shared" si="33"/>
        <v>78.073878627968341</v>
      </c>
      <c r="I732" s="14">
        <f t="shared" si="34"/>
        <v>104.46831364124598</v>
      </c>
      <c r="J732" s="14">
        <f t="shared" si="35"/>
        <v>101.77372137075945</v>
      </c>
    </row>
    <row r="733" spans="1:10">
      <c r="A733" s="100">
        <v>40276</v>
      </c>
      <c r="B733">
        <v>118.77</v>
      </c>
      <c r="C733">
        <v>48.74</v>
      </c>
      <c r="D733">
        <v>59.13</v>
      </c>
      <c r="G733" s="100">
        <v>40276</v>
      </c>
      <c r="H733" s="14">
        <f t="shared" si="33"/>
        <v>78.344327176781007</v>
      </c>
      <c r="I733" s="14">
        <f t="shared" si="34"/>
        <v>104.7046186895811</v>
      </c>
      <c r="J733" s="14">
        <f t="shared" si="35"/>
        <v>101.82538315825728</v>
      </c>
    </row>
    <row r="734" spans="1:10">
      <c r="A734" s="100">
        <v>40277</v>
      </c>
      <c r="B734">
        <v>119.55</v>
      </c>
      <c r="C734">
        <v>49.03</v>
      </c>
      <c r="D734">
        <v>59.59</v>
      </c>
      <c r="G734" s="100">
        <v>40277</v>
      </c>
      <c r="H734" s="14">
        <f t="shared" si="33"/>
        <v>78.85883905013192</v>
      </c>
      <c r="I734" s="14">
        <f t="shared" si="34"/>
        <v>105.32760472610096</v>
      </c>
      <c r="J734" s="14">
        <f t="shared" si="35"/>
        <v>102.6175305665576</v>
      </c>
    </row>
    <row r="735" spans="1:10">
      <c r="A735" s="100">
        <v>40280</v>
      </c>
      <c r="B735">
        <v>119.74</v>
      </c>
      <c r="C735">
        <v>49.07</v>
      </c>
      <c r="D735">
        <v>59.84</v>
      </c>
      <c r="G735" s="100">
        <v>40280</v>
      </c>
      <c r="H735" s="14">
        <f t="shared" si="33"/>
        <v>78.98416886543535</v>
      </c>
      <c r="I735" s="14">
        <f t="shared" si="34"/>
        <v>105.41353383458647</v>
      </c>
      <c r="J735" s="14">
        <f t="shared" si="35"/>
        <v>103.04804546237301</v>
      </c>
    </row>
    <row r="736" spans="1:10">
      <c r="A736" s="100">
        <v>40281</v>
      </c>
      <c r="B736">
        <v>119.83</v>
      </c>
      <c r="C736">
        <v>49.32</v>
      </c>
      <c r="D736">
        <v>60.01</v>
      </c>
      <c r="G736" s="100">
        <v>40281</v>
      </c>
      <c r="H736" s="14">
        <f t="shared" si="33"/>
        <v>79.043535620052779</v>
      </c>
      <c r="I736" s="14">
        <f t="shared" si="34"/>
        <v>105.95059076262086</v>
      </c>
      <c r="J736" s="14">
        <f t="shared" si="35"/>
        <v>103.34079559152747</v>
      </c>
    </row>
    <row r="737" spans="1:10">
      <c r="A737" s="100">
        <v>40282</v>
      </c>
      <c r="B737">
        <v>121.19</v>
      </c>
      <c r="C737">
        <v>49.91</v>
      </c>
      <c r="D737">
        <v>61.08</v>
      </c>
      <c r="G737" s="100">
        <v>40282</v>
      </c>
      <c r="H737" s="14">
        <f t="shared" si="33"/>
        <v>79.940633245382585</v>
      </c>
      <c r="I737" s="14">
        <f t="shared" si="34"/>
        <v>107.21804511278195</v>
      </c>
      <c r="J737" s="14">
        <f t="shared" si="35"/>
        <v>105.18339934561736</v>
      </c>
    </row>
    <row r="738" spans="1:10">
      <c r="A738" s="100">
        <v>40283</v>
      </c>
      <c r="B738">
        <v>121.29</v>
      </c>
      <c r="C738">
        <v>50.13</v>
      </c>
      <c r="D738">
        <v>61.38</v>
      </c>
      <c r="G738" s="100">
        <v>40283</v>
      </c>
      <c r="H738" s="14">
        <f t="shared" si="33"/>
        <v>80.006596306068616</v>
      </c>
      <c r="I738" s="14">
        <f t="shared" si="34"/>
        <v>107.69065520945222</v>
      </c>
      <c r="J738" s="14">
        <f t="shared" si="35"/>
        <v>105.70001722059584</v>
      </c>
    </row>
    <row r="739" spans="1:10">
      <c r="A739" s="100">
        <v>40284</v>
      </c>
      <c r="B739">
        <v>119.36</v>
      </c>
      <c r="C739">
        <v>49.53</v>
      </c>
      <c r="D739">
        <v>60.57</v>
      </c>
      <c r="G739" s="100">
        <v>40284</v>
      </c>
      <c r="H739" s="14">
        <f t="shared" si="33"/>
        <v>78.733509234828503</v>
      </c>
      <c r="I739" s="14">
        <f t="shared" si="34"/>
        <v>106.40171858216971</v>
      </c>
      <c r="J739" s="14">
        <f t="shared" si="35"/>
        <v>104.30514895815395</v>
      </c>
    </row>
    <row r="740" spans="1:10">
      <c r="A740" s="100">
        <v>40287</v>
      </c>
      <c r="B740">
        <v>119.81</v>
      </c>
      <c r="C740">
        <v>49.5</v>
      </c>
      <c r="D740">
        <v>60.6</v>
      </c>
      <c r="G740" s="100">
        <v>40287</v>
      </c>
      <c r="H740" s="14">
        <f t="shared" si="33"/>
        <v>79.030343007915576</v>
      </c>
      <c r="I740" s="14">
        <f t="shared" si="34"/>
        <v>106.33727175080558</v>
      </c>
      <c r="J740" s="14">
        <f t="shared" si="35"/>
        <v>104.3568107456518</v>
      </c>
    </row>
    <row r="741" spans="1:10">
      <c r="A741" s="100">
        <v>40288</v>
      </c>
      <c r="B741">
        <v>120.88</v>
      </c>
      <c r="C741">
        <v>49.75</v>
      </c>
      <c r="D741">
        <v>60.91</v>
      </c>
      <c r="G741" s="100">
        <v>40288</v>
      </c>
      <c r="H741" s="14">
        <f t="shared" si="33"/>
        <v>79.736147757255935</v>
      </c>
      <c r="I741" s="14">
        <f t="shared" si="34"/>
        <v>106.87432867883997</v>
      </c>
      <c r="J741" s="14">
        <f t="shared" si="35"/>
        <v>104.89064921646288</v>
      </c>
    </row>
    <row r="742" spans="1:10">
      <c r="A742" s="100">
        <v>40289</v>
      </c>
      <c r="B742">
        <v>120.66</v>
      </c>
      <c r="C742">
        <v>50.03</v>
      </c>
      <c r="D742">
        <v>61.15</v>
      </c>
      <c r="G742" s="100">
        <v>40289</v>
      </c>
      <c r="H742" s="14">
        <f t="shared" si="33"/>
        <v>79.5910290237467</v>
      </c>
      <c r="I742" s="14">
        <f t="shared" si="34"/>
        <v>107.47583243823846</v>
      </c>
      <c r="J742" s="14">
        <f t="shared" si="35"/>
        <v>105.30394351644567</v>
      </c>
    </row>
    <row r="743" spans="1:10">
      <c r="A743" s="100">
        <v>40290</v>
      </c>
      <c r="B743">
        <v>121.02</v>
      </c>
      <c r="C743">
        <v>50.31</v>
      </c>
      <c r="D743">
        <v>61.4</v>
      </c>
      <c r="G743" s="100">
        <v>40290</v>
      </c>
      <c r="H743" s="14">
        <f t="shared" si="33"/>
        <v>79.828496042216358</v>
      </c>
      <c r="I743" s="14">
        <f t="shared" si="34"/>
        <v>108.07733619763695</v>
      </c>
      <c r="J743" s="14">
        <f t="shared" si="35"/>
        <v>105.73445841226106</v>
      </c>
    </row>
    <row r="744" spans="1:10">
      <c r="A744" s="100">
        <v>40291</v>
      </c>
      <c r="B744">
        <v>121.81</v>
      </c>
      <c r="C744">
        <v>50.52</v>
      </c>
      <c r="D744">
        <v>61.52</v>
      </c>
      <c r="G744" s="100">
        <v>40291</v>
      </c>
      <c r="H744" s="14">
        <f t="shared" si="33"/>
        <v>80.349604221635886</v>
      </c>
      <c r="I744" s="14">
        <f t="shared" si="34"/>
        <v>108.52846401718583</v>
      </c>
      <c r="J744" s="14">
        <f t="shared" si="35"/>
        <v>105.94110556225247</v>
      </c>
    </row>
    <row r="745" spans="1:10">
      <c r="A745" s="100">
        <v>40294</v>
      </c>
      <c r="B745">
        <v>121.35</v>
      </c>
      <c r="C745">
        <v>50.41</v>
      </c>
      <c r="D745">
        <v>61.46</v>
      </c>
      <c r="G745" s="100">
        <v>40294</v>
      </c>
      <c r="H745" s="14">
        <f t="shared" si="33"/>
        <v>80.046174142480211</v>
      </c>
      <c r="I745" s="14">
        <f t="shared" si="34"/>
        <v>108.2921589688507</v>
      </c>
      <c r="J745" s="14">
        <f t="shared" si="35"/>
        <v>105.83778198725675</v>
      </c>
    </row>
    <row r="746" spans="1:10">
      <c r="A746" s="100">
        <v>40295</v>
      </c>
      <c r="B746">
        <v>118.48</v>
      </c>
      <c r="C746">
        <v>49.34</v>
      </c>
      <c r="D746">
        <v>60.3</v>
      </c>
      <c r="G746" s="100">
        <v>40295</v>
      </c>
      <c r="H746" s="14">
        <f t="shared" si="33"/>
        <v>78.15303430079156</v>
      </c>
      <c r="I746" s="14">
        <f t="shared" si="34"/>
        <v>105.99355531686361</v>
      </c>
      <c r="J746" s="14">
        <f t="shared" si="35"/>
        <v>103.84019287067332</v>
      </c>
    </row>
    <row r="747" spans="1:10">
      <c r="A747" s="100">
        <v>40296</v>
      </c>
      <c r="B747">
        <v>119.38</v>
      </c>
      <c r="C747">
        <v>49.37</v>
      </c>
      <c r="D747">
        <v>60.4</v>
      </c>
      <c r="G747" s="100">
        <v>40296</v>
      </c>
      <c r="H747" s="14">
        <f t="shared" si="33"/>
        <v>78.746701846965692</v>
      </c>
      <c r="I747" s="14">
        <f t="shared" si="34"/>
        <v>106.05800214822771</v>
      </c>
      <c r="J747" s="14">
        <f t="shared" si="35"/>
        <v>104.01239882899948</v>
      </c>
    </row>
    <row r="748" spans="1:10">
      <c r="A748" s="100">
        <v>40297</v>
      </c>
      <c r="B748">
        <v>120.86</v>
      </c>
      <c r="C748">
        <v>50.23</v>
      </c>
      <c r="D748">
        <v>60.95</v>
      </c>
      <c r="G748" s="100">
        <v>40297</v>
      </c>
      <c r="H748" s="14">
        <f t="shared" si="33"/>
        <v>79.722955145118732</v>
      </c>
      <c r="I748" s="14">
        <f t="shared" si="34"/>
        <v>107.90547798066595</v>
      </c>
      <c r="J748" s="14">
        <f t="shared" si="35"/>
        <v>104.95953159979337</v>
      </c>
    </row>
    <row r="749" spans="1:10">
      <c r="A749" s="100">
        <v>40298</v>
      </c>
      <c r="B749">
        <v>118.81</v>
      </c>
      <c r="C749">
        <v>49.24</v>
      </c>
      <c r="D749">
        <v>59.56</v>
      </c>
      <c r="G749" s="100">
        <v>40298</v>
      </c>
      <c r="H749" s="14">
        <f t="shared" si="33"/>
        <v>78.370712401055414</v>
      </c>
      <c r="I749" s="14">
        <f t="shared" si="34"/>
        <v>105.77873254564985</v>
      </c>
      <c r="J749" s="14">
        <f t="shared" si="35"/>
        <v>102.56586877905976</v>
      </c>
    </row>
    <row r="750" spans="1:10">
      <c r="A750" s="100">
        <v>40301</v>
      </c>
      <c r="B750">
        <v>120.35</v>
      </c>
      <c r="C750">
        <v>49.93</v>
      </c>
      <c r="D750">
        <v>60.39</v>
      </c>
      <c r="G750" s="100">
        <v>40301</v>
      </c>
      <c r="H750" s="14">
        <f t="shared" si="33"/>
        <v>79.386543535620049</v>
      </c>
      <c r="I750" s="14">
        <f t="shared" si="34"/>
        <v>107.26100966702472</v>
      </c>
      <c r="J750" s="14">
        <f t="shared" si="35"/>
        <v>103.99517823316687</v>
      </c>
    </row>
    <row r="751" spans="1:10">
      <c r="A751" s="100">
        <v>40302</v>
      </c>
      <c r="B751">
        <v>117.52</v>
      </c>
      <c r="C751">
        <v>48.43</v>
      </c>
      <c r="D751">
        <v>58.63</v>
      </c>
      <c r="G751" s="100">
        <v>40302</v>
      </c>
      <c r="H751" s="14">
        <f t="shared" si="33"/>
        <v>77.519788918205805</v>
      </c>
      <c r="I751" s="14">
        <f t="shared" si="34"/>
        <v>104.03866809881848</v>
      </c>
      <c r="J751" s="14">
        <f t="shared" si="35"/>
        <v>100.96435336662648</v>
      </c>
    </row>
    <row r="752" spans="1:10">
      <c r="A752" s="100">
        <v>40303</v>
      </c>
      <c r="B752">
        <v>116.82</v>
      </c>
      <c r="C752">
        <v>48.18</v>
      </c>
      <c r="D752">
        <v>58.31</v>
      </c>
      <c r="G752" s="100">
        <v>40303</v>
      </c>
      <c r="H752" s="14">
        <f t="shared" si="33"/>
        <v>77.058047493403691</v>
      </c>
      <c r="I752" s="14">
        <f t="shared" si="34"/>
        <v>103.50161117078412</v>
      </c>
      <c r="J752" s="14">
        <f t="shared" si="35"/>
        <v>100.41329429998278</v>
      </c>
    </row>
    <row r="753" spans="1:10">
      <c r="A753" s="100">
        <v>40304</v>
      </c>
      <c r="B753">
        <v>112.94</v>
      </c>
      <c r="C753">
        <v>46.57</v>
      </c>
      <c r="D753">
        <v>56.36</v>
      </c>
      <c r="G753" s="100">
        <v>40304</v>
      </c>
      <c r="H753" s="14">
        <f t="shared" si="33"/>
        <v>74.498680738786277</v>
      </c>
      <c r="I753" s="14">
        <f t="shared" si="34"/>
        <v>100.04296455424276</v>
      </c>
      <c r="J753" s="14">
        <f t="shared" si="35"/>
        <v>97.055278112622702</v>
      </c>
    </row>
    <row r="754" spans="1:10">
      <c r="A754" s="100">
        <v>40305</v>
      </c>
      <c r="B754">
        <v>111.26</v>
      </c>
      <c r="C754">
        <v>45.41</v>
      </c>
      <c r="D754">
        <v>55.03</v>
      </c>
      <c r="G754" s="100">
        <v>40305</v>
      </c>
      <c r="H754" s="14">
        <f t="shared" si="33"/>
        <v>73.390501319261219</v>
      </c>
      <c r="I754" s="14">
        <f t="shared" si="34"/>
        <v>97.551020408163268</v>
      </c>
      <c r="J754" s="14">
        <f t="shared" si="35"/>
        <v>94.764938866884791</v>
      </c>
    </row>
    <row r="755" spans="1:10">
      <c r="A755" s="100">
        <v>40308</v>
      </c>
      <c r="B755">
        <v>116.16</v>
      </c>
      <c r="C755">
        <v>47.77</v>
      </c>
      <c r="D755">
        <v>57.81</v>
      </c>
      <c r="G755" s="100">
        <v>40308</v>
      </c>
      <c r="H755" s="14">
        <f t="shared" si="33"/>
        <v>76.622691292875984</v>
      </c>
      <c r="I755" s="14">
        <f t="shared" si="34"/>
        <v>102.62083780880775</v>
      </c>
      <c r="J755" s="14">
        <f t="shared" si="35"/>
        <v>99.552264508351996</v>
      </c>
    </row>
    <row r="756" spans="1:10">
      <c r="A756" s="100">
        <v>40309</v>
      </c>
      <c r="B756">
        <v>115.83</v>
      </c>
      <c r="C756">
        <v>47.72</v>
      </c>
      <c r="D756">
        <v>57.65</v>
      </c>
      <c r="G756" s="100">
        <v>40309</v>
      </c>
      <c r="H756" s="14">
        <f t="shared" si="33"/>
        <v>76.405013192612131</v>
      </c>
      <c r="I756" s="14">
        <f t="shared" si="34"/>
        <v>102.51342642320087</v>
      </c>
      <c r="J756" s="14">
        <f t="shared" si="35"/>
        <v>99.276734975030138</v>
      </c>
    </row>
    <row r="757" spans="1:10">
      <c r="A757" s="100">
        <v>40310</v>
      </c>
      <c r="B757">
        <v>117.45</v>
      </c>
      <c r="C757">
        <v>48.62</v>
      </c>
      <c r="D757">
        <v>59.01</v>
      </c>
      <c r="G757" s="100">
        <v>40310</v>
      </c>
      <c r="H757" s="14">
        <f t="shared" si="33"/>
        <v>77.473614775725594</v>
      </c>
      <c r="I757" s="14">
        <f t="shared" si="34"/>
        <v>104.44683136412461</v>
      </c>
      <c r="J757" s="14">
        <f t="shared" si="35"/>
        <v>101.61873600826587</v>
      </c>
    </row>
    <row r="758" spans="1:10">
      <c r="A758" s="100">
        <v>40311</v>
      </c>
      <c r="B758">
        <v>115.99</v>
      </c>
      <c r="C758">
        <v>47.85</v>
      </c>
      <c r="D758">
        <v>58.21</v>
      </c>
      <c r="G758" s="100">
        <v>40311</v>
      </c>
      <c r="H758" s="14">
        <f t="shared" si="33"/>
        <v>76.510554089709757</v>
      </c>
      <c r="I758" s="14">
        <f t="shared" si="34"/>
        <v>102.79269602577874</v>
      </c>
      <c r="J758" s="14">
        <f t="shared" si="35"/>
        <v>100.24108834165662</v>
      </c>
    </row>
    <row r="759" spans="1:10">
      <c r="A759" s="100">
        <v>40312</v>
      </c>
      <c r="B759">
        <v>113.89</v>
      </c>
      <c r="C759">
        <v>46.93</v>
      </c>
      <c r="D759">
        <v>57.22</v>
      </c>
      <c r="G759" s="100">
        <v>40312</v>
      </c>
      <c r="H759" s="14">
        <f t="shared" si="33"/>
        <v>75.125329815303431</v>
      </c>
      <c r="I759" s="14">
        <f t="shared" si="34"/>
        <v>100.81632653061226</v>
      </c>
      <c r="J759" s="14">
        <f t="shared" si="35"/>
        <v>98.53624935422765</v>
      </c>
    </row>
    <row r="760" spans="1:10">
      <c r="A760" s="100">
        <v>40315</v>
      </c>
      <c r="B760">
        <v>113.95</v>
      </c>
      <c r="C760">
        <v>47.08</v>
      </c>
      <c r="D760">
        <v>57.33</v>
      </c>
      <c r="G760" s="100">
        <v>40315</v>
      </c>
      <c r="H760" s="14">
        <f t="shared" si="33"/>
        <v>75.164907651715041</v>
      </c>
      <c r="I760" s="14">
        <f t="shared" si="34"/>
        <v>101.13856068743287</v>
      </c>
      <c r="J760" s="14">
        <f t="shared" si="35"/>
        <v>98.725675908386421</v>
      </c>
    </row>
    <row r="761" spans="1:10">
      <c r="A761" s="100">
        <v>40316</v>
      </c>
      <c r="B761">
        <v>112.4</v>
      </c>
      <c r="C761">
        <v>46.43</v>
      </c>
      <c r="D761">
        <v>56.53</v>
      </c>
      <c r="G761" s="100">
        <v>40316</v>
      </c>
      <c r="H761" s="14">
        <f t="shared" si="33"/>
        <v>74.142480211081789</v>
      </c>
      <c r="I761" s="14">
        <f t="shared" si="34"/>
        <v>99.742212674543509</v>
      </c>
      <c r="J761" s="14">
        <f t="shared" si="35"/>
        <v>97.348028241777158</v>
      </c>
    </row>
    <row r="762" spans="1:10">
      <c r="A762" s="100">
        <v>40317</v>
      </c>
      <c r="B762">
        <v>111.76</v>
      </c>
      <c r="C762">
        <v>46.06</v>
      </c>
      <c r="D762">
        <v>56.11</v>
      </c>
      <c r="G762" s="100">
        <v>40317</v>
      </c>
      <c r="H762" s="14">
        <f t="shared" si="33"/>
        <v>73.7203166226913</v>
      </c>
      <c r="I762" s="14">
        <f t="shared" si="34"/>
        <v>98.947368421052644</v>
      </c>
      <c r="J762" s="14">
        <f t="shared" si="35"/>
        <v>96.624763216807295</v>
      </c>
    </row>
    <row r="763" spans="1:10">
      <c r="A763" s="100">
        <v>40318</v>
      </c>
      <c r="B763">
        <v>107.54</v>
      </c>
      <c r="C763">
        <v>44.35</v>
      </c>
      <c r="D763">
        <v>54.09</v>
      </c>
      <c r="G763" s="100">
        <v>40318</v>
      </c>
      <c r="H763" s="14">
        <f t="shared" si="33"/>
        <v>70.93667546174143</v>
      </c>
      <c r="I763" s="14">
        <f t="shared" si="34"/>
        <v>95.273899033297539</v>
      </c>
      <c r="J763" s="14">
        <f t="shared" si="35"/>
        <v>93.146202858618906</v>
      </c>
    </row>
    <row r="764" spans="1:10">
      <c r="A764" s="100">
        <v>40319</v>
      </c>
      <c r="B764">
        <v>109.11</v>
      </c>
      <c r="C764">
        <v>44.84</v>
      </c>
      <c r="D764">
        <v>54.61</v>
      </c>
      <c r="G764" s="100">
        <v>40319</v>
      </c>
      <c r="H764" s="14">
        <f t="shared" si="33"/>
        <v>71.97229551451187</v>
      </c>
      <c r="I764" s="14">
        <f t="shared" si="34"/>
        <v>96.326530612244909</v>
      </c>
      <c r="J764" s="14">
        <f t="shared" si="35"/>
        <v>94.041673841914928</v>
      </c>
    </row>
    <row r="765" spans="1:10">
      <c r="A765" s="100">
        <v>40322</v>
      </c>
      <c r="B765">
        <v>107.71</v>
      </c>
      <c r="C765">
        <v>44.66</v>
      </c>
      <c r="D765">
        <v>54.25</v>
      </c>
      <c r="G765" s="100">
        <v>40322</v>
      </c>
      <c r="H765" s="14">
        <f t="shared" si="33"/>
        <v>71.048812664907643</v>
      </c>
      <c r="I765" s="14">
        <f t="shared" si="34"/>
        <v>95.939849624060145</v>
      </c>
      <c r="J765" s="14">
        <f t="shared" si="35"/>
        <v>93.421732391940765</v>
      </c>
    </row>
    <row r="766" spans="1:10">
      <c r="A766" s="100">
        <v>40323</v>
      </c>
      <c r="B766">
        <v>107.82</v>
      </c>
      <c r="C766">
        <v>44.7</v>
      </c>
      <c r="D766">
        <v>54.17</v>
      </c>
      <c r="G766" s="100">
        <v>40323</v>
      </c>
      <c r="H766" s="14">
        <f t="shared" si="33"/>
        <v>71.121372031662261</v>
      </c>
      <c r="I766" s="14">
        <f t="shared" si="34"/>
        <v>96.02577873254566</v>
      </c>
      <c r="J766" s="14">
        <f t="shared" si="35"/>
        <v>93.283967625279843</v>
      </c>
    </row>
    <row r="767" spans="1:10">
      <c r="A767" s="100">
        <v>40324</v>
      </c>
      <c r="B767">
        <v>107.17</v>
      </c>
      <c r="C767">
        <v>44.2</v>
      </c>
      <c r="D767">
        <v>53.61</v>
      </c>
      <c r="G767" s="100">
        <v>40324</v>
      </c>
      <c r="H767" s="14">
        <f t="shared" si="33"/>
        <v>70.69261213720317</v>
      </c>
      <c r="I767" s="14">
        <f t="shared" si="34"/>
        <v>94.951664876476912</v>
      </c>
      <c r="J767" s="14">
        <f t="shared" si="35"/>
        <v>92.319614258653345</v>
      </c>
    </row>
    <row r="768" spans="1:10">
      <c r="A768" s="100">
        <v>40325</v>
      </c>
      <c r="B768">
        <v>110.76</v>
      </c>
      <c r="C768">
        <v>45.87</v>
      </c>
      <c r="D768">
        <v>55.65</v>
      </c>
      <c r="G768" s="100">
        <v>40325</v>
      </c>
      <c r="H768" s="14">
        <f t="shared" si="33"/>
        <v>73.060686015831138</v>
      </c>
      <c r="I768" s="14">
        <f t="shared" si="34"/>
        <v>98.539205155746515</v>
      </c>
      <c r="J768" s="14">
        <f t="shared" si="35"/>
        <v>95.832615808506972</v>
      </c>
    </row>
    <row r="769" spans="1:10">
      <c r="A769" s="100">
        <v>40326</v>
      </c>
      <c r="B769">
        <v>109.37</v>
      </c>
      <c r="C769">
        <v>45.6</v>
      </c>
      <c r="D769">
        <v>55.13</v>
      </c>
      <c r="G769" s="100">
        <v>40326</v>
      </c>
      <c r="H769" s="14">
        <f t="shared" si="33"/>
        <v>72.143799472295527</v>
      </c>
      <c r="I769" s="14">
        <f t="shared" si="34"/>
        <v>97.959183673469397</v>
      </c>
      <c r="J769" s="14">
        <f t="shared" si="35"/>
        <v>94.937144825210964</v>
      </c>
    </row>
    <row r="770" spans="1:10">
      <c r="A770" s="100">
        <v>40330</v>
      </c>
      <c r="B770">
        <v>107.53</v>
      </c>
      <c r="C770">
        <v>45.18</v>
      </c>
      <c r="D770">
        <v>54.53</v>
      </c>
      <c r="G770" s="100">
        <v>40330</v>
      </c>
      <c r="H770" s="14">
        <f t="shared" si="33"/>
        <v>70.930079155672829</v>
      </c>
      <c r="I770" s="14">
        <f t="shared" si="34"/>
        <v>97.056928034371651</v>
      </c>
      <c r="J770" s="14">
        <f t="shared" si="35"/>
        <v>93.903909075254006</v>
      </c>
    </row>
    <row r="771" spans="1:10">
      <c r="A771" s="100">
        <v>40331</v>
      </c>
      <c r="B771">
        <v>110.33</v>
      </c>
      <c r="C771">
        <v>46.25</v>
      </c>
      <c r="D771">
        <v>55.84</v>
      </c>
      <c r="G771" s="100">
        <v>40331</v>
      </c>
      <c r="H771" s="14">
        <f t="shared" si="33"/>
        <v>72.777044854881268</v>
      </c>
      <c r="I771" s="14">
        <f t="shared" si="34"/>
        <v>99.355531686358759</v>
      </c>
      <c r="J771" s="14">
        <f t="shared" si="35"/>
        <v>96.15980712932668</v>
      </c>
    </row>
    <row r="772" spans="1:10">
      <c r="A772" s="100">
        <v>40332</v>
      </c>
      <c r="B772">
        <v>110.71</v>
      </c>
      <c r="C772">
        <v>46.69</v>
      </c>
      <c r="D772">
        <v>56.51</v>
      </c>
      <c r="G772" s="100">
        <v>40332</v>
      </c>
      <c r="H772" s="14">
        <f t="shared" si="33"/>
        <v>73.027704485488115</v>
      </c>
      <c r="I772" s="14">
        <f t="shared" si="34"/>
        <v>100.30075187969925</v>
      </c>
      <c r="J772" s="14">
        <f t="shared" si="35"/>
        <v>97.31358705011192</v>
      </c>
    </row>
    <row r="773" spans="1:10">
      <c r="A773" s="100">
        <v>40333</v>
      </c>
      <c r="B773">
        <v>106.82</v>
      </c>
      <c r="C773">
        <v>45.09</v>
      </c>
      <c r="D773">
        <v>54.58</v>
      </c>
      <c r="G773" s="100">
        <v>40333</v>
      </c>
      <c r="H773" s="14">
        <f t="shared" ref="H773:H836" si="36">B773/$B$4*100</f>
        <v>70.461741424802099</v>
      </c>
      <c r="I773" s="14">
        <f t="shared" ref="I773:I836" si="37">C773/$C$4*100</f>
        <v>96.863587540279283</v>
      </c>
      <c r="J773" s="14">
        <f t="shared" ref="J773:J836" si="38">D773/$D$4*100</f>
        <v>93.990012054417079</v>
      </c>
    </row>
    <row r="774" spans="1:10">
      <c r="A774" s="100">
        <v>40336</v>
      </c>
      <c r="B774">
        <v>105.49</v>
      </c>
      <c r="C774">
        <v>44.27</v>
      </c>
      <c r="D774">
        <v>53.52</v>
      </c>
      <c r="G774" s="100">
        <v>40336</v>
      </c>
      <c r="H774" s="14">
        <f t="shared" si="36"/>
        <v>69.584432717678098</v>
      </c>
      <c r="I774" s="14">
        <f t="shared" si="37"/>
        <v>95.102040816326536</v>
      </c>
      <c r="J774" s="14">
        <f t="shared" si="38"/>
        <v>92.164628896159812</v>
      </c>
    </row>
    <row r="775" spans="1:10">
      <c r="A775" s="100">
        <v>40337</v>
      </c>
      <c r="B775">
        <v>106.62</v>
      </c>
      <c r="C775">
        <v>44.19</v>
      </c>
      <c r="D775">
        <v>53.53</v>
      </c>
      <c r="G775" s="100">
        <v>40337</v>
      </c>
      <c r="H775" s="14">
        <f t="shared" si="36"/>
        <v>70.329815303430081</v>
      </c>
      <c r="I775" s="14">
        <f t="shared" si="37"/>
        <v>94.930182599355533</v>
      </c>
      <c r="J775" s="14">
        <f t="shared" si="38"/>
        <v>92.181849491992423</v>
      </c>
    </row>
    <row r="776" spans="1:10">
      <c r="A776" s="100">
        <v>40338</v>
      </c>
      <c r="B776">
        <v>106.05</v>
      </c>
      <c r="C776">
        <v>43.82</v>
      </c>
      <c r="D776">
        <v>53.07</v>
      </c>
      <c r="G776" s="100">
        <v>40338</v>
      </c>
      <c r="H776" s="14">
        <f t="shared" si="36"/>
        <v>69.953825857519789</v>
      </c>
      <c r="I776" s="14">
        <f t="shared" si="37"/>
        <v>94.135338345864668</v>
      </c>
      <c r="J776" s="14">
        <f t="shared" si="38"/>
        <v>91.389702083692086</v>
      </c>
    </row>
    <row r="777" spans="1:10">
      <c r="A777" s="100">
        <v>40339</v>
      </c>
      <c r="B777">
        <v>109.15</v>
      </c>
      <c r="C777">
        <v>45.07</v>
      </c>
      <c r="D777">
        <v>54.37</v>
      </c>
      <c r="G777" s="100">
        <v>40339</v>
      </c>
      <c r="H777" s="14">
        <f t="shared" si="36"/>
        <v>71.998680738786291</v>
      </c>
      <c r="I777" s="14">
        <f t="shared" si="37"/>
        <v>96.820622986036526</v>
      </c>
      <c r="J777" s="14">
        <f t="shared" si="38"/>
        <v>93.628379541932148</v>
      </c>
    </row>
    <row r="778" spans="1:10">
      <c r="A778" s="100">
        <v>40340</v>
      </c>
      <c r="B778">
        <v>109.68</v>
      </c>
      <c r="C778">
        <v>45.5</v>
      </c>
      <c r="D778">
        <v>55.05</v>
      </c>
      <c r="G778" s="100">
        <v>40340</v>
      </c>
      <c r="H778" s="14">
        <f t="shared" si="36"/>
        <v>72.348284960422177</v>
      </c>
      <c r="I778" s="14">
        <f t="shared" si="37"/>
        <v>97.74436090225565</v>
      </c>
      <c r="J778" s="14">
        <f t="shared" si="38"/>
        <v>94.799380058550014</v>
      </c>
    </row>
    <row r="779" spans="1:10">
      <c r="A779" s="100">
        <v>40343</v>
      </c>
      <c r="B779">
        <v>109.51</v>
      </c>
      <c r="C779">
        <v>45.49</v>
      </c>
      <c r="D779">
        <v>54.93</v>
      </c>
      <c r="G779" s="100">
        <v>40343</v>
      </c>
      <c r="H779" s="14">
        <f t="shared" si="36"/>
        <v>72.236147757255935</v>
      </c>
      <c r="I779" s="14">
        <f t="shared" si="37"/>
        <v>97.722878625134285</v>
      </c>
      <c r="J779" s="14">
        <f t="shared" si="38"/>
        <v>94.592732908558631</v>
      </c>
    </row>
    <row r="780" spans="1:10">
      <c r="A780" s="100">
        <v>40344</v>
      </c>
      <c r="B780">
        <v>112</v>
      </c>
      <c r="C780">
        <v>46.71</v>
      </c>
      <c r="D780">
        <v>56.51</v>
      </c>
      <c r="G780" s="100">
        <v>40344</v>
      </c>
      <c r="H780" s="14">
        <f t="shared" si="36"/>
        <v>73.878627968337724</v>
      </c>
      <c r="I780" s="14">
        <f t="shared" si="37"/>
        <v>100.34371643394199</v>
      </c>
      <c r="J780" s="14">
        <f t="shared" si="38"/>
        <v>97.31358705011192</v>
      </c>
    </row>
    <row r="781" spans="1:10">
      <c r="A781" s="100">
        <v>40345</v>
      </c>
      <c r="B781">
        <v>111.96</v>
      </c>
      <c r="C781">
        <v>46.9</v>
      </c>
      <c r="D781">
        <v>56.72</v>
      </c>
      <c r="G781" s="100">
        <v>40345</v>
      </c>
      <c r="H781" s="14">
        <f t="shared" si="36"/>
        <v>73.852242744063318</v>
      </c>
      <c r="I781" s="14">
        <f t="shared" si="37"/>
        <v>100.75187969924812</v>
      </c>
      <c r="J781" s="14">
        <f t="shared" si="38"/>
        <v>97.675219562596865</v>
      </c>
    </row>
    <row r="782" spans="1:10">
      <c r="A782" s="100">
        <v>40346</v>
      </c>
      <c r="B782">
        <v>112.14</v>
      </c>
      <c r="C782">
        <v>47.05</v>
      </c>
      <c r="D782">
        <v>56.93</v>
      </c>
      <c r="G782" s="100">
        <v>40346</v>
      </c>
      <c r="H782" s="14">
        <f t="shared" si="36"/>
        <v>73.970976253298161</v>
      </c>
      <c r="I782" s="14">
        <f t="shared" si="37"/>
        <v>101.07411385606875</v>
      </c>
      <c r="J782" s="14">
        <f t="shared" si="38"/>
        <v>98.036852075081796</v>
      </c>
    </row>
    <row r="783" spans="1:10">
      <c r="A783" s="100">
        <v>40347</v>
      </c>
      <c r="B783">
        <v>111.73</v>
      </c>
      <c r="C783">
        <v>47</v>
      </c>
      <c r="D783">
        <v>56.99</v>
      </c>
      <c r="G783" s="100">
        <v>40347</v>
      </c>
      <c r="H783" s="14">
        <f t="shared" si="36"/>
        <v>73.700527704485495</v>
      </c>
      <c r="I783" s="14">
        <f t="shared" si="37"/>
        <v>100.96670247046187</v>
      </c>
      <c r="J783" s="14">
        <f t="shared" si="38"/>
        <v>98.140175650077495</v>
      </c>
    </row>
    <row r="784" spans="1:10">
      <c r="A784" s="100">
        <v>40350</v>
      </c>
      <c r="B784">
        <v>111.41</v>
      </c>
      <c r="C784">
        <v>46.6</v>
      </c>
      <c r="D784">
        <v>56.45</v>
      </c>
      <c r="G784" s="100">
        <v>40350</v>
      </c>
      <c r="H784" s="14">
        <f t="shared" si="36"/>
        <v>73.489445910290243</v>
      </c>
      <c r="I784" s="14">
        <f t="shared" si="37"/>
        <v>100.10741138560688</v>
      </c>
      <c r="J784" s="14">
        <f t="shared" si="38"/>
        <v>97.21026347511625</v>
      </c>
    </row>
    <row r="785" spans="1:10">
      <c r="A785" s="100">
        <v>40351</v>
      </c>
      <c r="B785">
        <v>109.57</v>
      </c>
      <c r="C785">
        <v>46.24</v>
      </c>
      <c r="D785">
        <v>55.89</v>
      </c>
      <c r="G785" s="100">
        <v>40351</v>
      </c>
      <c r="H785" s="14">
        <f t="shared" si="36"/>
        <v>72.275725593667545</v>
      </c>
      <c r="I785" s="14">
        <f t="shared" si="37"/>
        <v>99.334049409237394</v>
      </c>
      <c r="J785" s="14">
        <f t="shared" si="38"/>
        <v>96.245910108489753</v>
      </c>
    </row>
    <row r="786" spans="1:10">
      <c r="A786" s="100">
        <v>40352</v>
      </c>
      <c r="B786">
        <v>109.23</v>
      </c>
      <c r="C786">
        <v>46.05</v>
      </c>
      <c r="D786">
        <v>55.68</v>
      </c>
      <c r="G786" s="100">
        <v>40352</v>
      </c>
      <c r="H786" s="14">
        <f t="shared" si="36"/>
        <v>72.051451187335104</v>
      </c>
      <c r="I786" s="14">
        <f t="shared" si="37"/>
        <v>98.925886143931251</v>
      </c>
      <c r="J786" s="14">
        <f t="shared" si="38"/>
        <v>95.884277596004821</v>
      </c>
    </row>
    <row r="787" spans="1:10">
      <c r="A787" s="100">
        <v>40353</v>
      </c>
      <c r="B787">
        <v>107.42</v>
      </c>
      <c r="C787">
        <v>45.35</v>
      </c>
      <c r="D787">
        <v>54.58</v>
      </c>
      <c r="G787" s="100">
        <v>40353</v>
      </c>
      <c r="H787" s="14">
        <f t="shared" si="36"/>
        <v>70.857519788918211</v>
      </c>
      <c r="I787" s="14">
        <f t="shared" si="37"/>
        <v>97.422126745435023</v>
      </c>
      <c r="J787" s="14">
        <f t="shared" si="38"/>
        <v>93.990012054417079</v>
      </c>
    </row>
    <row r="788" spans="1:10">
      <c r="A788" s="100">
        <v>40354</v>
      </c>
      <c r="B788">
        <v>107.87</v>
      </c>
      <c r="C788">
        <v>45.27</v>
      </c>
      <c r="D788">
        <v>54.5</v>
      </c>
      <c r="G788" s="100">
        <v>40354</v>
      </c>
      <c r="H788" s="14">
        <f t="shared" si="36"/>
        <v>71.154353562005284</v>
      </c>
      <c r="I788" s="14">
        <f t="shared" si="37"/>
        <v>97.250268528464034</v>
      </c>
      <c r="J788" s="14">
        <f t="shared" si="38"/>
        <v>93.852247287756157</v>
      </c>
    </row>
    <row r="789" spans="1:10">
      <c r="A789" s="100">
        <v>40357</v>
      </c>
      <c r="B789">
        <v>107.53</v>
      </c>
      <c r="C789">
        <v>45.11</v>
      </c>
      <c r="D789">
        <v>54.52</v>
      </c>
      <c r="G789" s="100">
        <v>40357</v>
      </c>
      <c r="H789" s="14">
        <f t="shared" si="36"/>
        <v>70.930079155672829</v>
      </c>
      <c r="I789" s="14">
        <f t="shared" si="37"/>
        <v>96.906552094522027</v>
      </c>
      <c r="J789" s="14">
        <f t="shared" si="38"/>
        <v>93.886688479421395</v>
      </c>
    </row>
    <row r="790" spans="1:10">
      <c r="A790" s="100">
        <v>40358</v>
      </c>
      <c r="B790">
        <v>104.21</v>
      </c>
      <c r="C790">
        <v>43.37</v>
      </c>
      <c r="D790">
        <v>52.45</v>
      </c>
      <c r="G790" s="100">
        <v>40358</v>
      </c>
      <c r="H790" s="14">
        <f t="shared" si="36"/>
        <v>68.740105540897105</v>
      </c>
      <c r="I790" s="14">
        <f t="shared" si="37"/>
        <v>93.168635875402799</v>
      </c>
      <c r="J790" s="14">
        <f t="shared" si="38"/>
        <v>90.322025142069919</v>
      </c>
    </row>
    <row r="791" spans="1:10">
      <c r="A791" s="100">
        <v>40359</v>
      </c>
      <c r="B791">
        <v>103.22</v>
      </c>
      <c r="C791">
        <v>42.71</v>
      </c>
      <c r="D791">
        <v>51.6</v>
      </c>
      <c r="G791" s="100">
        <v>40359</v>
      </c>
      <c r="H791" s="14">
        <f t="shared" si="36"/>
        <v>68.087071240105544</v>
      </c>
      <c r="I791" s="14">
        <f t="shared" si="37"/>
        <v>91.750805585392058</v>
      </c>
      <c r="J791" s="14">
        <f t="shared" si="38"/>
        <v>88.858274496297568</v>
      </c>
    </row>
    <row r="792" spans="1:10">
      <c r="A792" s="100">
        <v>40360</v>
      </c>
      <c r="B792">
        <v>102.76</v>
      </c>
      <c r="C792">
        <v>42.59</v>
      </c>
      <c r="D792">
        <v>51.37</v>
      </c>
      <c r="G792" s="100">
        <v>40360</v>
      </c>
      <c r="H792" s="14">
        <f t="shared" si="36"/>
        <v>67.78364116094987</v>
      </c>
      <c r="I792" s="14">
        <f t="shared" si="37"/>
        <v>91.493018259935567</v>
      </c>
      <c r="J792" s="14">
        <f t="shared" si="38"/>
        <v>88.462200792147399</v>
      </c>
    </row>
    <row r="793" spans="1:10">
      <c r="A793" s="100">
        <v>40361</v>
      </c>
      <c r="B793">
        <v>102.2</v>
      </c>
      <c r="C793">
        <v>42.47</v>
      </c>
      <c r="D793">
        <v>51.26</v>
      </c>
      <c r="G793" s="100">
        <v>40361</v>
      </c>
      <c r="H793" s="14">
        <f t="shared" si="36"/>
        <v>67.414248021108179</v>
      </c>
      <c r="I793" s="14">
        <f t="shared" si="37"/>
        <v>91.235230934479063</v>
      </c>
      <c r="J793" s="14">
        <f t="shared" si="38"/>
        <v>88.272774237988628</v>
      </c>
    </row>
    <row r="794" spans="1:10">
      <c r="A794" s="100">
        <v>40365</v>
      </c>
      <c r="B794">
        <v>102.87</v>
      </c>
      <c r="C794">
        <v>42.6</v>
      </c>
      <c r="D794">
        <v>51.59</v>
      </c>
      <c r="G794" s="100">
        <v>40365</v>
      </c>
      <c r="H794" s="14">
        <f t="shared" si="36"/>
        <v>67.856200527704488</v>
      </c>
      <c r="I794" s="14">
        <f t="shared" si="37"/>
        <v>91.514500537056946</v>
      </c>
      <c r="J794" s="14">
        <f t="shared" si="38"/>
        <v>88.841053900464956</v>
      </c>
    </row>
    <row r="795" spans="1:10">
      <c r="A795" s="100">
        <v>40366</v>
      </c>
      <c r="B795">
        <v>106.11</v>
      </c>
      <c r="C795">
        <v>43.96</v>
      </c>
      <c r="D795">
        <v>53.58</v>
      </c>
      <c r="G795" s="100">
        <v>40366</v>
      </c>
      <c r="H795" s="14">
        <f t="shared" si="36"/>
        <v>69.993403693931398</v>
      </c>
      <c r="I795" s="14">
        <f t="shared" si="37"/>
        <v>94.436090225563916</v>
      </c>
      <c r="J795" s="14">
        <f t="shared" si="38"/>
        <v>92.267952471155496</v>
      </c>
    </row>
    <row r="796" spans="1:10">
      <c r="A796" s="100">
        <v>40367</v>
      </c>
      <c r="B796">
        <v>107.16</v>
      </c>
      <c r="C796">
        <v>44.2</v>
      </c>
      <c r="D796">
        <v>53.84</v>
      </c>
      <c r="G796" s="100">
        <v>40367</v>
      </c>
      <c r="H796" s="14">
        <f t="shared" si="36"/>
        <v>70.686015831134569</v>
      </c>
      <c r="I796" s="14">
        <f t="shared" si="37"/>
        <v>94.951664876476912</v>
      </c>
      <c r="J796" s="14">
        <f t="shared" si="38"/>
        <v>92.715687962803514</v>
      </c>
    </row>
    <row r="797" spans="1:10">
      <c r="A797" s="100">
        <v>40368</v>
      </c>
      <c r="B797">
        <v>107.96</v>
      </c>
      <c r="C797">
        <v>44.62</v>
      </c>
      <c r="D797">
        <v>54.15</v>
      </c>
      <c r="G797" s="100">
        <v>40368</v>
      </c>
      <c r="H797" s="14">
        <f t="shared" si="36"/>
        <v>71.213720316622684</v>
      </c>
      <c r="I797" s="14">
        <f t="shared" si="37"/>
        <v>95.853920515574657</v>
      </c>
      <c r="J797" s="14">
        <f t="shared" si="38"/>
        <v>93.249526433614605</v>
      </c>
    </row>
    <row r="798" spans="1:10">
      <c r="A798" s="100">
        <v>40371</v>
      </c>
      <c r="B798">
        <v>108.03</v>
      </c>
      <c r="C798">
        <v>44.75</v>
      </c>
      <c r="D798">
        <v>54.56</v>
      </c>
      <c r="G798" s="100">
        <v>40371</v>
      </c>
      <c r="H798" s="14">
        <f t="shared" si="36"/>
        <v>71.259894459102895</v>
      </c>
      <c r="I798" s="14">
        <f t="shared" si="37"/>
        <v>96.133190118152527</v>
      </c>
      <c r="J798" s="14">
        <f t="shared" si="38"/>
        <v>93.955570862751856</v>
      </c>
    </row>
    <row r="799" spans="1:10">
      <c r="A799" s="100">
        <v>40372</v>
      </c>
      <c r="B799">
        <v>109.66</v>
      </c>
      <c r="C799">
        <v>45.33</v>
      </c>
      <c r="D799">
        <v>55.36</v>
      </c>
      <c r="G799" s="100">
        <v>40372</v>
      </c>
      <c r="H799" s="14">
        <f t="shared" si="36"/>
        <v>72.335092348284959</v>
      </c>
      <c r="I799" s="14">
        <f t="shared" si="37"/>
        <v>97.379162191192265</v>
      </c>
      <c r="J799" s="14">
        <f t="shared" si="38"/>
        <v>95.333218529361119</v>
      </c>
    </row>
    <row r="800" spans="1:10">
      <c r="A800" s="100">
        <v>40373</v>
      </c>
      <c r="B800">
        <v>109.65</v>
      </c>
      <c r="C800">
        <v>45.56</v>
      </c>
      <c r="D800">
        <v>55.86</v>
      </c>
      <c r="G800" s="100">
        <v>40373</v>
      </c>
      <c r="H800" s="14">
        <f t="shared" si="36"/>
        <v>72.328496042216358</v>
      </c>
      <c r="I800" s="14">
        <f t="shared" si="37"/>
        <v>97.87325456498391</v>
      </c>
      <c r="J800" s="14">
        <f t="shared" si="38"/>
        <v>96.194248320991903</v>
      </c>
    </row>
    <row r="801" spans="1:10">
      <c r="A801" s="100">
        <v>40374</v>
      </c>
      <c r="B801">
        <v>109.68</v>
      </c>
      <c r="C801">
        <v>45.6</v>
      </c>
      <c r="D801">
        <v>55.92</v>
      </c>
      <c r="G801" s="100">
        <v>40374</v>
      </c>
      <c r="H801" s="14">
        <f t="shared" si="36"/>
        <v>72.348284960422177</v>
      </c>
      <c r="I801" s="14">
        <f t="shared" si="37"/>
        <v>97.959183673469397</v>
      </c>
      <c r="J801" s="14">
        <f t="shared" si="38"/>
        <v>96.297571895987602</v>
      </c>
    </row>
    <row r="802" spans="1:10">
      <c r="A802" s="100">
        <v>40375</v>
      </c>
      <c r="B802">
        <v>106.66</v>
      </c>
      <c r="C802">
        <v>44.34</v>
      </c>
      <c r="D802">
        <v>54.34</v>
      </c>
      <c r="G802" s="100">
        <v>40375</v>
      </c>
      <c r="H802" s="14">
        <f t="shared" si="36"/>
        <v>70.356200527704488</v>
      </c>
      <c r="I802" s="14">
        <f t="shared" si="37"/>
        <v>95.252416756176174</v>
      </c>
      <c r="J802" s="14">
        <f t="shared" si="38"/>
        <v>93.576717754434313</v>
      </c>
    </row>
    <row r="803" spans="1:10">
      <c r="A803" s="100">
        <v>40378</v>
      </c>
      <c r="B803">
        <v>107.29</v>
      </c>
      <c r="C803">
        <v>44.72</v>
      </c>
      <c r="D803">
        <v>54.93</v>
      </c>
      <c r="G803" s="100">
        <v>40378</v>
      </c>
      <c r="H803" s="14">
        <f t="shared" si="36"/>
        <v>70.77176781002639</v>
      </c>
      <c r="I803" s="14">
        <f t="shared" si="37"/>
        <v>96.068743286788404</v>
      </c>
      <c r="J803" s="14">
        <f t="shared" si="38"/>
        <v>94.592732908558631</v>
      </c>
    </row>
    <row r="804" spans="1:10">
      <c r="A804" s="100">
        <v>40379</v>
      </c>
      <c r="B804">
        <v>108.48</v>
      </c>
      <c r="C804">
        <v>45.26</v>
      </c>
      <c r="D804">
        <v>55.23</v>
      </c>
      <c r="G804" s="100">
        <v>40379</v>
      </c>
      <c r="H804" s="14">
        <f t="shared" si="36"/>
        <v>71.556728232189982</v>
      </c>
      <c r="I804" s="14">
        <f t="shared" si="37"/>
        <v>97.22878625134264</v>
      </c>
      <c r="J804" s="14">
        <f t="shared" si="38"/>
        <v>95.10935078353711</v>
      </c>
    </row>
    <row r="805" spans="1:10">
      <c r="A805" s="100">
        <v>40380</v>
      </c>
      <c r="B805">
        <v>107.07</v>
      </c>
      <c r="C805">
        <v>44.64</v>
      </c>
      <c r="D805">
        <v>54.48</v>
      </c>
      <c r="G805" s="100">
        <v>40380</v>
      </c>
      <c r="H805" s="14">
        <f t="shared" si="36"/>
        <v>70.62664907651714</v>
      </c>
      <c r="I805" s="14">
        <f t="shared" si="37"/>
        <v>95.896885069817401</v>
      </c>
      <c r="J805" s="14">
        <f t="shared" si="38"/>
        <v>93.817806096090919</v>
      </c>
    </row>
    <row r="806" spans="1:10">
      <c r="A806" s="100">
        <v>40381</v>
      </c>
      <c r="B806">
        <v>109.46</v>
      </c>
      <c r="C806">
        <v>45.77</v>
      </c>
      <c r="D806">
        <v>55.95</v>
      </c>
      <c r="G806" s="100">
        <v>40381</v>
      </c>
      <c r="H806" s="14">
        <f t="shared" si="36"/>
        <v>72.203166226912927</v>
      </c>
      <c r="I806" s="14">
        <f t="shared" si="37"/>
        <v>98.324382384532768</v>
      </c>
      <c r="J806" s="14">
        <f t="shared" si="38"/>
        <v>96.349233683485451</v>
      </c>
    </row>
    <row r="807" spans="1:10">
      <c r="A807" s="100">
        <v>40382</v>
      </c>
      <c r="B807">
        <v>110.41</v>
      </c>
      <c r="C807">
        <v>46.06</v>
      </c>
      <c r="D807">
        <v>56.29</v>
      </c>
      <c r="G807" s="100">
        <v>40382</v>
      </c>
      <c r="H807" s="14">
        <f t="shared" si="36"/>
        <v>72.829815303430081</v>
      </c>
      <c r="I807" s="14">
        <f t="shared" si="37"/>
        <v>98.947368421052644</v>
      </c>
      <c r="J807" s="14">
        <f t="shared" si="38"/>
        <v>96.934733941794377</v>
      </c>
    </row>
    <row r="808" spans="1:10">
      <c r="A808" s="100">
        <v>40385</v>
      </c>
      <c r="B808">
        <v>111.56</v>
      </c>
      <c r="C808">
        <v>46.44</v>
      </c>
      <c r="D808">
        <v>56.68</v>
      </c>
      <c r="G808" s="100">
        <v>40385</v>
      </c>
      <c r="H808" s="14">
        <f t="shared" si="36"/>
        <v>73.588390501319267</v>
      </c>
      <c r="I808" s="14">
        <f t="shared" si="37"/>
        <v>99.763694951664888</v>
      </c>
      <c r="J808" s="14">
        <f t="shared" si="38"/>
        <v>97.606337179266404</v>
      </c>
    </row>
    <row r="809" spans="1:10">
      <c r="A809" s="100">
        <v>40386</v>
      </c>
      <c r="B809">
        <v>111.55</v>
      </c>
      <c r="C809">
        <v>46.42</v>
      </c>
      <c r="D809">
        <v>56.75</v>
      </c>
      <c r="G809" s="100">
        <v>40386</v>
      </c>
      <c r="H809" s="14">
        <f t="shared" si="36"/>
        <v>73.581794195250666</v>
      </c>
      <c r="I809" s="14">
        <f t="shared" si="37"/>
        <v>99.720730397422145</v>
      </c>
      <c r="J809" s="14">
        <f t="shared" si="38"/>
        <v>97.726881350094715</v>
      </c>
    </row>
    <row r="810" spans="1:10">
      <c r="A810" s="100">
        <v>40387</v>
      </c>
      <c r="B810">
        <v>110.83</v>
      </c>
      <c r="C810">
        <v>46.05</v>
      </c>
      <c r="D810">
        <v>56.15</v>
      </c>
      <c r="G810" s="100">
        <v>40387</v>
      </c>
      <c r="H810" s="14">
        <f t="shared" si="36"/>
        <v>73.106860158311349</v>
      </c>
      <c r="I810" s="14">
        <f t="shared" si="37"/>
        <v>98.925886143931251</v>
      </c>
      <c r="J810" s="14">
        <f t="shared" si="38"/>
        <v>96.693645600137756</v>
      </c>
    </row>
    <row r="811" spans="1:10">
      <c r="A811" s="100">
        <v>40388</v>
      </c>
      <c r="B811">
        <v>110.29</v>
      </c>
      <c r="C811">
        <v>45.71</v>
      </c>
      <c r="D811">
        <v>55.66</v>
      </c>
      <c r="G811" s="100">
        <v>40388</v>
      </c>
      <c r="H811" s="14">
        <f t="shared" si="36"/>
        <v>72.750659630606862</v>
      </c>
      <c r="I811" s="14">
        <f t="shared" si="37"/>
        <v>98.195488721804509</v>
      </c>
      <c r="J811" s="14">
        <f t="shared" si="38"/>
        <v>95.849836404339584</v>
      </c>
    </row>
    <row r="812" spans="1:10">
      <c r="A812" s="100">
        <v>40389</v>
      </c>
      <c r="B812">
        <v>110.27</v>
      </c>
      <c r="C812">
        <v>45.81</v>
      </c>
      <c r="D812">
        <v>55.44</v>
      </c>
      <c r="G812" s="100">
        <v>40389</v>
      </c>
      <c r="H812" s="14">
        <f t="shared" si="36"/>
        <v>72.737467018469658</v>
      </c>
      <c r="I812" s="14">
        <f t="shared" si="37"/>
        <v>98.41031149301827</v>
      </c>
      <c r="J812" s="14">
        <f t="shared" si="38"/>
        <v>95.470983296022041</v>
      </c>
    </row>
    <row r="813" spans="1:10">
      <c r="A813" s="100">
        <v>40392</v>
      </c>
      <c r="B813">
        <v>112.76</v>
      </c>
      <c r="C813">
        <v>46.67</v>
      </c>
      <c r="D813">
        <v>56.59</v>
      </c>
      <c r="G813" s="100">
        <v>40392</v>
      </c>
      <c r="H813" s="14">
        <f t="shared" si="36"/>
        <v>74.379947229551462</v>
      </c>
      <c r="I813" s="14">
        <f t="shared" si="37"/>
        <v>100.25778732545652</v>
      </c>
      <c r="J813" s="14">
        <f t="shared" si="38"/>
        <v>97.451351816772871</v>
      </c>
    </row>
    <row r="814" spans="1:10">
      <c r="A814" s="100">
        <v>40393</v>
      </c>
      <c r="B814">
        <v>112.22</v>
      </c>
      <c r="C814">
        <v>46.47</v>
      </c>
      <c r="D814">
        <v>56.34</v>
      </c>
      <c r="G814" s="100">
        <v>40393</v>
      </c>
      <c r="H814" s="14">
        <f t="shared" si="36"/>
        <v>74.023746701846974</v>
      </c>
      <c r="I814" s="14">
        <f t="shared" si="37"/>
        <v>99.828141783028997</v>
      </c>
      <c r="J814" s="14">
        <f t="shared" si="38"/>
        <v>97.020836920957464</v>
      </c>
    </row>
    <row r="815" spans="1:10">
      <c r="A815" s="100">
        <v>40394</v>
      </c>
      <c r="B815">
        <v>112.97</v>
      </c>
      <c r="C815">
        <v>46.94</v>
      </c>
      <c r="D815">
        <v>56.73</v>
      </c>
      <c r="G815" s="100">
        <v>40394</v>
      </c>
      <c r="H815" s="14">
        <f t="shared" si="36"/>
        <v>74.518469656992082</v>
      </c>
      <c r="I815" s="14">
        <f t="shared" si="37"/>
        <v>100.83780880773364</v>
      </c>
      <c r="J815" s="14">
        <f t="shared" si="38"/>
        <v>97.692440158429477</v>
      </c>
    </row>
    <row r="816" spans="1:10">
      <c r="A816" s="100">
        <v>40395</v>
      </c>
      <c r="B816">
        <v>112.85</v>
      </c>
      <c r="C816">
        <v>46.83</v>
      </c>
      <c r="D816">
        <v>56.51</v>
      </c>
      <c r="G816" s="100">
        <v>40395</v>
      </c>
      <c r="H816" s="14">
        <f t="shared" si="36"/>
        <v>74.439313984168862</v>
      </c>
      <c r="I816" s="14">
        <f t="shared" si="37"/>
        <v>100.6015037593985</v>
      </c>
      <c r="J816" s="14">
        <f t="shared" si="38"/>
        <v>97.31358705011192</v>
      </c>
    </row>
    <row r="817" spans="1:10">
      <c r="A817" s="100">
        <v>40396</v>
      </c>
      <c r="B817">
        <v>112.39</v>
      </c>
      <c r="C817">
        <v>46.76</v>
      </c>
      <c r="D817">
        <v>56.32</v>
      </c>
      <c r="G817" s="100">
        <v>40396</v>
      </c>
      <c r="H817" s="14">
        <f t="shared" si="36"/>
        <v>74.135883905013202</v>
      </c>
      <c r="I817" s="14">
        <f t="shared" si="37"/>
        <v>100.45112781954887</v>
      </c>
      <c r="J817" s="14">
        <f t="shared" si="38"/>
        <v>96.986395729292227</v>
      </c>
    </row>
    <row r="818" spans="1:10">
      <c r="A818" s="100">
        <v>40399</v>
      </c>
      <c r="B818">
        <v>112.99</v>
      </c>
      <c r="C818">
        <v>47.08</v>
      </c>
      <c r="D818">
        <v>56.58</v>
      </c>
      <c r="G818" s="100">
        <v>40399</v>
      </c>
      <c r="H818" s="14">
        <f t="shared" si="36"/>
        <v>74.531662269129285</v>
      </c>
      <c r="I818" s="14">
        <f t="shared" si="37"/>
        <v>101.13856068743287</v>
      </c>
      <c r="J818" s="14">
        <f t="shared" si="38"/>
        <v>97.434131220940245</v>
      </c>
    </row>
    <row r="819" spans="1:10">
      <c r="A819" s="100">
        <v>40400</v>
      </c>
      <c r="B819">
        <v>112.38</v>
      </c>
      <c r="C819">
        <v>46.67</v>
      </c>
      <c r="D819">
        <v>55.84</v>
      </c>
      <c r="G819" s="100">
        <v>40400</v>
      </c>
      <c r="H819" s="14">
        <f t="shared" si="36"/>
        <v>74.129287598944586</v>
      </c>
      <c r="I819" s="14">
        <f t="shared" si="37"/>
        <v>100.25778732545652</v>
      </c>
      <c r="J819" s="14">
        <f t="shared" si="38"/>
        <v>96.15980712932668</v>
      </c>
    </row>
    <row r="820" spans="1:10">
      <c r="A820" s="100">
        <v>40401</v>
      </c>
      <c r="B820">
        <v>109.3</v>
      </c>
      <c r="C820">
        <v>45.4</v>
      </c>
      <c r="D820">
        <v>54.37</v>
      </c>
      <c r="G820" s="100">
        <v>40401</v>
      </c>
      <c r="H820" s="14">
        <f t="shared" si="36"/>
        <v>72.097625329815301</v>
      </c>
      <c r="I820" s="14">
        <f t="shared" si="37"/>
        <v>97.529538131041889</v>
      </c>
      <c r="J820" s="14">
        <f t="shared" si="38"/>
        <v>93.628379541932148</v>
      </c>
    </row>
    <row r="821" spans="1:10">
      <c r="A821" s="100">
        <v>40402</v>
      </c>
      <c r="B821">
        <v>108.63</v>
      </c>
      <c r="C821">
        <v>45.04</v>
      </c>
      <c r="D821">
        <v>53.35</v>
      </c>
      <c r="G821" s="100">
        <v>40402</v>
      </c>
      <c r="H821" s="14">
        <f t="shared" si="36"/>
        <v>71.655672823218993</v>
      </c>
      <c r="I821" s="14">
        <f t="shared" si="37"/>
        <v>96.756176154672403</v>
      </c>
      <c r="J821" s="14">
        <f t="shared" si="38"/>
        <v>91.871878767005342</v>
      </c>
    </row>
    <row r="822" spans="1:10">
      <c r="A822" s="100">
        <v>40403</v>
      </c>
      <c r="B822">
        <v>108.31</v>
      </c>
      <c r="C822">
        <v>44.72</v>
      </c>
      <c r="D822">
        <v>53.06</v>
      </c>
      <c r="G822" s="100">
        <v>40403</v>
      </c>
      <c r="H822" s="14">
        <f t="shared" si="36"/>
        <v>71.444591029023755</v>
      </c>
      <c r="I822" s="14">
        <f t="shared" si="37"/>
        <v>96.068743286788404</v>
      </c>
      <c r="J822" s="14">
        <f t="shared" si="38"/>
        <v>91.372481487859474</v>
      </c>
    </row>
    <row r="823" spans="1:10">
      <c r="A823" s="100">
        <v>40406</v>
      </c>
      <c r="B823">
        <v>108.26</v>
      </c>
      <c r="C823">
        <v>44.8</v>
      </c>
      <c r="D823">
        <v>53.25</v>
      </c>
      <c r="G823" s="100">
        <v>40406</v>
      </c>
      <c r="H823" s="14">
        <f t="shared" si="36"/>
        <v>71.411609498680747</v>
      </c>
      <c r="I823" s="14">
        <f t="shared" si="37"/>
        <v>96.240601503759393</v>
      </c>
      <c r="J823" s="14">
        <f t="shared" si="38"/>
        <v>91.699672808679182</v>
      </c>
    </row>
    <row r="824" spans="1:10">
      <c r="A824" s="100">
        <v>40407</v>
      </c>
      <c r="B824">
        <v>109.59</v>
      </c>
      <c r="C824">
        <v>45.37</v>
      </c>
      <c r="D824">
        <v>53.82</v>
      </c>
      <c r="G824" s="100">
        <v>40407</v>
      </c>
      <c r="H824" s="14">
        <f t="shared" si="36"/>
        <v>72.288918205804748</v>
      </c>
      <c r="I824" s="14">
        <f t="shared" si="37"/>
        <v>97.465091299677766</v>
      </c>
      <c r="J824" s="14">
        <f t="shared" si="38"/>
        <v>92.681246771138277</v>
      </c>
    </row>
    <row r="825" spans="1:10">
      <c r="A825" s="100">
        <v>40408</v>
      </c>
      <c r="B825">
        <v>109.79</v>
      </c>
      <c r="C825">
        <v>45.55</v>
      </c>
      <c r="D825">
        <v>54.12</v>
      </c>
      <c r="G825" s="100">
        <v>40408</v>
      </c>
      <c r="H825" s="14">
        <f t="shared" si="36"/>
        <v>72.420844327176795</v>
      </c>
      <c r="I825" s="14">
        <f t="shared" si="37"/>
        <v>97.851772287862516</v>
      </c>
      <c r="J825" s="14">
        <f t="shared" si="38"/>
        <v>93.197864646116741</v>
      </c>
    </row>
    <row r="826" spans="1:10">
      <c r="A826" s="100">
        <v>40409</v>
      </c>
      <c r="B826">
        <v>107.88</v>
      </c>
      <c r="C826">
        <v>44.86</v>
      </c>
      <c r="D826">
        <v>53.43</v>
      </c>
      <c r="G826" s="100">
        <v>40409</v>
      </c>
      <c r="H826" s="14">
        <f t="shared" si="36"/>
        <v>71.160949868073871</v>
      </c>
      <c r="I826" s="14">
        <f t="shared" si="37"/>
        <v>96.369495166487653</v>
      </c>
      <c r="J826" s="14">
        <f t="shared" si="38"/>
        <v>92.009643533666264</v>
      </c>
    </row>
    <row r="827" spans="1:10">
      <c r="A827" s="100">
        <v>40410</v>
      </c>
      <c r="B827">
        <v>107.53</v>
      </c>
      <c r="C827">
        <v>44.92</v>
      </c>
      <c r="D827">
        <v>53.54</v>
      </c>
      <c r="G827" s="100">
        <v>40410</v>
      </c>
      <c r="H827" s="14">
        <f t="shared" si="36"/>
        <v>70.930079155672829</v>
      </c>
      <c r="I827" s="14">
        <f t="shared" si="37"/>
        <v>96.498388829215912</v>
      </c>
      <c r="J827" s="14">
        <f t="shared" si="38"/>
        <v>92.199070087825035</v>
      </c>
    </row>
    <row r="828" spans="1:10">
      <c r="A828" s="100">
        <v>40413</v>
      </c>
      <c r="B828">
        <v>107.12</v>
      </c>
      <c r="C828">
        <v>44.48</v>
      </c>
      <c r="D828">
        <v>53</v>
      </c>
      <c r="G828" s="100">
        <v>40413</v>
      </c>
      <c r="H828" s="14">
        <f t="shared" si="36"/>
        <v>70.659630606860162</v>
      </c>
      <c r="I828" s="14">
        <f t="shared" si="37"/>
        <v>95.553168635875409</v>
      </c>
      <c r="J828" s="14">
        <f t="shared" si="38"/>
        <v>91.26915791286379</v>
      </c>
    </row>
    <row r="829" spans="1:10">
      <c r="A829" s="100">
        <v>40414</v>
      </c>
      <c r="B829">
        <v>105.53</v>
      </c>
      <c r="C829">
        <v>43.65</v>
      </c>
      <c r="D829">
        <v>52.1</v>
      </c>
      <c r="G829" s="100">
        <v>40414</v>
      </c>
      <c r="H829" s="14">
        <f t="shared" si="36"/>
        <v>69.610817941952504</v>
      </c>
      <c r="I829" s="14">
        <f t="shared" si="37"/>
        <v>93.770139634801282</v>
      </c>
      <c r="J829" s="14">
        <f t="shared" si="38"/>
        <v>89.719304287928367</v>
      </c>
    </row>
    <row r="830" spans="1:10">
      <c r="A830" s="100">
        <v>40415</v>
      </c>
      <c r="B830">
        <v>105.94</v>
      </c>
      <c r="C830">
        <v>44.07</v>
      </c>
      <c r="D830">
        <v>52.42</v>
      </c>
      <c r="G830" s="100">
        <v>40415</v>
      </c>
      <c r="H830" s="14">
        <f t="shared" si="36"/>
        <v>69.881266490765171</v>
      </c>
      <c r="I830" s="14">
        <f t="shared" si="37"/>
        <v>94.672395273899042</v>
      </c>
      <c r="J830" s="14">
        <f t="shared" si="38"/>
        <v>90.270363354572069</v>
      </c>
    </row>
    <row r="831" spans="1:10">
      <c r="A831" s="100">
        <v>40416</v>
      </c>
      <c r="B831">
        <v>105.23</v>
      </c>
      <c r="C831">
        <v>43.54</v>
      </c>
      <c r="D831">
        <v>51.85</v>
      </c>
      <c r="G831" s="100">
        <v>40416</v>
      </c>
      <c r="H831" s="14">
        <f t="shared" si="36"/>
        <v>69.41292875989447</v>
      </c>
      <c r="I831" s="14">
        <f t="shared" si="37"/>
        <v>93.53383458646617</v>
      </c>
      <c r="J831" s="14">
        <f t="shared" si="38"/>
        <v>89.28878939211296</v>
      </c>
    </row>
    <row r="832" spans="1:10">
      <c r="A832" s="100">
        <v>40417</v>
      </c>
      <c r="B832">
        <v>106.86</v>
      </c>
      <c r="C832">
        <v>44.07</v>
      </c>
      <c r="D832">
        <v>52.48</v>
      </c>
      <c r="G832" s="100">
        <v>40417</v>
      </c>
      <c r="H832" s="14">
        <f t="shared" si="36"/>
        <v>70.48812664907652</v>
      </c>
      <c r="I832" s="14">
        <f t="shared" si="37"/>
        <v>94.672395273899042</v>
      </c>
      <c r="J832" s="14">
        <f t="shared" si="38"/>
        <v>90.373686929567754</v>
      </c>
    </row>
    <row r="833" spans="1:10">
      <c r="A833" s="100">
        <v>40420</v>
      </c>
      <c r="B833">
        <v>105.31</v>
      </c>
      <c r="C833">
        <v>43.61</v>
      </c>
      <c r="D833">
        <v>51.84</v>
      </c>
      <c r="G833" s="100">
        <v>40420</v>
      </c>
      <c r="H833" s="14">
        <f t="shared" si="36"/>
        <v>69.465699208443283</v>
      </c>
      <c r="I833" s="14">
        <f t="shared" si="37"/>
        <v>93.684210526315795</v>
      </c>
      <c r="J833" s="14">
        <f t="shared" si="38"/>
        <v>89.271568796280349</v>
      </c>
    </row>
    <row r="834" spans="1:10">
      <c r="A834" s="100">
        <v>40421</v>
      </c>
      <c r="B834">
        <v>105.31</v>
      </c>
      <c r="C834">
        <v>43.46</v>
      </c>
      <c r="D834">
        <v>51.54</v>
      </c>
      <c r="G834" s="100">
        <v>40421</v>
      </c>
      <c r="H834" s="14">
        <f t="shared" si="36"/>
        <v>69.465699208443283</v>
      </c>
      <c r="I834" s="14">
        <f t="shared" si="37"/>
        <v>93.361976369495167</v>
      </c>
      <c r="J834" s="14">
        <f t="shared" si="38"/>
        <v>88.754950921301884</v>
      </c>
    </row>
    <row r="835" spans="1:10">
      <c r="A835" s="100">
        <v>40422</v>
      </c>
      <c r="B835">
        <v>108.46</v>
      </c>
      <c r="C835">
        <v>44.76</v>
      </c>
      <c r="D835">
        <v>52.89</v>
      </c>
      <c r="G835" s="100">
        <v>40422</v>
      </c>
      <c r="H835" s="14">
        <f t="shared" si="36"/>
        <v>71.543535620052765</v>
      </c>
      <c r="I835" s="14">
        <f t="shared" si="37"/>
        <v>96.154672395273906</v>
      </c>
      <c r="J835" s="14">
        <f t="shared" si="38"/>
        <v>91.079731358705004</v>
      </c>
    </row>
    <row r="836" spans="1:10">
      <c r="A836" s="100">
        <v>40423</v>
      </c>
      <c r="B836">
        <v>109.47</v>
      </c>
      <c r="C836">
        <v>45.26</v>
      </c>
      <c r="D836">
        <v>53.32</v>
      </c>
      <c r="G836" s="100">
        <v>40423</v>
      </c>
      <c r="H836" s="14">
        <f t="shared" si="36"/>
        <v>72.209762532981543</v>
      </c>
      <c r="I836" s="14">
        <f t="shared" si="37"/>
        <v>97.22878625134264</v>
      </c>
      <c r="J836" s="14">
        <f t="shared" si="38"/>
        <v>91.820216979507492</v>
      </c>
    </row>
    <row r="837" spans="1:10">
      <c r="A837" s="100">
        <v>40424</v>
      </c>
      <c r="B837">
        <v>110.89</v>
      </c>
      <c r="C837">
        <v>46.01</v>
      </c>
      <c r="D837">
        <v>54.26</v>
      </c>
      <c r="G837" s="100">
        <v>40424</v>
      </c>
      <c r="H837" s="14">
        <f t="shared" ref="H837:H900" si="39">B837/$B$4*100</f>
        <v>73.146437994722959</v>
      </c>
      <c r="I837" s="14">
        <f t="shared" ref="I837:I900" si="40">C837/$C$4*100</f>
        <v>98.839957035445764</v>
      </c>
      <c r="J837" s="14">
        <f t="shared" ref="J837:J900" si="41">D837/$D$4*100</f>
        <v>93.438952987773376</v>
      </c>
    </row>
    <row r="838" spans="1:10">
      <c r="A838" s="100">
        <v>40428</v>
      </c>
      <c r="B838">
        <v>109.64</v>
      </c>
      <c r="C838">
        <v>45.7</v>
      </c>
      <c r="D838">
        <v>53.83</v>
      </c>
      <c r="G838" s="100">
        <v>40428</v>
      </c>
      <c r="H838" s="14">
        <f t="shared" si="39"/>
        <v>72.32189973614777</v>
      </c>
      <c r="I838" s="14">
        <f t="shared" si="40"/>
        <v>98.174006444683144</v>
      </c>
      <c r="J838" s="14">
        <f t="shared" si="41"/>
        <v>92.698467366970888</v>
      </c>
    </row>
    <row r="839" spans="1:10">
      <c r="A839" s="100">
        <v>40429</v>
      </c>
      <c r="B839">
        <v>110.41</v>
      </c>
      <c r="C839">
        <v>46.25</v>
      </c>
      <c r="D839">
        <v>54.08</v>
      </c>
      <c r="G839" s="100">
        <v>40429</v>
      </c>
      <c r="H839" s="14">
        <f t="shared" si="39"/>
        <v>72.829815303430081</v>
      </c>
      <c r="I839" s="14">
        <f t="shared" si="40"/>
        <v>99.355531686358759</v>
      </c>
      <c r="J839" s="14">
        <f t="shared" si="41"/>
        <v>93.12898226278628</v>
      </c>
    </row>
    <row r="840" spans="1:10">
      <c r="A840" s="100">
        <v>40430</v>
      </c>
      <c r="B840">
        <v>110.92</v>
      </c>
      <c r="C840">
        <v>46.43</v>
      </c>
      <c r="D840">
        <v>54.21</v>
      </c>
      <c r="G840" s="100">
        <v>40430</v>
      </c>
      <c r="H840" s="14">
        <f t="shared" si="39"/>
        <v>73.166226912928764</v>
      </c>
      <c r="I840" s="14">
        <f t="shared" si="40"/>
        <v>99.742212674543509</v>
      </c>
      <c r="J840" s="14">
        <f t="shared" si="41"/>
        <v>93.352850008610304</v>
      </c>
    </row>
    <row r="841" spans="1:10">
      <c r="A841" s="100">
        <v>40431</v>
      </c>
      <c r="B841">
        <v>111.48</v>
      </c>
      <c r="C841">
        <v>46.6</v>
      </c>
      <c r="D841">
        <v>54.19</v>
      </c>
      <c r="G841" s="100">
        <v>40431</v>
      </c>
      <c r="H841" s="14">
        <f t="shared" si="39"/>
        <v>73.535620052770454</v>
      </c>
      <c r="I841" s="14">
        <f t="shared" si="40"/>
        <v>100.10741138560688</v>
      </c>
      <c r="J841" s="14">
        <f t="shared" si="41"/>
        <v>93.318408816945066</v>
      </c>
    </row>
    <row r="842" spans="1:10">
      <c r="A842" s="100">
        <v>40434</v>
      </c>
      <c r="B842">
        <v>112.72</v>
      </c>
      <c r="C842">
        <v>47.25</v>
      </c>
      <c r="D842">
        <v>55.42</v>
      </c>
      <c r="G842" s="100">
        <v>40434</v>
      </c>
      <c r="H842" s="14">
        <f t="shared" si="39"/>
        <v>74.353562005277055</v>
      </c>
      <c r="I842" s="14">
        <f t="shared" si="40"/>
        <v>101.50375939849626</v>
      </c>
      <c r="J842" s="14">
        <f t="shared" si="41"/>
        <v>95.436542104356818</v>
      </c>
    </row>
    <row r="843" spans="1:10">
      <c r="A843" s="100">
        <v>40435</v>
      </c>
      <c r="B843">
        <v>112.65</v>
      </c>
      <c r="C843">
        <v>47.45</v>
      </c>
      <c r="D843">
        <v>55.66</v>
      </c>
      <c r="G843" s="100">
        <v>40435</v>
      </c>
      <c r="H843" s="14">
        <f t="shared" si="39"/>
        <v>74.30738786279683</v>
      </c>
      <c r="I843" s="14">
        <f t="shared" si="40"/>
        <v>101.93340494092375</v>
      </c>
      <c r="J843" s="14">
        <f t="shared" si="41"/>
        <v>95.849836404339584</v>
      </c>
    </row>
    <row r="844" spans="1:10">
      <c r="A844" s="100">
        <v>40436</v>
      </c>
      <c r="B844">
        <v>113.08</v>
      </c>
      <c r="C844">
        <v>47.75</v>
      </c>
      <c r="D844">
        <v>55.98</v>
      </c>
      <c r="G844" s="100">
        <v>40436</v>
      </c>
      <c r="H844" s="14">
        <f t="shared" si="39"/>
        <v>74.5910290237467</v>
      </c>
      <c r="I844" s="14">
        <f t="shared" si="40"/>
        <v>102.57787325456501</v>
      </c>
      <c r="J844" s="14">
        <f t="shared" si="41"/>
        <v>96.400895470983301</v>
      </c>
    </row>
    <row r="845" spans="1:10">
      <c r="A845" s="100">
        <v>40437</v>
      </c>
      <c r="B845">
        <v>113.05</v>
      </c>
      <c r="C845">
        <v>47.94</v>
      </c>
      <c r="D845">
        <v>56.36</v>
      </c>
      <c r="G845" s="100">
        <v>40437</v>
      </c>
      <c r="H845" s="14">
        <f t="shared" si="39"/>
        <v>74.571240105540909</v>
      </c>
      <c r="I845" s="14">
        <f t="shared" si="40"/>
        <v>102.98603651987111</v>
      </c>
      <c r="J845" s="14">
        <f t="shared" si="41"/>
        <v>97.055278112622702</v>
      </c>
    </row>
    <row r="846" spans="1:10">
      <c r="A846" s="100">
        <v>40438</v>
      </c>
      <c r="B846">
        <v>112.49</v>
      </c>
      <c r="C846">
        <v>47.99</v>
      </c>
      <c r="D846">
        <v>56.59</v>
      </c>
      <c r="G846" s="100">
        <v>40438</v>
      </c>
      <c r="H846" s="14">
        <f t="shared" si="39"/>
        <v>74.201846965699204</v>
      </c>
      <c r="I846" s="14">
        <f t="shared" si="40"/>
        <v>103.09344790547799</v>
      </c>
      <c r="J846" s="14">
        <f t="shared" si="41"/>
        <v>97.451351816772871</v>
      </c>
    </row>
    <row r="847" spans="1:10">
      <c r="A847" s="100">
        <v>40441</v>
      </c>
      <c r="B847">
        <v>114.21</v>
      </c>
      <c r="C847">
        <v>48.83</v>
      </c>
      <c r="D847">
        <v>57.39</v>
      </c>
      <c r="G847" s="100">
        <v>40441</v>
      </c>
      <c r="H847" s="14">
        <f t="shared" si="39"/>
        <v>75.336411609498683</v>
      </c>
      <c r="I847" s="14">
        <f t="shared" si="40"/>
        <v>104.89795918367346</v>
      </c>
      <c r="J847" s="14">
        <f t="shared" si="41"/>
        <v>98.828999483382134</v>
      </c>
    </row>
    <row r="848" spans="1:10">
      <c r="A848" s="100">
        <v>40442</v>
      </c>
      <c r="B848">
        <v>113.98</v>
      </c>
      <c r="C848">
        <v>48.82</v>
      </c>
      <c r="D848">
        <v>57.3</v>
      </c>
      <c r="G848" s="100">
        <v>40442</v>
      </c>
      <c r="H848" s="14">
        <f t="shared" si="39"/>
        <v>75.184696569920845</v>
      </c>
      <c r="I848" s="14">
        <f t="shared" si="40"/>
        <v>104.87647690655211</v>
      </c>
      <c r="J848" s="14">
        <f t="shared" si="41"/>
        <v>98.674014120888572</v>
      </c>
    </row>
    <row r="849" spans="1:10">
      <c r="A849" s="100">
        <v>40443</v>
      </c>
      <c r="B849">
        <v>113.42</v>
      </c>
      <c r="C849">
        <v>48.69</v>
      </c>
      <c r="D849">
        <v>56.98</v>
      </c>
      <c r="G849" s="100">
        <v>40443</v>
      </c>
      <c r="H849" s="14">
        <f t="shared" si="39"/>
        <v>74.815303430079155</v>
      </c>
      <c r="I849" s="14">
        <f t="shared" si="40"/>
        <v>104.59720730397422</v>
      </c>
      <c r="J849" s="14">
        <f t="shared" si="41"/>
        <v>98.122955054244869</v>
      </c>
    </row>
    <row r="850" spans="1:10">
      <c r="A850" s="100">
        <v>40444</v>
      </c>
      <c r="B850">
        <v>112.5</v>
      </c>
      <c r="C850">
        <v>48.67</v>
      </c>
      <c r="D850">
        <v>56.89</v>
      </c>
      <c r="G850" s="100">
        <v>40444</v>
      </c>
      <c r="H850" s="14">
        <f t="shared" si="39"/>
        <v>74.208443271767806</v>
      </c>
      <c r="I850" s="14">
        <f t="shared" si="40"/>
        <v>104.55424274973149</v>
      </c>
      <c r="J850" s="14">
        <f t="shared" si="41"/>
        <v>97.967969691751335</v>
      </c>
    </row>
    <row r="851" spans="1:10">
      <c r="A851" s="100">
        <v>40445</v>
      </c>
      <c r="B851">
        <v>114.82</v>
      </c>
      <c r="C851">
        <v>49.66</v>
      </c>
      <c r="D851">
        <v>58.11</v>
      </c>
      <c r="G851" s="100">
        <v>40445</v>
      </c>
      <c r="H851" s="14">
        <f t="shared" si="39"/>
        <v>75.738786279683382</v>
      </c>
      <c r="I851" s="14">
        <f t="shared" si="40"/>
        <v>106.68098818474758</v>
      </c>
      <c r="J851" s="14">
        <f t="shared" si="41"/>
        <v>100.06888238333048</v>
      </c>
    </row>
    <row r="852" spans="1:10">
      <c r="A852" s="100">
        <v>40448</v>
      </c>
      <c r="B852">
        <v>114.27</v>
      </c>
      <c r="C852">
        <v>49.39</v>
      </c>
      <c r="D852">
        <v>58.03</v>
      </c>
      <c r="G852" s="100">
        <v>40448</v>
      </c>
      <c r="H852" s="14">
        <f t="shared" si="39"/>
        <v>75.375989445910278</v>
      </c>
      <c r="I852" s="14">
        <f t="shared" si="40"/>
        <v>106.10096670247047</v>
      </c>
      <c r="J852" s="14">
        <f t="shared" si="41"/>
        <v>99.931117616669539</v>
      </c>
    </row>
    <row r="853" spans="1:10">
      <c r="A853" s="100">
        <v>40449</v>
      </c>
      <c r="B853">
        <v>114.67</v>
      </c>
      <c r="C853">
        <v>49.37</v>
      </c>
      <c r="D853">
        <v>58.15</v>
      </c>
      <c r="G853" s="100">
        <v>40449</v>
      </c>
      <c r="H853" s="14">
        <f t="shared" si="39"/>
        <v>75.639841688654357</v>
      </c>
      <c r="I853" s="14">
        <f t="shared" si="40"/>
        <v>106.05800214822771</v>
      </c>
      <c r="J853" s="14">
        <f t="shared" si="41"/>
        <v>100.13776476666092</v>
      </c>
    </row>
    <row r="854" spans="1:10">
      <c r="A854" s="100">
        <v>40450</v>
      </c>
      <c r="B854">
        <v>114.47</v>
      </c>
      <c r="C854">
        <v>49.29</v>
      </c>
      <c r="D854">
        <v>58.16</v>
      </c>
      <c r="G854" s="100">
        <v>40450</v>
      </c>
      <c r="H854" s="14">
        <f t="shared" si="39"/>
        <v>75.507915567282325</v>
      </c>
      <c r="I854" s="14">
        <f t="shared" si="40"/>
        <v>105.88614393125673</v>
      </c>
      <c r="J854" s="14">
        <f t="shared" si="41"/>
        <v>100.15498536249355</v>
      </c>
    </row>
    <row r="855" spans="1:10">
      <c r="A855" s="100">
        <v>40451</v>
      </c>
      <c r="B855">
        <v>114.13</v>
      </c>
      <c r="C855">
        <v>49.07</v>
      </c>
      <c r="D855">
        <v>57.85</v>
      </c>
      <c r="G855" s="100">
        <v>40451</v>
      </c>
      <c r="H855" s="14">
        <f t="shared" si="39"/>
        <v>75.28364116094987</v>
      </c>
      <c r="I855" s="14">
        <f t="shared" si="40"/>
        <v>105.41353383458647</v>
      </c>
      <c r="J855" s="14">
        <f t="shared" si="41"/>
        <v>99.621146891682457</v>
      </c>
    </row>
    <row r="856" spans="1:10">
      <c r="A856" s="100">
        <v>40452</v>
      </c>
      <c r="B856">
        <v>114.61</v>
      </c>
      <c r="C856">
        <v>49.01</v>
      </c>
      <c r="D856">
        <v>57.81</v>
      </c>
      <c r="G856" s="100">
        <v>40452</v>
      </c>
      <c r="H856" s="14">
        <f t="shared" si="39"/>
        <v>75.600263852242747</v>
      </c>
      <c r="I856" s="14">
        <f t="shared" si="40"/>
        <v>105.28464017185821</v>
      </c>
      <c r="J856" s="14">
        <f t="shared" si="41"/>
        <v>99.552264508351996</v>
      </c>
    </row>
    <row r="857" spans="1:10">
      <c r="A857" s="100">
        <v>40455</v>
      </c>
      <c r="B857">
        <v>113.75</v>
      </c>
      <c r="C857">
        <v>48.48</v>
      </c>
      <c r="D857">
        <v>57.19</v>
      </c>
      <c r="G857" s="100">
        <v>40455</v>
      </c>
      <c r="H857" s="14">
        <f t="shared" si="39"/>
        <v>75.032981530343008</v>
      </c>
      <c r="I857" s="14">
        <f t="shared" si="40"/>
        <v>104.14607948442536</v>
      </c>
      <c r="J857" s="14">
        <f t="shared" si="41"/>
        <v>98.484587566729815</v>
      </c>
    </row>
    <row r="858" spans="1:10">
      <c r="A858" s="100">
        <v>40456</v>
      </c>
      <c r="B858">
        <v>116.04</v>
      </c>
      <c r="C858">
        <v>49.66</v>
      </c>
      <c r="D858">
        <v>58.43</v>
      </c>
      <c r="G858" s="100">
        <v>40456</v>
      </c>
      <c r="H858" s="14">
        <f t="shared" si="39"/>
        <v>76.543535620052779</v>
      </c>
      <c r="I858" s="14">
        <f t="shared" si="40"/>
        <v>106.68098818474758</v>
      </c>
      <c r="J858" s="14">
        <f t="shared" si="41"/>
        <v>100.61994144997416</v>
      </c>
    </row>
    <row r="859" spans="1:10">
      <c r="A859" s="100">
        <v>40457</v>
      </c>
      <c r="B859">
        <v>116.03</v>
      </c>
      <c r="C859">
        <v>49.23</v>
      </c>
      <c r="D859">
        <v>57.98</v>
      </c>
      <c r="G859" s="100">
        <v>40457</v>
      </c>
      <c r="H859" s="14">
        <f t="shared" si="39"/>
        <v>76.536939313984178</v>
      </c>
      <c r="I859" s="14">
        <f t="shared" si="40"/>
        <v>105.75725026852847</v>
      </c>
      <c r="J859" s="14">
        <f t="shared" si="41"/>
        <v>99.845014637506452</v>
      </c>
    </row>
    <row r="860" spans="1:10">
      <c r="A860" s="100">
        <v>40458</v>
      </c>
      <c r="B860">
        <v>115.89</v>
      </c>
      <c r="C860">
        <v>49.41</v>
      </c>
      <c r="D860">
        <v>58.13</v>
      </c>
      <c r="G860" s="100">
        <v>40458</v>
      </c>
      <c r="H860" s="14">
        <f t="shared" si="39"/>
        <v>76.444591029023741</v>
      </c>
      <c r="I860" s="14">
        <f t="shared" si="40"/>
        <v>106.14393125671322</v>
      </c>
      <c r="J860" s="14">
        <f t="shared" si="41"/>
        <v>100.1033235749957</v>
      </c>
    </row>
    <row r="861" spans="1:10">
      <c r="A861" s="100">
        <v>40459</v>
      </c>
      <c r="B861">
        <v>116.54</v>
      </c>
      <c r="C861">
        <v>49.75</v>
      </c>
      <c r="D861">
        <v>58.59</v>
      </c>
      <c r="G861" s="100">
        <v>40459</v>
      </c>
      <c r="H861" s="14">
        <f t="shared" si="39"/>
        <v>76.873350923482846</v>
      </c>
      <c r="I861" s="14">
        <f t="shared" si="40"/>
        <v>106.87432867883997</v>
      </c>
      <c r="J861" s="14">
        <f t="shared" si="41"/>
        <v>100.89547098329604</v>
      </c>
    </row>
    <row r="862" spans="1:10">
      <c r="A862" s="100">
        <v>40462</v>
      </c>
      <c r="B862">
        <v>116.65</v>
      </c>
      <c r="C862">
        <v>49.77</v>
      </c>
      <c r="D862">
        <v>58.63</v>
      </c>
      <c r="G862" s="100">
        <v>40462</v>
      </c>
      <c r="H862" s="14">
        <f t="shared" si="39"/>
        <v>76.945910290237478</v>
      </c>
      <c r="I862" s="14">
        <f t="shared" si="40"/>
        <v>106.91729323308272</v>
      </c>
      <c r="J862" s="14">
        <f t="shared" si="41"/>
        <v>100.96435336662648</v>
      </c>
    </row>
    <row r="863" spans="1:10">
      <c r="A863" s="100">
        <v>40463</v>
      </c>
      <c r="B863">
        <v>117.01</v>
      </c>
      <c r="C863">
        <v>50.11</v>
      </c>
      <c r="D863">
        <v>59.1</v>
      </c>
      <c r="G863" s="100">
        <v>40463</v>
      </c>
      <c r="H863" s="14">
        <f t="shared" si="39"/>
        <v>77.183377308707136</v>
      </c>
      <c r="I863" s="14">
        <f t="shared" si="40"/>
        <v>107.64769065520944</v>
      </c>
      <c r="J863" s="14">
        <f t="shared" si="41"/>
        <v>101.77372137075945</v>
      </c>
    </row>
    <row r="864" spans="1:10">
      <c r="A864" s="100">
        <v>40464</v>
      </c>
      <c r="B864">
        <v>117.92</v>
      </c>
      <c r="C864">
        <v>50.52</v>
      </c>
      <c r="D864">
        <v>59.67</v>
      </c>
      <c r="G864" s="100">
        <v>40464</v>
      </c>
      <c r="H864" s="14">
        <f t="shared" si="39"/>
        <v>77.78364116094987</v>
      </c>
      <c r="I864" s="14">
        <f t="shared" si="40"/>
        <v>108.52846401718583</v>
      </c>
      <c r="J864" s="14">
        <f t="shared" si="41"/>
        <v>102.75529533321853</v>
      </c>
    </row>
    <row r="865" spans="1:10">
      <c r="A865" s="100">
        <v>40465</v>
      </c>
      <c r="B865">
        <v>117.46</v>
      </c>
      <c r="C865">
        <v>50.42</v>
      </c>
      <c r="D865">
        <v>59.62</v>
      </c>
      <c r="G865" s="100">
        <v>40465</v>
      </c>
      <c r="H865" s="14">
        <f t="shared" si="39"/>
        <v>77.480211081794195</v>
      </c>
      <c r="I865" s="14">
        <f t="shared" si="40"/>
        <v>108.31364124597209</v>
      </c>
      <c r="J865" s="14">
        <f t="shared" si="41"/>
        <v>102.66919235405545</v>
      </c>
    </row>
    <row r="866" spans="1:10">
      <c r="A866" s="100">
        <v>40466</v>
      </c>
      <c r="B866">
        <v>117.7</v>
      </c>
      <c r="C866">
        <v>51.49</v>
      </c>
      <c r="D866">
        <v>60.84</v>
      </c>
      <c r="G866" s="100">
        <v>40466</v>
      </c>
      <c r="H866" s="14">
        <f t="shared" si="39"/>
        <v>77.638522427440634</v>
      </c>
      <c r="I866" s="14">
        <f t="shared" si="40"/>
        <v>110.6122448979592</v>
      </c>
      <c r="J866" s="14">
        <f t="shared" si="41"/>
        <v>104.77010504563458</v>
      </c>
    </row>
    <row r="867" spans="1:10">
      <c r="A867" s="100">
        <v>40469</v>
      </c>
      <c r="B867">
        <v>118.28</v>
      </c>
      <c r="C867">
        <v>51.3</v>
      </c>
      <c r="D867">
        <v>61</v>
      </c>
      <c r="G867" s="100">
        <v>40469</v>
      </c>
      <c r="H867" s="14">
        <f t="shared" si="39"/>
        <v>78.021108179419528</v>
      </c>
      <c r="I867" s="14">
        <f t="shared" si="40"/>
        <v>110.20408163265307</v>
      </c>
      <c r="J867" s="14">
        <f t="shared" si="41"/>
        <v>105.04563457895644</v>
      </c>
    </row>
    <row r="868" spans="1:10">
      <c r="A868" s="100">
        <v>40470</v>
      </c>
      <c r="B868">
        <v>116.73</v>
      </c>
      <c r="C868">
        <v>50.82</v>
      </c>
      <c r="D868">
        <v>60.02</v>
      </c>
      <c r="G868" s="100">
        <v>40470</v>
      </c>
      <c r="H868" s="14">
        <f t="shared" si="39"/>
        <v>76.998680738786291</v>
      </c>
      <c r="I868" s="14">
        <f t="shared" si="40"/>
        <v>109.17293233082708</v>
      </c>
      <c r="J868" s="14">
        <f t="shared" si="41"/>
        <v>103.35801618736009</v>
      </c>
    </row>
    <row r="869" spans="1:10">
      <c r="A869" s="100">
        <v>40471</v>
      </c>
      <c r="B869">
        <v>117.87</v>
      </c>
      <c r="C869">
        <v>51.19</v>
      </c>
      <c r="D869">
        <v>60.36</v>
      </c>
      <c r="G869" s="100">
        <v>40471</v>
      </c>
      <c r="H869" s="14">
        <f t="shared" si="39"/>
        <v>77.750659630606862</v>
      </c>
      <c r="I869" s="14">
        <f t="shared" si="40"/>
        <v>109.96777658431793</v>
      </c>
      <c r="J869" s="14">
        <f t="shared" si="41"/>
        <v>103.94351644566902</v>
      </c>
    </row>
    <row r="870" spans="1:10">
      <c r="A870" s="100">
        <v>40472</v>
      </c>
      <c r="B870">
        <v>118.13</v>
      </c>
      <c r="C870">
        <v>51.29</v>
      </c>
      <c r="D870">
        <v>60.4</v>
      </c>
      <c r="G870" s="100">
        <v>40472</v>
      </c>
      <c r="H870" s="14">
        <f t="shared" si="39"/>
        <v>77.922163588390504</v>
      </c>
      <c r="I870" s="14">
        <f t="shared" si="40"/>
        <v>110.18259935553169</v>
      </c>
      <c r="J870" s="14">
        <f t="shared" si="41"/>
        <v>104.01239882899948</v>
      </c>
    </row>
    <row r="871" spans="1:10">
      <c r="A871" s="100">
        <v>40473</v>
      </c>
      <c r="B871">
        <v>118.35</v>
      </c>
      <c r="C871">
        <v>51.64</v>
      </c>
      <c r="D871">
        <v>60.88</v>
      </c>
      <c r="G871" s="100">
        <v>40473</v>
      </c>
      <c r="H871" s="14">
        <f t="shared" si="39"/>
        <v>78.067282321899739</v>
      </c>
      <c r="I871" s="14">
        <f t="shared" si="40"/>
        <v>110.93447905477983</v>
      </c>
      <c r="J871" s="14">
        <f t="shared" si="41"/>
        <v>104.83898742896504</v>
      </c>
    </row>
    <row r="872" spans="1:10">
      <c r="A872" s="100">
        <v>40476</v>
      </c>
      <c r="B872">
        <v>118.7</v>
      </c>
      <c r="C872">
        <v>51.89</v>
      </c>
      <c r="D872">
        <v>61.11</v>
      </c>
      <c r="G872" s="100">
        <v>40476</v>
      </c>
      <c r="H872" s="14">
        <f t="shared" si="39"/>
        <v>78.298153034300796</v>
      </c>
      <c r="I872" s="14">
        <f t="shared" si="40"/>
        <v>111.47153598281419</v>
      </c>
      <c r="J872" s="14">
        <f t="shared" si="41"/>
        <v>105.23506113311521</v>
      </c>
    </row>
    <row r="873" spans="1:10">
      <c r="A873" s="100">
        <v>40477</v>
      </c>
      <c r="B873">
        <v>118.72</v>
      </c>
      <c r="C873">
        <v>52.03</v>
      </c>
      <c r="D873">
        <v>61.13</v>
      </c>
      <c r="G873" s="100">
        <v>40477</v>
      </c>
      <c r="H873" s="14">
        <f t="shared" si="39"/>
        <v>78.311345646437999</v>
      </c>
      <c r="I873" s="14">
        <f t="shared" si="40"/>
        <v>111.77228786251344</v>
      </c>
      <c r="J873" s="14">
        <f t="shared" si="41"/>
        <v>105.26950232478045</v>
      </c>
    </row>
    <row r="874" spans="1:10">
      <c r="A874" s="100">
        <v>40478</v>
      </c>
      <c r="B874">
        <v>118.38</v>
      </c>
      <c r="C874">
        <v>52.19</v>
      </c>
      <c r="D874">
        <v>61.54</v>
      </c>
      <c r="G874" s="100">
        <v>40478</v>
      </c>
      <c r="H874" s="14">
        <f t="shared" si="39"/>
        <v>78.087071240105544</v>
      </c>
      <c r="I874" s="14">
        <f t="shared" si="40"/>
        <v>112.11600429645543</v>
      </c>
      <c r="J874" s="14">
        <f t="shared" si="41"/>
        <v>105.9755467539177</v>
      </c>
    </row>
    <row r="875" spans="1:10">
      <c r="A875" s="100">
        <v>40479</v>
      </c>
      <c r="B875">
        <v>118.4</v>
      </c>
      <c r="C875">
        <v>52.3</v>
      </c>
      <c r="D875">
        <v>61.58</v>
      </c>
      <c r="G875" s="100">
        <v>40479</v>
      </c>
      <c r="H875" s="14">
        <f t="shared" si="39"/>
        <v>78.100263852242747</v>
      </c>
      <c r="I875" s="14">
        <f t="shared" si="40"/>
        <v>112.35230934479054</v>
      </c>
      <c r="J875" s="14">
        <f t="shared" si="41"/>
        <v>106.04442913724814</v>
      </c>
    </row>
    <row r="876" spans="1:10">
      <c r="A876" s="100">
        <v>40480</v>
      </c>
      <c r="B876">
        <v>118.49</v>
      </c>
      <c r="C876">
        <v>52.18</v>
      </c>
      <c r="D876">
        <v>61.67</v>
      </c>
      <c r="G876" s="100">
        <v>40480</v>
      </c>
      <c r="H876" s="14">
        <f t="shared" si="39"/>
        <v>78.159630606860148</v>
      </c>
      <c r="I876" s="14">
        <f t="shared" si="40"/>
        <v>112.09452201933405</v>
      </c>
      <c r="J876" s="14">
        <f t="shared" si="41"/>
        <v>106.19941449974168</v>
      </c>
    </row>
    <row r="877" spans="1:10">
      <c r="A877" s="100">
        <v>40483</v>
      </c>
      <c r="B877">
        <v>118.53</v>
      </c>
      <c r="C877">
        <v>52.22</v>
      </c>
      <c r="D877">
        <v>61.84</v>
      </c>
      <c r="G877" s="100">
        <v>40483</v>
      </c>
      <c r="H877" s="14">
        <f t="shared" si="39"/>
        <v>78.186015831134569</v>
      </c>
      <c r="I877" s="14">
        <f t="shared" si="40"/>
        <v>112.18045112781955</v>
      </c>
      <c r="J877" s="14">
        <f t="shared" si="41"/>
        <v>106.49216462889616</v>
      </c>
    </row>
    <row r="878" spans="1:10">
      <c r="A878" s="100">
        <v>40484</v>
      </c>
      <c r="B878">
        <v>119.47</v>
      </c>
      <c r="C878">
        <v>52.78</v>
      </c>
      <c r="D878">
        <v>62.4</v>
      </c>
      <c r="G878" s="100">
        <v>40484</v>
      </c>
      <c r="H878" s="14">
        <f t="shared" si="39"/>
        <v>78.806068601583107</v>
      </c>
      <c r="I878" s="14">
        <f t="shared" si="40"/>
        <v>113.38345864661655</v>
      </c>
      <c r="J878" s="14">
        <f t="shared" si="41"/>
        <v>107.45651799552265</v>
      </c>
    </row>
    <row r="879" spans="1:10">
      <c r="A879" s="100">
        <v>40485</v>
      </c>
      <c r="B879">
        <v>119.95</v>
      </c>
      <c r="C879">
        <v>53.02</v>
      </c>
      <c r="D879">
        <v>62.72</v>
      </c>
      <c r="G879" s="100">
        <v>40485</v>
      </c>
      <c r="H879" s="14">
        <f t="shared" si="39"/>
        <v>79.122691292875984</v>
      </c>
      <c r="I879" s="14">
        <f t="shared" si="40"/>
        <v>113.89903329752956</v>
      </c>
      <c r="J879" s="14">
        <f t="shared" si="41"/>
        <v>108.00757706216635</v>
      </c>
    </row>
    <row r="880" spans="1:10">
      <c r="A880" s="100">
        <v>40486</v>
      </c>
      <c r="B880">
        <v>122.26</v>
      </c>
      <c r="C880">
        <v>53.67</v>
      </c>
      <c r="D880">
        <v>63.68</v>
      </c>
      <c r="G880" s="100">
        <v>40486</v>
      </c>
      <c r="H880" s="14">
        <f t="shared" si="39"/>
        <v>80.646437994722959</v>
      </c>
      <c r="I880" s="14">
        <f t="shared" si="40"/>
        <v>115.29538131041892</v>
      </c>
      <c r="J880" s="14">
        <f t="shared" si="41"/>
        <v>109.66075426209747</v>
      </c>
    </row>
    <row r="881" spans="1:10">
      <c r="A881" s="100">
        <v>40487</v>
      </c>
      <c r="B881">
        <v>122.72</v>
      </c>
      <c r="C881">
        <v>53.67</v>
      </c>
      <c r="D881">
        <v>63.67</v>
      </c>
      <c r="G881" s="100">
        <v>40487</v>
      </c>
      <c r="H881" s="14">
        <f t="shared" si="39"/>
        <v>80.949868073878633</v>
      </c>
      <c r="I881" s="14">
        <f t="shared" si="40"/>
        <v>115.29538131041892</v>
      </c>
      <c r="J881" s="14">
        <f t="shared" si="41"/>
        <v>109.64353366626484</v>
      </c>
    </row>
    <row r="882" spans="1:10">
      <c r="A882" s="100">
        <v>40490</v>
      </c>
      <c r="B882">
        <v>122.49</v>
      </c>
      <c r="C882">
        <v>53.74</v>
      </c>
      <c r="D882">
        <v>63.83</v>
      </c>
      <c r="G882" s="100">
        <v>40490</v>
      </c>
      <c r="H882" s="14">
        <f t="shared" si="39"/>
        <v>80.798153034300796</v>
      </c>
      <c r="I882" s="14">
        <f t="shared" si="40"/>
        <v>115.44575725026853</v>
      </c>
      <c r="J882" s="14">
        <f t="shared" si="41"/>
        <v>109.9190631995867</v>
      </c>
    </row>
    <row r="883" spans="1:10">
      <c r="A883" s="100">
        <v>40491</v>
      </c>
      <c r="B883">
        <v>121.61</v>
      </c>
      <c r="C883">
        <v>53.45</v>
      </c>
      <c r="D883">
        <v>63.6</v>
      </c>
      <c r="G883" s="100">
        <v>40491</v>
      </c>
      <c r="H883" s="14">
        <f t="shared" si="39"/>
        <v>80.217678100263853</v>
      </c>
      <c r="I883" s="14">
        <f t="shared" si="40"/>
        <v>114.82277121374867</v>
      </c>
      <c r="J883" s="14">
        <f t="shared" si="41"/>
        <v>109.52298949543655</v>
      </c>
    </row>
    <row r="884" spans="1:10">
      <c r="A884" s="100">
        <v>40492</v>
      </c>
      <c r="B884">
        <v>122.1</v>
      </c>
      <c r="C884">
        <v>53.72</v>
      </c>
      <c r="D884">
        <v>63.71</v>
      </c>
      <c r="G884" s="100">
        <v>40492</v>
      </c>
      <c r="H884" s="14">
        <f t="shared" si="39"/>
        <v>80.540897097625333</v>
      </c>
      <c r="I884" s="14">
        <f t="shared" si="40"/>
        <v>115.40279269602578</v>
      </c>
      <c r="J884" s="14">
        <f t="shared" si="41"/>
        <v>109.71241604959532</v>
      </c>
    </row>
    <row r="885" spans="1:10">
      <c r="A885" s="100">
        <v>40493</v>
      </c>
      <c r="B885">
        <v>121.64</v>
      </c>
      <c r="C885">
        <v>53.38</v>
      </c>
      <c r="D885">
        <v>62.59</v>
      </c>
      <c r="G885" s="100">
        <v>40493</v>
      </c>
      <c r="H885" s="14">
        <f t="shared" si="39"/>
        <v>80.237467018469673</v>
      </c>
      <c r="I885" s="14">
        <f t="shared" si="40"/>
        <v>114.67239527389906</v>
      </c>
      <c r="J885" s="14">
        <f t="shared" si="41"/>
        <v>107.78370931634235</v>
      </c>
    </row>
    <row r="886" spans="1:10">
      <c r="A886" s="100">
        <v>40494</v>
      </c>
      <c r="B886">
        <v>120.2</v>
      </c>
      <c r="C886">
        <v>52.51</v>
      </c>
      <c r="D886">
        <v>61.77</v>
      </c>
      <c r="G886" s="100">
        <v>40494</v>
      </c>
      <c r="H886" s="14">
        <f t="shared" si="39"/>
        <v>79.287598944591025</v>
      </c>
      <c r="I886" s="14">
        <f t="shared" si="40"/>
        <v>112.80343716433943</v>
      </c>
      <c r="J886" s="14">
        <f t="shared" si="41"/>
        <v>106.37162045806785</v>
      </c>
    </row>
    <row r="887" spans="1:10">
      <c r="A887" s="100">
        <v>40497</v>
      </c>
      <c r="B887">
        <v>120.03</v>
      </c>
      <c r="C887">
        <v>52.31</v>
      </c>
      <c r="D887">
        <v>61.49</v>
      </c>
      <c r="G887" s="100">
        <v>40497</v>
      </c>
      <c r="H887" s="14">
        <f t="shared" si="39"/>
        <v>79.175461741424797</v>
      </c>
      <c r="I887" s="14">
        <f t="shared" si="40"/>
        <v>112.37379162191195</v>
      </c>
      <c r="J887" s="14">
        <f t="shared" si="41"/>
        <v>105.8894437747546</v>
      </c>
    </row>
    <row r="888" spans="1:10">
      <c r="A888" s="100">
        <v>40498</v>
      </c>
      <c r="B888">
        <v>118.16</v>
      </c>
      <c r="C888">
        <v>51.45</v>
      </c>
      <c r="D888">
        <v>60.38</v>
      </c>
      <c r="G888" s="100">
        <v>40498</v>
      </c>
      <c r="H888" s="14">
        <f t="shared" si="39"/>
        <v>77.941952506596294</v>
      </c>
      <c r="I888" s="14">
        <f t="shared" si="40"/>
        <v>110.5263157894737</v>
      </c>
      <c r="J888" s="14">
        <f t="shared" si="41"/>
        <v>103.97795763733426</v>
      </c>
    </row>
    <row r="889" spans="1:10">
      <c r="A889" s="100">
        <v>40499</v>
      </c>
      <c r="B889">
        <v>118.22</v>
      </c>
      <c r="C889">
        <v>51.6</v>
      </c>
      <c r="D889">
        <v>60.37</v>
      </c>
      <c r="G889" s="100">
        <v>40499</v>
      </c>
      <c r="H889" s="14">
        <f t="shared" si="39"/>
        <v>77.981530343007918</v>
      </c>
      <c r="I889" s="14">
        <f t="shared" si="40"/>
        <v>110.84854994629431</v>
      </c>
      <c r="J889" s="14">
        <f t="shared" si="41"/>
        <v>103.96073704150164</v>
      </c>
    </row>
    <row r="890" spans="1:10">
      <c r="A890" s="100">
        <v>40500</v>
      </c>
      <c r="B890">
        <v>119.96</v>
      </c>
      <c r="C890">
        <v>52.43</v>
      </c>
      <c r="D890">
        <v>61.45</v>
      </c>
      <c r="G890" s="100">
        <v>40500</v>
      </c>
      <c r="H890" s="14">
        <f t="shared" si="39"/>
        <v>79.129287598944586</v>
      </c>
      <c r="I890" s="14">
        <f t="shared" si="40"/>
        <v>112.63157894736844</v>
      </c>
      <c r="J890" s="14">
        <f t="shared" si="41"/>
        <v>105.82056139142415</v>
      </c>
    </row>
    <row r="891" spans="1:10">
      <c r="A891" s="100">
        <v>40501</v>
      </c>
      <c r="B891">
        <v>120.29</v>
      </c>
      <c r="C891">
        <v>52.47</v>
      </c>
      <c r="D891">
        <v>61.67</v>
      </c>
      <c r="G891" s="100">
        <v>40501</v>
      </c>
      <c r="H891" s="14">
        <f t="shared" si="39"/>
        <v>79.346965699208454</v>
      </c>
      <c r="I891" s="14">
        <f t="shared" si="40"/>
        <v>112.71750805585393</v>
      </c>
      <c r="J891" s="14">
        <f t="shared" si="41"/>
        <v>106.19941449974168</v>
      </c>
    </row>
    <row r="892" spans="1:10">
      <c r="A892" s="100">
        <v>40504</v>
      </c>
      <c r="B892">
        <v>120.19</v>
      </c>
      <c r="C892">
        <v>52.91</v>
      </c>
      <c r="D892">
        <v>62.18</v>
      </c>
      <c r="G892" s="100">
        <v>40504</v>
      </c>
      <c r="H892" s="14">
        <f t="shared" si="39"/>
        <v>79.281002638522423</v>
      </c>
      <c r="I892" s="14">
        <f t="shared" si="40"/>
        <v>113.66272824919442</v>
      </c>
      <c r="J892" s="14">
        <f t="shared" si="41"/>
        <v>107.07766488720509</v>
      </c>
    </row>
    <row r="893" spans="1:10">
      <c r="A893" s="100">
        <v>40505</v>
      </c>
      <c r="B893">
        <v>118.45</v>
      </c>
      <c r="C893">
        <v>52.07</v>
      </c>
      <c r="D893">
        <v>61.25</v>
      </c>
      <c r="G893" s="100">
        <v>40505</v>
      </c>
      <c r="H893" s="14">
        <f t="shared" si="39"/>
        <v>78.133245382585756</v>
      </c>
      <c r="I893" s="14">
        <f t="shared" si="40"/>
        <v>111.85821697099894</v>
      </c>
      <c r="J893" s="14">
        <f t="shared" si="41"/>
        <v>105.47614947477182</v>
      </c>
    </row>
    <row r="894" spans="1:10">
      <c r="A894" s="100">
        <v>40506</v>
      </c>
      <c r="B894">
        <v>120.2</v>
      </c>
      <c r="C894">
        <v>53.12</v>
      </c>
      <c r="D894">
        <v>62.35</v>
      </c>
      <c r="G894" s="100">
        <v>40506</v>
      </c>
      <c r="H894" s="14">
        <f t="shared" si="39"/>
        <v>79.287598944591025</v>
      </c>
      <c r="I894" s="14">
        <f t="shared" si="40"/>
        <v>114.11385606874329</v>
      </c>
      <c r="J894" s="14">
        <f t="shared" si="41"/>
        <v>107.37041501635957</v>
      </c>
    </row>
    <row r="895" spans="1:10">
      <c r="A895" s="100">
        <v>40508</v>
      </c>
      <c r="B895">
        <v>118.8</v>
      </c>
      <c r="C895">
        <v>52.77</v>
      </c>
      <c r="D895">
        <v>62.13</v>
      </c>
      <c r="G895" s="100">
        <v>40508</v>
      </c>
      <c r="H895" s="14">
        <f t="shared" si="39"/>
        <v>78.364116094986812</v>
      </c>
      <c r="I895" s="14">
        <f t="shared" si="40"/>
        <v>113.36197636949518</v>
      </c>
      <c r="J895" s="14">
        <f t="shared" si="41"/>
        <v>106.99156190804202</v>
      </c>
    </row>
    <row r="896" spans="1:10">
      <c r="A896" s="100">
        <v>40511</v>
      </c>
      <c r="B896">
        <v>119.16</v>
      </c>
      <c r="C896">
        <v>52.73</v>
      </c>
      <c r="D896">
        <v>61.73</v>
      </c>
      <c r="G896" s="100">
        <v>40511</v>
      </c>
      <c r="H896" s="14">
        <f t="shared" si="39"/>
        <v>78.601583113456456</v>
      </c>
      <c r="I896" s="14">
        <f t="shared" si="40"/>
        <v>113.27604726100967</v>
      </c>
      <c r="J896" s="14">
        <f t="shared" si="41"/>
        <v>106.30273807473738</v>
      </c>
    </row>
    <row r="897" spans="1:10">
      <c r="A897" s="100">
        <v>40512</v>
      </c>
      <c r="B897">
        <v>118.49</v>
      </c>
      <c r="C897">
        <v>52.09</v>
      </c>
      <c r="D897">
        <v>60.94</v>
      </c>
      <c r="G897" s="100">
        <v>40512</v>
      </c>
      <c r="H897" s="14">
        <f t="shared" si="39"/>
        <v>78.159630606860148</v>
      </c>
      <c r="I897" s="14">
        <f t="shared" si="40"/>
        <v>111.90118152524168</v>
      </c>
      <c r="J897" s="14">
        <f t="shared" si="41"/>
        <v>104.94231100396074</v>
      </c>
    </row>
    <row r="898" spans="1:10">
      <c r="A898" s="100">
        <v>40513</v>
      </c>
      <c r="B898">
        <v>121.01</v>
      </c>
      <c r="C898">
        <v>53.19</v>
      </c>
      <c r="D898">
        <v>62.28</v>
      </c>
      <c r="G898" s="100">
        <v>40513</v>
      </c>
      <c r="H898" s="14">
        <f t="shared" si="39"/>
        <v>79.821899736147756</v>
      </c>
      <c r="I898" s="14">
        <f t="shared" si="40"/>
        <v>114.2642320085929</v>
      </c>
      <c r="J898" s="14">
        <f t="shared" si="41"/>
        <v>107.24987084553126</v>
      </c>
    </row>
    <row r="899" spans="1:10">
      <c r="A899" s="100">
        <v>40514</v>
      </c>
      <c r="B899">
        <v>122.56</v>
      </c>
      <c r="C899">
        <v>53.73</v>
      </c>
      <c r="D899">
        <v>63.07</v>
      </c>
      <c r="G899" s="100">
        <v>40514</v>
      </c>
      <c r="H899" s="14">
        <f t="shared" si="39"/>
        <v>80.844327176781007</v>
      </c>
      <c r="I899" s="14">
        <f t="shared" si="40"/>
        <v>115.42427497314716</v>
      </c>
      <c r="J899" s="14">
        <f t="shared" si="41"/>
        <v>108.6102979163079</v>
      </c>
    </row>
    <row r="900" spans="1:10">
      <c r="A900" s="100">
        <v>40515</v>
      </c>
      <c r="B900">
        <v>122.89</v>
      </c>
      <c r="C900">
        <v>53.87</v>
      </c>
      <c r="D900">
        <v>63.34</v>
      </c>
      <c r="G900" s="100">
        <v>40515</v>
      </c>
      <c r="H900" s="14">
        <f t="shared" si="39"/>
        <v>81.062005277044861</v>
      </c>
      <c r="I900" s="14">
        <f t="shared" si="40"/>
        <v>115.7250268528464</v>
      </c>
      <c r="J900" s="14">
        <f t="shared" si="41"/>
        <v>109.07525400378854</v>
      </c>
    </row>
    <row r="901" spans="1:10">
      <c r="A901" s="100">
        <v>40518</v>
      </c>
      <c r="B901">
        <v>122.76</v>
      </c>
      <c r="C901">
        <v>53.85</v>
      </c>
      <c r="D901">
        <v>63.36</v>
      </c>
      <c r="G901" s="100">
        <v>40518</v>
      </c>
      <c r="H901" s="14">
        <f t="shared" ref="H901:H964" si="42">B901/$B$4*100</f>
        <v>80.97625329815304</v>
      </c>
      <c r="I901" s="14">
        <f t="shared" ref="I901:I964" si="43">C901/$C$4*100</f>
        <v>115.68206229860367</v>
      </c>
      <c r="J901" s="14">
        <f t="shared" ref="J901:J964" si="44">D901/$D$4*100</f>
        <v>109.10969519545377</v>
      </c>
    </row>
    <row r="902" spans="1:10">
      <c r="A902" s="100">
        <v>40519</v>
      </c>
      <c r="B902">
        <v>122.83</v>
      </c>
      <c r="C902">
        <v>53.88</v>
      </c>
      <c r="D902">
        <v>63.4</v>
      </c>
      <c r="G902" s="100">
        <v>40519</v>
      </c>
      <c r="H902" s="14">
        <f t="shared" si="42"/>
        <v>81.022427440633251</v>
      </c>
      <c r="I902" s="14">
        <f t="shared" si="43"/>
        <v>115.74650912996778</v>
      </c>
      <c r="J902" s="14">
        <f t="shared" si="44"/>
        <v>109.17857757878421</v>
      </c>
    </row>
    <row r="903" spans="1:10">
      <c r="A903" s="100">
        <v>40520</v>
      </c>
      <c r="B903">
        <v>123.28</v>
      </c>
      <c r="C903">
        <v>54.08</v>
      </c>
      <c r="D903">
        <v>63.92</v>
      </c>
      <c r="G903" s="100">
        <v>40520</v>
      </c>
      <c r="H903" s="14">
        <f t="shared" si="42"/>
        <v>81.319261213720324</v>
      </c>
      <c r="I903" s="14">
        <f t="shared" si="43"/>
        <v>116.17615467239528</v>
      </c>
      <c r="J903" s="14">
        <f t="shared" si="44"/>
        <v>110.07404856208025</v>
      </c>
    </row>
    <row r="904" spans="1:10">
      <c r="A904" s="100">
        <v>40521</v>
      </c>
      <c r="B904">
        <v>123.76</v>
      </c>
      <c r="C904">
        <v>54.13</v>
      </c>
      <c r="D904">
        <v>63.91</v>
      </c>
      <c r="G904" s="100">
        <v>40521</v>
      </c>
      <c r="H904" s="14">
        <f t="shared" si="42"/>
        <v>81.635883905013202</v>
      </c>
      <c r="I904" s="14">
        <f t="shared" si="43"/>
        <v>116.28356605800217</v>
      </c>
      <c r="J904" s="14">
        <f t="shared" si="44"/>
        <v>110.05682796624762</v>
      </c>
    </row>
    <row r="905" spans="1:10">
      <c r="A905" s="100">
        <v>40522</v>
      </c>
      <c r="B905">
        <v>124.48</v>
      </c>
      <c r="C905">
        <v>54.49</v>
      </c>
      <c r="D905">
        <v>64.28</v>
      </c>
      <c r="G905" s="100">
        <v>40522</v>
      </c>
      <c r="H905" s="14">
        <f t="shared" si="42"/>
        <v>82.110817941952504</v>
      </c>
      <c r="I905" s="14">
        <f t="shared" si="43"/>
        <v>117.05692803437167</v>
      </c>
      <c r="J905" s="14">
        <f t="shared" si="44"/>
        <v>110.69399001205443</v>
      </c>
    </row>
    <row r="906" spans="1:10">
      <c r="A906" s="100">
        <v>40525</v>
      </c>
      <c r="B906">
        <v>124.56</v>
      </c>
      <c r="C906">
        <v>54.3</v>
      </c>
      <c r="D906">
        <v>64.010000000000005</v>
      </c>
      <c r="G906" s="100">
        <v>40525</v>
      </c>
      <c r="H906" s="14">
        <f t="shared" si="42"/>
        <v>82.163588390501317</v>
      </c>
      <c r="I906" s="14">
        <f t="shared" si="43"/>
        <v>116.64876476906552</v>
      </c>
      <c r="J906" s="14">
        <f t="shared" si="44"/>
        <v>110.2290339245738</v>
      </c>
    </row>
    <row r="907" spans="1:10">
      <c r="A907" s="100">
        <v>40526</v>
      </c>
      <c r="B907">
        <v>124.67</v>
      </c>
      <c r="C907">
        <v>54.4</v>
      </c>
      <c r="D907">
        <v>63.94</v>
      </c>
      <c r="G907" s="100">
        <v>40526</v>
      </c>
      <c r="H907" s="14">
        <f t="shared" si="42"/>
        <v>82.236147757255935</v>
      </c>
      <c r="I907" s="14">
        <f t="shared" si="43"/>
        <v>116.86358754027928</v>
      </c>
      <c r="J907" s="14">
        <f t="shared" si="44"/>
        <v>110.10848975374547</v>
      </c>
    </row>
    <row r="908" spans="1:10">
      <c r="A908" s="100">
        <v>40527</v>
      </c>
      <c r="B908">
        <v>124.1</v>
      </c>
      <c r="C908">
        <v>54.16</v>
      </c>
      <c r="D908">
        <v>63.72</v>
      </c>
      <c r="G908" s="100">
        <v>40527</v>
      </c>
      <c r="H908" s="14">
        <f t="shared" si="42"/>
        <v>81.860158311345643</v>
      </c>
      <c r="I908" s="14">
        <f t="shared" si="43"/>
        <v>116.34801288936627</v>
      </c>
      <c r="J908" s="14">
        <f t="shared" si="44"/>
        <v>109.72963664542792</v>
      </c>
    </row>
    <row r="909" spans="1:10">
      <c r="A909" s="100">
        <v>40528</v>
      </c>
      <c r="B909">
        <v>124.82</v>
      </c>
      <c r="C909">
        <v>54.58</v>
      </c>
      <c r="D909">
        <v>64.13</v>
      </c>
      <c r="G909" s="100">
        <v>40528</v>
      </c>
      <c r="H909" s="14">
        <f t="shared" si="42"/>
        <v>82.335092348284959</v>
      </c>
      <c r="I909" s="14">
        <f t="shared" si="43"/>
        <v>117.25026852846403</v>
      </c>
      <c r="J909" s="14">
        <f t="shared" si="44"/>
        <v>110.43568107456517</v>
      </c>
    </row>
    <row r="910" spans="1:10">
      <c r="A910" s="100">
        <v>40529</v>
      </c>
      <c r="B910">
        <v>124.3</v>
      </c>
      <c r="C910">
        <v>54.52</v>
      </c>
      <c r="D910">
        <v>64.319999999999993</v>
      </c>
      <c r="G910" s="100">
        <v>40529</v>
      </c>
      <c r="H910" s="14">
        <f t="shared" si="42"/>
        <v>81.992084432717689</v>
      </c>
      <c r="I910" s="14">
        <f t="shared" si="43"/>
        <v>117.12137486573577</v>
      </c>
      <c r="J910" s="14">
        <f t="shared" si="44"/>
        <v>110.76287239538487</v>
      </c>
    </row>
    <row r="911" spans="1:10">
      <c r="A911" s="100">
        <v>40532</v>
      </c>
      <c r="B911">
        <v>124.6</v>
      </c>
      <c r="C911">
        <v>54.56</v>
      </c>
      <c r="D911">
        <v>64.239999999999995</v>
      </c>
      <c r="G911" s="100">
        <v>40532</v>
      </c>
      <c r="H911" s="14">
        <f t="shared" si="42"/>
        <v>82.189973614775724</v>
      </c>
      <c r="I911" s="14">
        <f t="shared" si="43"/>
        <v>117.20730397422128</v>
      </c>
      <c r="J911" s="14">
        <f t="shared" si="44"/>
        <v>110.62510762872395</v>
      </c>
    </row>
    <row r="912" spans="1:10">
      <c r="A912" s="100">
        <v>40533</v>
      </c>
      <c r="B912">
        <v>125.39</v>
      </c>
      <c r="C912">
        <v>54.89</v>
      </c>
      <c r="D912">
        <v>64.739999999999995</v>
      </c>
      <c r="G912" s="100">
        <v>40533</v>
      </c>
      <c r="H912" s="14">
        <f t="shared" si="42"/>
        <v>82.711081794195252</v>
      </c>
      <c r="I912" s="14">
        <f t="shared" si="43"/>
        <v>117.91621911922665</v>
      </c>
      <c r="J912" s="14">
        <f t="shared" si="44"/>
        <v>111.48613742035474</v>
      </c>
    </row>
    <row r="913" spans="1:10">
      <c r="A913" s="100">
        <v>40534</v>
      </c>
      <c r="B913">
        <v>125.78</v>
      </c>
      <c r="C913">
        <v>54.88</v>
      </c>
      <c r="D913">
        <v>64.64</v>
      </c>
      <c r="G913" s="100">
        <v>40534</v>
      </c>
      <c r="H913" s="14">
        <f t="shared" si="42"/>
        <v>82.968337730870715</v>
      </c>
      <c r="I913" s="14">
        <f t="shared" si="43"/>
        <v>117.89473684210527</v>
      </c>
      <c r="J913" s="14">
        <f t="shared" si="44"/>
        <v>111.31393146202859</v>
      </c>
    </row>
    <row r="914" spans="1:10">
      <c r="A914" s="100">
        <v>40535</v>
      </c>
      <c r="B914">
        <v>125.6</v>
      </c>
      <c r="C914">
        <v>54.74</v>
      </c>
      <c r="D914">
        <v>64.510000000000005</v>
      </c>
      <c r="G914" s="100">
        <v>40535</v>
      </c>
      <c r="H914" s="14">
        <f t="shared" si="42"/>
        <v>82.849604221635886</v>
      </c>
      <c r="I914" s="14">
        <f t="shared" si="43"/>
        <v>117.59398496240603</v>
      </c>
      <c r="J914" s="14">
        <f t="shared" si="44"/>
        <v>111.09006371620458</v>
      </c>
    </row>
    <row r="915" spans="1:10">
      <c r="A915" s="100">
        <v>40539</v>
      </c>
      <c r="B915">
        <v>125.65</v>
      </c>
      <c r="C915">
        <v>54.77</v>
      </c>
      <c r="D915">
        <v>64.58</v>
      </c>
      <c r="G915" s="100">
        <v>40539</v>
      </c>
      <c r="H915" s="14">
        <f t="shared" si="42"/>
        <v>82.882585751978894</v>
      </c>
      <c r="I915" s="14">
        <f t="shared" si="43"/>
        <v>117.65843179377016</v>
      </c>
      <c r="J915" s="14">
        <f t="shared" si="44"/>
        <v>111.21060788703289</v>
      </c>
    </row>
    <row r="916" spans="1:10">
      <c r="A916" s="100">
        <v>40540</v>
      </c>
      <c r="B916">
        <v>125.83</v>
      </c>
      <c r="C916">
        <v>54.67</v>
      </c>
      <c r="D916">
        <v>64.59</v>
      </c>
      <c r="G916" s="100">
        <v>40540</v>
      </c>
      <c r="H916" s="14">
        <f t="shared" si="42"/>
        <v>83.001319261213723</v>
      </c>
      <c r="I916" s="14">
        <f t="shared" si="43"/>
        <v>117.44360902255639</v>
      </c>
      <c r="J916" s="14">
        <f t="shared" si="44"/>
        <v>111.22782848286552</v>
      </c>
    </row>
    <row r="917" spans="1:10">
      <c r="A917" s="100">
        <v>40541</v>
      </c>
      <c r="B917">
        <v>125.92</v>
      </c>
      <c r="C917">
        <v>54.79</v>
      </c>
      <c r="D917">
        <v>64.66</v>
      </c>
      <c r="G917" s="100">
        <v>40541</v>
      </c>
      <c r="H917" s="14">
        <f t="shared" si="42"/>
        <v>83.060686015831138</v>
      </c>
      <c r="I917" s="14">
        <f t="shared" si="43"/>
        <v>117.70139634801289</v>
      </c>
      <c r="J917" s="14">
        <f t="shared" si="44"/>
        <v>111.34837265369381</v>
      </c>
    </row>
    <row r="918" spans="1:10">
      <c r="A918" s="100">
        <v>40542</v>
      </c>
      <c r="B918">
        <v>125.72</v>
      </c>
      <c r="C918">
        <v>54.66</v>
      </c>
      <c r="D918">
        <v>64.540000000000006</v>
      </c>
      <c r="G918" s="100">
        <v>40542</v>
      </c>
      <c r="H918" s="14">
        <f t="shared" si="42"/>
        <v>82.928759894459105</v>
      </c>
      <c r="I918" s="14">
        <f t="shared" si="43"/>
        <v>117.42212674543502</v>
      </c>
      <c r="J918" s="14">
        <f t="shared" si="44"/>
        <v>111.14172550370245</v>
      </c>
    </row>
    <row r="919" spans="1:10">
      <c r="A919" s="100">
        <v>40543</v>
      </c>
      <c r="B919">
        <v>125.75</v>
      </c>
      <c r="C919">
        <v>54.46</v>
      </c>
      <c r="D919">
        <v>64.38</v>
      </c>
      <c r="G919" s="100">
        <v>40543</v>
      </c>
      <c r="H919" s="14">
        <f t="shared" si="42"/>
        <v>82.94854881266491</v>
      </c>
      <c r="I919" s="14">
        <f t="shared" si="43"/>
        <v>116.99248120300754</v>
      </c>
      <c r="J919" s="14">
        <f t="shared" si="44"/>
        <v>110.86619597038056</v>
      </c>
    </row>
    <row r="920" spans="1:10">
      <c r="A920" s="100">
        <v>40546</v>
      </c>
      <c r="B920">
        <v>127.05</v>
      </c>
      <c r="C920">
        <v>55.31</v>
      </c>
      <c r="D920">
        <v>65.13</v>
      </c>
      <c r="G920" s="100">
        <v>40546</v>
      </c>
      <c r="H920" s="14">
        <f t="shared" si="42"/>
        <v>83.806068601583121</v>
      </c>
      <c r="I920" s="14">
        <f t="shared" si="43"/>
        <v>118.81847475832438</v>
      </c>
      <c r="J920" s="14">
        <f t="shared" si="44"/>
        <v>112.15774065782675</v>
      </c>
    </row>
    <row r="921" spans="1:10">
      <c r="A921" s="100">
        <v>40547</v>
      </c>
      <c r="B921">
        <v>126.98</v>
      </c>
      <c r="C921">
        <v>55.27</v>
      </c>
      <c r="D921">
        <v>65.28</v>
      </c>
      <c r="G921" s="100">
        <v>40547</v>
      </c>
      <c r="H921" s="14">
        <f t="shared" si="42"/>
        <v>83.75989445910291</v>
      </c>
      <c r="I921" s="14">
        <f t="shared" si="43"/>
        <v>118.73254564983891</v>
      </c>
      <c r="J921" s="14">
        <f t="shared" si="44"/>
        <v>112.416049595316</v>
      </c>
    </row>
    <row r="922" spans="1:10">
      <c r="A922" s="100">
        <v>40548</v>
      </c>
      <c r="B922">
        <v>127.64</v>
      </c>
      <c r="C922">
        <v>55.74</v>
      </c>
      <c r="D922">
        <v>65.650000000000006</v>
      </c>
      <c r="G922" s="100">
        <v>40548</v>
      </c>
      <c r="H922" s="14">
        <f t="shared" si="42"/>
        <v>84.195250659630602</v>
      </c>
      <c r="I922" s="14">
        <f t="shared" si="43"/>
        <v>119.74221267454351</v>
      </c>
      <c r="J922" s="14">
        <f t="shared" si="44"/>
        <v>113.05321164112279</v>
      </c>
    </row>
    <row r="923" spans="1:10">
      <c r="A923" s="100">
        <v>40549</v>
      </c>
      <c r="B923">
        <v>127.39</v>
      </c>
      <c r="C923">
        <v>55.92</v>
      </c>
      <c r="D923">
        <v>66.260000000000005</v>
      </c>
      <c r="G923" s="100">
        <v>40549</v>
      </c>
      <c r="H923" s="14">
        <f t="shared" si="42"/>
        <v>84.030343007915576</v>
      </c>
      <c r="I923" s="14">
        <f t="shared" si="43"/>
        <v>120.12889366272826</v>
      </c>
      <c r="J923" s="14">
        <f t="shared" si="44"/>
        <v>114.10366798691236</v>
      </c>
    </row>
    <row r="924" spans="1:10">
      <c r="A924" s="100">
        <v>40550</v>
      </c>
      <c r="B924">
        <v>127.14</v>
      </c>
      <c r="C924">
        <v>55.87</v>
      </c>
      <c r="D924">
        <v>66.05</v>
      </c>
      <c r="G924" s="100">
        <v>40550</v>
      </c>
      <c r="H924" s="14">
        <f t="shared" si="42"/>
        <v>83.865435356200535</v>
      </c>
      <c r="I924" s="14">
        <f t="shared" si="43"/>
        <v>120.02148227712138</v>
      </c>
      <c r="J924" s="14">
        <f t="shared" si="44"/>
        <v>113.74203547442741</v>
      </c>
    </row>
    <row r="925" spans="1:10">
      <c r="A925" s="100">
        <v>40553</v>
      </c>
      <c r="B925">
        <v>126.98</v>
      </c>
      <c r="C925">
        <v>56.08</v>
      </c>
      <c r="D925">
        <v>66.319999999999993</v>
      </c>
      <c r="G925" s="100">
        <v>40553</v>
      </c>
      <c r="H925" s="14">
        <f t="shared" si="42"/>
        <v>83.75989445910291</v>
      </c>
      <c r="I925" s="14">
        <f t="shared" si="43"/>
        <v>120.47261009667025</v>
      </c>
      <c r="J925" s="14">
        <f t="shared" si="44"/>
        <v>114.20699156190804</v>
      </c>
    </row>
    <row r="926" spans="1:10">
      <c r="A926" s="100">
        <v>40554</v>
      </c>
      <c r="B926">
        <v>127.43</v>
      </c>
      <c r="C926">
        <v>56.16</v>
      </c>
      <c r="D926">
        <v>66.41</v>
      </c>
      <c r="G926" s="100">
        <v>40554</v>
      </c>
      <c r="H926" s="14">
        <f t="shared" si="42"/>
        <v>84.056728232189982</v>
      </c>
      <c r="I926" s="14">
        <f t="shared" si="43"/>
        <v>120.64446831364124</v>
      </c>
      <c r="J926" s="14">
        <f t="shared" si="44"/>
        <v>114.36197692440157</v>
      </c>
    </row>
    <row r="927" spans="1:10">
      <c r="A927" s="100">
        <v>40555</v>
      </c>
      <c r="B927">
        <v>128.58000000000001</v>
      </c>
      <c r="C927">
        <v>56.56</v>
      </c>
      <c r="D927">
        <v>67</v>
      </c>
      <c r="G927" s="100">
        <v>40555</v>
      </c>
      <c r="H927" s="14">
        <f t="shared" si="42"/>
        <v>84.815303430079169</v>
      </c>
      <c r="I927" s="14">
        <f t="shared" si="43"/>
        <v>121.50375939849624</v>
      </c>
      <c r="J927" s="14">
        <f t="shared" si="44"/>
        <v>115.37799207852592</v>
      </c>
    </row>
    <row r="928" spans="1:10">
      <c r="A928" s="100">
        <v>40556</v>
      </c>
      <c r="B928">
        <v>128.37</v>
      </c>
      <c r="C928">
        <v>56.58</v>
      </c>
      <c r="D928">
        <v>66.989999999999995</v>
      </c>
      <c r="G928" s="100">
        <v>40556</v>
      </c>
      <c r="H928" s="14">
        <f t="shared" si="42"/>
        <v>84.676781002638521</v>
      </c>
      <c r="I928" s="14">
        <f t="shared" si="43"/>
        <v>121.546723952739</v>
      </c>
      <c r="J928" s="14">
        <f t="shared" si="44"/>
        <v>115.36077148269331</v>
      </c>
    </row>
    <row r="929" spans="1:10">
      <c r="A929" s="100">
        <v>40557</v>
      </c>
      <c r="B929">
        <v>129.30000000000001</v>
      </c>
      <c r="C929">
        <v>57</v>
      </c>
      <c r="D929">
        <v>67.650000000000006</v>
      </c>
      <c r="G929" s="100">
        <v>40557</v>
      </c>
      <c r="H929" s="14">
        <f t="shared" si="42"/>
        <v>85.290237467018486</v>
      </c>
      <c r="I929" s="14">
        <f t="shared" si="43"/>
        <v>122.44897959183673</v>
      </c>
      <c r="J929" s="14">
        <f t="shared" si="44"/>
        <v>116.49733080764595</v>
      </c>
    </row>
    <row r="930" spans="1:10">
      <c r="A930" s="100">
        <v>40561</v>
      </c>
      <c r="B930">
        <v>129.52000000000001</v>
      </c>
      <c r="C930">
        <v>57.16</v>
      </c>
      <c r="D930">
        <v>67.790000000000006</v>
      </c>
      <c r="G930" s="100">
        <v>40561</v>
      </c>
      <c r="H930" s="14">
        <f t="shared" si="42"/>
        <v>85.435356200527707</v>
      </c>
      <c r="I930" s="14">
        <f t="shared" si="43"/>
        <v>122.79269602577874</v>
      </c>
      <c r="J930" s="14">
        <f t="shared" si="44"/>
        <v>116.73841914930259</v>
      </c>
    </row>
    <row r="931" spans="1:10">
      <c r="A931" s="100">
        <v>40562</v>
      </c>
      <c r="B931">
        <v>128.25</v>
      </c>
      <c r="C931">
        <v>56.51</v>
      </c>
      <c r="D931">
        <v>67.25</v>
      </c>
      <c r="G931" s="100">
        <v>40562</v>
      </c>
      <c r="H931" s="14">
        <f t="shared" si="42"/>
        <v>84.597625329815301</v>
      </c>
      <c r="I931" s="14">
        <f t="shared" si="43"/>
        <v>121.39634801288936</v>
      </c>
      <c r="J931" s="14">
        <f t="shared" si="44"/>
        <v>115.80850697434131</v>
      </c>
    </row>
    <row r="932" spans="1:10">
      <c r="A932" s="100">
        <v>40563</v>
      </c>
      <c r="B932">
        <v>128.08000000000001</v>
      </c>
      <c r="C932">
        <v>56.11</v>
      </c>
      <c r="D932">
        <v>66.540000000000006</v>
      </c>
      <c r="G932" s="100">
        <v>40563</v>
      </c>
      <c r="H932" s="14">
        <f t="shared" si="42"/>
        <v>84.485488126649088</v>
      </c>
      <c r="I932" s="14">
        <f t="shared" si="43"/>
        <v>120.53705692803437</v>
      </c>
      <c r="J932" s="14">
        <f t="shared" si="44"/>
        <v>114.58584467022558</v>
      </c>
    </row>
    <row r="933" spans="1:10">
      <c r="A933" s="100">
        <v>40564</v>
      </c>
      <c r="B933">
        <v>128.37</v>
      </c>
      <c r="C933">
        <v>55.68</v>
      </c>
      <c r="D933">
        <v>66.17</v>
      </c>
      <c r="G933" s="100">
        <v>40564</v>
      </c>
      <c r="H933" s="14">
        <f t="shared" si="42"/>
        <v>84.676781002638521</v>
      </c>
      <c r="I933" s="14">
        <f t="shared" si="43"/>
        <v>119.61331901181526</v>
      </c>
      <c r="J933" s="14">
        <f t="shared" si="44"/>
        <v>113.94868262441882</v>
      </c>
    </row>
    <row r="934" spans="1:10">
      <c r="A934" s="100">
        <v>40567</v>
      </c>
      <c r="B934">
        <v>129.1</v>
      </c>
      <c r="C934">
        <v>56.45</v>
      </c>
      <c r="D934">
        <v>67.040000000000006</v>
      </c>
      <c r="G934" s="100">
        <v>40567</v>
      </c>
      <c r="H934" s="14">
        <f t="shared" si="42"/>
        <v>85.158311345646439</v>
      </c>
      <c r="I934" s="14">
        <f t="shared" si="43"/>
        <v>121.26745435016113</v>
      </c>
      <c r="J934" s="14">
        <f t="shared" si="44"/>
        <v>115.4468744618564</v>
      </c>
    </row>
    <row r="935" spans="1:10">
      <c r="A935" s="100">
        <v>40568</v>
      </c>
      <c r="B935">
        <v>129.16999999999999</v>
      </c>
      <c r="C935">
        <v>56.53</v>
      </c>
      <c r="D935">
        <v>67.239999999999995</v>
      </c>
      <c r="G935" s="100">
        <v>40568</v>
      </c>
      <c r="H935" s="14">
        <f t="shared" si="42"/>
        <v>85.20448548812665</v>
      </c>
      <c r="I935" s="14">
        <f t="shared" si="43"/>
        <v>121.43931256713212</v>
      </c>
      <c r="J935" s="14">
        <f t="shared" si="44"/>
        <v>115.79128637850869</v>
      </c>
    </row>
    <row r="936" spans="1:10">
      <c r="A936" s="100">
        <v>40569</v>
      </c>
      <c r="B936">
        <v>129.66999999999999</v>
      </c>
      <c r="C936">
        <v>56.83</v>
      </c>
      <c r="D936">
        <v>67.63</v>
      </c>
      <c r="G936" s="100">
        <v>40569</v>
      </c>
      <c r="H936" s="14">
        <f t="shared" si="42"/>
        <v>85.534300791556731</v>
      </c>
      <c r="I936" s="14">
        <f t="shared" si="43"/>
        <v>122.08378088077336</v>
      </c>
      <c r="J936" s="14">
        <f t="shared" si="44"/>
        <v>116.4628896159807</v>
      </c>
    </row>
    <row r="937" spans="1:10">
      <c r="A937" s="100">
        <v>40570</v>
      </c>
      <c r="B937">
        <v>129.99</v>
      </c>
      <c r="C937">
        <v>57.18</v>
      </c>
      <c r="D937">
        <v>68.09</v>
      </c>
      <c r="G937" s="100">
        <v>40570</v>
      </c>
      <c r="H937" s="14">
        <f t="shared" si="42"/>
        <v>85.745382585751983</v>
      </c>
      <c r="I937" s="14">
        <f t="shared" si="43"/>
        <v>122.83566058002148</v>
      </c>
      <c r="J937" s="14">
        <f t="shared" si="44"/>
        <v>117.25503702428104</v>
      </c>
    </row>
    <row r="938" spans="1:10">
      <c r="A938" s="100">
        <v>40571</v>
      </c>
      <c r="B938">
        <v>127.72</v>
      </c>
      <c r="C938">
        <v>55.73</v>
      </c>
      <c r="D938">
        <v>66.5</v>
      </c>
      <c r="G938" s="100">
        <v>40571</v>
      </c>
      <c r="H938" s="14">
        <f t="shared" si="42"/>
        <v>84.248021108179429</v>
      </c>
      <c r="I938" s="14">
        <f t="shared" si="43"/>
        <v>119.72073039742213</v>
      </c>
      <c r="J938" s="14">
        <f t="shared" si="44"/>
        <v>114.51696228689512</v>
      </c>
    </row>
    <row r="939" spans="1:10">
      <c r="A939" s="100">
        <v>40574</v>
      </c>
      <c r="B939">
        <v>128.68</v>
      </c>
      <c r="C939">
        <v>56</v>
      </c>
      <c r="D939">
        <v>66.930000000000007</v>
      </c>
      <c r="G939" s="100">
        <v>40574</v>
      </c>
      <c r="H939" s="14">
        <f t="shared" si="42"/>
        <v>84.881266490765185</v>
      </c>
      <c r="I939" s="14">
        <f t="shared" si="43"/>
        <v>120.30075187969926</v>
      </c>
      <c r="J939" s="14">
        <f t="shared" si="44"/>
        <v>115.25744790769761</v>
      </c>
    </row>
    <row r="940" spans="1:10">
      <c r="A940" s="100">
        <v>40575</v>
      </c>
      <c r="B940">
        <v>130.74</v>
      </c>
      <c r="C940">
        <v>57.05</v>
      </c>
      <c r="D940">
        <v>68.11</v>
      </c>
      <c r="G940" s="100">
        <v>40575</v>
      </c>
      <c r="H940" s="14">
        <f t="shared" si="42"/>
        <v>86.240105540897105</v>
      </c>
      <c r="I940" s="14">
        <f t="shared" si="43"/>
        <v>122.55639097744361</v>
      </c>
      <c r="J940" s="14">
        <f t="shared" si="44"/>
        <v>117.28947821594626</v>
      </c>
    </row>
    <row r="941" spans="1:10">
      <c r="A941" s="100">
        <v>40576</v>
      </c>
      <c r="B941">
        <v>130.49</v>
      </c>
      <c r="C941">
        <v>56.96</v>
      </c>
      <c r="D941">
        <v>68.3</v>
      </c>
      <c r="G941" s="100">
        <v>40576</v>
      </c>
      <c r="H941" s="14">
        <f t="shared" si="42"/>
        <v>86.075197889182064</v>
      </c>
      <c r="I941" s="14">
        <f t="shared" si="43"/>
        <v>122.36305048335126</v>
      </c>
      <c r="J941" s="14">
        <f t="shared" si="44"/>
        <v>117.61666953676597</v>
      </c>
    </row>
    <row r="942" spans="1:10">
      <c r="A942" s="100">
        <v>40577</v>
      </c>
      <c r="B942">
        <v>130.78</v>
      </c>
      <c r="C942">
        <v>57.06</v>
      </c>
      <c r="D942">
        <v>68.34</v>
      </c>
      <c r="G942" s="100">
        <v>40577</v>
      </c>
      <c r="H942" s="14">
        <f t="shared" si="42"/>
        <v>86.266490765171511</v>
      </c>
      <c r="I942" s="14">
        <f t="shared" si="43"/>
        <v>122.57787325456499</v>
      </c>
      <c r="J942" s="14">
        <f t="shared" si="44"/>
        <v>117.68555192009644</v>
      </c>
    </row>
    <row r="943" spans="1:10">
      <c r="A943" s="100">
        <v>40578</v>
      </c>
      <c r="B943">
        <v>131.15</v>
      </c>
      <c r="C943">
        <v>57.38</v>
      </c>
      <c r="D943">
        <v>68.87</v>
      </c>
      <c r="G943" s="100">
        <v>40578</v>
      </c>
      <c r="H943" s="14">
        <f t="shared" si="42"/>
        <v>86.510554089709771</v>
      </c>
      <c r="I943" s="14">
        <f t="shared" si="43"/>
        <v>123.26530612244899</v>
      </c>
      <c r="J943" s="14">
        <f t="shared" si="44"/>
        <v>118.59824349922508</v>
      </c>
    </row>
    <row r="944" spans="1:10">
      <c r="A944" s="100">
        <v>40581</v>
      </c>
      <c r="B944">
        <v>131.97</v>
      </c>
      <c r="C944">
        <v>57.65</v>
      </c>
      <c r="D944">
        <v>69.349999999999994</v>
      </c>
      <c r="G944" s="100">
        <v>40581</v>
      </c>
      <c r="H944" s="14">
        <f t="shared" si="42"/>
        <v>87.05145118733509</v>
      </c>
      <c r="I944" s="14">
        <f t="shared" si="43"/>
        <v>123.84532760472611</v>
      </c>
      <c r="J944" s="14">
        <f t="shared" si="44"/>
        <v>119.42483209919061</v>
      </c>
    </row>
    <row r="945" spans="1:10">
      <c r="A945" s="100">
        <v>40582</v>
      </c>
      <c r="B945">
        <v>132.57</v>
      </c>
      <c r="C945">
        <v>58.03</v>
      </c>
      <c r="D945">
        <v>69.650000000000006</v>
      </c>
      <c r="G945" s="100">
        <v>40582</v>
      </c>
      <c r="H945" s="14">
        <f t="shared" si="42"/>
        <v>87.447229551451187</v>
      </c>
      <c r="I945" s="14">
        <f t="shared" si="43"/>
        <v>124.66165413533837</v>
      </c>
      <c r="J945" s="14">
        <f t="shared" si="44"/>
        <v>119.94144997416912</v>
      </c>
    </row>
    <row r="946" spans="1:10">
      <c r="A946" s="100">
        <v>40583</v>
      </c>
      <c r="B946">
        <v>132.27000000000001</v>
      </c>
      <c r="C946">
        <v>57.93</v>
      </c>
      <c r="D946">
        <v>69.459999999999994</v>
      </c>
      <c r="G946" s="100">
        <v>40583</v>
      </c>
      <c r="H946" s="14">
        <f t="shared" si="42"/>
        <v>87.249340369393153</v>
      </c>
      <c r="I946" s="14">
        <f t="shared" si="43"/>
        <v>124.44683136412461</v>
      </c>
      <c r="J946" s="14">
        <f t="shared" si="44"/>
        <v>119.61425865334941</v>
      </c>
    </row>
    <row r="947" spans="1:10">
      <c r="A947" s="100">
        <v>40584</v>
      </c>
      <c r="B947">
        <v>132.32</v>
      </c>
      <c r="C947">
        <v>58.02</v>
      </c>
      <c r="D947">
        <v>69.06</v>
      </c>
      <c r="G947" s="100">
        <v>40584</v>
      </c>
      <c r="H947" s="14">
        <f t="shared" si="42"/>
        <v>87.282321899736147</v>
      </c>
      <c r="I947" s="14">
        <f t="shared" si="43"/>
        <v>124.64017185821699</v>
      </c>
      <c r="J947" s="14">
        <f t="shared" si="44"/>
        <v>118.92543482004479</v>
      </c>
    </row>
    <row r="948" spans="1:10">
      <c r="A948" s="100">
        <v>40585</v>
      </c>
      <c r="B948">
        <v>133.11000000000001</v>
      </c>
      <c r="C948">
        <v>58.44</v>
      </c>
      <c r="D948">
        <v>69.38</v>
      </c>
      <c r="G948" s="100">
        <v>40585</v>
      </c>
      <c r="H948" s="14">
        <f t="shared" si="42"/>
        <v>87.803430079155689</v>
      </c>
      <c r="I948" s="14">
        <f t="shared" si="43"/>
        <v>125.54242749731472</v>
      </c>
      <c r="J948" s="14">
        <f t="shared" si="44"/>
        <v>119.47649388668846</v>
      </c>
    </row>
    <row r="949" spans="1:10">
      <c r="A949" s="100">
        <v>40588</v>
      </c>
      <c r="B949">
        <v>133.43</v>
      </c>
      <c r="C949">
        <v>58.58</v>
      </c>
      <c r="D949">
        <v>69.55</v>
      </c>
      <c r="G949" s="100">
        <v>40588</v>
      </c>
      <c r="H949" s="14">
        <f t="shared" si="42"/>
        <v>88.014511873350926</v>
      </c>
      <c r="I949" s="14">
        <f t="shared" si="43"/>
        <v>125.84317937701397</v>
      </c>
      <c r="J949" s="14">
        <f t="shared" si="44"/>
        <v>119.76924401584294</v>
      </c>
    </row>
    <row r="950" spans="1:10">
      <c r="A950" s="100">
        <v>40589</v>
      </c>
      <c r="B950">
        <v>133.01</v>
      </c>
      <c r="C950">
        <v>58.5</v>
      </c>
      <c r="D950">
        <v>69.2</v>
      </c>
      <c r="G950" s="100">
        <v>40589</v>
      </c>
      <c r="H950" s="14">
        <f t="shared" si="42"/>
        <v>87.737467018469644</v>
      </c>
      <c r="I950" s="14">
        <f t="shared" si="43"/>
        <v>125.67132116004298</v>
      </c>
      <c r="J950" s="14">
        <f t="shared" si="44"/>
        <v>119.16652316170141</v>
      </c>
    </row>
    <row r="951" spans="1:10">
      <c r="A951" s="100">
        <v>40590</v>
      </c>
      <c r="B951">
        <v>133.85</v>
      </c>
      <c r="C951">
        <v>58.88</v>
      </c>
      <c r="D951">
        <v>69.73</v>
      </c>
      <c r="G951" s="100">
        <v>40590</v>
      </c>
      <c r="H951" s="14">
        <f t="shared" si="42"/>
        <v>88.291556728232194</v>
      </c>
      <c r="I951" s="14">
        <f t="shared" si="43"/>
        <v>126.48764769065521</v>
      </c>
      <c r="J951" s="14">
        <f t="shared" si="44"/>
        <v>120.07921474083003</v>
      </c>
    </row>
    <row r="952" spans="1:10">
      <c r="A952" s="100">
        <v>40591</v>
      </c>
      <c r="B952">
        <v>134.25</v>
      </c>
      <c r="C952">
        <v>58.86</v>
      </c>
      <c r="D952">
        <v>69.84</v>
      </c>
      <c r="G952" s="100">
        <v>40591</v>
      </c>
      <c r="H952" s="14">
        <f t="shared" si="42"/>
        <v>88.555408970976259</v>
      </c>
      <c r="I952" s="14">
        <f t="shared" si="43"/>
        <v>126.44468313641246</v>
      </c>
      <c r="J952" s="14">
        <f t="shared" si="44"/>
        <v>120.26864129498883</v>
      </c>
    </row>
    <row r="953" spans="1:10">
      <c r="A953" s="100">
        <v>40592</v>
      </c>
      <c r="B953">
        <v>134.53</v>
      </c>
      <c r="C953">
        <v>58.73</v>
      </c>
      <c r="D953">
        <v>69.81</v>
      </c>
      <c r="G953" s="100">
        <v>40592</v>
      </c>
      <c r="H953" s="14">
        <f t="shared" si="42"/>
        <v>88.74010554089709</v>
      </c>
      <c r="I953" s="14">
        <f t="shared" si="43"/>
        <v>126.1654135338346</v>
      </c>
      <c r="J953" s="14">
        <f t="shared" si="44"/>
        <v>120.21697950749098</v>
      </c>
    </row>
    <row r="954" spans="1:10">
      <c r="A954" s="100">
        <v>40596</v>
      </c>
      <c r="B954">
        <v>131.83000000000001</v>
      </c>
      <c r="C954">
        <v>57.03</v>
      </c>
      <c r="D954">
        <v>67.89</v>
      </c>
      <c r="G954" s="100">
        <v>40596</v>
      </c>
      <c r="H954" s="14">
        <f t="shared" si="42"/>
        <v>86.959102902374681</v>
      </c>
      <c r="I954" s="14">
        <f t="shared" si="43"/>
        <v>122.51342642320087</v>
      </c>
      <c r="J954" s="14">
        <f t="shared" si="44"/>
        <v>116.91062510762873</v>
      </c>
    </row>
    <row r="955" spans="1:10">
      <c r="A955" s="100">
        <v>40597</v>
      </c>
      <c r="B955">
        <v>131.02000000000001</v>
      </c>
      <c r="C955">
        <v>56.56</v>
      </c>
      <c r="D955">
        <v>66.94</v>
      </c>
      <c r="G955" s="100">
        <v>40597</v>
      </c>
      <c r="H955" s="14">
        <f t="shared" si="42"/>
        <v>86.42480211081795</v>
      </c>
      <c r="I955" s="14">
        <f t="shared" si="43"/>
        <v>121.50375939849624</v>
      </c>
      <c r="J955" s="14">
        <f t="shared" si="44"/>
        <v>115.27466850353021</v>
      </c>
    </row>
    <row r="956" spans="1:10">
      <c r="A956" s="100">
        <v>40598</v>
      </c>
      <c r="B956">
        <v>130.93</v>
      </c>
      <c r="C956">
        <v>56.86</v>
      </c>
      <c r="D956">
        <v>67.22</v>
      </c>
      <c r="G956" s="100">
        <v>40598</v>
      </c>
      <c r="H956" s="14">
        <f t="shared" si="42"/>
        <v>86.365435356200535</v>
      </c>
      <c r="I956" s="14">
        <f t="shared" si="43"/>
        <v>122.1482277121375</v>
      </c>
      <c r="J956" s="14">
        <f t="shared" si="44"/>
        <v>115.75684518684346</v>
      </c>
    </row>
    <row r="957" spans="1:10">
      <c r="A957" s="100">
        <v>40599</v>
      </c>
      <c r="B957">
        <v>132.33000000000001</v>
      </c>
      <c r="C957">
        <v>57.65</v>
      </c>
      <c r="D957">
        <v>68.209999999999994</v>
      </c>
      <c r="G957" s="100">
        <v>40599</v>
      </c>
      <c r="H957" s="14">
        <f t="shared" si="42"/>
        <v>87.288918205804762</v>
      </c>
      <c r="I957" s="14">
        <f t="shared" si="43"/>
        <v>123.84532760472611</v>
      </c>
      <c r="J957" s="14">
        <f t="shared" si="44"/>
        <v>117.46168417427243</v>
      </c>
    </row>
    <row r="958" spans="1:10">
      <c r="A958" s="100">
        <v>40602</v>
      </c>
      <c r="B958">
        <v>133.15</v>
      </c>
      <c r="C958">
        <v>57.77</v>
      </c>
      <c r="D958">
        <v>68.31</v>
      </c>
      <c r="G958" s="100">
        <v>40602</v>
      </c>
      <c r="H958" s="14">
        <f t="shared" si="42"/>
        <v>87.829815303430081</v>
      </c>
      <c r="I958" s="14">
        <f t="shared" si="43"/>
        <v>124.10311493018263</v>
      </c>
      <c r="J958" s="14">
        <f t="shared" si="44"/>
        <v>117.63389013259859</v>
      </c>
    </row>
    <row r="959" spans="1:10">
      <c r="A959" s="100">
        <v>40603</v>
      </c>
      <c r="B959">
        <v>130.93</v>
      </c>
      <c r="C959">
        <v>56.84</v>
      </c>
      <c r="D959">
        <v>67.05</v>
      </c>
      <c r="G959" s="100">
        <v>40603</v>
      </c>
      <c r="H959" s="14">
        <f t="shared" si="42"/>
        <v>86.365435356200535</v>
      </c>
      <c r="I959" s="14">
        <f t="shared" si="43"/>
        <v>122.10526315789477</v>
      </c>
      <c r="J959" s="14">
        <f t="shared" si="44"/>
        <v>115.46409505768899</v>
      </c>
    </row>
    <row r="960" spans="1:10">
      <c r="A960" s="100">
        <v>40604</v>
      </c>
      <c r="B960">
        <v>131.21</v>
      </c>
      <c r="C960">
        <v>57.14</v>
      </c>
      <c r="D960">
        <v>67.41</v>
      </c>
      <c r="G960" s="100">
        <v>40604</v>
      </c>
      <c r="H960" s="14">
        <f t="shared" si="42"/>
        <v>86.550131926121381</v>
      </c>
      <c r="I960" s="14">
        <f t="shared" si="43"/>
        <v>122.74973147153598</v>
      </c>
      <c r="J960" s="14">
        <f t="shared" si="44"/>
        <v>116.08403650766317</v>
      </c>
    </row>
    <row r="961" spans="1:10">
      <c r="A961" s="100">
        <v>40605</v>
      </c>
      <c r="B961">
        <v>133.47</v>
      </c>
      <c r="C961">
        <v>58.27</v>
      </c>
      <c r="D961">
        <v>68.61</v>
      </c>
      <c r="G961" s="100">
        <v>40605</v>
      </c>
      <c r="H961" s="14">
        <f t="shared" si="42"/>
        <v>88.040897097625333</v>
      </c>
      <c r="I961" s="14">
        <f t="shared" si="43"/>
        <v>125.17722878625135</v>
      </c>
      <c r="J961" s="14">
        <f t="shared" si="44"/>
        <v>118.15050800757707</v>
      </c>
    </row>
    <row r="962" spans="1:10">
      <c r="A962" s="100">
        <v>40606</v>
      </c>
      <c r="B962">
        <v>132.47</v>
      </c>
      <c r="C962">
        <v>57.97</v>
      </c>
      <c r="D962">
        <v>68.17</v>
      </c>
      <c r="G962" s="100">
        <v>40606</v>
      </c>
      <c r="H962" s="14">
        <f t="shared" si="42"/>
        <v>87.381266490765171</v>
      </c>
      <c r="I962" s="14">
        <f t="shared" si="43"/>
        <v>124.53276047261011</v>
      </c>
      <c r="J962" s="14">
        <f t="shared" si="44"/>
        <v>117.39280179094196</v>
      </c>
    </row>
    <row r="963" spans="1:10">
      <c r="A963" s="100">
        <v>40609</v>
      </c>
      <c r="B963">
        <v>131.43</v>
      </c>
      <c r="C963">
        <v>57.19</v>
      </c>
      <c r="D963">
        <v>67.11</v>
      </c>
      <c r="G963" s="100">
        <v>40609</v>
      </c>
      <c r="H963" s="14">
        <f t="shared" si="42"/>
        <v>86.695250659630616</v>
      </c>
      <c r="I963" s="14">
        <f t="shared" si="43"/>
        <v>122.85714285714286</v>
      </c>
      <c r="J963" s="14">
        <f t="shared" si="44"/>
        <v>115.56741863268469</v>
      </c>
    </row>
    <row r="964" spans="1:10">
      <c r="A964" s="100">
        <v>40610</v>
      </c>
      <c r="B964">
        <v>132.58000000000001</v>
      </c>
      <c r="C964">
        <v>57.42</v>
      </c>
      <c r="D964">
        <v>67.53</v>
      </c>
      <c r="G964" s="100">
        <v>40610</v>
      </c>
      <c r="H964" s="14">
        <f t="shared" si="42"/>
        <v>87.453825857519803</v>
      </c>
      <c r="I964" s="14">
        <f t="shared" si="43"/>
        <v>123.35123523093449</v>
      </c>
      <c r="J964" s="14">
        <f t="shared" si="44"/>
        <v>116.29068365765455</v>
      </c>
    </row>
    <row r="965" spans="1:10">
      <c r="A965" s="100">
        <v>40611</v>
      </c>
      <c r="B965">
        <v>132.38999999999999</v>
      </c>
      <c r="C965">
        <v>57.03</v>
      </c>
      <c r="D965">
        <v>67.03</v>
      </c>
      <c r="G965" s="100">
        <v>40611</v>
      </c>
      <c r="H965" s="14">
        <f t="shared" ref="H965:H1028" si="45">B965/$B$4*100</f>
        <v>87.328496042216358</v>
      </c>
      <c r="I965" s="14">
        <f t="shared" ref="I965:I1028" si="46">C965/$C$4*100</f>
        <v>122.51342642320087</v>
      </c>
      <c r="J965" s="14">
        <f t="shared" ref="J965:J1028" si="47">D965/$D$4*100</f>
        <v>115.42965386602377</v>
      </c>
    </row>
    <row r="966" spans="1:10">
      <c r="A966" s="100">
        <v>40612</v>
      </c>
      <c r="B966">
        <v>129.94</v>
      </c>
      <c r="C966">
        <v>56.14</v>
      </c>
      <c r="D966">
        <v>65.67</v>
      </c>
      <c r="G966" s="100">
        <v>40612</v>
      </c>
      <c r="H966" s="14">
        <f t="shared" si="45"/>
        <v>85.712401055408975</v>
      </c>
      <c r="I966" s="14">
        <f t="shared" si="46"/>
        <v>120.60150375939851</v>
      </c>
      <c r="J966" s="14">
        <f t="shared" si="47"/>
        <v>113.08765283278801</v>
      </c>
    </row>
    <row r="967" spans="1:10">
      <c r="A967" s="100">
        <v>40613</v>
      </c>
      <c r="B967">
        <v>130.84</v>
      </c>
      <c r="C967">
        <v>56.49</v>
      </c>
      <c r="D967">
        <v>66.08</v>
      </c>
      <c r="G967" s="100">
        <v>40613</v>
      </c>
      <c r="H967" s="14">
        <f t="shared" si="45"/>
        <v>86.306068601583121</v>
      </c>
      <c r="I967" s="14">
        <f t="shared" si="46"/>
        <v>121.35338345864663</v>
      </c>
      <c r="J967" s="14">
        <f t="shared" si="47"/>
        <v>113.79369726192525</v>
      </c>
    </row>
    <row r="968" spans="1:10">
      <c r="A968" s="100">
        <v>40616</v>
      </c>
      <c r="B968">
        <v>130.05000000000001</v>
      </c>
      <c r="C968">
        <v>56.29</v>
      </c>
      <c r="D968">
        <v>65.78</v>
      </c>
      <c r="G968" s="100">
        <v>40616</v>
      </c>
      <c r="H968" s="14">
        <f t="shared" si="45"/>
        <v>85.784960422163607</v>
      </c>
      <c r="I968" s="14">
        <f t="shared" si="46"/>
        <v>120.92373791621912</v>
      </c>
      <c r="J968" s="14">
        <f t="shared" si="47"/>
        <v>113.2770793869468</v>
      </c>
    </row>
    <row r="969" spans="1:10">
      <c r="A969" s="100">
        <v>40617</v>
      </c>
      <c r="B969">
        <v>128.56</v>
      </c>
      <c r="C969">
        <v>55.49</v>
      </c>
      <c r="D969">
        <v>64.8</v>
      </c>
      <c r="G969" s="100">
        <v>40617</v>
      </c>
      <c r="H969" s="14">
        <f t="shared" si="45"/>
        <v>84.802110817941951</v>
      </c>
      <c r="I969" s="14">
        <f t="shared" si="46"/>
        <v>119.20515574650913</v>
      </c>
      <c r="J969" s="14">
        <f t="shared" si="47"/>
        <v>111.58946099535044</v>
      </c>
    </row>
    <row r="970" spans="1:10">
      <c r="A970" s="100">
        <v>40618</v>
      </c>
      <c r="B970">
        <v>126.18</v>
      </c>
      <c r="C970">
        <v>54.15</v>
      </c>
      <c r="D970">
        <v>63.15</v>
      </c>
      <c r="G970" s="100">
        <v>40618</v>
      </c>
      <c r="H970" s="14">
        <f t="shared" si="45"/>
        <v>83.23218997361478</v>
      </c>
      <c r="I970" s="14">
        <f t="shared" si="46"/>
        <v>116.32653061224489</v>
      </c>
      <c r="J970" s="14">
        <f t="shared" si="47"/>
        <v>108.74806268296884</v>
      </c>
    </row>
    <row r="971" spans="1:10">
      <c r="A971" s="100">
        <v>40619</v>
      </c>
      <c r="B971">
        <v>127.85</v>
      </c>
      <c r="C971">
        <v>54.65</v>
      </c>
      <c r="D971">
        <v>63.63</v>
      </c>
      <c r="G971" s="100">
        <v>40619</v>
      </c>
      <c r="H971" s="14">
        <f t="shared" si="45"/>
        <v>84.333773087071236</v>
      </c>
      <c r="I971" s="14">
        <f t="shared" si="46"/>
        <v>117.40064446831364</v>
      </c>
      <c r="J971" s="14">
        <f t="shared" si="47"/>
        <v>109.5746512829344</v>
      </c>
    </row>
    <row r="972" spans="1:10">
      <c r="A972" s="100">
        <v>40620</v>
      </c>
      <c r="B972">
        <v>127.76</v>
      </c>
      <c r="C972">
        <v>54.45</v>
      </c>
      <c r="D972">
        <v>63.71</v>
      </c>
      <c r="G972" s="100">
        <v>40620</v>
      </c>
      <c r="H972" s="14">
        <f t="shared" si="45"/>
        <v>84.274406332453836</v>
      </c>
      <c r="I972" s="14">
        <f t="shared" si="46"/>
        <v>116.97099892588616</v>
      </c>
      <c r="J972" s="14">
        <f t="shared" si="47"/>
        <v>109.71241604959532</v>
      </c>
    </row>
    <row r="973" spans="1:10">
      <c r="A973" s="100">
        <v>40623</v>
      </c>
      <c r="B973">
        <v>129.74</v>
      </c>
      <c r="C973">
        <v>55.5</v>
      </c>
      <c r="D973">
        <v>64.97</v>
      </c>
      <c r="G973" s="100">
        <v>40623</v>
      </c>
      <c r="H973" s="14">
        <f t="shared" si="45"/>
        <v>85.580474934036943</v>
      </c>
      <c r="I973" s="14">
        <f t="shared" si="46"/>
        <v>119.22663802363051</v>
      </c>
      <c r="J973" s="14">
        <f t="shared" si="47"/>
        <v>111.88221112450492</v>
      </c>
    </row>
    <row r="974" spans="1:10">
      <c r="A974" s="100">
        <v>40624</v>
      </c>
      <c r="B974">
        <v>129.29</v>
      </c>
      <c r="C974">
        <v>55.4</v>
      </c>
      <c r="D974">
        <v>64.849999999999994</v>
      </c>
      <c r="G974" s="100">
        <v>40624</v>
      </c>
      <c r="H974" s="14">
        <f t="shared" si="45"/>
        <v>85.28364116094987</v>
      </c>
      <c r="I974" s="14">
        <f t="shared" si="46"/>
        <v>119.01181525241675</v>
      </c>
      <c r="J974" s="14">
        <f t="shared" si="47"/>
        <v>111.67556397451351</v>
      </c>
    </row>
    <row r="975" spans="1:10">
      <c r="A975" s="100">
        <v>40625</v>
      </c>
      <c r="B975">
        <v>129.66</v>
      </c>
      <c r="C975">
        <v>55.71</v>
      </c>
      <c r="D975">
        <v>65.180000000000007</v>
      </c>
      <c r="G975" s="100">
        <v>40625</v>
      </c>
      <c r="H975" s="14">
        <f t="shared" si="45"/>
        <v>85.52770448548813</v>
      </c>
      <c r="I975" s="14">
        <f t="shared" si="46"/>
        <v>119.6777658431794</v>
      </c>
      <c r="J975" s="14">
        <f t="shared" si="47"/>
        <v>112.24384363698985</v>
      </c>
    </row>
    <row r="976" spans="1:10">
      <c r="A976" s="100">
        <v>40626</v>
      </c>
      <c r="B976">
        <v>130.9</v>
      </c>
      <c r="C976">
        <v>56.7</v>
      </c>
      <c r="D976">
        <v>66.260000000000005</v>
      </c>
      <c r="G976" s="100">
        <v>40626</v>
      </c>
      <c r="H976" s="14">
        <f t="shared" si="45"/>
        <v>86.345646437994731</v>
      </c>
      <c r="I976" s="14">
        <f t="shared" si="46"/>
        <v>121.80451127819549</v>
      </c>
      <c r="J976" s="14">
        <f t="shared" si="47"/>
        <v>114.10366798691236</v>
      </c>
    </row>
    <row r="977" spans="1:10">
      <c r="A977" s="100">
        <v>40627</v>
      </c>
      <c r="B977">
        <v>131.30000000000001</v>
      </c>
      <c r="C977">
        <v>56.84</v>
      </c>
      <c r="D977">
        <v>66.400000000000006</v>
      </c>
      <c r="G977" s="100">
        <v>40627</v>
      </c>
      <c r="H977" s="14">
        <f t="shared" si="45"/>
        <v>86.609498680738795</v>
      </c>
      <c r="I977" s="14">
        <f t="shared" si="46"/>
        <v>122.10526315789477</v>
      </c>
      <c r="J977" s="14">
        <f t="shared" si="47"/>
        <v>114.34475632856898</v>
      </c>
    </row>
    <row r="978" spans="1:10">
      <c r="A978" s="100">
        <v>40630</v>
      </c>
      <c r="B978">
        <v>130.97999999999999</v>
      </c>
      <c r="C978">
        <v>56.53</v>
      </c>
      <c r="D978">
        <v>66.040000000000006</v>
      </c>
      <c r="G978" s="100">
        <v>40630</v>
      </c>
      <c r="H978" s="14">
        <f t="shared" si="45"/>
        <v>86.398416886543529</v>
      </c>
      <c r="I978" s="14">
        <f t="shared" si="46"/>
        <v>121.43931256713212</v>
      </c>
      <c r="J978" s="14">
        <f t="shared" si="47"/>
        <v>113.7248148785948</v>
      </c>
    </row>
    <row r="979" spans="1:10">
      <c r="A979" s="100">
        <v>40631</v>
      </c>
      <c r="B979">
        <v>131.86000000000001</v>
      </c>
      <c r="C979">
        <v>57.08</v>
      </c>
      <c r="D979">
        <v>66.48</v>
      </c>
      <c r="G979" s="100">
        <v>40631</v>
      </c>
      <c r="H979" s="14">
        <f t="shared" si="45"/>
        <v>86.978891820580486</v>
      </c>
      <c r="I979" s="14">
        <f t="shared" si="46"/>
        <v>122.62083780880775</v>
      </c>
      <c r="J979" s="14">
        <f t="shared" si="47"/>
        <v>114.4825210952299</v>
      </c>
    </row>
    <row r="980" spans="1:10">
      <c r="A980" s="100">
        <v>40632</v>
      </c>
      <c r="B980">
        <v>132.77000000000001</v>
      </c>
      <c r="C980">
        <v>57.35</v>
      </c>
      <c r="D980">
        <v>66.61</v>
      </c>
      <c r="G980" s="100">
        <v>40632</v>
      </c>
      <c r="H980" s="14">
        <f t="shared" si="45"/>
        <v>87.579155672823234</v>
      </c>
      <c r="I980" s="14">
        <f t="shared" si="46"/>
        <v>123.20085929108487</v>
      </c>
      <c r="J980" s="14">
        <f t="shared" si="47"/>
        <v>114.70638884105391</v>
      </c>
    </row>
    <row r="981" spans="1:10">
      <c r="A981" s="100">
        <v>40633</v>
      </c>
      <c r="B981">
        <v>132.59</v>
      </c>
      <c r="C981">
        <v>57.43</v>
      </c>
      <c r="D981">
        <v>66.540000000000006</v>
      </c>
      <c r="G981" s="100">
        <v>40633</v>
      </c>
      <c r="H981" s="14">
        <f t="shared" si="45"/>
        <v>87.46042216358839</v>
      </c>
      <c r="I981" s="14">
        <f t="shared" si="46"/>
        <v>123.37271750805586</v>
      </c>
      <c r="J981" s="14">
        <f t="shared" si="47"/>
        <v>114.58584467022558</v>
      </c>
    </row>
    <row r="982" spans="1:10">
      <c r="A982" s="100">
        <v>40634</v>
      </c>
      <c r="B982">
        <v>133.15</v>
      </c>
      <c r="C982">
        <v>57.46</v>
      </c>
      <c r="D982">
        <v>66.349999999999994</v>
      </c>
      <c r="G982" s="100">
        <v>40634</v>
      </c>
      <c r="H982" s="14">
        <f t="shared" si="45"/>
        <v>87.829815303430081</v>
      </c>
      <c r="I982" s="14">
        <f t="shared" si="46"/>
        <v>123.43716433941998</v>
      </c>
      <c r="J982" s="14">
        <f t="shared" si="47"/>
        <v>114.25865334940588</v>
      </c>
    </row>
    <row r="983" spans="1:10">
      <c r="A983" s="100">
        <v>40637</v>
      </c>
      <c r="B983">
        <v>133.26</v>
      </c>
      <c r="C983">
        <v>57.27</v>
      </c>
      <c r="D983">
        <v>65.94</v>
      </c>
      <c r="G983" s="100">
        <v>40637</v>
      </c>
      <c r="H983" s="14">
        <f t="shared" si="45"/>
        <v>87.902374670184685</v>
      </c>
      <c r="I983" s="14">
        <f t="shared" si="46"/>
        <v>123.02900107411388</v>
      </c>
      <c r="J983" s="14">
        <f t="shared" si="47"/>
        <v>113.55260892026864</v>
      </c>
    </row>
    <row r="984" spans="1:10">
      <c r="A984" s="100">
        <v>40638</v>
      </c>
      <c r="B984">
        <v>133.24</v>
      </c>
      <c r="C984">
        <v>57.12</v>
      </c>
      <c r="D984">
        <v>65.900000000000006</v>
      </c>
      <c r="G984" s="100">
        <v>40638</v>
      </c>
      <c r="H984" s="14">
        <f t="shared" si="45"/>
        <v>87.889182058047496</v>
      </c>
      <c r="I984" s="14">
        <f t="shared" si="46"/>
        <v>122.70676691729324</v>
      </c>
      <c r="J984" s="14">
        <f t="shared" si="47"/>
        <v>113.48372653693819</v>
      </c>
    </row>
    <row r="985" spans="1:10">
      <c r="A985" s="100">
        <v>40639</v>
      </c>
      <c r="B985">
        <v>133.66</v>
      </c>
      <c r="C985">
        <v>57.26</v>
      </c>
      <c r="D985">
        <v>66.36</v>
      </c>
      <c r="G985" s="100">
        <v>40639</v>
      </c>
      <c r="H985" s="14">
        <f t="shared" si="45"/>
        <v>88.166226912928764</v>
      </c>
      <c r="I985" s="14">
        <f t="shared" si="46"/>
        <v>123.00751879699247</v>
      </c>
      <c r="J985" s="14">
        <f t="shared" si="47"/>
        <v>114.2758739452385</v>
      </c>
    </row>
    <row r="986" spans="1:10">
      <c r="A986" s="100">
        <v>40640</v>
      </c>
      <c r="B986">
        <v>133.32</v>
      </c>
      <c r="C986">
        <v>57.22</v>
      </c>
      <c r="D986">
        <v>66.319999999999993</v>
      </c>
      <c r="G986" s="100">
        <v>40640</v>
      </c>
      <c r="H986" s="14">
        <f t="shared" si="45"/>
        <v>87.941952506596309</v>
      </c>
      <c r="I986" s="14">
        <f t="shared" si="46"/>
        <v>122.921589688507</v>
      </c>
      <c r="J986" s="14">
        <f t="shared" si="47"/>
        <v>114.20699156190804</v>
      </c>
    </row>
    <row r="987" spans="1:10">
      <c r="A987" s="100">
        <v>40641</v>
      </c>
      <c r="B987">
        <v>132.86000000000001</v>
      </c>
      <c r="C987">
        <v>56.95</v>
      </c>
      <c r="D987">
        <v>65.959999999999994</v>
      </c>
      <c r="G987" s="100">
        <v>40641</v>
      </c>
      <c r="H987" s="14">
        <f t="shared" si="45"/>
        <v>87.638522427440648</v>
      </c>
      <c r="I987" s="14">
        <f t="shared" si="46"/>
        <v>122.34156820622988</v>
      </c>
      <c r="J987" s="14">
        <f t="shared" si="47"/>
        <v>113.58705011193386</v>
      </c>
    </row>
    <row r="988" spans="1:10">
      <c r="A988" s="100">
        <v>40644</v>
      </c>
      <c r="B988">
        <v>132.46</v>
      </c>
      <c r="C988">
        <v>56.76</v>
      </c>
      <c r="D988">
        <v>65.77</v>
      </c>
      <c r="G988" s="100">
        <v>40644</v>
      </c>
      <c r="H988" s="14">
        <f t="shared" si="45"/>
        <v>87.374670184696583</v>
      </c>
      <c r="I988" s="14">
        <f t="shared" si="46"/>
        <v>121.93340494092375</v>
      </c>
      <c r="J988" s="14">
        <f t="shared" si="47"/>
        <v>113.25985879111415</v>
      </c>
    </row>
    <row r="989" spans="1:10">
      <c r="A989" s="100">
        <v>40645</v>
      </c>
      <c r="B989">
        <v>131.47</v>
      </c>
      <c r="C989">
        <v>56.37</v>
      </c>
      <c r="D989">
        <v>65.209999999999994</v>
      </c>
      <c r="G989" s="100">
        <v>40645</v>
      </c>
      <c r="H989" s="14">
        <f t="shared" si="45"/>
        <v>86.721635883905009</v>
      </c>
      <c r="I989" s="14">
        <f t="shared" si="46"/>
        <v>121.09559613319011</v>
      </c>
      <c r="J989" s="14">
        <f t="shared" si="47"/>
        <v>112.29550542448767</v>
      </c>
    </row>
    <row r="990" spans="1:10">
      <c r="A990" s="100">
        <v>40646</v>
      </c>
      <c r="B990">
        <v>131.46</v>
      </c>
      <c r="C990">
        <v>56.85</v>
      </c>
      <c r="D990">
        <v>65.680000000000007</v>
      </c>
      <c r="G990" s="100">
        <v>40646</v>
      </c>
      <c r="H990" s="14">
        <f t="shared" si="45"/>
        <v>86.715039577836421</v>
      </c>
      <c r="I990" s="14">
        <f t="shared" si="46"/>
        <v>122.12674543501612</v>
      </c>
      <c r="J990" s="14">
        <f t="shared" si="47"/>
        <v>113.10487342862064</v>
      </c>
    </row>
    <row r="991" spans="1:10">
      <c r="A991" s="100">
        <v>40647</v>
      </c>
      <c r="B991">
        <v>131.56</v>
      </c>
      <c r="C991">
        <v>56.75</v>
      </c>
      <c r="D991">
        <v>65.52</v>
      </c>
      <c r="G991" s="100">
        <v>40647</v>
      </c>
      <c r="H991" s="14">
        <f t="shared" si="45"/>
        <v>86.781002638522438</v>
      </c>
      <c r="I991" s="14">
        <f t="shared" si="46"/>
        <v>121.91192266380237</v>
      </c>
      <c r="J991" s="14">
        <f t="shared" si="47"/>
        <v>112.82934389529878</v>
      </c>
    </row>
    <row r="992" spans="1:10">
      <c r="A992" s="100">
        <v>40648</v>
      </c>
      <c r="B992">
        <v>132.04</v>
      </c>
      <c r="C992">
        <v>56.65</v>
      </c>
      <c r="D992">
        <v>65.260000000000005</v>
      </c>
      <c r="G992" s="100">
        <v>40648</v>
      </c>
      <c r="H992" s="14">
        <f t="shared" si="45"/>
        <v>87.097625329815301</v>
      </c>
      <c r="I992" s="14">
        <f t="shared" si="46"/>
        <v>121.69709989258861</v>
      </c>
      <c r="J992" s="14">
        <f t="shared" si="47"/>
        <v>112.38160840365077</v>
      </c>
    </row>
    <row r="993" spans="1:10">
      <c r="A993" s="100">
        <v>40651</v>
      </c>
      <c r="B993">
        <v>130.56</v>
      </c>
      <c r="C993">
        <v>56.25</v>
      </c>
      <c r="D993">
        <v>64.760000000000005</v>
      </c>
      <c r="G993" s="100">
        <v>40651</v>
      </c>
      <c r="H993" s="14">
        <f t="shared" si="45"/>
        <v>86.121372031662276</v>
      </c>
      <c r="I993" s="14">
        <f t="shared" si="46"/>
        <v>120.83780880773362</v>
      </c>
      <c r="J993" s="14">
        <f t="shared" si="47"/>
        <v>111.52057861201999</v>
      </c>
    </row>
    <row r="994" spans="1:10">
      <c r="A994" s="100">
        <v>40652</v>
      </c>
      <c r="B994">
        <v>131.31</v>
      </c>
      <c r="C994">
        <v>56.6</v>
      </c>
      <c r="D994">
        <v>64.97</v>
      </c>
      <c r="G994" s="100">
        <v>40652</v>
      </c>
      <c r="H994" s="14">
        <f t="shared" si="45"/>
        <v>86.616094986807397</v>
      </c>
      <c r="I994" s="14">
        <f t="shared" si="46"/>
        <v>121.58968850698176</v>
      </c>
      <c r="J994" s="14">
        <f t="shared" si="47"/>
        <v>111.88221112450492</v>
      </c>
    </row>
    <row r="995" spans="1:10">
      <c r="A995" s="100">
        <v>40653</v>
      </c>
      <c r="B995">
        <v>133.1</v>
      </c>
      <c r="C995">
        <v>57.88</v>
      </c>
      <c r="D995">
        <v>66.64</v>
      </c>
      <c r="G995" s="100">
        <v>40653</v>
      </c>
      <c r="H995" s="14">
        <f t="shared" si="45"/>
        <v>87.796833773087073</v>
      </c>
      <c r="I995" s="14">
        <f t="shared" si="46"/>
        <v>124.33941997851774</v>
      </c>
      <c r="J995" s="14">
        <f t="shared" si="47"/>
        <v>114.75805062855176</v>
      </c>
    </row>
    <row r="996" spans="1:10">
      <c r="A996" s="100">
        <v>40654</v>
      </c>
      <c r="B996">
        <v>133.78</v>
      </c>
      <c r="C996">
        <v>58.34</v>
      </c>
      <c r="D996">
        <v>67.209999999999994</v>
      </c>
      <c r="G996" s="100">
        <v>40654</v>
      </c>
      <c r="H996" s="14">
        <f t="shared" si="45"/>
        <v>88.245382585751983</v>
      </c>
      <c r="I996" s="14">
        <f t="shared" si="46"/>
        <v>125.32760472610099</v>
      </c>
      <c r="J996" s="14">
        <f t="shared" si="47"/>
        <v>115.73962459101084</v>
      </c>
    </row>
    <row r="997" spans="1:10">
      <c r="A997" s="100">
        <v>40658</v>
      </c>
      <c r="B997">
        <v>133.63999999999999</v>
      </c>
      <c r="C997">
        <v>58.49</v>
      </c>
      <c r="D997">
        <v>67.39</v>
      </c>
      <c r="G997" s="100">
        <v>40658</v>
      </c>
      <c r="H997" s="14">
        <f t="shared" si="45"/>
        <v>88.15303430079156</v>
      </c>
      <c r="I997" s="14">
        <f t="shared" si="46"/>
        <v>125.6498388829216</v>
      </c>
      <c r="J997" s="14">
        <f t="shared" si="47"/>
        <v>116.04959531599795</v>
      </c>
    </row>
    <row r="998" spans="1:10">
      <c r="A998" s="100">
        <v>40659</v>
      </c>
      <c r="B998">
        <v>134.79</v>
      </c>
      <c r="C998">
        <v>58.82</v>
      </c>
      <c r="D998">
        <v>67.89</v>
      </c>
      <c r="G998" s="100">
        <v>40659</v>
      </c>
      <c r="H998" s="14">
        <f t="shared" si="45"/>
        <v>88.911609498680733</v>
      </c>
      <c r="I998" s="14">
        <f t="shared" si="46"/>
        <v>126.35875402792698</v>
      </c>
      <c r="J998" s="14">
        <f t="shared" si="47"/>
        <v>116.91062510762873</v>
      </c>
    </row>
    <row r="999" spans="1:10">
      <c r="A999" s="100">
        <v>40660</v>
      </c>
      <c r="B999">
        <v>135.66999999999999</v>
      </c>
      <c r="C999">
        <v>59.22</v>
      </c>
      <c r="D999">
        <v>68.180000000000007</v>
      </c>
      <c r="G999" s="100">
        <v>40660</v>
      </c>
      <c r="H999" s="14">
        <f t="shared" si="45"/>
        <v>89.492084432717675</v>
      </c>
      <c r="I999" s="14">
        <f t="shared" si="46"/>
        <v>127.21804511278197</v>
      </c>
      <c r="J999" s="14">
        <f t="shared" si="47"/>
        <v>117.4100223867746</v>
      </c>
    </row>
    <row r="1000" spans="1:10">
      <c r="A1000" s="100">
        <v>40661</v>
      </c>
      <c r="B1000">
        <v>136.11000000000001</v>
      </c>
      <c r="C1000">
        <v>59.13</v>
      </c>
      <c r="D1000">
        <v>68.209999999999994</v>
      </c>
      <c r="G1000" s="100">
        <v>40661</v>
      </c>
      <c r="H1000" s="14">
        <f t="shared" si="45"/>
        <v>89.782321899736161</v>
      </c>
      <c r="I1000" s="14">
        <f t="shared" si="46"/>
        <v>127.0247046186896</v>
      </c>
      <c r="J1000" s="14">
        <f t="shared" si="47"/>
        <v>117.46168417427243</v>
      </c>
    </row>
    <row r="1001" spans="1:10">
      <c r="A1001" s="100">
        <v>40662</v>
      </c>
      <c r="B1001">
        <v>136.43</v>
      </c>
      <c r="C1001">
        <v>59.08</v>
      </c>
      <c r="D1001">
        <v>68.400000000000006</v>
      </c>
      <c r="G1001" s="100">
        <v>40662</v>
      </c>
      <c r="H1001" s="14">
        <f t="shared" si="45"/>
        <v>89.993403693931413</v>
      </c>
      <c r="I1001" s="14">
        <f t="shared" si="46"/>
        <v>126.91729323308272</v>
      </c>
      <c r="J1001" s="14">
        <f t="shared" si="47"/>
        <v>117.78887549509214</v>
      </c>
    </row>
    <row r="1002" spans="1:10">
      <c r="A1002" s="100">
        <v>40665</v>
      </c>
      <c r="B1002">
        <v>136.22</v>
      </c>
      <c r="C1002">
        <v>58.97</v>
      </c>
      <c r="D1002">
        <v>67.95</v>
      </c>
      <c r="G1002" s="100">
        <v>40665</v>
      </c>
      <c r="H1002" s="14">
        <f t="shared" si="45"/>
        <v>89.854881266490764</v>
      </c>
      <c r="I1002" s="14">
        <f t="shared" si="46"/>
        <v>126.68098818474758</v>
      </c>
      <c r="J1002" s="14">
        <f t="shared" si="47"/>
        <v>117.01394868262443</v>
      </c>
    </row>
    <row r="1003" spans="1:10">
      <c r="A1003" s="100">
        <v>40666</v>
      </c>
      <c r="B1003">
        <v>135.72999999999999</v>
      </c>
      <c r="C1003">
        <v>58.69</v>
      </c>
      <c r="D1003">
        <v>67.66</v>
      </c>
      <c r="G1003" s="100">
        <v>40666</v>
      </c>
      <c r="H1003" s="14">
        <f t="shared" si="45"/>
        <v>89.531662269129285</v>
      </c>
      <c r="I1003" s="14">
        <f t="shared" si="46"/>
        <v>126.07948442534908</v>
      </c>
      <c r="J1003" s="14">
        <f t="shared" si="47"/>
        <v>116.51455140347855</v>
      </c>
    </row>
    <row r="1004" spans="1:10">
      <c r="A1004" s="100">
        <v>40667</v>
      </c>
      <c r="B1004">
        <v>134.83000000000001</v>
      </c>
      <c r="C1004">
        <v>58.6</v>
      </c>
      <c r="D1004">
        <v>67.55</v>
      </c>
      <c r="G1004" s="100">
        <v>40667</v>
      </c>
      <c r="H1004" s="14">
        <f t="shared" si="45"/>
        <v>88.937994722955153</v>
      </c>
      <c r="I1004" s="14">
        <f t="shared" si="46"/>
        <v>125.88614393125673</v>
      </c>
      <c r="J1004" s="14">
        <f t="shared" si="47"/>
        <v>116.32512484931978</v>
      </c>
    </row>
    <row r="1005" spans="1:10">
      <c r="A1005" s="100">
        <v>40668</v>
      </c>
      <c r="B1005">
        <v>133.61000000000001</v>
      </c>
      <c r="C1005">
        <v>58.28</v>
      </c>
      <c r="D1005">
        <v>67.290000000000006</v>
      </c>
      <c r="G1005" s="100">
        <v>40668</v>
      </c>
      <c r="H1005" s="14">
        <f t="shared" si="45"/>
        <v>88.13324538258577</v>
      </c>
      <c r="I1005" s="14">
        <f t="shared" si="46"/>
        <v>125.19871106337273</v>
      </c>
      <c r="J1005" s="14">
        <f t="shared" si="47"/>
        <v>115.87738935767177</v>
      </c>
    </row>
    <row r="1006" spans="1:10">
      <c r="A1006" s="100">
        <v>40669</v>
      </c>
      <c r="B1006">
        <v>134.19999999999999</v>
      </c>
      <c r="C1006">
        <v>58.47</v>
      </c>
      <c r="D1006">
        <v>67.540000000000006</v>
      </c>
      <c r="G1006" s="100">
        <v>40669</v>
      </c>
      <c r="H1006" s="14">
        <f t="shared" si="45"/>
        <v>88.522427440633251</v>
      </c>
      <c r="I1006" s="14">
        <f t="shared" si="46"/>
        <v>125.60687432867886</v>
      </c>
      <c r="J1006" s="14">
        <f t="shared" si="47"/>
        <v>116.30790425348718</v>
      </c>
    </row>
    <row r="1007" spans="1:10">
      <c r="A1007" s="100">
        <v>40672</v>
      </c>
      <c r="B1007">
        <v>134.72</v>
      </c>
      <c r="C1007">
        <v>58.69</v>
      </c>
      <c r="D1007">
        <v>67.69</v>
      </c>
      <c r="G1007" s="100">
        <v>40672</v>
      </c>
      <c r="H1007" s="14">
        <f t="shared" si="45"/>
        <v>88.865435356200521</v>
      </c>
      <c r="I1007" s="14">
        <f t="shared" si="46"/>
        <v>126.07948442534908</v>
      </c>
      <c r="J1007" s="14">
        <f t="shared" si="47"/>
        <v>116.5662131909764</v>
      </c>
    </row>
    <row r="1008" spans="1:10">
      <c r="A1008" s="100">
        <v>40673</v>
      </c>
      <c r="B1008">
        <v>135.87</v>
      </c>
      <c r="C1008">
        <v>59.19</v>
      </c>
      <c r="D1008">
        <v>68.27</v>
      </c>
      <c r="G1008" s="100">
        <v>40673</v>
      </c>
      <c r="H1008" s="14">
        <f t="shared" si="45"/>
        <v>89.624010554089722</v>
      </c>
      <c r="I1008" s="14">
        <f t="shared" si="46"/>
        <v>127.15359828141783</v>
      </c>
      <c r="J1008" s="14">
        <f t="shared" si="47"/>
        <v>117.56500774926812</v>
      </c>
    </row>
    <row r="1009" spans="1:10">
      <c r="A1009" s="100">
        <v>40674</v>
      </c>
      <c r="B1009">
        <v>134.44</v>
      </c>
      <c r="C1009">
        <v>58.76</v>
      </c>
      <c r="D1009">
        <v>67.77</v>
      </c>
      <c r="G1009" s="100">
        <v>40674</v>
      </c>
      <c r="H1009" s="14">
        <f t="shared" si="45"/>
        <v>88.68073878627969</v>
      </c>
      <c r="I1009" s="14">
        <f t="shared" si="46"/>
        <v>126.22986036519872</v>
      </c>
      <c r="J1009" s="14">
        <f t="shared" si="47"/>
        <v>116.70397795763732</v>
      </c>
    </row>
    <row r="1010" spans="1:10">
      <c r="A1010" s="100">
        <v>40675</v>
      </c>
      <c r="B1010">
        <v>135.08000000000001</v>
      </c>
      <c r="C1010">
        <v>59.11</v>
      </c>
      <c r="D1010">
        <v>68.17</v>
      </c>
      <c r="G1010" s="100">
        <v>40675</v>
      </c>
      <c r="H1010" s="14">
        <f t="shared" si="45"/>
        <v>89.102902374670208</v>
      </c>
      <c r="I1010" s="14">
        <f t="shared" si="46"/>
        <v>126.98174006444685</v>
      </c>
      <c r="J1010" s="14">
        <f t="shared" si="47"/>
        <v>117.39280179094196</v>
      </c>
    </row>
    <row r="1011" spans="1:10">
      <c r="A1011" s="100">
        <v>40676</v>
      </c>
      <c r="B1011">
        <v>134.04</v>
      </c>
      <c r="C1011">
        <v>58.41</v>
      </c>
      <c r="D1011">
        <v>67.33</v>
      </c>
      <c r="G1011" s="100">
        <v>40676</v>
      </c>
      <c r="H1011" s="14">
        <f t="shared" si="45"/>
        <v>88.416886543535625</v>
      </c>
      <c r="I1011" s="14">
        <f t="shared" si="46"/>
        <v>125.4779806659506</v>
      </c>
      <c r="J1011" s="14">
        <f t="shared" si="47"/>
        <v>115.94627174100222</v>
      </c>
    </row>
    <row r="1012" spans="1:10">
      <c r="A1012" s="100">
        <v>40679</v>
      </c>
      <c r="B1012">
        <v>133.19</v>
      </c>
      <c r="C1012">
        <v>57.4</v>
      </c>
      <c r="D1012">
        <v>66.209999999999994</v>
      </c>
      <c r="G1012" s="100">
        <v>40679</v>
      </c>
      <c r="H1012" s="14">
        <f t="shared" si="45"/>
        <v>87.856200527704488</v>
      </c>
      <c r="I1012" s="14">
        <f t="shared" si="46"/>
        <v>123.30827067669175</v>
      </c>
      <c r="J1012" s="14">
        <f t="shared" si="47"/>
        <v>114.01756500774927</v>
      </c>
    </row>
    <row r="1013" spans="1:10">
      <c r="A1013" s="100">
        <v>40680</v>
      </c>
      <c r="B1013">
        <v>133.16999999999999</v>
      </c>
      <c r="C1013">
        <v>57.56</v>
      </c>
      <c r="D1013">
        <v>66.05</v>
      </c>
      <c r="G1013" s="100">
        <v>40680</v>
      </c>
      <c r="H1013" s="14">
        <f t="shared" si="45"/>
        <v>87.84300791556727</v>
      </c>
      <c r="I1013" s="14">
        <f t="shared" si="46"/>
        <v>123.65198711063374</v>
      </c>
      <c r="J1013" s="14">
        <f t="shared" si="47"/>
        <v>113.74203547442741</v>
      </c>
    </row>
    <row r="1014" spans="1:10">
      <c r="A1014" s="100">
        <v>40681</v>
      </c>
      <c r="B1014">
        <v>134.36000000000001</v>
      </c>
      <c r="C1014">
        <v>58.04</v>
      </c>
      <c r="D1014">
        <v>66.66</v>
      </c>
      <c r="G1014" s="100">
        <v>40681</v>
      </c>
      <c r="H1014" s="14">
        <f t="shared" si="45"/>
        <v>88.627968337730877</v>
      </c>
      <c r="I1014" s="14">
        <f t="shared" si="46"/>
        <v>124.68313641245972</v>
      </c>
      <c r="J1014" s="14">
        <f t="shared" si="47"/>
        <v>114.79249182021698</v>
      </c>
    </row>
    <row r="1015" spans="1:10">
      <c r="A1015" s="100">
        <v>40682</v>
      </c>
      <c r="B1015">
        <v>134.68</v>
      </c>
      <c r="C1015">
        <v>58.21</v>
      </c>
      <c r="D1015">
        <v>66.760000000000005</v>
      </c>
      <c r="G1015" s="100">
        <v>40682</v>
      </c>
      <c r="H1015" s="14">
        <f t="shared" si="45"/>
        <v>88.839050131926129</v>
      </c>
      <c r="I1015" s="14">
        <f t="shared" si="46"/>
        <v>125.04833512352312</v>
      </c>
      <c r="J1015" s="14">
        <f t="shared" si="47"/>
        <v>114.96469777854314</v>
      </c>
    </row>
    <row r="1016" spans="1:10">
      <c r="A1016" s="100">
        <v>40683</v>
      </c>
      <c r="B1016">
        <v>133.61000000000001</v>
      </c>
      <c r="C1016">
        <v>57.77</v>
      </c>
      <c r="D1016">
        <v>66.400000000000006</v>
      </c>
      <c r="G1016" s="100">
        <v>40683</v>
      </c>
      <c r="H1016" s="14">
        <f t="shared" si="45"/>
        <v>88.13324538258577</v>
      </c>
      <c r="I1016" s="14">
        <f t="shared" si="46"/>
        <v>124.10311493018263</v>
      </c>
      <c r="J1016" s="14">
        <f t="shared" si="47"/>
        <v>114.34475632856898</v>
      </c>
    </row>
    <row r="1017" spans="1:10">
      <c r="A1017" s="100">
        <v>40686</v>
      </c>
      <c r="B1017">
        <v>132.06</v>
      </c>
      <c r="C1017">
        <v>56.92</v>
      </c>
      <c r="D1017">
        <v>65.36</v>
      </c>
      <c r="G1017" s="100">
        <v>40686</v>
      </c>
      <c r="H1017" s="14">
        <f t="shared" si="45"/>
        <v>87.110817941952519</v>
      </c>
      <c r="I1017" s="14">
        <f t="shared" si="46"/>
        <v>122.27712137486574</v>
      </c>
      <c r="J1017" s="14">
        <f t="shared" si="47"/>
        <v>112.55381436197693</v>
      </c>
    </row>
    <row r="1018" spans="1:10">
      <c r="A1018" s="100">
        <v>40687</v>
      </c>
      <c r="B1018">
        <v>131.94999999999999</v>
      </c>
      <c r="C1018">
        <v>56.57</v>
      </c>
      <c r="D1018">
        <v>65.06</v>
      </c>
      <c r="G1018" s="100">
        <v>40687</v>
      </c>
      <c r="H1018" s="14">
        <f t="shared" si="45"/>
        <v>87.038258575197887</v>
      </c>
      <c r="I1018" s="14">
        <f t="shared" si="46"/>
        <v>121.52524167561762</v>
      </c>
      <c r="J1018" s="14">
        <f t="shared" si="47"/>
        <v>112.03719648699845</v>
      </c>
    </row>
    <row r="1019" spans="1:10">
      <c r="A1019" s="100">
        <v>40688</v>
      </c>
      <c r="B1019">
        <v>132.38999999999999</v>
      </c>
      <c r="C1019">
        <v>56.79</v>
      </c>
      <c r="D1019">
        <v>65.37</v>
      </c>
      <c r="G1019" s="100">
        <v>40688</v>
      </c>
      <c r="H1019" s="14">
        <f t="shared" si="45"/>
        <v>87.328496042216358</v>
      </c>
      <c r="I1019" s="14">
        <f t="shared" si="46"/>
        <v>121.99785177228786</v>
      </c>
      <c r="J1019" s="14">
        <f t="shared" si="47"/>
        <v>112.57103495780956</v>
      </c>
    </row>
    <row r="1020" spans="1:10">
      <c r="A1020" s="100">
        <v>40689</v>
      </c>
      <c r="B1020">
        <v>133</v>
      </c>
      <c r="C1020">
        <v>57.14</v>
      </c>
      <c r="D1020">
        <v>65.790000000000006</v>
      </c>
      <c r="G1020" s="100">
        <v>40689</v>
      </c>
      <c r="H1020" s="14">
        <f t="shared" si="45"/>
        <v>87.730870712401057</v>
      </c>
      <c r="I1020" s="14">
        <f t="shared" si="46"/>
        <v>122.74973147153598</v>
      </c>
      <c r="J1020" s="14">
        <f t="shared" si="47"/>
        <v>113.29429998277942</v>
      </c>
    </row>
    <row r="1021" spans="1:10">
      <c r="A1021" s="100">
        <v>40690</v>
      </c>
      <c r="B1021">
        <v>133.51</v>
      </c>
      <c r="C1021">
        <v>57.43</v>
      </c>
      <c r="D1021">
        <v>66.150000000000006</v>
      </c>
      <c r="G1021" s="100">
        <v>40690</v>
      </c>
      <c r="H1021" s="14">
        <f t="shared" si="45"/>
        <v>88.067282321899725</v>
      </c>
      <c r="I1021" s="14">
        <f t="shared" si="46"/>
        <v>123.37271750805586</v>
      </c>
      <c r="J1021" s="14">
        <f t="shared" si="47"/>
        <v>113.9142414327536</v>
      </c>
    </row>
    <row r="1022" spans="1:10">
      <c r="A1022" s="100">
        <v>40694</v>
      </c>
      <c r="B1022">
        <v>134.9</v>
      </c>
      <c r="C1022">
        <v>58.36</v>
      </c>
      <c r="D1022">
        <v>67.180000000000007</v>
      </c>
      <c r="G1022" s="100">
        <v>40694</v>
      </c>
      <c r="H1022" s="14">
        <f t="shared" si="45"/>
        <v>88.984168865435365</v>
      </c>
      <c r="I1022" s="14">
        <f t="shared" si="46"/>
        <v>125.37056928034372</v>
      </c>
      <c r="J1022" s="14">
        <f t="shared" si="47"/>
        <v>115.68796280351302</v>
      </c>
    </row>
    <row r="1023" spans="1:10">
      <c r="A1023" s="100">
        <v>40695</v>
      </c>
      <c r="B1023">
        <v>131.87</v>
      </c>
      <c r="C1023">
        <v>57.09</v>
      </c>
      <c r="D1023">
        <v>65.650000000000006</v>
      </c>
      <c r="G1023" s="100">
        <v>40695</v>
      </c>
      <c r="H1023" s="14">
        <f t="shared" si="45"/>
        <v>86.985488126649074</v>
      </c>
      <c r="I1023" s="14">
        <f t="shared" si="46"/>
        <v>122.64232008592913</v>
      </c>
      <c r="J1023" s="14">
        <f t="shared" si="47"/>
        <v>113.05321164112279</v>
      </c>
    </row>
    <row r="1024" spans="1:10">
      <c r="A1024" s="100">
        <v>40696</v>
      </c>
      <c r="B1024">
        <v>131.72999999999999</v>
      </c>
      <c r="C1024">
        <v>57.21</v>
      </c>
      <c r="D1024">
        <v>65.72</v>
      </c>
      <c r="G1024" s="100">
        <v>40696</v>
      </c>
      <c r="H1024" s="14">
        <f t="shared" si="45"/>
        <v>86.893139841688651</v>
      </c>
      <c r="I1024" s="14">
        <f t="shared" si="46"/>
        <v>122.90010741138562</v>
      </c>
      <c r="J1024" s="14">
        <f t="shared" si="47"/>
        <v>113.17375581195108</v>
      </c>
    </row>
    <row r="1025" spans="1:10">
      <c r="A1025" s="100">
        <v>40697</v>
      </c>
      <c r="B1025">
        <v>130.41999999999999</v>
      </c>
      <c r="C1025">
        <v>56.35</v>
      </c>
      <c r="D1025">
        <v>64.760000000000005</v>
      </c>
      <c r="G1025" s="100">
        <v>40697</v>
      </c>
      <c r="H1025" s="14">
        <f t="shared" si="45"/>
        <v>86.029023746701839</v>
      </c>
      <c r="I1025" s="14">
        <f t="shared" si="46"/>
        <v>121.05263157894738</v>
      </c>
      <c r="J1025" s="14">
        <f t="shared" si="47"/>
        <v>111.52057861201999</v>
      </c>
    </row>
    <row r="1026" spans="1:10">
      <c r="A1026" s="100">
        <v>40700</v>
      </c>
      <c r="B1026">
        <v>129.04</v>
      </c>
      <c r="C1026">
        <v>55.89</v>
      </c>
      <c r="D1026">
        <v>64.28</v>
      </c>
      <c r="G1026" s="100">
        <v>40700</v>
      </c>
      <c r="H1026" s="14">
        <f t="shared" si="45"/>
        <v>85.118733509234829</v>
      </c>
      <c r="I1026" s="14">
        <f t="shared" si="46"/>
        <v>120.06444683136412</v>
      </c>
      <c r="J1026" s="14">
        <f t="shared" si="47"/>
        <v>110.69399001205443</v>
      </c>
    </row>
    <row r="1027" spans="1:10">
      <c r="A1027" s="100">
        <v>40701</v>
      </c>
      <c r="B1027">
        <v>128.96</v>
      </c>
      <c r="C1027">
        <v>55.79</v>
      </c>
      <c r="D1027">
        <v>64.08</v>
      </c>
      <c r="G1027" s="100">
        <v>40701</v>
      </c>
      <c r="H1027" s="14">
        <f t="shared" si="45"/>
        <v>85.065963060686016</v>
      </c>
      <c r="I1027" s="14">
        <f t="shared" si="46"/>
        <v>119.84962406015039</v>
      </c>
      <c r="J1027" s="14">
        <f t="shared" si="47"/>
        <v>110.34957809540209</v>
      </c>
    </row>
    <row r="1028" spans="1:10">
      <c r="A1028" s="100">
        <v>40702</v>
      </c>
      <c r="B1028">
        <v>128.41999999999999</v>
      </c>
      <c r="C1028">
        <v>55.39</v>
      </c>
      <c r="D1028">
        <v>63.47</v>
      </c>
      <c r="G1028" s="100">
        <v>40702</v>
      </c>
      <c r="H1028" s="14">
        <f t="shared" si="45"/>
        <v>84.709762532981529</v>
      </c>
      <c r="I1028" s="14">
        <f t="shared" si="46"/>
        <v>118.9903329752954</v>
      </c>
      <c r="J1028" s="14">
        <f t="shared" si="47"/>
        <v>109.29912174961254</v>
      </c>
    </row>
    <row r="1029" spans="1:10">
      <c r="A1029" s="100">
        <v>40703</v>
      </c>
      <c r="B1029">
        <v>129.4</v>
      </c>
      <c r="C1029">
        <v>55.49</v>
      </c>
      <c r="D1029">
        <v>63.55</v>
      </c>
      <c r="G1029" s="100">
        <v>40703</v>
      </c>
      <c r="H1029" s="14">
        <f t="shared" ref="H1029:H1092" si="48">B1029/$B$4*100</f>
        <v>85.356200527704502</v>
      </c>
      <c r="I1029" s="14">
        <f t="shared" ref="I1029:I1092" si="49">C1029/$C$4*100</f>
        <v>119.20515574650913</v>
      </c>
      <c r="J1029" s="14">
        <f t="shared" ref="J1029:J1092" si="50">D1029/$D$4*100</f>
        <v>109.43688651627346</v>
      </c>
    </row>
    <row r="1030" spans="1:10">
      <c r="A1030" s="100">
        <v>40704</v>
      </c>
      <c r="B1030">
        <v>127.6</v>
      </c>
      <c r="C1030">
        <v>54.64</v>
      </c>
      <c r="D1030">
        <v>62.62</v>
      </c>
      <c r="G1030" s="100">
        <v>40704</v>
      </c>
      <c r="H1030" s="14">
        <f t="shared" si="48"/>
        <v>84.168865435356196</v>
      </c>
      <c r="I1030" s="14">
        <f t="shared" si="49"/>
        <v>117.37916219119226</v>
      </c>
      <c r="J1030" s="14">
        <f t="shared" si="50"/>
        <v>107.83537110384019</v>
      </c>
    </row>
    <row r="1031" spans="1:10">
      <c r="A1031" s="100">
        <v>40707</v>
      </c>
      <c r="B1031">
        <v>127.7</v>
      </c>
      <c r="C1031">
        <v>54.64</v>
      </c>
      <c r="D1031">
        <v>62.46</v>
      </c>
      <c r="G1031" s="100">
        <v>40707</v>
      </c>
      <c r="H1031" s="14">
        <f t="shared" si="48"/>
        <v>84.234828496042226</v>
      </c>
      <c r="I1031" s="14">
        <f t="shared" si="49"/>
        <v>117.37916219119226</v>
      </c>
      <c r="J1031" s="14">
        <f t="shared" si="50"/>
        <v>107.55984157051834</v>
      </c>
    </row>
    <row r="1032" spans="1:10">
      <c r="A1032" s="100">
        <v>40708</v>
      </c>
      <c r="B1032">
        <v>129.32</v>
      </c>
      <c r="C1032">
        <v>55.34</v>
      </c>
      <c r="D1032">
        <v>63.37</v>
      </c>
      <c r="G1032" s="100">
        <v>40708</v>
      </c>
      <c r="H1032" s="14">
        <f t="shared" si="48"/>
        <v>85.303430079155675</v>
      </c>
      <c r="I1032" s="14">
        <f t="shared" si="49"/>
        <v>118.88292158968852</v>
      </c>
      <c r="J1032" s="14">
        <f t="shared" si="50"/>
        <v>109.12691579128636</v>
      </c>
    </row>
    <row r="1033" spans="1:10">
      <c r="A1033" s="100">
        <v>40709</v>
      </c>
      <c r="B1033">
        <v>127.02</v>
      </c>
      <c r="C1033">
        <v>54.29</v>
      </c>
      <c r="D1033">
        <v>62.22</v>
      </c>
      <c r="G1033" s="100">
        <v>40709</v>
      </c>
      <c r="H1033" s="14">
        <f t="shared" si="48"/>
        <v>83.786279683377302</v>
      </c>
      <c r="I1033" s="14">
        <f t="shared" si="49"/>
        <v>116.62728249194416</v>
      </c>
      <c r="J1033" s="14">
        <f t="shared" si="50"/>
        <v>107.14654727053556</v>
      </c>
    </row>
    <row r="1034" spans="1:10">
      <c r="A1034" s="100">
        <v>40710</v>
      </c>
      <c r="B1034">
        <v>127.3</v>
      </c>
      <c r="C1034">
        <v>54.08</v>
      </c>
      <c r="D1034">
        <v>61.97</v>
      </c>
      <c r="G1034" s="100">
        <v>40710</v>
      </c>
      <c r="H1034" s="14">
        <f t="shared" si="48"/>
        <v>83.970976253298161</v>
      </c>
      <c r="I1034" s="14">
        <f t="shared" si="49"/>
        <v>116.17615467239528</v>
      </c>
      <c r="J1034" s="14">
        <f t="shared" si="50"/>
        <v>106.71603237472016</v>
      </c>
    </row>
    <row r="1035" spans="1:10">
      <c r="A1035" s="100">
        <v>40711</v>
      </c>
      <c r="B1035">
        <v>127.05</v>
      </c>
      <c r="C1035">
        <v>53.79</v>
      </c>
      <c r="D1035">
        <v>61.79</v>
      </c>
      <c r="G1035" s="100">
        <v>40711</v>
      </c>
      <c r="H1035" s="14">
        <f t="shared" si="48"/>
        <v>83.806068601583121</v>
      </c>
      <c r="I1035" s="14">
        <f t="shared" si="49"/>
        <v>115.55316863587541</v>
      </c>
      <c r="J1035" s="14">
        <f t="shared" si="50"/>
        <v>106.40606164973308</v>
      </c>
    </row>
    <row r="1036" spans="1:10">
      <c r="A1036" s="100">
        <v>40714</v>
      </c>
      <c r="B1036">
        <v>127.7</v>
      </c>
      <c r="C1036">
        <v>54.07</v>
      </c>
      <c r="D1036">
        <v>61.96</v>
      </c>
      <c r="G1036" s="100">
        <v>40714</v>
      </c>
      <c r="H1036" s="14">
        <f t="shared" si="48"/>
        <v>84.234828496042226</v>
      </c>
      <c r="I1036" s="14">
        <f t="shared" si="49"/>
        <v>116.15467239527391</v>
      </c>
      <c r="J1036" s="14">
        <f t="shared" si="50"/>
        <v>106.69881177888756</v>
      </c>
    </row>
    <row r="1037" spans="1:10">
      <c r="A1037" s="100">
        <v>40715</v>
      </c>
      <c r="B1037">
        <v>129.44999999999999</v>
      </c>
      <c r="C1037">
        <v>55.23</v>
      </c>
      <c r="D1037">
        <v>63.23</v>
      </c>
      <c r="G1037" s="100">
        <v>40715</v>
      </c>
      <c r="H1037" s="14">
        <f t="shared" si="48"/>
        <v>85.389182058047481</v>
      </c>
      <c r="I1037" s="14">
        <f t="shared" si="49"/>
        <v>118.64661654135338</v>
      </c>
      <c r="J1037" s="14">
        <f t="shared" si="50"/>
        <v>108.88582744962976</v>
      </c>
    </row>
    <row r="1038" spans="1:10">
      <c r="A1038" s="100">
        <v>40716</v>
      </c>
      <c r="B1038">
        <v>128.66999999999999</v>
      </c>
      <c r="C1038">
        <v>54.83</v>
      </c>
      <c r="D1038">
        <v>62.79</v>
      </c>
      <c r="G1038" s="100">
        <v>40716</v>
      </c>
      <c r="H1038" s="14">
        <f t="shared" si="48"/>
        <v>84.874670184696569</v>
      </c>
      <c r="I1038" s="14">
        <f t="shared" si="49"/>
        <v>117.78732545649839</v>
      </c>
      <c r="J1038" s="14">
        <f t="shared" si="50"/>
        <v>108.12812123299467</v>
      </c>
    </row>
    <row r="1039" spans="1:10">
      <c r="A1039" s="100">
        <v>40717</v>
      </c>
      <c r="B1039">
        <v>128.30000000000001</v>
      </c>
      <c r="C1039">
        <v>55.34</v>
      </c>
      <c r="D1039">
        <v>63.47</v>
      </c>
      <c r="G1039" s="100">
        <v>40717</v>
      </c>
      <c r="H1039" s="14">
        <f t="shared" si="48"/>
        <v>84.630606860158323</v>
      </c>
      <c r="I1039" s="14">
        <f t="shared" si="49"/>
        <v>118.88292158968852</v>
      </c>
      <c r="J1039" s="14">
        <f t="shared" si="50"/>
        <v>109.29912174961254</v>
      </c>
    </row>
    <row r="1040" spans="1:10">
      <c r="A1040" s="100">
        <v>40718</v>
      </c>
      <c r="B1040">
        <v>126.81</v>
      </c>
      <c r="C1040">
        <v>54.38</v>
      </c>
      <c r="D1040">
        <v>62.2</v>
      </c>
      <c r="G1040" s="100">
        <v>40718</v>
      </c>
      <c r="H1040" s="14">
        <f t="shared" si="48"/>
        <v>83.647757255936682</v>
      </c>
      <c r="I1040" s="14">
        <f t="shared" si="49"/>
        <v>116.82062298603653</v>
      </c>
      <c r="J1040" s="14">
        <f t="shared" si="50"/>
        <v>107.11210607887034</v>
      </c>
    </row>
    <row r="1041" spans="1:10">
      <c r="A1041" s="100">
        <v>40721</v>
      </c>
      <c r="B1041">
        <v>127.94</v>
      </c>
      <c r="C1041">
        <v>55.25</v>
      </c>
      <c r="D1041">
        <v>63.1</v>
      </c>
      <c r="G1041" s="100">
        <v>40721</v>
      </c>
      <c r="H1041" s="14">
        <f t="shared" si="48"/>
        <v>84.393139841688651</v>
      </c>
      <c r="I1041" s="14">
        <f t="shared" si="49"/>
        <v>118.68958109559613</v>
      </c>
      <c r="J1041" s="14">
        <f t="shared" si="50"/>
        <v>108.66195970380575</v>
      </c>
    </row>
    <row r="1042" spans="1:10">
      <c r="A1042" s="100">
        <v>40722</v>
      </c>
      <c r="B1042">
        <v>129.61000000000001</v>
      </c>
      <c r="C1042">
        <v>56.07</v>
      </c>
      <c r="D1042">
        <v>63.91</v>
      </c>
      <c r="G1042" s="100">
        <v>40722</v>
      </c>
      <c r="H1042" s="14">
        <f t="shared" si="48"/>
        <v>85.494722955145136</v>
      </c>
      <c r="I1042" s="14">
        <f t="shared" si="49"/>
        <v>120.45112781954887</v>
      </c>
      <c r="J1042" s="14">
        <f t="shared" si="50"/>
        <v>110.05682796624762</v>
      </c>
    </row>
    <row r="1043" spans="1:10">
      <c r="A1043" s="100">
        <v>40723</v>
      </c>
      <c r="B1043">
        <v>130.72</v>
      </c>
      <c r="C1043">
        <v>56.3</v>
      </c>
      <c r="D1043">
        <v>64.08</v>
      </c>
      <c r="G1043" s="100">
        <v>40723</v>
      </c>
      <c r="H1043" s="14">
        <f t="shared" si="48"/>
        <v>86.226912928759901</v>
      </c>
      <c r="I1043" s="14">
        <f t="shared" si="49"/>
        <v>120.94522019334049</v>
      </c>
      <c r="J1043" s="14">
        <f t="shared" si="50"/>
        <v>110.34957809540209</v>
      </c>
    </row>
    <row r="1044" spans="1:10">
      <c r="A1044" s="100">
        <v>40724</v>
      </c>
      <c r="B1044">
        <v>131.97</v>
      </c>
      <c r="C1044">
        <v>57.05</v>
      </c>
      <c r="D1044">
        <v>65.02</v>
      </c>
      <c r="G1044" s="100">
        <v>40724</v>
      </c>
      <c r="H1044" s="14">
        <f t="shared" si="48"/>
        <v>87.05145118733509</v>
      </c>
      <c r="I1044" s="14">
        <f t="shared" si="49"/>
        <v>122.55639097744361</v>
      </c>
      <c r="J1044" s="14">
        <f t="shared" si="50"/>
        <v>111.96831410366799</v>
      </c>
    </row>
    <row r="1045" spans="1:10">
      <c r="A1045" s="100">
        <v>40725</v>
      </c>
      <c r="B1045">
        <v>133.91999999999999</v>
      </c>
      <c r="C1045">
        <v>57.91</v>
      </c>
      <c r="D1045">
        <v>66.05</v>
      </c>
      <c r="G1045" s="100">
        <v>40725</v>
      </c>
      <c r="H1045" s="14">
        <f t="shared" si="48"/>
        <v>88.337730870712392</v>
      </c>
      <c r="I1045" s="14">
        <f t="shared" si="49"/>
        <v>124.40386680988185</v>
      </c>
      <c r="J1045" s="14">
        <f t="shared" si="50"/>
        <v>113.74203547442741</v>
      </c>
    </row>
    <row r="1046" spans="1:10">
      <c r="A1046" s="100">
        <v>40729</v>
      </c>
      <c r="B1046">
        <v>133.81</v>
      </c>
      <c r="C1046">
        <v>58.2</v>
      </c>
      <c r="D1046">
        <v>66.22</v>
      </c>
      <c r="G1046" s="100">
        <v>40729</v>
      </c>
      <c r="H1046" s="14">
        <f t="shared" si="48"/>
        <v>88.265171503957788</v>
      </c>
      <c r="I1046" s="14">
        <f t="shared" si="49"/>
        <v>125.02685284640174</v>
      </c>
      <c r="J1046" s="14">
        <f t="shared" si="50"/>
        <v>114.03478560358189</v>
      </c>
    </row>
    <row r="1047" spans="1:10">
      <c r="A1047" s="100">
        <v>40730</v>
      </c>
      <c r="B1047">
        <v>133.97</v>
      </c>
      <c r="C1047">
        <v>58.39</v>
      </c>
      <c r="D1047">
        <v>66.56</v>
      </c>
      <c r="G1047" s="100">
        <v>40730</v>
      </c>
      <c r="H1047" s="14">
        <f t="shared" si="48"/>
        <v>88.370712401055414</v>
      </c>
      <c r="I1047" s="14">
        <f t="shared" si="49"/>
        <v>125.43501611170784</v>
      </c>
      <c r="J1047" s="14">
        <f t="shared" si="50"/>
        <v>114.62028586189081</v>
      </c>
    </row>
    <row r="1048" spans="1:10">
      <c r="A1048" s="100">
        <v>40731</v>
      </c>
      <c r="B1048">
        <v>135.36000000000001</v>
      </c>
      <c r="C1048">
        <v>59.19</v>
      </c>
      <c r="D1048">
        <v>67.47</v>
      </c>
      <c r="G1048" s="100">
        <v>40731</v>
      </c>
      <c r="H1048" s="14">
        <f t="shared" si="48"/>
        <v>89.287598944591039</v>
      </c>
      <c r="I1048" s="14">
        <f t="shared" si="49"/>
        <v>127.15359828141783</v>
      </c>
      <c r="J1048" s="14">
        <f t="shared" si="50"/>
        <v>116.18736008265887</v>
      </c>
    </row>
    <row r="1049" spans="1:10">
      <c r="A1049" s="100">
        <v>40732</v>
      </c>
      <c r="B1049">
        <v>134.4</v>
      </c>
      <c r="C1049">
        <v>59.03</v>
      </c>
      <c r="D1049">
        <v>67.150000000000006</v>
      </c>
      <c r="G1049" s="100">
        <v>40732</v>
      </c>
      <c r="H1049" s="14">
        <f t="shared" si="48"/>
        <v>88.654353562005284</v>
      </c>
      <c r="I1049" s="14">
        <f t="shared" si="49"/>
        <v>126.80988184747584</v>
      </c>
      <c r="J1049" s="14">
        <f t="shared" si="50"/>
        <v>115.63630101601517</v>
      </c>
    </row>
    <row r="1050" spans="1:10">
      <c r="A1050" s="100">
        <v>40735</v>
      </c>
      <c r="B1050">
        <v>131.97</v>
      </c>
      <c r="C1050">
        <v>57.96</v>
      </c>
      <c r="D1050">
        <v>65.94</v>
      </c>
      <c r="G1050" s="100">
        <v>40735</v>
      </c>
      <c r="H1050" s="14">
        <f t="shared" si="48"/>
        <v>87.05145118733509</v>
      </c>
      <c r="I1050" s="14">
        <f t="shared" si="49"/>
        <v>124.51127819548873</v>
      </c>
      <c r="J1050" s="14">
        <f t="shared" si="50"/>
        <v>113.55260892026864</v>
      </c>
    </row>
    <row r="1051" spans="1:10">
      <c r="A1051" s="100">
        <v>40736</v>
      </c>
      <c r="B1051">
        <v>131.4</v>
      </c>
      <c r="C1051">
        <v>57.52</v>
      </c>
      <c r="D1051">
        <v>65.23</v>
      </c>
      <c r="G1051" s="100">
        <v>40736</v>
      </c>
      <c r="H1051" s="14">
        <f t="shared" si="48"/>
        <v>86.675461741424812</v>
      </c>
      <c r="I1051" s="14">
        <f t="shared" si="49"/>
        <v>123.56605800214824</v>
      </c>
      <c r="J1051" s="14">
        <f t="shared" si="50"/>
        <v>112.32994661615292</v>
      </c>
    </row>
    <row r="1052" spans="1:10">
      <c r="A1052" s="100">
        <v>40737</v>
      </c>
      <c r="B1052">
        <v>131.84</v>
      </c>
      <c r="C1052">
        <v>57.76</v>
      </c>
      <c r="D1052">
        <v>65.430000000000007</v>
      </c>
      <c r="G1052" s="100">
        <v>40737</v>
      </c>
      <c r="H1052" s="14">
        <f t="shared" si="48"/>
        <v>86.965699208443283</v>
      </c>
      <c r="I1052" s="14">
        <f t="shared" si="49"/>
        <v>124.08163265306122</v>
      </c>
      <c r="J1052" s="14">
        <f t="shared" si="50"/>
        <v>112.67435853280526</v>
      </c>
    </row>
    <row r="1053" spans="1:10">
      <c r="A1053" s="100">
        <v>40738</v>
      </c>
      <c r="B1053">
        <v>130.93</v>
      </c>
      <c r="C1053">
        <v>57.09</v>
      </c>
      <c r="D1053">
        <v>64.760000000000005</v>
      </c>
      <c r="G1053" s="100">
        <v>40738</v>
      </c>
      <c r="H1053" s="14">
        <f t="shared" si="48"/>
        <v>86.365435356200535</v>
      </c>
      <c r="I1053" s="14">
        <f t="shared" si="49"/>
        <v>122.64232008592913</v>
      </c>
      <c r="J1053" s="14">
        <f t="shared" si="50"/>
        <v>111.52057861201999</v>
      </c>
    </row>
    <row r="1054" spans="1:10">
      <c r="A1054" s="100">
        <v>40739</v>
      </c>
      <c r="B1054">
        <v>131.69</v>
      </c>
      <c r="C1054">
        <v>57.85</v>
      </c>
      <c r="D1054">
        <v>65.7</v>
      </c>
      <c r="G1054" s="100">
        <v>40739</v>
      </c>
      <c r="H1054" s="14">
        <f t="shared" si="48"/>
        <v>86.866754617414259</v>
      </c>
      <c r="I1054" s="14">
        <f t="shared" si="49"/>
        <v>124.27497314715362</v>
      </c>
      <c r="J1054" s="14">
        <f t="shared" si="50"/>
        <v>113.13931462028586</v>
      </c>
    </row>
    <row r="1055" spans="1:10">
      <c r="A1055" s="100">
        <v>40742</v>
      </c>
      <c r="B1055">
        <v>130.61000000000001</v>
      </c>
      <c r="C1055">
        <v>57.54</v>
      </c>
      <c r="D1055">
        <v>65.47</v>
      </c>
      <c r="G1055" s="100">
        <v>40742</v>
      </c>
      <c r="H1055" s="14">
        <f t="shared" si="48"/>
        <v>86.154353562005298</v>
      </c>
      <c r="I1055" s="14">
        <f t="shared" si="49"/>
        <v>123.609022556391</v>
      </c>
      <c r="J1055" s="14">
        <f t="shared" si="50"/>
        <v>112.7432409161357</v>
      </c>
    </row>
    <row r="1056" spans="1:10">
      <c r="A1056" s="100">
        <v>40743</v>
      </c>
      <c r="B1056">
        <v>132.72999999999999</v>
      </c>
      <c r="C1056">
        <v>58.85</v>
      </c>
      <c r="D1056">
        <v>67.28</v>
      </c>
      <c r="G1056" s="100">
        <v>40743</v>
      </c>
      <c r="H1056" s="14">
        <f t="shared" si="48"/>
        <v>87.552770448548813</v>
      </c>
      <c r="I1056" s="14">
        <f t="shared" si="49"/>
        <v>126.42320085929109</v>
      </c>
      <c r="J1056" s="14">
        <f t="shared" si="50"/>
        <v>115.86016876183916</v>
      </c>
    </row>
    <row r="1057" spans="1:10">
      <c r="A1057" s="100">
        <v>40744</v>
      </c>
      <c r="B1057">
        <v>132.65</v>
      </c>
      <c r="C1057">
        <v>58.6</v>
      </c>
      <c r="D1057">
        <v>66.98</v>
      </c>
      <c r="G1057" s="100">
        <v>40744</v>
      </c>
      <c r="H1057" s="14">
        <f t="shared" si="48"/>
        <v>87.500000000000014</v>
      </c>
      <c r="I1057" s="14">
        <f t="shared" si="49"/>
        <v>125.88614393125673</v>
      </c>
      <c r="J1057" s="14">
        <f t="shared" si="50"/>
        <v>115.3435508868607</v>
      </c>
    </row>
    <row r="1058" spans="1:10">
      <c r="A1058" s="100">
        <v>40745</v>
      </c>
      <c r="B1058">
        <v>134.49</v>
      </c>
      <c r="C1058">
        <v>58.99</v>
      </c>
      <c r="D1058">
        <v>67.209999999999994</v>
      </c>
      <c r="G1058" s="100">
        <v>40745</v>
      </c>
      <c r="H1058" s="14">
        <f t="shared" si="48"/>
        <v>88.713720316622698</v>
      </c>
      <c r="I1058" s="14">
        <f t="shared" si="49"/>
        <v>126.72395273899035</v>
      </c>
      <c r="J1058" s="14">
        <f t="shared" si="50"/>
        <v>115.73962459101084</v>
      </c>
    </row>
    <row r="1059" spans="1:10">
      <c r="A1059" s="100">
        <v>40746</v>
      </c>
      <c r="B1059">
        <v>134.58000000000001</v>
      </c>
      <c r="C1059">
        <v>59.6</v>
      </c>
      <c r="D1059">
        <v>68.17</v>
      </c>
      <c r="G1059" s="100">
        <v>40746</v>
      </c>
      <c r="H1059" s="14">
        <f t="shared" si="48"/>
        <v>88.773087071240127</v>
      </c>
      <c r="I1059" s="14">
        <f t="shared" si="49"/>
        <v>128.03437164339422</v>
      </c>
      <c r="J1059" s="14">
        <f t="shared" si="50"/>
        <v>117.39280179094196</v>
      </c>
    </row>
    <row r="1060" spans="1:10">
      <c r="A1060" s="100">
        <v>40749</v>
      </c>
      <c r="B1060">
        <v>133.83000000000001</v>
      </c>
      <c r="C1060">
        <v>59.48</v>
      </c>
      <c r="D1060">
        <v>67.94</v>
      </c>
      <c r="G1060" s="100">
        <v>40749</v>
      </c>
      <c r="H1060" s="14">
        <f t="shared" si="48"/>
        <v>88.278364116094991</v>
      </c>
      <c r="I1060" s="14">
        <f t="shared" si="49"/>
        <v>127.7765843179377</v>
      </c>
      <c r="J1060" s="14">
        <f t="shared" si="50"/>
        <v>116.9967280867918</v>
      </c>
    </row>
    <row r="1061" spans="1:10">
      <c r="A1061" s="100">
        <v>40750</v>
      </c>
      <c r="B1061">
        <v>133.33000000000001</v>
      </c>
      <c r="C1061">
        <v>59.63</v>
      </c>
      <c r="D1061">
        <v>68.209999999999994</v>
      </c>
      <c r="G1061" s="100">
        <v>40750</v>
      </c>
      <c r="H1061" s="14">
        <f t="shared" si="48"/>
        <v>87.94854881266491</v>
      </c>
      <c r="I1061" s="14">
        <f t="shared" si="49"/>
        <v>128.09881847475836</v>
      </c>
      <c r="J1061" s="14">
        <f t="shared" si="50"/>
        <v>117.46168417427243</v>
      </c>
    </row>
    <row r="1062" spans="1:10">
      <c r="A1062" s="100">
        <v>40751</v>
      </c>
      <c r="B1062">
        <v>130.6</v>
      </c>
      <c r="C1062">
        <v>58.09</v>
      </c>
      <c r="D1062">
        <v>66.150000000000006</v>
      </c>
      <c r="G1062" s="100">
        <v>40751</v>
      </c>
      <c r="H1062" s="14">
        <f t="shared" si="48"/>
        <v>86.147757255936668</v>
      </c>
      <c r="I1062" s="14">
        <f t="shared" si="49"/>
        <v>124.79054779806663</v>
      </c>
      <c r="J1062" s="14">
        <f t="shared" si="50"/>
        <v>113.9142414327536</v>
      </c>
    </row>
    <row r="1063" spans="1:10">
      <c r="A1063" s="100">
        <v>40752</v>
      </c>
      <c r="B1063">
        <v>130.22</v>
      </c>
      <c r="C1063">
        <v>58.19</v>
      </c>
      <c r="D1063">
        <v>66.22</v>
      </c>
      <c r="G1063" s="100">
        <v>40752</v>
      </c>
      <c r="H1063" s="14">
        <f t="shared" si="48"/>
        <v>85.89709762532982</v>
      </c>
      <c r="I1063" s="14">
        <f t="shared" si="49"/>
        <v>125.00537056928034</v>
      </c>
      <c r="J1063" s="14">
        <f t="shared" si="50"/>
        <v>114.03478560358189</v>
      </c>
    </row>
    <row r="1064" spans="1:10">
      <c r="A1064" s="100">
        <v>40753</v>
      </c>
      <c r="B1064">
        <v>129.33000000000001</v>
      </c>
      <c r="C1064">
        <v>58</v>
      </c>
      <c r="D1064">
        <v>65.73</v>
      </c>
      <c r="G1064" s="100">
        <v>40753</v>
      </c>
      <c r="H1064" s="14">
        <f t="shared" si="48"/>
        <v>85.31002638522429</v>
      </c>
      <c r="I1064" s="14">
        <f t="shared" si="49"/>
        <v>124.59720730397423</v>
      </c>
      <c r="J1064" s="14">
        <f t="shared" si="50"/>
        <v>113.19097640778371</v>
      </c>
    </row>
    <row r="1065" spans="1:10">
      <c r="A1065" s="100">
        <v>40756</v>
      </c>
      <c r="B1065">
        <v>128.78</v>
      </c>
      <c r="C1065">
        <v>57.73</v>
      </c>
      <c r="D1065">
        <v>65.59</v>
      </c>
      <c r="G1065" s="100">
        <v>40756</v>
      </c>
      <c r="H1065" s="14">
        <f t="shared" si="48"/>
        <v>84.947229551451187</v>
      </c>
      <c r="I1065" s="14">
        <f t="shared" si="49"/>
        <v>124.0171858216971</v>
      </c>
      <c r="J1065" s="14">
        <f t="shared" si="50"/>
        <v>112.94988806612709</v>
      </c>
    </row>
    <row r="1066" spans="1:10">
      <c r="A1066" s="100">
        <v>40757</v>
      </c>
      <c r="B1066">
        <v>125.49</v>
      </c>
      <c r="C1066">
        <v>56.27</v>
      </c>
      <c r="D1066">
        <v>64.11</v>
      </c>
      <c r="G1066" s="100">
        <v>40757</v>
      </c>
      <c r="H1066" s="14">
        <f t="shared" si="48"/>
        <v>82.777044854881268</v>
      </c>
      <c r="I1066" s="14">
        <f t="shared" si="49"/>
        <v>120.88077336197638</v>
      </c>
      <c r="J1066" s="14">
        <f t="shared" si="50"/>
        <v>110.40123988289994</v>
      </c>
    </row>
    <row r="1067" spans="1:10">
      <c r="A1067" s="100">
        <v>40758</v>
      </c>
      <c r="B1067">
        <v>126.17</v>
      </c>
      <c r="C1067">
        <v>56.81</v>
      </c>
      <c r="D1067">
        <v>64.760000000000005</v>
      </c>
      <c r="G1067" s="100">
        <v>40758</v>
      </c>
      <c r="H1067" s="14">
        <f t="shared" si="48"/>
        <v>83.225593667546178</v>
      </c>
      <c r="I1067" s="14">
        <f t="shared" si="49"/>
        <v>122.04081632653063</v>
      </c>
      <c r="J1067" s="14">
        <f t="shared" si="50"/>
        <v>111.52057861201999</v>
      </c>
    </row>
    <row r="1068" spans="1:10">
      <c r="A1068" s="100">
        <v>40759</v>
      </c>
      <c r="B1068">
        <v>120.26</v>
      </c>
      <c r="C1068">
        <v>54.17</v>
      </c>
      <c r="D1068">
        <v>61.83</v>
      </c>
      <c r="G1068" s="100">
        <v>40759</v>
      </c>
      <c r="H1068" s="14">
        <f t="shared" si="48"/>
        <v>79.327176781002635</v>
      </c>
      <c r="I1068" s="14">
        <f t="shared" si="49"/>
        <v>116.36949516648767</v>
      </c>
      <c r="J1068" s="14">
        <f t="shared" si="50"/>
        <v>106.47494403306355</v>
      </c>
    </row>
    <row r="1069" spans="1:10">
      <c r="A1069" s="100">
        <v>40760</v>
      </c>
      <c r="B1069">
        <v>120.08</v>
      </c>
      <c r="C1069">
        <v>53.83</v>
      </c>
      <c r="D1069">
        <v>61.31</v>
      </c>
      <c r="G1069" s="100">
        <v>40760</v>
      </c>
      <c r="H1069" s="14">
        <f t="shared" si="48"/>
        <v>79.20844327176782</v>
      </c>
      <c r="I1069" s="14">
        <f t="shared" si="49"/>
        <v>115.6390977443609</v>
      </c>
      <c r="J1069" s="14">
        <f t="shared" si="50"/>
        <v>105.57947304976753</v>
      </c>
    </row>
    <row r="1070" spans="1:10">
      <c r="A1070" s="100">
        <v>40763</v>
      </c>
      <c r="B1070">
        <v>112.26</v>
      </c>
      <c r="C1070">
        <v>50.59</v>
      </c>
      <c r="D1070">
        <v>57.88</v>
      </c>
      <c r="G1070" s="100">
        <v>40763</v>
      </c>
      <c r="H1070" s="14">
        <f t="shared" si="48"/>
        <v>74.050131926121381</v>
      </c>
      <c r="I1070" s="14">
        <f t="shared" si="49"/>
        <v>108.67883995703546</v>
      </c>
      <c r="J1070" s="14">
        <f t="shared" si="50"/>
        <v>99.672808679180307</v>
      </c>
    </row>
    <row r="1071" spans="1:10">
      <c r="A1071" s="100">
        <v>40764</v>
      </c>
      <c r="B1071">
        <v>117.48</v>
      </c>
      <c r="C1071">
        <v>53.03</v>
      </c>
      <c r="D1071">
        <v>60.3</v>
      </c>
      <c r="G1071" s="100">
        <v>40764</v>
      </c>
      <c r="H1071" s="14">
        <f t="shared" si="48"/>
        <v>77.493403693931413</v>
      </c>
      <c r="I1071" s="14">
        <f t="shared" si="49"/>
        <v>113.92051557465092</v>
      </c>
      <c r="J1071" s="14">
        <f t="shared" si="50"/>
        <v>103.84019287067332</v>
      </c>
    </row>
    <row r="1072" spans="1:10">
      <c r="A1072" s="100">
        <v>40765</v>
      </c>
      <c r="B1072">
        <v>112.29</v>
      </c>
      <c r="C1072">
        <v>50.86</v>
      </c>
      <c r="D1072">
        <v>58.02</v>
      </c>
      <c r="G1072" s="100">
        <v>40765</v>
      </c>
      <c r="H1072" s="14">
        <f t="shared" si="48"/>
        <v>74.069920844327186</v>
      </c>
      <c r="I1072" s="14">
        <f t="shared" si="49"/>
        <v>109.25886143931258</v>
      </c>
      <c r="J1072" s="14">
        <f t="shared" si="50"/>
        <v>99.913897020836927</v>
      </c>
    </row>
    <row r="1073" spans="1:10">
      <c r="A1073" s="100">
        <v>40766</v>
      </c>
      <c r="B1073">
        <v>117.33</v>
      </c>
      <c r="C1073">
        <v>53.1</v>
      </c>
      <c r="D1073">
        <v>60.45</v>
      </c>
      <c r="G1073" s="100">
        <v>40766</v>
      </c>
      <c r="H1073" s="14">
        <f t="shared" si="48"/>
        <v>77.394459102902374</v>
      </c>
      <c r="I1073" s="14">
        <f t="shared" si="49"/>
        <v>114.07089151450054</v>
      </c>
      <c r="J1073" s="14">
        <f t="shared" si="50"/>
        <v>104.09850180816255</v>
      </c>
    </row>
    <row r="1074" spans="1:10">
      <c r="A1074" s="100">
        <v>40767</v>
      </c>
      <c r="B1074">
        <v>118.12</v>
      </c>
      <c r="C1074">
        <v>53.57</v>
      </c>
      <c r="D1074">
        <v>60.99</v>
      </c>
      <c r="G1074" s="100">
        <v>40767</v>
      </c>
      <c r="H1074" s="14">
        <f t="shared" si="48"/>
        <v>77.915567282321902</v>
      </c>
      <c r="I1074" s="14">
        <f t="shared" si="49"/>
        <v>115.08055853920516</v>
      </c>
      <c r="J1074" s="14">
        <f t="shared" si="50"/>
        <v>105.02841398312381</v>
      </c>
    </row>
    <row r="1075" spans="1:10">
      <c r="A1075" s="100">
        <v>40770</v>
      </c>
      <c r="B1075">
        <v>120.62</v>
      </c>
      <c r="C1075">
        <v>54.36</v>
      </c>
      <c r="D1075">
        <v>62.06</v>
      </c>
      <c r="G1075" s="100">
        <v>40770</v>
      </c>
      <c r="H1075" s="14">
        <f t="shared" si="48"/>
        <v>79.564643799472307</v>
      </c>
      <c r="I1075" s="14">
        <f t="shared" si="49"/>
        <v>116.77765843179377</v>
      </c>
      <c r="J1075" s="14">
        <f t="shared" si="50"/>
        <v>106.87101773721371</v>
      </c>
    </row>
    <row r="1076" spans="1:10">
      <c r="A1076" s="100">
        <v>40771</v>
      </c>
      <c r="B1076">
        <v>119.59</v>
      </c>
      <c r="C1076">
        <v>53.9</v>
      </c>
      <c r="D1076">
        <v>61.36</v>
      </c>
      <c r="G1076" s="100">
        <v>40771</v>
      </c>
      <c r="H1076" s="14">
        <f t="shared" si="48"/>
        <v>78.88522427440634</v>
      </c>
      <c r="I1076" s="14">
        <f t="shared" si="49"/>
        <v>115.78947368421053</v>
      </c>
      <c r="J1076" s="14">
        <f t="shared" si="50"/>
        <v>105.6655760289306</v>
      </c>
    </row>
    <row r="1077" spans="1:10">
      <c r="A1077" s="100">
        <v>40772</v>
      </c>
      <c r="B1077">
        <v>119.67</v>
      </c>
      <c r="C1077">
        <v>53.58</v>
      </c>
      <c r="D1077">
        <v>60.81</v>
      </c>
      <c r="G1077" s="100">
        <v>40772</v>
      </c>
      <c r="H1077" s="14">
        <f t="shared" si="48"/>
        <v>78.937994722955153</v>
      </c>
      <c r="I1077" s="14">
        <f t="shared" si="49"/>
        <v>115.10204081632654</v>
      </c>
      <c r="J1077" s="14">
        <f t="shared" si="50"/>
        <v>104.71844325813673</v>
      </c>
    </row>
    <row r="1078" spans="1:10">
      <c r="A1078" s="100">
        <v>40773</v>
      </c>
      <c r="B1078">
        <v>114.51</v>
      </c>
      <c r="C1078">
        <v>50.95</v>
      </c>
      <c r="D1078">
        <v>57.65</v>
      </c>
      <c r="G1078" s="100">
        <v>40773</v>
      </c>
      <c r="H1078" s="14">
        <f t="shared" si="48"/>
        <v>75.534300791556731</v>
      </c>
      <c r="I1078" s="14">
        <f t="shared" si="49"/>
        <v>109.45220193340495</v>
      </c>
      <c r="J1078" s="14">
        <f t="shared" si="50"/>
        <v>99.276734975030138</v>
      </c>
    </row>
    <row r="1079" spans="1:10">
      <c r="A1079" s="100">
        <v>40774</v>
      </c>
      <c r="B1079">
        <v>112.64</v>
      </c>
      <c r="C1079">
        <v>50.03</v>
      </c>
      <c r="D1079">
        <v>56.04</v>
      </c>
      <c r="G1079" s="100">
        <v>40774</v>
      </c>
      <c r="H1079" s="14">
        <f t="shared" si="48"/>
        <v>74.300791556728242</v>
      </c>
      <c r="I1079" s="14">
        <f t="shared" si="49"/>
        <v>107.47583243823846</v>
      </c>
      <c r="J1079" s="14">
        <f t="shared" si="50"/>
        <v>96.504219045978985</v>
      </c>
    </row>
    <row r="1080" spans="1:10">
      <c r="A1080" s="100">
        <v>40777</v>
      </c>
      <c r="B1080">
        <v>112.73</v>
      </c>
      <c r="C1080">
        <v>50.21</v>
      </c>
      <c r="D1080">
        <v>56.33</v>
      </c>
      <c r="G1080" s="100">
        <v>40777</v>
      </c>
      <c r="H1080" s="14">
        <f t="shared" si="48"/>
        <v>74.360158311345643</v>
      </c>
      <c r="I1080" s="14">
        <f t="shared" si="49"/>
        <v>107.86251342642321</v>
      </c>
      <c r="J1080" s="14">
        <f t="shared" si="50"/>
        <v>97.003616325124838</v>
      </c>
    </row>
    <row r="1081" spans="1:10">
      <c r="A1081" s="100">
        <v>40778</v>
      </c>
      <c r="B1081">
        <v>116.44</v>
      </c>
      <c r="C1081">
        <v>52.28</v>
      </c>
      <c r="D1081">
        <v>58.57</v>
      </c>
      <c r="G1081" s="100">
        <v>40778</v>
      </c>
      <c r="H1081" s="14">
        <f t="shared" si="48"/>
        <v>76.807387862796844</v>
      </c>
      <c r="I1081" s="14">
        <f t="shared" si="49"/>
        <v>112.30934479054781</v>
      </c>
      <c r="J1081" s="14">
        <f t="shared" si="50"/>
        <v>100.86102979163078</v>
      </c>
    </row>
    <row r="1082" spans="1:10">
      <c r="A1082" s="100">
        <v>40779</v>
      </c>
      <c r="B1082">
        <v>118.08</v>
      </c>
      <c r="C1082">
        <v>52.69</v>
      </c>
      <c r="D1082">
        <v>58.99</v>
      </c>
      <c r="G1082" s="100">
        <v>40779</v>
      </c>
      <c r="H1082" s="14">
        <f t="shared" si="48"/>
        <v>77.889182058047496</v>
      </c>
      <c r="I1082" s="14">
        <f t="shared" si="49"/>
        <v>113.19011815252418</v>
      </c>
      <c r="J1082" s="14">
        <f t="shared" si="50"/>
        <v>101.58429481660065</v>
      </c>
    </row>
    <row r="1083" spans="1:10">
      <c r="A1083" s="100">
        <v>40780</v>
      </c>
      <c r="B1083">
        <v>116.28</v>
      </c>
      <c r="C1083">
        <v>51.83</v>
      </c>
      <c r="D1083">
        <v>58.06</v>
      </c>
      <c r="G1083" s="100">
        <v>40780</v>
      </c>
      <c r="H1083" s="14">
        <f t="shared" si="48"/>
        <v>76.701846965699218</v>
      </c>
      <c r="I1083" s="14">
        <f t="shared" si="49"/>
        <v>111.34264232008593</v>
      </c>
      <c r="J1083" s="14">
        <f t="shared" si="50"/>
        <v>99.982779404167388</v>
      </c>
    </row>
    <row r="1084" spans="1:10">
      <c r="A1084" s="100">
        <v>40781</v>
      </c>
      <c r="B1084">
        <v>117.97</v>
      </c>
      <c r="C1084">
        <v>53.13</v>
      </c>
      <c r="D1084">
        <v>59.46</v>
      </c>
      <c r="G1084" s="100">
        <v>40781</v>
      </c>
      <c r="H1084" s="14">
        <f t="shared" si="48"/>
        <v>77.816622691292878</v>
      </c>
      <c r="I1084" s="14">
        <f t="shared" si="49"/>
        <v>114.13533834586467</v>
      </c>
      <c r="J1084" s="14">
        <f t="shared" si="50"/>
        <v>102.3936628207336</v>
      </c>
    </row>
    <row r="1085" spans="1:10">
      <c r="A1085" s="100">
        <v>40784</v>
      </c>
      <c r="B1085">
        <v>121.36</v>
      </c>
      <c r="C1085">
        <v>54.61</v>
      </c>
      <c r="D1085">
        <v>61.2</v>
      </c>
      <c r="G1085" s="100">
        <v>40784</v>
      </c>
      <c r="H1085" s="14">
        <f t="shared" si="48"/>
        <v>80.052770448548813</v>
      </c>
      <c r="I1085" s="14">
        <f t="shared" si="49"/>
        <v>117.31471535982814</v>
      </c>
      <c r="J1085" s="14">
        <f t="shared" si="50"/>
        <v>105.39004649560874</v>
      </c>
    </row>
    <row r="1086" spans="1:10">
      <c r="A1086" s="100">
        <v>40785</v>
      </c>
      <c r="B1086">
        <v>121.68</v>
      </c>
      <c r="C1086">
        <v>54.97</v>
      </c>
      <c r="D1086">
        <v>61.33</v>
      </c>
      <c r="G1086" s="100">
        <v>40785</v>
      </c>
      <c r="H1086" s="14">
        <f t="shared" si="48"/>
        <v>80.263852242744065</v>
      </c>
      <c r="I1086" s="14">
        <f t="shared" si="49"/>
        <v>118.08807733619764</v>
      </c>
      <c r="J1086" s="14">
        <f t="shared" si="50"/>
        <v>105.61391424143277</v>
      </c>
    </row>
    <row r="1087" spans="1:10">
      <c r="A1087" s="100">
        <v>40786</v>
      </c>
      <c r="B1087">
        <v>122.22</v>
      </c>
      <c r="C1087">
        <v>55.06</v>
      </c>
      <c r="D1087">
        <v>61.36</v>
      </c>
      <c r="G1087" s="100">
        <v>40786</v>
      </c>
      <c r="H1087" s="14">
        <f t="shared" si="48"/>
        <v>80.620052770448552</v>
      </c>
      <c r="I1087" s="14">
        <f t="shared" si="49"/>
        <v>118.28141783029002</v>
      </c>
      <c r="J1087" s="14">
        <f t="shared" si="50"/>
        <v>105.6655760289306</v>
      </c>
    </row>
    <row r="1088" spans="1:10">
      <c r="A1088" s="100">
        <v>40787</v>
      </c>
      <c r="B1088">
        <v>120.94</v>
      </c>
      <c r="C1088">
        <v>54.56</v>
      </c>
      <c r="D1088">
        <v>60.62</v>
      </c>
      <c r="G1088" s="100">
        <v>40787</v>
      </c>
      <c r="H1088" s="14">
        <f t="shared" si="48"/>
        <v>79.775725593667545</v>
      </c>
      <c r="I1088" s="14">
        <f t="shared" si="49"/>
        <v>117.20730397422128</v>
      </c>
      <c r="J1088" s="14">
        <f t="shared" si="50"/>
        <v>104.39125193731702</v>
      </c>
    </row>
    <row r="1089" spans="1:10">
      <c r="A1089" s="100">
        <v>40788</v>
      </c>
      <c r="B1089">
        <v>117.85</v>
      </c>
      <c r="C1089">
        <v>53.28</v>
      </c>
      <c r="D1089">
        <v>59.15</v>
      </c>
      <c r="G1089" s="100">
        <v>40788</v>
      </c>
      <c r="H1089" s="14">
        <f t="shared" si="48"/>
        <v>77.737467018469658</v>
      </c>
      <c r="I1089" s="14">
        <f t="shared" si="49"/>
        <v>114.4575725026853</v>
      </c>
      <c r="J1089" s="14">
        <f t="shared" si="50"/>
        <v>101.85982434992252</v>
      </c>
    </row>
    <row r="1090" spans="1:10">
      <c r="A1090" s="100">
        <v>40792</v>
      </c>
      <c r="B1090">
        <v>116.99</v>
      </c>
      <c r="C1090">
        <v>53.29</v>
      </c>
      <c r="D1090">
        <v>58.85</v>
      </c>
      <c r="G1090" s="100">
        <v>40792</v>
      </c>
      <c r="H1090" s="14">
        <f t="shared" si="48"/>
        <v>77.170184696569919</v>
      </c>
      <c r="I1090" s="14">
        <f t="shared" si="49"/>
        <v>114.47905477980666</v>
      </c>
      <c r="J1090" s="14">
        <f t="shared" si="50"/>
        <v>101.34320647494404</v>
      </c>
    </row>
    <row r="1091" spans="1:10">
      <c r="A1091" s="100">
        <v>40793</v>
      </c>
      <c r="B1091">
        <v>120.29</v>
      </c>
      <c r="C1091">
        <v>54.64</v>
      </c>
      <c r="D1091">
        <v>60.47</v>
      </c>
      <c r="G1091" s="100">
        <v>40793</v>
      </c>
      <c r="H1091" s="14">
        <f t="shared" si="48"/>
        <v>79.346965699208454</v>
      </c>
      <c r="I1091" s="14">
        <f t="shared" si="49"/>
        <v>117.37916219119226</v>
      </c>
      <c r="J1091" s="14">
        <f t="shared" si="50"/>
        <v>104.13294299982778</v>
      </c>
    </row>
    <row r="1092" spans="1:10">
      <c r="A1092" s="100">
        <v>40794</v>
      </c>
      <c r="B1092">
        <v>119.04</v>
      </c>
      <c r="C1092">
        <v>54.39</v>
      </c>
      <c r="D1092">
        <v>60.23</v>
      </c>
      <c r="G1092" s="100">
        <v>40794</v>
      </c>
      <c r="H1092" s="14">
        <f t="shared" si="48"/>
        <v>78.522427440633251</v>
      </c>
      <c r="I1092" s="14">
        <f t="shared" si="49"/>
        <v>116.8421052631579</v>
      </c>
      <c r="J1092" s="14">
        <f t="shared" si="50"/>
        <v>103.719648699845</v>
      </c>
    </row>
    <row r="1093" spans="1:10">
      <c r="A1093" s="100">
        <v>40795</v>
      </c>
      <c r="B1093">
        <v>115.92</v>
      </c>
      <c r="C1093">
        <v>53.18</v>
      </c>
      <c r="D1093">
        <v>58.97</v>
      </c>
      <c r="G1093" s="100">
        <v>40795</v>
      </c>
      <c r="H1093" s="14">
        <f t="shared" ref="H1093:H1156" si="51">B1093/$B$4*100</f>
        <v>76.46437994722956</v>
      </c>
      <c r="I1093" s="14">
        <f t="shared" ref="I1093:I1156" si="52">C1093/$C$4*100</f>
        <v>114.24274973147155</v>
      </c>
      <c r="J1093" s="14">
        <f t="shared" ref="J1093:J1156" si="53">D1093/$D$4*100</f>
        <v>101.54985362493542</v>
      </c>
    </row>
    <row r="1094" spans="1:10">
      <c r="A1094" s="100">
        <v>40798</v>
      </c>
      <c r="B1094">
        <v>116.67</v>
      </c>
      <c r="C1094">
        <v>53.86</v>
      </c>
      <c r="D1094">
        <v>59.72</v>
      </c>
      <c r="G1094" s="100">
        <v>40798</v>
      </c>
      <c r="H1094" s="14">
        <f t="shared" si="51"/>
        <v>76.959102902374681</v>
      </c>
      <c r="I1094" s="14">
        <f t="shared" si="52"/>
        <v>115.70354457572503</v>
      </c>
      <c r="J1094" s="14">
        <f t="shared" si="53"/>
        <v>102.84139831238161</v>
      </c>
    </row>
    <row r="1095" spans="1:10">
      <c r="A1095" s="100">
        <v>40799</v>
      </c>
      <c r="B1095">
        <v>117.74</v>
      </c>
      <c r="C1095">
        <v>54.58</v>
      </c>
      <c r="D1095">
        <v>60.54</v>
      </c>
      <c r="G1095" s="100">
        <v>40799</v>
      </c>
      <c r="H1095" s="14">
        <f t="shared" si="51"/>
        <v>77.664907651715041</v>
      </c>
      <c r="I1095" s="14">
        <f t="shared" si="52"/>
        <v>117.25026852846403</v>
      </c>
      <c r="J1095" s="14">
        <f t="shared" si="53"/>
        <v>104.2534871706561</v>
      </c>
    </row>
    <row r="1096" spans="1:10">
      <c r="A1096" s="100">
        <v>40800</v>
      </c>
      <c r="B1096">
        <v>119.37</v>
      </c>
      <c r="C1096">
        <v>55.36</v>
      </c>
      <c r="D1096">
        <v>61.58</v>
      </c>
      <c r="G1096" s="100">
        <v>40800</v>
      </c>
      <c r="H1096" s="14">
        <f t="shared" si="51"/>
        <v>78.740105540897105</v>
      </c>
      <c r="I1096" s="14">
        <f t="shared" si="52"/>
        <v>118.92588614393127</v>
      </c>
      <c r="J1096" s="14">
        <f t="shared" si="53"/>
        <v>106.04442913724814</v>
      </c>
    </row>
    <row r="1097" spans="1:10">
      <c r="A1097" s="100">
        <v>40801</v>
      </c>
      <c r="B1097">
        <v>121.43</v>
      </c>
      <c r="C1097">
        <v>56.18</v>
      </c>
      <c r="D1097">
        <v>62.55</v>
      </c>
      <c r="G1097" s="100">
        <v>40801</v>
      </c>
      <c r="H1097" s="14">
        <f t="shared" si="51"/>
        <v>80.098944591029024</v>
      </c>
      <c r="I1097" s="14">
        <f t="shared" si="52"/>
        <v>120.687432867884</v>
      </c>
      <c r="J1097" s="14">
        <f t="shared" si="53"/>
        <v>107.71482693301189</v>
      </c>
    </row>
    <row r="1098" spans="1:10">
      <c r="A1098" s="100">
        <v>40802</v>
      </c>
      <c r="B1098">
        <v>121.52</v>
      </c>
      <c r="C1098">
        <v>56.59</v>
      </c>
      <c r="D1098">
        <v>63.08</v>
      </c>
      <c r="G1098" s="100">
        <v>40802</v>
      </c>
      <c r="H1098" s="14">
        <f t="shared" si="51"/>
        <v>80.158311345646439</v>
      </c>
      <c r="I1098" s="14">
        <f t="shared" si="52"/>
        <v>121.56820622986038</v>
      </c>
      <c r="J1098" s="14">
        <f t="shared" si="53"/>
        <v>108.62751851214053</v>
      </c>
    </row>
    <row r="1099" spans="1:10">
      <c r="A1099" s="100">
        <v>40805</v>
      </c>
      <c r="B1099">
        <v>120.31</v>
      </c>
      <c r="C1099">
        <v>56.61</v>
      </c>
      <c r="D1099">
        <v>63.04</v>
      </c>
      <c r="G1099" s="100">
        <v>40805</v>
      </c>
      <c r="H1099" s="14">
        <f t="shared" si="51"/>
        <v>79.360158311345657</v>
      </c>
      <c r="I1099" s="14">
        <f t="shared" si="52"/>
        <v>121.61117078410312</v>
      </c>
      <c r="J1099" s="14">
        <f t="shared" si="53"/>
        <v>108.55863612881005</v>
      </c>
    </row>
    <row r="1100" spans="1:10">
      <c r="A1100" s="100">
        <v>40806</v>
      </c>
      <c r="B1100">
        <v>120.17</v>
      </c>
      <c r="C1100">
        <v>56.36</v>
      </c>
      <c r="D1100">
        <v>62.74</v>
      </c>
      <c r="G1100" s="100">
        <v>40806</v>
      </c>
      <c r="H1100" s="14">
        <f t="shared" si="51"/>
        <v>79.267810026385234</v>
      </c>
      <c r="I1100" s="14">
        <f t="shared" si="52"/>
        <v>121.07411385606875</v>
      </c>
      <c r="J1100" s="14">
        <f t="shared" si="53"/>
        <v>108.0420182538316</v>
      </c>
    </row>
    <row r="1101" spans="1:10">
      <c r="A1101" s="100">
        <v>40807</v>
      </c>
      <c r="B1101">
        <v>116.63</v>
      </c>
      <c r="C1101">
        <v>55.38</v>
      </c>
      <c r="D1101">
        <v>61.84</v>
      </c>
      <c r="G1101" s="100">
        <v>40807</v>
      </c>
      <c r="H1101" s="14">
        <f t="shared" si="51"/>
        <v>76.932717678100261</v>
      </c>
      <c r="I1101" s="14">
        <f t="shared" si="52"/>
        <v>118.96885069817402</v>
      </c>
      <c r="J1101" s="14">
        <f t="shared" si="53"/>
        <v>106.49216462889616</v>
      </c>
    </row>
    <row r="1102" spans="1:10">
      <c r="A1102" s="100">
        <v>40808</v>
      </c>
      <c r="B1102">
        <v>112.86</v>
      </c>
      <c r="C1102">
        <v>53.58</v>
      </c>
      <c r="D1102">
        <v>59.93</v>
      </c>
      <c r="G1102" s="100">
        <v>40808</v>
      </c>
      <c r="H1102" s="14">
        <f t="shared" si="51"/>
        <v>74.445910290237478</v>
      </c>
      <c r="I1102" s="14">
        <f t="shared" si="52"/>
        <v>115.10204081632654</v>
      </c>
      <c r="J1102" s="14">
        <f t="shared" si="53"/>
        <v>103.20303082486654</v>
      </c>
    </row>
    <row r="1103" spans="1:10">
      <c r="A1103" s="100">
        <v>40809</v>
      </c>
      <c r="B1103">
        <v>113.54</v>
      </c>
      <c r="C1103">
        <v>54.15</v>
      </c>
      <c r="D1103">
        <v>60.47</v>
      </c>
      <c r="G1103" s="100">
        <v>40809</v>
      </c>
      <c r="H1103" s="14">
        <f t="shared" si="51"/>
        <v>74.894459102902374</v>
      </c>
      <c r="I1103" s="14">
        <f t="shared" si="52"/>
        <v>116.32653061224489</v>
      </c>
      <c r="J1103" s="14">
        <f t="shared" si="53"/>
        <v>104.13294299982778</v>
      </c>
    </row>
    <row r="1104" spans="1:10">
      <c r="A1104" s="100">
        <v>40812</v>
      </c>
      <c r="B1104">
        <v>116.24</v>
      </c>
      <c r="C1104">
        <v>54.78</v>
      </c>
      <c r="D1104">
        <v>61.31</v>
      </c>
      <c r="G1104" s="100">
        <v>40812</v>
      </c>
      <c r="H1104" s="14">
        <f t="shared" si="51"/>
        <v>76.675461741424797</v>
      </c>
      <c r="I1104" s="14">
        <f t="shared" si="52"/>
        <v>117.67991407089153</v>
      </c>
      <c r="J1104" s="14">
        <f t="shared" si="53"/>
        <v>105.57947304976753</v>
      </c>
    </row>
    <row r="1105" spans="1:10">
      <c r="A1105" s="100">
        <v>40813</v>
      </c>
      <c r="B1105">
        <v>117.54</v>
      </c>
      <c r="C1105">
        <v>55.35</v>
      </c>
      <c r="D1105">
        <v>62.08</v>
      </c>
      <c r="G1105" s="100">
        <v>40813</v>
      </c>
      <c r="H1105" s="14">
        <f t="shared" si="51"/>
        <v>77.532981530343008</v>
      </c>
      <c r="I1105" s="14">
        <f t="shared" si="52"/>
        <v>118.9044038668099</v>
      </c>
      <c r="J1105" s="14">
        <f t="shared" si="53"/>
        <v>106.90545892887893</v>
      </c>
    </row>
    <row r="1106" spans="1:10">
      <c r="A1106" s="100">
        <v>40814</v>
      </c>
      <c r="B1106">
        <v>115.14</v>
      </c>
      <c r="C1106">
        <v>54.53</v>
      </c>
      <c r="D1106">
        <v>61.07</v>
      </c>
      <c r="G1106" s="100">
        <v>40814</v>
      </c>
      <c r="H1106" s="14">
        <f t="shared" si="51"/>
        <v>75.949868073878633</v>
      </c>
      <c r="I1106" s="14">
        <f t="shared" si="52"/>
        <v>117.14285714285715</v>
      </c>
      <c r="J1106" s="14">
        <f t="shared" si="53"/>
        <v>105.16617874978473</v>
      </c>
    </row>
    <row r="1107" spans="1:10">
      <c r="A1107" s="100">
        <v>40815</v>
      </c>
      <c r="B1107">
        <v>116.05</v>
      </c>
      <c r="C1107">
        <v>53.88</v>
      </c>
      <c r="D1107">
        <v>60.83</v>
      </c>
      <c r="G1107" s="100">
        <v>40815</v>
      </c>
      <c r="H1107" s="14">
        <f t="shared" si="51"/>
        <v>76.550131926121367</v>
      </c>
      <c r="I1107" s="14">
        <f t="shared" si="52"/>
        <v>115.74650912996778</v>
      </c>
      <c r="J1107" s="14">
        <f t="shared" si="53"/>
        <v>104.75288444980195</v>
      </c>
    </row>
    <row r="1108" spans="1:10">
      <c r="A1108" s="100">
        <v>40816</v>
      </c>
      <c r="B1108">
        <v>113.15</v>
      </c>
      <c r="C1108">
        <v>52.49</v>
      </c>
      <c r="D1108">
        <v>59.14</v>
      </c>
      <c r="G1108" s="100">
        <v>40816</v>
      </c>
      <c r="H1108" s="14">
        <f t="shared" si="51"/>
        <v>74.637203166226911</v>
      </c>
      <c r="I1108" s="14">
        <f t="shared" si="52"/>
        <v>112.76047261009667</v>
      </c>
      <c r="J1108" s="14">
        <f t="shared" si="53"/>
        <v>101.84260375408989</v>
      </c>
    </row>
    <row r="1109" spans="1:10">
      <c r="A1109" s="100">
        <v>40819</v>
      </c>
      <c r="B1109">
        <v>109.93</v>
      </c>
      <c r="C1109">
        <v>51.14</v>
      </c>
      <c r="D1109">
        <v>57.68</v>
      </c>
      <c r="G1109" s="100">
        <v>40819</v>
      </c>
      <c r="H1109" s="14">
        <f t="shared" si="51"/>
        <v>72.513192612137217</v>
      </c>
      <c r="I1109" s="14">
        <f t="shared" si="52"/>
        <v>109.86036519871108</v>
      </c>
      <c r="J1109" s="14">
        <f t="shared" si="53"/>
        <v>99.328396762527987</v>
      </c>
    </row>
    <row r="1110" spans="1:10">
      <c r="A1110" s="100">
        <v>40820</v>
      </c>
      <c r="B1110">
        <v>112.34</v>
      </c>
      <c r="C1110">
        <v>52.19</v>
      </c>
      <c r="D1110">
        <v>59.01</v>
      </c>
      <c r="G1110" s="100">
        <v>40820</v>
      </c>
      <c r="H1110" s="14">
        <f t="shared" si="51"/>
        <v>74.102902374670194</v>
      </c>
      <c r="I1110" s="14">
        <f t="shared" si="52"/>
        <v>112.11600429645543</v>
      </c>
      <c r="J1110" s="14">
        <f t="shared" si="53"/>
        <v>101.61873600826587</v>
      </c>
    </row>
    <row r="1111" spans="1:10">
      <c r="A1111" s="100">
        <v>40821</v>
      </c>
      <c r="B1111">
        <v>114.42</v>
      </c>
      <c r="C1111">
        <v>53.53</v>
      </c>
      <c r="D1111">
        <v>60.46</v>
      </c>
      <c r="G1111" s="100">
        <v>40821</v>
      </c>
      <c r="H1111" s="14">
        <f t="shared" si="51"/>
        <v>75.474934036939317</v>
      </c>
      <c r="I1111" s="14">
        <f t="shared" si="52"/>
        <v>114.99462943071967</v>
      </c>
      <c r="J1111" s="14">
        <f t="shared" si="53"/>
        <v>104.11572240399518</v>
      </c>
    </row>
    <row r="1112" spans="1:10">
      <c r="A1112" s="100">
        <v>40822</v>
      </c>
      <c r="B1112">
        <v>116.49</v>
      </c>
      <c r="C1112">
        <v>54.43</v>
      </c>
      <c r="D1112">
        <v>61.51</v>
      </c>
      <c r="G1112" s="100">
        <v>40822</v>
      </c>
      <c r="H1112" s="14">
        <f t="shared" si="51"/>
        <v>76.840369393139838</v>
      </c>
      <c r="I1112" s="14">
        <f t="shared" si="52"/>
        <v>116.92803437164341</v>
      </c>
      <c r="J1112" s="14">
        <f t="shared" si="53"/>
        <v>105.92388496641982</v>
      </c>
    </row>
    <row r="1113" spans="1:10">
      <c r="A1113" s="100">
        <v>40823</v>
      </c>
      <c r="B1113">
        <v>115.71</v>
      </c>
      <c r="C1113">
        <v>54.07</v>
      </c>
      <c r="D1113">
        <v>61.19</v>
      </c>
      <c r="G1113" s="100">
        <v>40823</v>
      </c>
      <c r="H1113" s="14">
        <f t="shared" si="51"/>
        <v>76.325857519788926</v>
      </c>
      <c r="I1113" s="14">
        <f t="shared" si="52"/>
        <v>116.15467239527391</v>
      </c>
      <c r="J1113" s="14">
        <f t="shared" si="53"/>
        <v>105.37282589977612</v>
      </c>
    </row>
    <row r="1114" spans="1:10">
      <c r="A1114" s="100">
        <v>40826</v>
      </c>
      <c r="B1114">
        <v>119.58</v>
      </c>
      <c r="C1114">
        <v>55.94</v>
      </c>
      <c r="D1114">
        <v>63.18</v>
      </c>
      <c r="G1114" s="100">
        <v>40826</v>
      </c>
      <c r="H1114" s="14">
        <f t="shared" si="51"/>
        <v>78.878627968337739</v>
      </c>
      <c r="I1114" s="14">
        <f t="shared" si="52"/>
        <v>120.171858216971</v>
      </c>
      <c r="J1114" s="14">
        <f t="shared" si="53"/>
        <v>108.79972447046669</v>
      </c>
    </row>
    <row r="1115" spans="1:10">
      <c r="A1115" s="100">
        <v>40827</v>
      </c>
      <c r="B1115">
        <v>119.7</v>
      </c>
      <c r="C1115">
        <v>56.32</v>
      </c>
      <c r="D1115">
        <v>63.61</v>
      </c>
      <c r="G1115" s="100">
        <v>40827</v>
      </c>
      <c r="H1115" s="14">
        <f t="shared" si="51"/>
        <v>78.957783641160944</v>
      </c>
      <c r="I1115" s="14">
        <f t="shared" si="52"/>
        <v>120.98818474758326</v>
      </c>
      <c r="J1115" s="14">
        <f t="shared" si="53"/>
        <v>109.54021009126916</v>
      </c>
    </row>
    <row r="1116" spans="1:10">
      <c r="A1116" s="100">
        <v>40828</v>
      </c>
      <c r="B1116">
        <v>120.75</v>
      </c>
      <c r="C1116">
        <v>56.6</v>
      </c>
      <c r="D1116">
        <v>63.96</v>
      </c>
      <c r="G1116" s="100">
        <v>40828</v>
      </c>
      <c r="H1116" s="14">
        <f t="shared" si="51"/>
        <v>79.650395778364114</v>
      </c>
      <c r="I1116" s="14">
        <f t="shared" si="52"/>
        <v>121.58968850698176</v>
      </c>
      <c r="J1116" s="14">
        <f t="shared" si="53"/>
        <v>110.14293094541073</v>
      </c>
    </row>
    <row r="1117" spans="1:10">
      <c r="A1117" s="100">
        <v>40829</v>
      </c>
      <c r="B1117">
        <v>120.51</v>
      </c>
      <c r="C1117">
        <v>57.12</v>
      </c>
      <c r="D1117">
        <v>64.709999999999994</v>
      </c>
      <c r="G1117" s="100">
        <v>40829</v>
      </c>
      <c r="H1117" s="14">
        <f t="shared" si="51"/>
        <v>79.492084432717675</v>
      </c>
      <c r="I1117" s="14">
        <f t="shared" si="52"/>
        <v>122.70676691729324</v>
      </c>
      <c r="J1117" s="14">
        <f t="shared" si="53"/>
        <v>111.43447563285689</v>
      </c>
    </row>
    <row r="1118" spans="1:10">
      <c r="A1118" s="100">
        <v>40830</v>
      </c>
      <c r="B1118">
        <v>122.57</v>
      </c>
      <c r="C1118">
        <v>58.18</v>
      </c>
      <c r="D1118">
        <v>66.02</v>
      </c>
      <c r="G1118" s="100">
        <v>40830</v>
      </c>
      <c r="H1118" s="14">
        <f t="shared" si="51"/>
        <v>80.850923482849595</v>
      </c>
      <c r="I1118" s="14">
        <f t="shared" si="52"/>
        <v>124.98388829215898</v>
      </c>
      <c r="J1118" s="14">
        <f t="shared" si="53"/>
        <v>113.69037368692956</v>
      </c>
    </row>
    <row r="1119" spans="1:10">
      <c r="A1119" s="100">
        <v>40833</v>
      </c>
      <c r="B1119">
        <v>120.23</v>
      </c>
      <c r="C1119">
        <v>57.28</v>
      </c>
      <c r="D1119">
        <v>64.849999999999994</v>
      </c>
      <c r="G1119" s="100">
        <v>40833</v>
      </c>
      <c r="H1119" s="14">
        <f t="shared" si="51"/>
        <v>79.307387862796844</v>
      </c>
      <c r="I1119" s="14">
        <f t="shared" si="52"/>
        <v>123.05048335123526</v>
      </c>
      <c r="J1119" s="14">
        <f t="shared" si="53"/>
        <v>111.67556397451351</v>
      </c>
    </row>
    <row r="1120" spans="1:10">
      <c r="A1120" s="100">
        <v>40834</v>
      </c>
      <c r="B1120">
        <v>122.58</v>
      </c>
      <c r="C1120">
        <v>57.99</v>
      </c>
      <c r="D1120">
        <v>65.44</v>
      </c>
      <c r="G1120" s="100">
        <v>40834</v>
      </c>
      <c r="H1120" s="14">
        <f t="shared" si="51"/>
        <v>80.857519788918211</v>
      </c>
      <c r="I1120" s="14">
        <f t="shared" si="52"/>
        <v>124.57572502685285</v>
      </c>
      <c r="J1120" s="14">
        <f t="shared" si="53"/>
        <v>112.69157912863785</v>
      </c>
    </row>
    <row r="1121" spans="1:10">
      <c r="A1121" s="100">
        <v>40835</v>
      </c>
      <c r="B1121">
        <v>121.13</v>
      </c>
      <c r="C1121">
        <v>56.87</v>
      </c>
      <c r="D1121">
        <v>64.12</v>
      </c>
      <c r="G1121" s="100">
        <v>40835</v>
      </c>
      <c r="H1121" s="14">
        <f t="shared" si="51"/>
        <v>79.901055408970976</v>
      </c>
      <c r="I1121" s="14">
        <f t="shared" si="52"/>
        <v>122.16970998925886</v>
      </c>
      <c r="J1121" s="14">
        <f t="shared" si="53"/>
        <v>110.41846047873256</v>
      </c>
    </row>
    <row r="1122" spans="1:10">
      <c r="A1122" s="100">
        <v>40836</v>
      </c>
      <c r="B1122">
        <v>121.66</v>
      </c>
      <c r="C1122">
        <v>56.59</v>
      </c>
      <c r="D1122">
        <v>63.75</v>
      </c>
      <c r="G1122" s="100">
        <v>40836</v>
      </c>
      <c r="H1122" s="14">
        <f t="shared" si="51"/>
        <v>80.250659630606862</v>
      </c>
      <c r="I1122" s="14">
        <f t="shared" si="52"/>
        <v>121.56820622986038</v>
      </c>
      <c r="J1122" s="14">
        <f t="shared" si="53"/>
        <v>109.78129843292579</v>
      </c>
    </row>
    <row r="1123" spans="1:10">
      <c r="A1123" s="100">
        <v>40837</v>
      </c>
      <c r="B1123">
        <v>123.97</v>
      </c>
      <c r="C1123">
        <v>57.3</v>
      </c>
      <c r="D1123">
        <v>64.430000000000007</v>
      </c>
      <c r="G1123" s="100">
        <v>40837</v>
      </c>
      <c r="H1123" s="14">
        <f t="shared" si="51"/>
        <v>81.774406332453836</v>
      </c>
      <c r="I1123" s="14">
        <f t="shared" si="52"/>
        <v>123.09344790547799</v>
      </c>
      <c r="J1123" s="14">
        <f t="shared" si="53"/>
        <v>110.95229894954366</v>
      </c>
    </row>
    <row r="1124" spans="1:10">
      <c r="A1124" s="100">
        <v>40840</v>
      </c>
      <c r="B1124">
        <v>125.49</v>
      </c>
      <c r="C1124">
        <v>58.49</v>
      </c>
      <c r="D1124">
        <v>65.88</v>
      </c>
      <c r="G1124" s="100">
        <v>40840</v>
      </c>
      <c r="H1124" s="14">
        <f t="shared" si="51"/>
        <v>82.777044854881268</v>
      </c>
      <c r="I1124" s="14">
        <f t="shared" si="52"/>
        <v>125.6498388829216</v>
      </c>
      <c r="J1124" s="14">
        <f t="shared" si="53"/>
        <v>113.44928534527294</v>
      </c>
    </row>
    <row r="1125" spans="1:10">
      <c r="A1125" s="100">
        <v>40841</v>
      </c>
      <c r="B1125">
        <v>123.05</v>
      </c>
      <c r="C1125">
        <v>57.34</v>
      </c>
      <c r="D1125">
        <v>64.900000000000006</v>
      </c>
      <c r="G1125" s="100">
        <v>40841</v>
      </c>
      <c r="H1125" s="14">
        <f t="shared" si="51"/>
        <v>81.167546174142473</v>
      </c>
      <c r="I1125" s="14">
        <f t="shared" si="52"/>
        <v>123.17937701396349</v>
      </c>
      <c r="J1125" s="14">
        <f t="shared" si="53"/>
        <v>111.7616669536766</v>
      </c>
    </row>
    <row r="1126" spans="1:10">
      <c r="A1126" s="100">
        <v>40842</v>
      </c>
      <c r="B1126">
        <v>124.3</v>
      </c>
      <c r="C1126">
        <v>57.27</v>
      </c>
      <c r="D1126">
        <v>65.19</v>
      </c>
      <c r="G1126" s="100">
        <v>40842</v>
      </c>
      <c r="H1126" s="14">
        <f t="shared" si="51"/>
        <v>81.992084432717689</v>
      </c>
      <c r="I1126" s="14">
        <f t="shared" si="52"/>
        <v>123.02900107411388</v>
      </c>
      <c r="J1126" s="14">
        <f t="shared" si="53"/>
        <v>112.26106423282245</v>
      </c>
    </row>
    <row r="1127" spans="1:10">
      <c r="A1127" s="100">
        <v>40843</v>
      </c>
      <c r="B1127">
        <v>128.63</v>
      </c>
      <c r="C1127">
        <v>58.85</v>
      </c>
      <c r="D1127">
        <v>67.150000000000006</v>
      </c>
      <c r="G1127" s="100">
        <v>40843</v>
      </c>
      <c r="H1127" s="14">
        <f t="shared" si="51"/>
        <v>84.848284960422163</v>
      </c>
      <c r="I1127" s="14">
        <f t="shared" si="52"/>
        <v>126.42320085929109</v>
      </c>
      <c r="J1127" s="14">
        <f t="shared" si="53"/>
        <v>115.63630101601517</v>
      </c>
    </row>
    <row r="1128" spans="1:10">
      <c r="A1128" s="100">
        <v>40844</v>
      </c>
      <c r="B1128">
        <v>128.6</v>
      </c>
      <c r="C1128">
        <v>58.94</v>
      </c>
      <c r="D1128">
        <v>67.34</v>
      </c>
      <c r="G1128" s="100">
        <v>40844</v>
      </c>
      <c r="H1128" s="14">
        <f t="shared" si="51"/>
        <v>84.828496042216358</v>
      </c>
      <c r="I1128" s="14">
        <f t="shared" si="52"/>
        <v>126.61654135338347</v>
      </c>
      <c r="J1128" s="14">
        <f t="shared" si="53"/>
        <v>115.96349233683485</v>
      </c>
    </row>
    <row r="1129" spans="1:10">
      <c r="A1129" s="100">
        <v>40847</v>
      </c>
      <c r="B1129">
        <v>125.5</v>
      </c>
      <c r="C1129">
        <v>57.95</v>
      </c>
      <c r="D1129">
        <v>66.14</v>
      </c>
      <c r="G1129" s="100">
        <v>40847</v>
      </c>
      <c r="H1129" s="14">
        <f t="shared" si="51"/>
        <v>82.78364116094987</v>
      </c>
      <c r="I1129" s="14">
        <f t="shared" si="52"/>
        <v>124.48979591836735</v>
      </c>
      <c r="J1129" s="14">
        <f t="shared" si="53"/>
        <v>113.89702083692094</v>
      </c>
    </row>
    <row r="1130" spans="1:10">
      <c r="A1130" s="100">
        <v>40848</v>
      </c>
      <c r="B1130">
        <v>122</v>
      </c>
      <c r="C1130">
        <v>56.44</v>
      </c>
      <c r="D1130">
        <v>64.22</v>
      </c>
      <c r="G1130" s="100">
        <v>40848</v>
      </c>
      <c r="H1130" s="14">
        <f t="shared" si="51"/>
        <v>80.474934036939317</v>
      </c>
      <c r="I1130" s="14">
        <f t="shared" si="52"/>
        <v>121.24597207303975</v>
      </c>
      <c r="J1130" s="14">
        <f t="shared" si="53"/>
        <v>110.59066643705873</v>
      </c>
    </row>
    <row r="1131" spans="1:10">
      <c r="A1131" s="100">
        <v>40849</v>
      </c>
      <c r="B1131">
        <v>123.99</v>
      </c>
      <c r="C1131">
        <v>56.92</v>
      </c>
      <c r="D1131">
        <v>64.95</v>
      </c>
      <c r="G1131" s="100">
        <v>40849</v>
      </c>
      <c r="H1131" s="14">
        <f t="shared" si="51"/>
        <v>81.787598944591039</v>
      </c>
      <c r="I1131" s="14">
        <f t="shared" si="52"/>
        <v>122.27712137486574</v>
      </c>
      <c r="J1131" s="14">
        <f t="shared" si="53"/>
        <v>111.8477699328397</v>
      </c>
    </row>
    <row r="1132" spans="1:10">
      <c r="A1132" s="100">
        <v>40850</v>
      </c>
      <c r="B1132">
        <v>126.25</v>
      </c>
      <c r="C1132">
        <v>58.1</v>
      </c>
      <c r="D1132">
        <v>66.599999999999994</v>
      </c>
      <c r="G1132" s="100">
        <v>40850</v>
      </c>
      <c r="H1132" s="14">
        <f t="shared" si="51"/>
        <v>83.278364116094991</v>
      </c>
      <c r="I1132" s="14">
        <f t="shared" si="52"/>
        <v>124.81203007518798</v>
      </c>
      <c r="J1132" s="14">
        <f t="shared" si="53"/>
        <v>114.68916824522128</v>
      </c>
    </row>
    <row r="1133" spans="1:10">
      <c r="A1133" s="100">
        <v>40851</v>
      </c>
      <c r="B1133">
        <v>125.48</v>
      </c>
      <c r="C1133">
        <v>57.8</v>
      </c>
      <c r="D1133">
        <v>66.33</v>
      </c>
      <c r="G1133" s="100">
        <v>40851</v>
      </c>
      <c r="H1133" s="14">
        <f t="shared" si="51"/>
        <v>82.770448548812666</v>
      </c>
      <c r="I1133" s="14">
        <f t="shared" si="52"/>
        <v>124.16756176154674</v>
      </c>
      <c r="J1133" s="14">
        <f t="shared" si="53"/>
        <v>114.22421215774065</v>
      </c>
    </row>
    <row r="1134" spans="1:10">
      <c r="A1134" s="100">
        <v>40854</v>
      </c>
      <c r="B1134">
        <v>126.26</v>
      </c>
      <c r="C1134">
        <v>58.21</v>
      </c>
      <c r="D1134">
        <v>66.7</v>
      </c>
      <c r="G1134" s="100">
        <v>40854</v>
      </c>
      <c r="H1134" s="14">
        <f t="shared" si="51"/>
        <v>83.284960422163593</v>
      </c>
      <c r="I1134" s="14">
        <f t="shared" si="52"/>
        <v>125.04833512352312</v>
      </c>
      <c r="J1134" s="14">
        <f t="shared" si="53"/>
        <v>114.86137420354746</v>
      </c>
    </row>
    <row r="1135" spans="1:10">
      <c r="A1135" s="100">
        <v>40855</v>
      </c>
      <c r="B1135">
        <v>127.88</v>
      </c>
      <c r="C1135">
        <v>58.88</v>
      </c>
      <c r="D1135">
        <v>67.48</v>
      </c>
      <c r="G1135" s="100">
        <v>40855</v>
      </c>
      <c r="H1135" s="14">
        <f t="shared" si="51"/>
        <v>84.353562005277055</v>
      </c>
      <c r="I1135" s="14">
        <f t="shared" si="52"/>
        <v>126.48764769065521</v>
      </c>
      <c r="J1135" s="14">
        <f t="shared" si="53"/>
        <v>116.20458067849148</v>
      </c>
    </row>
    <row r="1136" spans="1:10">
      <c r="A1136" s="100">
        <v>40856</v>
      </c>
      <c r="B1136">
        <v>123.16</v>
      </c>
      <c r="C1136">
        <v>56.81</v>
      </c>
      <c r="D1136">
        <v>65.03</v>
      </c>
      <c r="G1136" s="100">
        <v>40856</v>
      </c>
      <c r="H1136" s="14">
        <f t="shared" si="51"/>
        <v>81.240105540897105</v>
      </c>
      <c r="I1136" s="14">
        <f t="shared" si="52"/>
        <v>122.04081632653063</v>
      </c>
      <c r="J1136" s="14">
        <f t="shared" si="53"/>
        <v>111.9855346995006</v>
      </c>
    </row>
    <row r="1137" spans="1:10">
      <c r="A1137" s="100">
        <v>40857</v>
      </c>
      <c r="B1137">
        <v>124.32</v>
      </c>
      <c r="C1137">
        <v>56.78</v>
      </c>
      <c r="D1137">
        <v>65.13</v>
      </c>
      <c r="G1137" s="100">
        <v>40857</v>
      </c>
      <c r="H1137" s="14">
        <f t="shared" si="51"/>
        <v>82.005277044854878</v>
      </c>
      <c r="I1137" s="14">
        <f t="shared" si="52"/>
        <v>121.97636949516651</v>
      </c>
      <c r="J1137" s="14">
        <f t="shared" si="53"/>
        <v>112.15774065782675</v>
      </c>
    </row>
    <row r="1138" spans="1:10">
      <c r="A1138" s="100">
        <v>40858</v>
      </c>
      <c r="B1138">
        <v>126.66</v>
      </c>
      <c r="C1138">
        <v>57.85</v>
      </c>
      <c r="D1138">
        <v>66.38</v>
      </c>
      <c r="G1138" s="100">
        <v>40858</v>
      </c>
      <c r="H1138" s="14">
        <f t="shared" si="51"/>
        <v>83.548812664907658</v>
      </c>
      <c r="I1138" s="14">
        <f t="shared" si="52"/>
        <v>124.27497314715362</v>
      </c>
      <c r="J1138" s="14">
        <f t="shared" si="53"/>
        <v>114.31031513690372</v>
      </c>
    </row>
    <row r="1139" spans="1:10">
      <c r="A1139" s="100">
        <v>40861</v>
      </c>
      <c r="B1139">
        <v>125.46</v>
      </c>
      <c r="C1139">
        <v>57.49</v>
      </c>
      <c r="D1139">
        <v>66.08</v>
      </c>
      <c r="G1139" s="100">
        <v>40861</v>
      </c>
      <c r="H1139" s="14">
        <f t="shared" si="51"/>
        <v>82.757255936675449</v>
      </c>
      <c r="I1139" s="14">
        <f t="shared" si="52"/>
        <v>123.50161117078412</v>
      </c>
      <c r="J1139" s="14">
        <f t="shared" si="53"/>
        <v>113.79369726192525</v>
      </c>
    </row>
    <row r="1140" spans="1:10">
      <c r="A1140" s="100">
        <v>40862</v>
      </c>
      <c r="B1140">
        <v>126.08</v>
      </c>
      <c r="C1140">
        <v>58.13</v>
      </c>
      <c r="D1140">
        <v>67</v>
      </c>
      <c r="G1140" s="100">
        <v>40862</v>
      </c>
      <c r="H1140" s="14">
        <f t="shared" si="51"/>
        <v>83.166226912928764</v>
      </c>
      <c r="I1140" s="14">
        <f t="shared" si="52"/>
        <v>124.8764769065521</v>
      </c>
      <c r="J1140" s="14">
        <f t="shared" si="53"/>
        <v>115.37799207852592</v>
      </c>
    </row>
    <row r="1141" spans="1:10">
      <c r="A1141" s="100">
        <v>40863</v>
      </c>
      <c r="B1141">
        <v>124.08</v>
      </c>
      <c r="C1141">
        <v>57.17</v>
      </c>
      <c r="D1141">
        <v>66</v>
      </c>
      <c r="G1141" s="100">
        <v>40863</v>
      </c>
      <c r="H1141" s="14">
        <f t="shared" si="51"/>
        <v>81.84696569920844</v>
      </c>
      <c r="I1141" s="14">
        <f t="shared" si="52"/>
        <v>122.81417830290012</v>
      </c>
      <c r="J1141" s="14">
        <f t="shared" si="53"/>
        <v>113.65593249526434</v>
      </c>
    </row>
    <row r="1142" spans="1:10">
      <c r="A1142" s="100">
        <v>40864</v>
      </c>
      <c r="B1142">
        <v>122.11</v>
      </c>
      <c r="C1142">
        <v>55.83</v>
      </c>
      <c r="D1142">
        <v>64.540000000000006</v>
      </c>
      <c r="G1142" s="100">
        <v>40864</v>
      </c>
      <c r="H1142" s="14">
        <f t="shared" si="51"/>
        <v>80.547493403693935</v>
      </c>
      <c r="I1142" s="14">
        <f t="shared" si="52"/>
        <v>119.93555316863589</v>
      </c>
      <c r="J1142" s="14">
        <f t="shared" si="53"/>
        <v>111.14172550370245</v>
      </c>
    </row>
    <row r="1143" spans="1:10">
      <c r="A1143" s="100">
        <v>40865</v>
      </c>
      <c r="B1143">
        <v>121.98</v>
      </c>
      <c r="C1143">
        <v>55.4</v>
      </c>
      <c r="D1143">
        <v>64</v>
      </c>
      <c r="G1143" s="100">
        <v>40865</v>
      </c>
      <c r="H1143" s="14">
        <f t="shared" si="51"/>
        <v>80.461741424802113</v>
      </c>
      <c r="I1143" s="14">
        <f t="shared" si="52"/>
        <v>119.01181525241675</v>
      </c>
      <c r="J1143" s="14">
        <f t="shared" si="53"/>
        <v>110.21181332874117</v>
      </c>
    </row>
    <row r="1144" spans="1:10">
      <c r="A1144" s="100">
        <v>40868</v>
      </c>
      <c r="B1144">
        <v>119.66</v>
      </c>
      <c r="C1144">
        <v>54.34</v>
      </c>
      <c r="D1144">
        <v>62.68</v>
      </c>
      <c r="G1144" s="100">
        <v>40868</v>
      </c>
      <c r="H1144" s="14">
        <f t="shared" si="51"/>
        <v>78.931398416886537</v>
      </c>
      <c r="I1144" s="14">
        <f t="shared" si="52"/>
        <v>116.73469387755104</v>
      </c>
      <c r="J1144" s="14">
        <f t="shared" si="53"/>
        <v>107.93869467883587</v>
      </c>
    </row>
    <row r="1145" spans="1:10">
      <c r="A1145" s="100">
        <v>40869</v>
      </c>
      <c r="B1145">
        <v>119.19</v>
      </c>
      <c r="C1145">
        <v>54.52</v>
      </c>
      <c r="D1145">
        <v>62.6</v>
      </c>
      <c r="G1145" s="100">
        <v>40869</v>
      </c>
      <c r="H1145" s="14">
        <f t="shared" si="51"/>
        <v>78.621372031662276</v>
      </c>
      <c r="I1145" s="14">
        <f t="shared" si="52"/>
        <v>117.12137486573577</v>
      </c>
      <c r="J1145" s="14">
        <f t="shared" si="53"/>
        <v>107.80092991217496</v>
      </c>
    </row>
    <row r="1146" spans="1:10">
      <c r="A1146" s="100">
        <v>40870</v>
      </c>
      <c r="B1146">
        <v>116.56</v>
      </c>
      <c r="C1146">
        <v>53.29</v>
      </c>
      <c r="D1146">
        <v>61.09</v>
      </c>
      <c r="G1146" s="100">
        <v>40870</v>
      </c>
      <c r="H1146" s="14">
        <f t="shared" si="51"/>
        <v>76.886543535620049</v>
      </c>
      <c r="I1146" s="14">
        <f t="shared" si="52"/>
        <v>114.47905477980666</v>
      </c>
      <c r="J1146" s="14">
        <f t="shared" si="53"/>
        <v>105.20061994144999</v>
      </c>
    </row>
    <row r="1147" spans="1:10">
      <c r="A1147" s="100">
        <v>40872</v>
      </c>
      <c r="B1147">
        <v>116.34</v>
      </c>
      <c r="C1147">
        <v>52.88</v>
      </c>
      <c r="D1147">
        <v>60.63</v>
      </c>
      <c r="G1147" s="100">
        <v>40872</v>
      </c>
      <c r="H1147" s="14">
        <f t="shared" si="51"/>
        <v>76.741424802110828</v>
      </c>
      <c r="I1147" s="14">
        <f t="shared" si="52"/>
        <v>113.59828141783031</v>
      </c>
      <c r="J1147" s="14">
        <f t="shared" si="53"/>
        <v>104.40847253314965</v>
      </c>
    </row>
    <row r="1148" spans="1:10">
      <c r="A1148" s="100">
        <v>40875</v>
      </c>
      <c r="B1148">
        <v>119.71</v>
      </c>
      <c r="C1148">
        <v>54.72</v>
      </c>
      <c r="D1148">
        <v>62.73</v>
      </c>
      <c r="G1148" s="100">
        <v>40875</v>
      </c>
      <c r="H1148" s="14">
        <f t="shared" si="51"/>
        <v>78.964379947229546</v>
      </c>
      <c r="I1148" s="14">
        <f t="shared" si="52"/>
        <v>117.55102040816328</v>
      </c>
      <c r="J1148" s="14">
        <f t="shared" si="53"/>
        <v>108.02479765799895</v>
      </c>
    </row>
    <row r="1149" spans="1:10">
      <c r="A1149" s="100">
        <v>40876</v>
      </c>
      <c r="B1149">
        <v>120.05</v>
      </c>
      <c r="C1149">
        <v>54.38</v>
      </c>
      <c r="D1149">
        <v>62.27</v>
      </c>
      <c r="G1149" s="100">
        <v>40876</v>
      </c>
      <c r="H1149" s="14">
        <f t="shared" si="51"/>
        <v>79.188654353562001</v>
      </c>
      <c r="I1149" s="14">
        <f t="shared" si="52"/>
        <v>116.82062298603653</v>
      </c>
      <c r="J1149" s="14">
        <f t="shared" si="53"/>
        <v>107.23265024969864</v>
      </c>
    </row>
    <row r="1150" spans="1:10">
      <c r="A1150" s="100">
        <v>40877</v>
      </c>
      <c r="B1150">
        <v>124.99</v>
      </c>
      <c r="C1150">
        <v>56.39</v>
      </c>
      <c r="D1150">
        <v>64.78</v>
      </c>
      <c r="G1150" s="100">
        <v>40877</v>
      </c>
      <c r="H1150" s="14">
        <f t="shared" si="51"/>
        <v>82.447229551451187</v>
      </c>
      <c r="I1150" s="14">
        <f t="shared" si="52"/>
        <v>121.13856068743287</v>
      </c>
      <c r="J1150" s="14">
        <f t="shared" si="53"/>
        <v>111.55501980368521</v>
      </c>
    </row>
    <row r="1151" spans="1:10">
      <c r="A1151" s="100">
        <v>40878</v>
      </c>
      <c r="B1151">
        <v>124.97</v>
      </c>
      <c r="C1151">
        <v>56.78</v>
      </c>
      <c r="D1151">
        <v>65.09</v>
      </c>
      <c r="G1151" s="100">
        <v>40878</v>
      </c>
      <c r="H1151" s="14">
        <f t="shared" si="51"/>
        <v>82.434036939313984</v>
      </c>
      <c r="I1151" s="14">
        <f t="shared" si="52"/>
        <v>121.97636949516651</v>
      </c>
      <c r="J1151" s="14">
        <f t="shared" si="53"/>
        <v>112.0888582744963</v>
      </c>
    </row>
    <row r="1152" spans="1:10">
      <c r="A1152" s="100">
        <v>40879</v>
      </c>
      <c r="B1152">
        <v>124.86</v>
      </c>
      <c r="C1152">
        <v>56.62</v>
      </c>
      <c r="D1152">
        <v>65.010000000000005</v>
      </c>
      <c r="G1152" s="100">
        <v>40879</v>
      </c>
      <c r="H1152" s="14">
        <f t="shared" si="51"/>
        <v>82.361477572559366</v>
      </c>
      <c r="I1152" s="14">
        <f t="shared" si="52"/>
        <v>121.63265306122449</v>
      </c>
      <c r="J1152" s="14">
        <f t="shared" si="53"/>
        <v>111.95109350783538</v>
      </c>
    </row>
    <row r="1153" spans="1:10">
      <c r="A1153" s="100">
        <v>40882</v>
      </c>
      <c r="B1153">
        <v>126.22</v>
      </c>
      <c r="C1153">
        <v>57.24</v>
      </c>
      <c r="D1153">
        <v>65.94</v>
      </c>
      <c r="G1153" s="100">
        <v>40882</v>
      </c>
      <c r="H1153" s="14">
        <f t="shared" si="51"/>
        <v>83.258575197889186</v>
      </c>
      <c r="I1153" s="14">
        <f t="shared" si="52"/>
        <v>122.96455424274974</v>
      </c>
      <c r="J1153" s="14">
        <f t="shared" si="53"/>
        <v>113.55260892026864</v>
      </c>
    </row>
    <row r="1154" spans="1:10">
      <c r="A1154" s="100">
        <v>40883</v>
      </c>
      <c r="B1154">
        <v>126.26</v>
      </c>
      <c r="C1154">
        <v>57.08</v>
      </c>
      <c r="D1154">
        <v>65.86</v>
      </c>
      <c r="G1154" s="100">
        <v>40883</v>
      </c>
      <c r="H1154" s="14">
        <f t="shared" si="51"/>
        <v>83.284960422163593</v>
      </c>
      <c r="I1154" s="14">
        <f t="shared" si="52"/>
        <v>122.62083780880775</v>
      </c>
      <c r="J1154" s="14">
        <f t="shared" si="53"/>
        <v>113.41484415360772</v>
      </c>
    </row>
    <row r="1155" spans="1:10">
      <c r="A1155" s="100">
        <v>40884</v>
      </c>
      <c r="B1155">
        <v>126.73</v>
      </c>
      <c r="C1155">
        <v>57.08</v>
      </c>
      <c r="D1155">
        <v>65.87</v>
      </c>
      <c r="G1155" s="100">
        <v>40884</v>
      </c>
      <c r="H1155" s="14">
        <f t="shared" si="51"/>
        <v>83.594986807387869</v>
      </c>
      <c r="I1155" s="14">
        <f t="shared" si="52"/>
        <v>122.62083780880775</v>
      </c>
      <c r="J1155" s="14">
        <f t="shared" si="53"/>
        <v>113.43206474944034</v>
      </c>
    </row>
    <row r="1156" spans="1:10">
      <c r="A1156" s="100">
        <v>40885</v>
      </c>
      <c r="B1156">
        <v>123.95</v>
      </c>
      <c r="C1156">
        <v>56.12</v>
      </c>
      <c r="D1156">
        <v>64.760000000000005</v>
      </c>
      <c r="G1156" s="100">
        <v>40885</v>
      </c>
      <c r="H1156" s="14">
        <f t="shared" si="51"/>
        <v>81.761213720316633</v>
      </c>
      <c r="I1156" s="14">
        <f t="shared" si="52"/>
        <v>120.55853920515575</v>
      </c>
      <c r="J1156" s="14">
        <f t="shared" si="53"/>
        <v>111.52057861201999</v>
      </c>
    </row>
    <row r="1157" spans="1:10">
      <c r="A1157" s="100">
        <v>40886</v>
      </c>
      <c r="B1157">
        <v>126.05</v>
      </c>
      <c r="C1157">
        <v>57.02</v>
      </c>
      <c r="D1157">
        <v>65.89</v>
      </c>
      <c r="G1157" s="100">
        <v>40886</v>
      </c>
      <c r="H1157" s="14">
        <f t="shared" ref="H1157:H1220" si="54">B1157/$B$4*100</f>
        <v>83.146437994722959</v>
      </c>
      <c r="I1157" s="14">
        <f t="shared" ref="I1157:I1220" si="55">C1157/$C$4*100</f>
        <v>122.49194414607949</v>
      </c>
      <c r="J1157" s="14">
        <f t="shared" ref="J1157:J1220" si="56">D1157/$D$4*100</f>
        <v>113.46650594110557</v>
      </c>
    </row>
    <row r="1158" spans="1:10">
      <c r="A1158" s="100">
        <v>40889</v>
      </c>
      <c r="B1158">
        <v>124.21</v>
      </c>
      <c r="C1158">
        <v>56.38</v>
      </c>
      <c r="D1158">
        <v>64.95</v>
      </c>
      <c r="G1158" s="100">
        <v>40889</v>
      </c>
      <c r="H1158" s="14">
        <f t="shared" si="54"/>
        <v>81.932717678100261</v>
      </c>
      <c r="I1158" s="14">
        <f t="shared" si="55"/>
        <v>121.11707841031149</v>
      </c>
      <c r="J1158" s="14">
        <f t="shared" si="56"/>
        <v>111.8477699328397</v>
      </c>
    </row>
    <row r="1159" spans="1:10">
      <c r="A1159" s="100">
        <v>40890</v>
      </c>
      <c r="B1159">
        <v>123.05</v>
      </c>
      <c r="C1159">
        <v>55.76</v>
      </c>
      <c r="D1159">
        <v>64.23</v>
      </c>
      <c r="G1159" s="100">
        <v>40890</v>
      </c>
      <c r="H1159" s="14">
        <f t="shared" si="54"/>
        <v>81.167546174142473</v>
      </c>
      <c r="I1159" s="14">
        <f t="shared" si="55"/>
        <v>119.78517722878625</v>
      </c>
      <c r="J1159" s="14">
        <f t="shared" si="56"/>
        <v>110.60788703289136</v>
      </c>
    </row>
    <row r="1160" spans="1:10">
      <c r="A1160" s="100">
        <v>40891</v>
      </c>
      <c r="B1160">
        <v>121.74</v>
      </c>
      <c r="C1160">
        <v>54.89</v>
      </c>
      <c r="D1160">
        <v>63.07</v>
      </c>
      <c r="G1160" s="100">
        <v>40891</v>
      </c>
      <c r="H1160" s="14">
        <f t="shared" si="54"/>
        <v>80.303430079155675</v>
      </c>
      <c r="I1160" s="14">
        <f t="shared" si="55"/>
        <v>117.91621911922665</v>
      </c>
      <c r="J1160" s="14">
        <f t="shared" si="56"/>
        <v>108.6102979163079</v>
      </c>
    </row>
    <row r="1161" spans="1:10">
      <c r="A1161" s="100">
        <v>40892</v>
      </c>
      <c r="B1161">
        <v>122.18</v>
      </c>
      <c r="C1161">
        <v>54.74</v>
      </c>
      <c r="D1161">
        <v>62.82</v>
      </c>
      <c r="G1161" s="100">
        <v>40892</v>
      </c>
      <c r="H1161" s="14">
        <f t="shared" si="54"/>
        <v>80.593667546174146</v>
      </c>
      <c r="I1161" s="14">
        <f t="shared" si="55"/>
        <v>117.59398496240603</v>
      </c>
      <c r="J1161" s="14">
        <f t="shared" si="56"/>
        <v>108.17978302049252</v>
      </c>
    </row>
    <row r="1162" spans="1:10">
      <c r="A1162" s="100">
        <v>40893</v>
      </c>
      <c r="B1162">
        <v>121.59</v>
      </c>
      <c r="C1162">
        <v>54.86</v>
      </c>
      <c r="D1162">
        <v>63.03</v>
      </c>
      <c r="G1162" s="100">
        <v>40893</v>
      </c>
      <c r="H1162" s="14">
        <f t="shared" si="54"/>
        <v>80.20448548812665</v>
      </c>
      <c r="I1162" s="14">
        <f t="shared" si="55"/>
        <v>117.85177228786252</v>
      </c>
      <c r="J1162" s="14">
        <f t="shared" si="56"/>
        <v>108.54141553297745</v>
      </c>
    </row>
    <row r="1163" spans="1:10">
      <c r="A1163" s="100">
        <v>40896</v>
      </c>
      <c r="B1163">
        <v>120.29</v>
      </c>
      <c r="C1163">
        <v>54.32</v>
      </c>
      <c r="D1163">
        <v>62.29</v>
      </c>
      <c r="G1163" s="100">
        <v>40896</v>
      </c>
      <c r="H1163" s="14">
        <f t="shared" si="54"/>
        <v>79.346965699208454</v>
      </c>
      <c r="I1163" s="14">
        <f t="shared" si="55"/>
        <v>116.69172932330827</v>
      </c>
      <c r="J1163" s="14">
        <f t="shared" si="56"/>
        <v>107.26709144136386</v>
      </c>
    </row>
    <row r="1164" spans="1:10">
      <c r="A1164" s="100">
        <v>40897</v>
      </c>
      <c r="B1164">
        <v>123.93</v>
      </c>
      <c r="C1164">
        <v>55.93</v>
      </c>
      <c r="D1164">
        <v>64.209999999999994</v>
      </c>
      <c r="G1164" s="100">
        <v>40897</v>
      </c>
      <c r="H1164" s="14">
        <f t="shared" si="54"/>
        <v>81.748021108179429</v>
      </c>
      <c r="I1164" s="14">
        <f t="shared" si="55"/>
        <v>120.15037593984962</v>
      </c>
      <c r="J1164" s="14">
        <f t="shared" si="56"/>
        <v>110.5734458412261</v>
      </c>
    </row>
    <row r="1165" spans="1:10">
      <c r="A1165" s="100">
        <v>40898</v>
      </c>
      <c r="B1165">
        <v>124.17</v>
      </c>
      <c r="C1165">
        <v>55.13</v>
      </c>
      <c r="D1165">
        <v>62.87</v>
      </c>
      <c r="G1165" s="100">
        <v>40898</v>
      </c>
      <c r="H1165" s="14">
        <f t="shared" si="54"/>
        <v>81.906332453825854</v>
      </c>
      <c r="I1165" s="14">
        <f t="shared" si="55"/>
        <v>118.43179377013963</v>
      </c>
      <c r="J1165" s="14">
        <f t="shared" si="56"/>
        <v>108.26588599965558</v>
      </c>
    </row>
    <row r="1166" spans="1:10">
      <c r="A1166" s="100">
        <v>40899</v>
      </c>
      <c r="B1166">
        <v>125.27</v>
      </c>
      <c r="C1166">
        <v>55.6</v>
      </c>
      <c r="D1166">
        <v>63.57</v>
      </c>
      <c r="G1166" s="100">
        <v>40899</v>
      </c>
      <c r="H1166" s="14">
        <f t="shared" si="54"/>
        <v>82.631926121372032</v>
      </c>
      <c r="I1166" s="14">
        <f t="shared" si="55"/>
        <v>119.44146079484426</v>
      </c>
      <c r="J1166" s="14">
        <f t="shared" si="56"/>
        <v>109.4713277079387</v>
      </c>
    </row>
    <row r="1167" spans="1:10">
      <c r="A1167" s="100">
        <v>40900</v>
      </c>
      <c r="B1167">
        <v>126.39</v>
      </c>
      <c r="C1167">
        <v>56.08</v>
      </c>
      <c r="D1167">
        <v>64.180000000000007</v>
      </c>
      <c r="G1167" s="100">
        <v>40900</v>
      </c>
      <c r="H1167" s="14">
        <f t="shared" si="54"/>
        <v>83.370712401055414</v>
      </c>
      <c r="I1167" s="14">
        <f t="shared" si="55"/>
        <v>120.47261009667025</v>
      </c>
      <c r="J1167" s="14">
        <f t="shared" si="56"/>
        <v>110.52178405372828</v>
      </c>
    </row>
    <row r="1168" spans="1:10">
      <c r="A1168" s="100">
        <v>40904</v>
      </c>
      <c r="B1168">
        <v>126.49</v>
      </c>
      <c r="C1168">
        <v>56.24</v>
      </c>
      <c r="D1168">
        <v>64.31</v>
      </c>
      <c r="G1168" s="100">
        <v>40904</v>
      </c>
      <c r="H1168" s="14">
        <f t="shared" si="54"/>
        <v>83.43667546174143</v>
      </c>
      <c r="I1168" s="14">
        <f t="shared" si="55"/>
        <v>120.81632653061224</v>
      </c>
      <c r="J1168" s="14">
        <f t="shared" si="56"/>
        <v>110.74565179955226</v>
      </c>
    </row>
    <row r="1169" spans="1:10">
      <c r="A1169" s="100">
        <v>40905</v>
      </c>
      <c r="B1169">
        <v>124.83</v>
      </c>
      <c r="C1169">
        <v>55.59</v>
      </c>
      <c r="D1169">
        <v>63.52</v>
      </c>
      <c r="G1169" s="100">
        <v>40905</v>
      </c>
      <c r="H1169" s="14">
        <f t="shared" si="54"/>
        <v>82.341688654353561</v>
      </c>
      <c r="I1169" s="14">
        <f t="shared" si="55"/>
        <v>119.4199785177229</v>
      </c>
      <c r="J1169" s="14">
        <f t="shared" si="56"/>
        <v>109.38522472877561</v>
      </c>
    </row>
    <row r="1170" spans="1:10">
      <c r="A1170" s="100">
        <v>40906</v>
      </c>
      <c r="B1170">
        <v>126.12</v>
      </c>
      <c r="C1170">
        <v>55.99</v>
      </c>
      <c r="D1170">
        <v>64.03</v>
      </c>
      <c r="G1170" s="100">
        <v>40906</v>
      </c>
      <c r="H1170" s="14">
        <f t="shared" si="54"/>
        <v>83.19261213720317</v>
      </c>
      <c r="I1170" s="14">
        <f t="shared" si="55"/>
        <v>120.27926960257788</v>
      </c>
      <c r="J1170" s="14">
        <f t="shared" si="56"/>
        <v>110.26347511623902</v>
      </c>
    </row>
    <row r="1171" spans="1:10">
      <c r="A1171" s="100">
        <v>40907</v>
      </c>
      <c r="B1171">
        <v>125.5</v>
      </c>
      <c r="C1171">
        <v>55.83</v>
      </c>
      <c r="D1171">
        <v>63.9</v>
      </c>
      <c r="G1171" s="100">
        <v>40907</v>
      </c>
      <c r="H1171" s="14">
        <f t="shared" si="54"/>
        <v>82.78364116094987</v>
      </c>
      <c r="I1171" s="14">
        <f t="shared" si="55"/>
        <v>119.93555316863589</v>
      </c>
      <c r="J1171" s="14">
        <f t="shared" si="56"/>
        <v>110.039607370415</v>
      </c>
    </row>
    <row r="1172" spans="1:10">
      <c r="A1172" s="100">
        <v>40911</v>
      </c>
      <c r="B1172">
        <v>127.5</v>
      </c>
      <c r="C1172">
        <v>56.9</v>
      </c>
      <c r="D1172">
        <v>64.89</v>
      </c>
      <c r="G1172" s="100">
        <v>40911</v>
      </c>
      <c r="H1172" s="14">
        <f t="shared" si="54"/>
        <v>84.10290237467018</v>
      </c>
      <c r="I1172" s="14">
        <f t="shared" si="55"/>
        <v>122.234156820623</v>
      </c>
      <c r="J1172" s="14">
        <f t="shared" si="56"/>
        <v>111.74444635784397</v>
      </c>
    </row>
    <row r="1173" spans="1:10">
      <c r="A1173" s="100">
        <v>40912</v>
      </c>
      <c r="B1173">
        <v>127.7</v>
      </c>
      <c r="C1173">
        <v>57.14</v>
      </c>
      <c r="D1173">
        <v>65.14</v>
      </c>
      <c r="G1173" s="100">
        <v>40912</v>
      </c>
      <c r="H1173" s="14">
        <f t="shared" si="54"/>
        <v>84.234828496042226</v>
      </c>
      <c r="I1173" s="14">
        <f t="shared" si="55"/>
        <v>122.74973147153598</v>
      </c>
      <c r="J1173" s="14">
        <f t="shared" si="56"/>
        <v>112.17496125365938</v>
      </c>
    </row>
    <row r="1174" spans="1:10">
      <c r="A1174" s="100">
        <v>40913</v>
      </c>
      <c r="B1174">
        <v>128.04</v>
      </c>
      <c r="C1174">
        <v>57.61</v>
      </c>
      <c r="D1174">
        <v>65.56</v>
      </c>
      <c r="G1174" s="100">
        <v>40913</v>
      </c>
      <c r="H1174" s="14">
        <f t="shared" si="54"/>
        <v>84.459102902374667</v>
      </c>
      <c r="I1174" s="14">
        <f t="shared" si="55"/>
        <v>123.75939849624061</v>
      </c>
      <c r="J1174" s="14">
        <f t="shared" si="56"/>
        <v>112.89822627862924</v>
      </c>
    </row>
    <row r="1175" spans="1:10">
      <c r="A1175" s="100">
        <v>40914</v>
      </c>
      <c r="B1175">
        <v>127.71</v>
      </c>
      <c r="C1175">
        <v>57.81</v>
      </c>
      <c r="D1175">
        <v>65.67</v>
      </c>
      <c r="G1175" s="100">
        <v>40914</v>
      </c>
      <c r="H1175" s="14">
        <f t="shared" si="54"/>
        <v>84.241424802110814</v>
      </c>
      <c r="I1175" s="14">
        <f t="shared" si="55"/>
        <v>124.1890440386681</v>
      </c>
      <c r="J1175" s="14">
        <f t="shared" si="56"/>
        <v>113.08765283278801</v>
      </c>
    </row>
    <row r="1176" spans="1:10">
      <c r="A1176" s="100">
        <v>40917</v>
      </c>
      <c r="B1176">
        <v>128.02000000000001</v>
      </c>
      <c r="C1176">
        <v>57.62</v>
      </c>
      <c r="D1176">
        <v>65.55</v>
      </c>
      <c r="G1176" s="100">
        <v>40917</v>
      </c>
      <c r="H1176" s="14">
        <f t="shared" si="54"/>
        <v>84.445910290237478</v>
      </c>
      <c r="I1176" s="14">
        <f t="shared" si="55"/>
        <v>123.78088077336199</v>
      </c>
      <c r="J1176" s="14">
        <f t="shared" si="56"/>
        <v>112.88100568279663</v>
      </c>
    </row>
    <row r="1177" spans="1:10">
      <c r="A1177" s="100">
        <v>40918</v>
      </c>
      <c r="B1177">
        <v>129.13</v>
      </c>
      <c r="C1177">
        <v>58.04</v>
      </c>
      <c r="D1177">
        <v>65.88</v>
      </c>
      <c r="G1177" s="100">
        <v>40918</v>
      </c>
      <c r="H1177" s="14">
        <f t="shared" si="54"/>
        <v>85.178100263852244</v>
      </c>
      <c r="I1177" s="14">
        <f t="shared" si="55"/>
        <v>124.68313641245972</v>
      </c>
      <c r="J1177" s="14">
        <f t="shared" si="56"/>
        <v>113.44928534527294</v>
      </c>
    </row>
    <row r="1178" spans="1:10">
      <c r="A1178" s="100">
        <v>40919</v>
      </c>
      <c r="B1178">
        <v>129.19999999999999</v>
      </c>
      <c r="C1178">
        <v>58.16</v>
      </c>
      <c r="D1178">
        <v>66.069999999999993</v>
      </c>
      <c r="G1178" s="100">
        <v>40919</v>
      </c>
      <c r="H1178" s="14">
        <f t="shared" si="54"/>
        <v>85.224274406332441</v>
      </c>
      <c r="I1178" s="14">
        <f t="shared" si="55"/>
        <v>124.94092373791621</v>
      </c>
      <c r="J1178" s="14">
        <f t="shared" si="56"/>
        <v>113.77647666609263</v>
      </c>
    </row>
    <row r="1179" spans="1:10">
      <c r="A1179" s="100">
        <v>40920</v>
      </c>
      <c r="B1179">
        <v>129.51</v>
      </c>
      <c r="C1179">
        <v>58.39</v>
      </c>
      <c r="D1179">
        <v>66.27</v>
      </c>
      <c r="G1179" s="100">
        <v>40920</v>
      </c>
      <c r="H1179" s="14">
        <f t="shared" si="54"/>
        <v>85.428759894459105</v>
      </c>
      <c r="I1179" s="14">
        <f t="shared" si="55"/>
        <v>125.43501611170784</v>
      </c>
      <c r="J1179" s="14">
        <f t="shared" si="56"/>
        <v>114.12088858274497</v>
      </c>
    </row>
    <row r="1180" spans="1:10">
      <c r="A1180" s="100">
        <v>40921</v>
      </c>
      <c r="B1180">
        <v>128.84</v>
      </c>
      <c r="C1180">
        <v>58.18</v>
      </c>
      <c r="D1180">
        <v>65.8</v>
      </c>
      <c r="G1180" s="100">
        <v>40921</v>
      </c>
      <c r="H1180" s="14">
        <f t="shared" si="54"/>
        <v>84.986807387862811</v>
      </c>
      <c r="I1180" s="14">
        <f t="shared" si="55"/>
        <v>124.98388829215898</v>
      </c>
      <c r="J1180" s="14">
        <f t="shared" si="56"/>
        <v>113.31152057861202</v>
      </c>
    </row>
    <row r="1181" spans="1:10">
      <c r="A1181" s="100">
        <v>40925</v>
      </c>
      <c r="B1181">
        <v>129.34</v>
      </c>
      <c r="C1181">
        <v>58.71</v>
      </c>
      <c r="D1181">
        <v>66.16</v>
      </c>
      <c r="G1181" s="100">
        <v>40925</v>
      </c>
      <c r="H1181" s="14">
        <f t="shared" si="54"/>
        <v>85.316622691292878</v>
      </c>
      <c r="I1181" s="14">
        <f t="shared" si="55"/>
        <v>126.12244897959184</v>
      </c>
      <c r="J1181" s="14">
        <f t="shared" si="56"/>
        <v>113.93146202858617</v>
      </c>
    </row>
    <row r="1182" spans="1:10">
      <c r="A1182" s="100">
        <v>40926</v>
      </c>
      <c r="B1182">
        <v>130.77000000000001</v>
      </c>
      <c r="C1182">
        <v>59.49</v>
      </c>
      <c r="D1182">
        <v>67.33</v>
      </c>
      <c r="G1182" s="100">
        <v>40926</v>
      </c>
      <c r="H1182" s="14">
        <f t="shared" si="54"/>
        <v>86.25989445910291</v>
      </c>
      <c r="I1182" s="14">
        <f t="shared" si="55"/>
        <v>127.79806659505908</v>
      </c>
      <c r="J1182" s="14">
        <f t="shared" si="56"/>
        <v>115.94627174100222</v>
      </c>
    </row>
    <row r="1183" spans="1:10">
      <c r="A1183" s="100">
        <v>40927</v>
      </c>
      <c r="B1183">
        <v>131.46</v>
      </c>
      <c r="C1183">
        <v>59.86</v>
      </c>
      <c r="D1183">
        <v>67.87</v>
      </c>
      <c r="G1183" s="100">
        <v>40927</v>
      </c>
      <c r="H1183" s="14">
        <f t="shared" si="54"/>
        <v>86.715039577836421</v>
      </c>
      <c r="I1183" s="14">
        <f t="shared" si="55"/>
        <v>128.59291084854996</v>
      </c>
      <c r="J1183" s="14">
        <f t="shared" si="56"/>
        <v>116.87618391596351</v>
      </c>
    </row>
    <row r="1184" spans="1:10">
      <c r="A1184" s="100">
        <v>40928</v>
      </c>
      <c r="B1184">
        <v>131.94999999999999</v>
      </c>
      <c r="C1184">
        <v>59.77</v>
      </c>
      <c r="D1184">
        <v>68.099999999999994</v>
      </c>
      <c r="G1184" s="100">
        <v>40928</v>
      </c>
      <c r="H1184" s="14">
        <f t="shared" si="54"/>
        <v>87.038258575197887</v>
      </c>
      <c r="I1184" s="14">
        <f t="shared" si="55"/>
        <v>128.39957035445758</v>
      </c>
      <c r="J1184" s="14">
        <f t="shared" si="56"/>
        <v>117.27225762011363</v>
      </c>
    </row>
    <row r="1185" spans="1:10">
      <c r="A1185" s="100">
        <v>40931</v>
      </c>
      <c r="B1185">
        <v>131.61000000000001</v>
      </c>
      <c r="C1185">
        <v>59.79</v>
      </c>
      <c r="D1185">
        <v>68.319999999999993</v>
      </c>
      <c r="G1185" s="100">
        <v>40931</v>
      </c>
      <c r="H1185" s="14">
        <f t="shared" si="54"/>
        <v>86.813984168865446</v>
      </c>
      <c r="I1185" s="14">
        <f t="shared" si="55"/>
        <v>128.44253490870031</v>
      </c>
      <c r="J1185" s="14">
        <f t="shared" si="56"/>
        <v>117.65111072843119</v>
      </c>
    </row>
    <row r="1186" spans="1:10">
      <c r="A1186" s="100">
        <v>40932</v>
      </c>
      <c r="B1186">
        <v>131.46</v>
      </c>
      <c r="C1186">
        <v>59.68</v>
      </c>
      <c r="D1186">
        <v>68.44</v>
      </c>
      <c r="G1186" s="100">
        <v>40932</v>
      </c>
      <c r="H1186" s="14">
        <f t="shared" si="54"/>
        <v>86.715039577836421</v>
      </c>
      <c r="I1186" s="14">
        <f t="shared" si="55"/>
        <v>128.2062298603652</v>
      </c>
      <c r="J1186" s="14">
        <f t="shared" si="56"/>
        <v>117.85775787842259</v>
      </c>
    </row>
    <row r="1187" spans="1:10">
      <c r="A1187" s="100">
        <v>40933</v>
      </c>
      <c r="B1187">
        <v>132.56</v>
      </c>
      <c r="C1187">
        <v>60.43</v>
      </c>
      <c r="D1187">
        <v>69.14</v>
      </c>
      <c r="G1187" s="100">
        <v>40933</v>
      </c>
      <c r="H1187" s="14">
        <f t="shared" si="54"/>
        <v>87.4406332453826</v>
      </c>
      <c r="I1187" s="14">
        <f t="shared" si="55"/>
        <v>129.81740064446831</v>
      </c>
      <c r="J1187" s="14">
        <f t="shared" si="56"/>
        <v>119.06319958670571</v>
      </c>
    </row>
    <row r="1188" spans="1:10">
      <c r="A1188" s="100">
        <v>40934</v>
      </c>
      <c r="B1188">
        <v>131.88</v>
      </c>
      <c r="C1188">
        <v>60.22</v>
      </c>
      <c r="D1188">
        <v>68.78</v>
      </c>
      <c r="G1188" s="100">
        <v>40934</v>
      </c>
      <c r="H1188" s="14">
        <f t="shared" si="54"/>
        <v>86.992084432717675</v>
      </c>
      <c r="I1188" s="14">
        <f t="shared" si="55"/>
        <v>129.36627282491943</v>
      </c>
      <c r="J1188" s="14">
        <f t="shared" si="56"/>
        <v>118.44325813673153</v>
      </c>
    </row>
    <row r="1189" spans="1:10">
      <c r="A1189" s="100">
        <v>40935</v>
      </c>
      <c r="B1189">
        <v>131.82</v>
      </c>
      <c r="C1189">
        <v>60.4</v>
      </c>
      <c r="D1189">
        <v>68.91</v>
      </c>
      <c r="G1189" s="100">
        <v>40935</v>
      </c>
      <c r="H1189" s="14">
        <f t="shared" si="54"/>
        <v>86.952506596306065</v>
      </c>
      <c r="I1189" s="14">
        <f t="shared" si="55"/>
        <v>129.7529538131042</v>
      </c>
      <c r="J1189" s="14">
        <f t="shared" si="56"/>
        <v>118.66712588255552</v>
      </c>
    </row>
    <row r="1190" spans="1:10">
      <c r="A1190" s="100">
        <v>40938</v>
      </c>
      <c r="B1190">
        <v>131.37</v>
      </c>
      <c r="C1190">
        <v>60.45</v>
      </c>
      <c r="D1190">
        <v>69.06</v>
      </c>
      <c r="G1190" s="100">
        <v>40938</v>
      </c>
      <c r="H1190" s="14">
        <f t="shared" si="54"/>
        <v>86.655672823218993</v>
      </c>
      <c r="I1190" s="14">
        <f t="shared" si="55"/>
        <v>129.86036519871107</v>
      </c>
      <c r="J1190" s="14">
        <f t="shared" si="56"/>
        <v>118.92543482004479</v>
      </c>
    </row>
    <row r="1191" spans="1:10">
      <c r="A1191" s="100">
        <v>40939</v>
      </c>
      <c r="B1191">
        <v>131.32</v>
      </c>
      <c r="C1191">
        <v>60.53</v>
      </c>
      <c r="D1191">
        <v>69.19</v>
      </c>
      <c r="G1191" s="100">
        <v>40939</v>
      </c>
      <c r="H1191" s="14">
        <f t="shared" si="54"/>
        <v>86.622691292875984</v>
      </c>
      <c r="I1191" s="14">
        <f t="shared" si="55"/>
        <v>130.03222341568207</v>
      </c>
      <c r="J1191" s="14">
        <f t="shared" si="56"/>
        <v>119.14930256586878</v>
      </c>
    </row>
    <row r="1192" spans="1:10">
      <c r="A1192" s="100">
        <v>40940</v>
      </c>
      <c r="B1192">
        <v>132.47</v>
      </c>
      <c r="C1192">
        <v>61.02</v>
      </c>
      <c r="D1192">
        <v>69.930000000000007</v>
      </c>
      <c r="G1192" s="100">
        <v>40940</v>
      </c>
      <c r="H1192" s="14">
        <f t="shared" si="54"/>
        <v>87.381266490765171</v>
      </c>
      <c r="I1192" s="14">
        <f t="shared" si="55"/>
        <v>131.08485499462944</v>
      </c>
      <c r="J1192" s="14">
        <f t="shared" si="56"/>
        <v>120.42362665748236</v>
      </c>
    </row>
    <row r="1193" spans="1:10">
      <c r="A1193" s="100">
        <v>40941</v>
      </c>
      <c r="B1193">
        <v>132.68</v>
      </c>
      <c r="C1193">
        <v>61.21</v>
      </c>
      <c r="D1193">
        <v>70.11</v>
      </c>
      <c r="G1193" s="100">
        <v>40941</v>
      </c>
      <c r="H1193" s="14">
        <f t="shared" si="54"/>
        <v>87.519788918205805</v>
      </c>
      <c r="I1193" s="14">
        <f t="shared" si="55"/>
        <v>131.49301825993555</v>
      </c>
      <c r="J1193" s="14">
        <f t="shared" si="56"/>
        <v>120.73359738246943</v>
      </c>
    </row>
    <row r="1194" spans="1:10">
      <c r="A1194" s="100">
        <v>40942</v>
      </c>
      <c r="B1194">
        <v>134.54</v>
      </c>
      <c r="C1194">
        <v>62.05</v>
      </c>
      <c r="D1194">
        <v>71.069999999999993</v>
      </c>
      <c r="G1194" s="100">
        <v>40942</v>
      </c>
      <c r="H1194" s="14">
        <f t="shared" si="54"/>
        <v>88.746701846965692</v>
      </c>
      <c r="I1194" s="14">
        <f t="shared" si="55"/>
        <v>133.29752953813104</v>
      </c>
      <c r="J1194" s="14">
        <f t="shared" si="56"/>
        <v>122.38677458240055</v>
      </c>
    </row>
    <row r="1195" spans="1:10">
      <c r="A1195" s="100">
        <v>40945</v>
      </c>
      <c r="B1195">
        <v>134.44999999999999</v>
      </c>
      <c r="C1195">
        <v>62</v>
      </c>
      <c r="D1195">
        <v>71.14</v>
      </c>
      <c r="G1195" s="100">
        <v>40945</v>
      </c>
      <c r="H1195" s="14">
        <f t="shared" si="54"/>
        <v>88.687335092348292</v>
      </c>
      <c r="I1195" s="14">
        <f t="shared" si="55"/>
        <v>133.19011815252418</v>
      </c>
      <c r="J1195" s="14">
        <f t="shared" si="56"/>
        <v>122.50731875322887</v>
      </c>
    </row>
    <row r="1196" spans="1:10">
      <c r="A1196" s="100">
        <v>40946</v>
      </c>
      <c r="B1196">
        <v>134.79</v>
      </c>
      <c r="C1196">
        <v>62.13</v>
      </c>
      <c r="D1196">
        <v>71.36</v>
      </c>
      <c r="G1196" s="100">
        <v>40946</v>
      </c>
      <c r="H1196" s="14">
        <f t="shared" si="54"/>
        <v>88.911609498680733</v>
      </c>
      <c r="I1196" s="14">
        <f t="shared" si="55"/>
        <v>133.46938775510208</v>
      </c>
      <c r="J1196" s="14">
        <f t="shared" si="56"/>
        <v>122.8861718615464</v>
      </c>
    </row>
    <row r="1197" spans="1:10">
      <c r="A1197" s="100">
        <v>40947</v>
      </c>
      <c r="B1197">
        <v>135.19</v>
      </c>
      <c r="C1197">
        <v>62.46</v>
      </c>
      <c r="D1197">
        <v>71.98</v>
      </c>
      <c r="G1197" s="100">
        <v>40947</v>
      </c>
      <c r="H1197" s="14">
        <f t="shared" si="54"/>
        <v>89.175461741424797</v>
      </c>
      <c r="I1197" s="14">
        <f t="shared" si="55"/>
        <v>134.17830290010741</v>
      </c>
      <c r="J1197" s="14">
        <f t="shared" si="56"/>
        <v>123.9538488031686</v>
      </c>
    </row>
    <row r="1198" spans="1:10">
      <c r="A1198" s="100">
        <v>40948</v>
      </c>
      <c r="B1198">
        <v>135.36000000000001</v>
      </c>
      <c r="C1198">
        <v>62.91</v>
      </c>
      <c r="D1198">
        <v>72.64</v>
      </c>
      <c r="G1198" s="100">
        <v>40948</v>
      </c>
      <c r="H1198" s="14">
        <f t="shared" si="54"/>
        <v>89.287598944591039</v>
      </c>
      <c r="I1198" s="14">
        <f t="shared" si="55"/>
        <v>135.14500537056929</v>
      </c>
      <c r="J1198" s="14">
        <f t="shared" si="56"/>
        <v>125.09040812812124</v>
      </c>
    </row>
    <row r="1199" spans="1:10">
      <c r="A1199" s="100">
        <v>40949</v>
      </c>
      <c r="B1199">
        <v>134.36000000000001</v>
      </c>
      <c r="C1199">
        <v>62.47</v>
      </c>
      <c r="D1199">
        <v>72</v>
      </c>
      <c r="G1199" s="100">
        <v>40949</v>
      </c>
      <c r="H1199" s="14">
        <f t="shared" si="54"/>
        <v>88.627968337730877</v>
      </c>
      <c r="I1199" s="14">
        <f t="shared" si="55"/>
        <v>134.19978517722879</v>
      </c>
      <c r="J1199" s="14">
        <f t="shared" si="56"/>
        <v>123.98828999483382</v>
      </c>
    </row>
    <row r="1200" spans="1:10">
      <c r="A1200" s="100">
        <v>40952</v>
      </c>
      <c r="B1200">
        <v>135.36000000000001</v>
      </c>
      <c r="C1200">
        <v>63.05</v>
      </c>
      <c r="D1200">
        <v>72.430000000000007</v>
      </c>
      <c r="G1200" s="100">
        <v>40952</v>
      </c>
      <c r="H1200" s="14">
        <f t="shared" si="54"/>
        <v>89.287598944591039</v>
      </c>
      <c r="I1200" s="14">
        <f t="shared" si="55"/>
        <v>135.44575725026851</v>
      </c>
      <c r="J1200" s="14">
        <f t="shared" si="56"/>
        <v>124.72877561563631</v>
      </c>
    </row>
    <row r="1201" spans="1:10">
      <c r="A1201" s="100">
        <v>40953</v>
      </c>
      <c r="B1201">
        <v>135.19</v>
      </c>
      <c r="C1201">
        <v>63.21</v>
      </c>
      <c r="D1201">
        <v>72.69</v>
      </c>
      <c r="G1201" s="100">
        <v>40953</v>
      </c>
      <c r="H1201" s="14">
        <f t="shared" si="54"/>
        <v>89.175461741424797</v>
      </c>
      <c r="I1201" s="14">
        <f t="shared" si="55"/>
        <v>135.78947368421052</v>
      </c>
      <c r="J1201" s="14">
        <f t="shared" si="56"/>
        <v>125.17651110728431</v>
      </c>
    </row>
    <row r="1202" spans="1:10">
      <c r="A1202" s="100">
        <v>40954</v>
      </c>
      <c r="B1202">
        <v>134.56</v>
      </c>
      <c r="C1202">
        <v>62.77</v>
      </c>
      <c r="D1202">
        <v>72.3</v>
      </c>
      <c r="G1202" s="100">
        <v>40954</v>
      </c>
      <c r="H1202" s="14">
        <f t="shared" si="54"/>
        <v>88.75989445910291</v>
      </c>
      <c r="I1202" s="14">
        <f t="shared" si="55"/>
        <v>134.84425349087005</v>
      </c>
      <c r="J1202" s="14">
        <f t="shared" si="56"/>
        <v>124.5049078698123</v>
      </c>
    </row>
    <row r="1203" spans="1:10">
      <c r="A1203" s="100">
        <v>40955</v>
      </c>
      <c r="B1203">
        <v>136.05000000000001</v>
      </c>
      <c r="C1203">
        <v>63.63</v>
      </c>
      <c r="D1203">
        <v>73.44</v>
      </c>
      <c r="G1203" s="100">
        <v>40955</v>
      </c>
      <c r="H1203" s="14">
        <f t="shared" si="54"/>
        <v>89.742744063324551</v>
      </c>
      <c r="I1203" s="14">
        <f t="shared" si="55"/>
        <v>136.69172932330829</v>
      </c>
      <c r="J1203" s="14">
        <f t="shared" si="56"/>
        <v>126.46805579473049</v>
      </c>
    </row>
    <row r="1204" spans="1:10">
      <c r="A1204" s="100">
        <v>40956</v>
      </c>
      <c r="B1204">
        <v>136.41</v>
      </c>
      <c r="C1204">
        <v>63.43</v>
      </c>
      <c r="D1204">
        <v>73.28</v>
      </c>
      <c r="G1204" s="100">
        <v>40956</v>
      </c>
      <c r="H1204" s="14">
        <f t="shared" si="54"/>
        <v>89.980211081794195</v>
      </c>
      <c r="I1204" s="14">
        <f t="shared" si="55"/>
        <v>136.26208378088077</v>
      </c>
      <c r="J1204" s="14">
        <f t="shared" si="56"/>
        <v>126.19252626140864</v>
      </c>
    </row>
    <row r="1205" spans="1:10">
      <c r="A1205" s="100">
        <v>40960</v>
      </c>
      <c r="B1205">
        <v>136.47</v>
      </c>
      <c r="C1205">
        <v>63.61</v>
      </c>
      <c r="D1205">
        <v>73.56</v>
      </c>
      <c r="G1205" s="100">
        <v>40960</v>
      </c>
      <c r="H1205" s="14">
        <f t="shared" si="54"/>
        <v>90.019788918205819</v>
      </c>
      <c r="I1205" s="14">
        <f t="shared" si="55"/>
        <v>136.64876476906554</v>
      </c>
      <c r="J1205" s="14">
        <f t="shared" si="56"/>
        <v>126.6747029447219</v>
      </c>
    </row>
    <row r="1206" spans="1:10">
      <c r="A1206" s="100">
        <v>40961</v>
      </c>
      <c r="B1206">
        <v>136.03</v>
      </c>
      <c r="C1206">
        <v>63.32</v>
      </c>
      <c r="D1206">
        <v>73.2</v>
      </c>
      <c r="G1206" s="100">
        <v>40961</v>
      </c>
      <c r="H1206" s="14">
        <f t="shared" si="54"/>
        <v>89.729551451187334</v>
      </c>
      <c r="I1206" s="14">
        <f t="shared" si="55"/>
        <v>136.02577873254566</v>
      </c>
      <c r="J1206" s="14">
        <f t="shared" si="56"/>
        <v>126.05476149474772</v>
      </c>
    </row>
    <row r="1207" spans="1:10">
      <c r="A1207" s="100">
        <v>40962</v>
      </c>
      <c r="B1207">
        <v>136.63</v>
      </c>
      <c r="C1207">
        <v>63.74</v>
      </c>
      <c r="D1207">
        <v>73.52</v>
      </c>
      <c r="G1207" s="100">
        <v>40962</v>
      </c>
      <c r="H1207" s="14">
        <f t="shared" si="54"/>
        <v>90.125329815303431</v>
      </c>
      <c r="I1207" s="14">
        <f t="shared" si="55"/>
        <v>136.92803437164341</v>
      </c>
      <c r="J1207" s="14">
        <f t="shared" si="56"/>
        <v>126.60582056139143</v>
      </c>
    </row>
    <row r="1208" spans="1:10">
      <c r="A1208" s="100">
        <v>40963</v>
      </c>
      <c r="B1208">
        <v>136.93</v>
      </c>
      <c r="C1208">
        <v>63.96</v>
      </c>
      <c r="D1208">
        <v>73.86</v>
      </c>
      <c r="G1208" s="100">
        <v>40963</v>
      </c>
      <c r="H1208" s="14">
        <f t="shared" si="54"/>
        <v>90.323218997361494</v>
      </c>
      <c r="I1208" s="14">
        <f t="shared" si="55"/>
        <v>137.40064446831366</v>
      </c>
      <c r="J1208" s="14">
        <f t="shared" si="56"/>
        <v>127.19132081970037</v>
      </c>
    </row>
    <row r="1209" spans="1:10">
      <c r="A1209" s="100">
        <v>40966</v>
      </c>
      <c r="B1209">
        <v>137.16</v>
      </c>
      <c r="C1209">
        <v>64.05</v>
      </c>
      <c r="D1209">
        <v>73.98</v>
      </c>
      <c r="G1209" s="100">
        <v>40966</v>
      </c>
      <c r="H1209" s="14">
        <f t="shared" si="54"/>
        <v>90.474934036939317</v>
      </c>
      <c r="I1209" s="14">
        <f t="shared" si="55"/>
        <v>137.59398496240601</v>
      </c>
      <c r="J1209" s="14">
        <f t="shared" si="56"/>
        <v>127.39796796969176</v>
      </c>
    </row>
    <row r="1210" spans="1:10">
      <c r="A1210" s="100">
        <v>40967</v>
      </c>
      <c r="B1210">
        <v>137.56</v>
      </c>
      <c r="C1210">
        <v>64.7</v>
      </c>
      <c r="D1210">
        <v>74.56</v>
      </c>
      <c r="G1210" s="100">
        <v>40967</v>
      </c>
      <c r="H1210" s="14">
        <f t="shared" si="54"/>
        <v>90.738786279683382</v>
      </c>
      <c r="I1210" s="14">
        <f t="shared" si="55"/>
        <v>138.99033297529539</v>
      </c>
      <c r="J1210" s="14">
        <f t="shared" si="56"/>
        <v>128.39676252798347</v>
      </c>
    </row>
    <row r="1211" spans="1:10">
      <c r="A1211" s="100">
        <v>40968</v>
      </c>
      <c r="B1211">
        <v>137.02000000000001</v>
      </c>
      <c r="C1211">
        <v>64.41</v>
      </c>
      <c r="D1211">
        <v>74.17</v>
      </c>
      <c r="G1211" s="100">
        <v>40968</v>
      </c>
      <c r="H1211" s="14">
        <f t="shared" si="54"/>
        <v>90.382585751978908</v>
      </c>
      <c r="I1211" s="14">
        <f t="shared" si="55"/>
        <v>138.36734693877551</v>
      </c>
      <c r="J1211" s="14">
        <f t="shared" si="56"/>
        <v>127.72515929051144</v>
      </c>
    </row>
    <row r="1212" spans="1:10">
      <c r="A1212" s="100">
        <v>40969</v>
      </c>
      <c r="B1212">
        <v>137.72999999999999</v>
      </c>
      <c r="C1212">
        <v>64.92</v>
      </c>
      <c r="D1212">
        <v>74.680000000000007</v>
      </c>
      <c r="G1212" s="100">
        <v>40969</v>
      </c>
      <c r="H1212" s="14">
        <f t="shared" si="54"/>
        <v>90.850923482849595</v>
      </c>
      <c r="I1212" s="14">
        <f t="shared" si="55"/>
        <v>139.46294307196564</v>
      </c>
      <c r="J1212" s="14">
        <f t="shared" si="56"/>
        <v>128.60340967797487</v>
      </c>
    </row>
    <row r="1213" spans="1:10">
      <c r="A1213" s="100">
        <v>40970</v>
      </c>
      <c r="B1213">
        <v>137.31</v>
      </c>
      <c r="C1213">
        <v>64.87</v>
      </c>
      <c r="D1213">
        <v>74.48</v>
      </c>
      <c r="G1213" s="100">
        <v>40970</v>
      </c>
      <c r="H1213" s="14">
        <f t="shared" si="54"/>
        <v>90.573878627968341</v>
      </c>
      <c r="I1213" s="14">
        <f t="shared" si="55"/>
        <v>139.35553168635877</v>
      </c>
      <c r="J1213" s="14">
        <f t="shared" si="56"/>
        <v>128.25899776132255</v>
      </c>
    </row>
    <row r="1214" spans="1:10">
      <c r="A1214" s="100">
        <v>40973</v>
      </c>
      <c r="B1214">
        <v>136.75</v>
      </c>
      <c r="C1214">
        <v>64.2</v>
      </c>
      <c r="D1214">
        <v>73.650000000000006</v>
      </c>
      <c r="G1214" s="100">
        <v>40973</v>
      </c>
      <c r="H1214" s="14">
        <f t="shared" si="54"/>
        <v>90.20448548812665</v>
      </c>
      <c r="I1214" s="14">
        <f t="shared" si="55"/>
        <v>137.91621911922664</v>
      </c>
      <c r="J1214" s="14">
        <f t="shared" si="56"/>
        <v>126.82968830721543</v>
      </c>
    </row>
    <row r="1215" spans="1:10">
      <c r="A1215" s="100">
        <v>40974</v>
      </c>
      <c r="B1215">
        <v>134.75</v>
      </c>
      <c r="C1215">
        <v>63.57</v>
      </c>
      <c r="D1215">
        <v>72.86</v>
      </c>
      <c r="G1215" s="100">
        <v>40974</v>
      </c>
      <c r="H1215" s="14">
        <f t="shared" si="54"/>
        <v>88.88522427440634</v>
      </c>
      <c r="I1215" s="14">
        <f t="shared" si="55"/>
        <v>136.56283566058002</v>
      </c>
      <c r="J1215" s="14">
        <f t="shared" si="56"/>
        <v>125.46926123643878</v>
      </c>
    </row>
    <row r="1216" spans="1:10">
      <c r="A1216" s="100">
        <v>40975</v>
      </c>
      <c r="B1216">
        <v>135.69</v>
      </c>
      <c r="C1216">
        <v>64.06</v>
      </c>
      <c r="D1216">
        <v>73.44</v>
      </c>
      <c r="G1216" s="100">
        <v>40975</v>
      </c>
      <c r="H1216" s="14">
        <f t="shared" si="54"/>
        <v>89.505277044854878</v>
      </c>
      <c r="I1216" s="14">
        <f t="shared" si="55"/>
        <v>137.61546723952739</v>
      </c>
      <c r="J1216" s="14">
        <f t="shared" si="56"/>
        <v>126.46805579473049</v>
      </c>
    </row>
    <row r="1217" spans="1:10">
      <c r="A1217" s="100">
        <v>40976</v>
      </c>
      <c r="B1217">
        <v>137.04</v>
      </c>
      <c r="C1217">
        <v>64.75</v>
      </c>
      <c r="D1217">
        <v>74.23</v>
      </c>
      <c r="G1217" s="100">
        <v>40976</v>
      </c>
      <c r="H1217" s="14">
        <f t="shared" si="54"/>
        <v>90.395778364116097</v>
      </c>
      <c r="I1217" s="14">
        <f t="shared" si="55"/>
        <v>139.09774436090225</v>
      </c>
      <c r="J1217" s="14">
        <f t="shared" si="56"/>
        <v>127.82848286550714</v>
      </c>
    </row>
    <row r="1218" spans="1:10">
      <c r="A1218" s="100">
        <v>40977</v>
      </c>
      <c r="B1218">
        <v>137.57</v>
      </c>
      <c r="C1218">
        <v>65.02</v>
      </c>
      <c r="D1218">
        <v>74.56</v>
      </c>
      <c r="G1218" s="100">
        <v>40977</v>
      </c>
      <c r="H1218" s="14">
        <f t="shared" si="54"/>
        <v>90.745382585751983</v>
      </c>
      <c r="I1218" s="14">
        <f t="shared" si="55"/>
        <v>139.67776584317937</v>
      </c>
      <c r="J1218" s="14">
        <f t="shared" si="56"/>
        <v>128.39676252798347</v>
      </c>
    </row>
    <row r="1219" spans="1:10">
      <c r="A1219" s="100">
        <v>40980</v>
      </c>
      <c r="B1219">
        <v>137.58000000000001</v>
      </c>
      <c r="C1219">
        <v>65.05</v>
      </c>
      <c r="D1219">
        <v>74.66</v>
      </c>
      <c r="G1219" s="100">
        <v>40980</v>
      </c>
      <c r="H1219" s="14">
        <f t="shared" si="54"/>
        <v>90.751978891820599</v>
      </c>
      <c r="I1219" s="14">
        <f t="shared" si="55"/>
        <v>139.74221267454351</v>
      </c>
      <c r="J1219" s="14">
        <f t="shared" si="56"/>
        <v>128.56896848630961</v>
      </c>
    </row>
    <row r="1220" spans="1:10">
      <c r="A1220" s="100">
        <v>40981</v>
      </c>
      <c r="B1220">
        <v>140.06</v>
      </c>
      <c r="C1220">
        <v>66.260000000000005</v>
      </c>
      <c r="D1220">
        <v>76.23</v>
      </c>
      <c r="G1220" s="100">
        <v>40981</v>
      </c>
      <c r="H1220" s="14">
        <f t="shared" si="54"/>
        <v>92.387862796833772</v>
      </c>
      <c r="I1220" s="14">
        <f t="shared" si="55"/>
        <v>142.34156820622988</v>
      </c>
      <c r="J1220" s="14">
        <f t="shared" si="56"/>
        <v>131.27260203203031</v>
      </c>
    </row>
    <row r="1221" spans="1:10">
      <c r="A1221" s="100">
        <v>40982</v>
      </c>
      <c r="B1221">
        <v>139.91</v>
      </c>
      <c r="C1221">
        <v>66.489999999999995</v>
      </c>
      <c r="D1221">
        <v>76.64</v>
      </c>
      <c r="G1221" s="100">
        <v>40982</v>
      </c>
      <c r="H1221" s="14">
        <f t="shared" ref="H1221:H1264" si="57">B1221/$B$4*100</f>
        <v>92.288918205804748</v>
      </c>
      <c r="I1221" s="14">
        <f t="shared" ref="I1221:I1264" si="58">C1221/$C$4*100</f>
        <v>142.83566058002148</v>
      </c>
      <c r="J1221" s="14">
        <f t="shared" ref="J1221:J1264" si="59">D1221/$D$4*100</f>
        <v>131.97864646116756</v>
      </c>
    </row>
    <row r="1222" spans="1:10">
      <c r="A1222" s="100">
        <v>40983</v>
      </c>
      <c r="B1222">
        <v>140.72</v>
      </c>
      <c r="C1222">
        <v>66.680000000000007</v>
      </c>
      <c r="D1222">
        <v>76.94</v>
      </c>
      <c r="G1222" s="100">
        <v>40983</v>
      </c>
      <c r="H1222" s="14">
        <f t="shared" si="57"/>
        <v>92.823218997361479</v>
      </c>
      <c r="I1222" s="14">
        <f t="shared" si="58"/>
        <v>143.24382384532763</v>
      </c>
      <c r="J1222" s="14">
        <f t="shared" si="59"/>
        <v>132.49526433614602</v>
      </c>
    </row>
    <row r="1223" spans="1:10">
      <c r="A1223" s="100">
        <v>40984</v>
      </c>
      <c r="B1223">
        <v>140.30000000000001</v>
      </c>
      <c r="C1223">
        <v>66.52</v>
      </c>
      <c r="D1223">
        <v>76.849999999999994</v>
      </c>
      <c r="G1223" s="100">
        <v>40984</v>
      </c>
      <c r="H1223" s="14">
        <f t="shared" si="57"/>
        <v>92.546174142480226</v>
      </c>
      <c r="I1223" s="14">
        <f t="shared" si="58"/>
        <v>142.90010741138562</v>
      </c>
      <c r="J1223" s="14">
        <f t="shared" si="59"/>
        <v>132.34027897365249</v>
      </c>
    </row>
    <row r="1224" spans="1:10">
      <c r="A1224" s="100">
        <v>40987</v>
      </c>
      <c r="B1224">
        <v>140.85</v>
      </c>
      <c r="C1224">
        <v>66.989999999999995</v>
      </c>
      <c r="D1224">
        <v>77.459999999999994</v>
      </c>
      <c r="G1224" s="100">
        <v>40987</v>
      </c>
      <c r="H1224" s="14">
        <f t="shared" si="57"/>
        <v>92.9089709762533</v>
      </c>
      <c r="I1224" s="14">
        <f t="shared" si="58"/>
        <v>143.90977443609023</v>
      </c>
      <c r="J1224" s="14">
        <f t="shared" si="59"/>
        <v>133.39073531944203</v>
      </c>
    </row>
    <row r="1225" spans="1:10">
      <c r="A1225" s="100">
        <v>40988</v>
      </c>
      <c r="B1225">
        <v>140.44</v>
      </c>
      <c r="C1225">
        <v>67.11</v>
      </c>
      <c r="D1225">
        <v>77.430000000000007</v>
      </c>
      <c r="G1225" s="100">
        <v>40988</v>
      </c>
      <c r="H1225" s="14">
        <f t="shared" si="57"/>
        <v>92.638522427440634</v>
      </c>
      <c r="I1225" s="14">
        <f t="shared" si="58"/>
        <v>144.16756176154672</v>
      </c>
      <c r="J1225" s="14">
        <f t="shared" si="59"/>
        <v>133.33907353194419</v>
      </c>
    </row>
    <row r="1226" spans="1:10">
      <c r="A1226" s="100">
        <v>40989</v>
      </c>
      <c r="B1226">
        <v>140.21</v>
      </c>
      <c r="C1226">
        <v>67.12</v>
      </c>
      <c r="D1226">
        <v>77.42</v>
      </c>
      <c r="G1226" s="100">
        <v>40989</v>
      </c>
      <c r="H1226" s="14">
        <f t="shared" si="57"/>
        <v>92.486807387862797</v>
      </c>
      <c r="I1226" s="14">
        <f t="shared" si="58"/>
        <v>144.18904403866813</v>
      </c>
      <c r="J1226" s="14">
        <f t="shared" si="59"/>
        <v>133.32185293611158</v>
      </c>
    </row>
    <row r="1227" spans="1:10">
      <c r="A1227" s="100">
        <v>40990</v>
      </c>
      <c r="B1227">
        <v>139.19999999999999</v>
      </c>
      <c r="C1227">
        <v>66.98</v>
      </c>
      <c r="D1227">
        <v>77.11</v>
      </c>
      <c r="G1227" s="100">
        <v>40990</v>
      </c>
      <c r="H1227" s="14">
        <f t="shared" si="57"/>
        <v>91.820580474934033</v>
      </c>
      <c r="I1227" s="14">
        <f t="shared" si="58"/>
        <v>143.88829215896888</v>
      </c>
      <c r="J1227" s="14">
        <f t="shared" si="59"/>
        <v>132.78801446530051</v>
      </c>
    </row>
    <row r="1228" spans="1:10">
      <c r="A1228" s="100">
        <v>40991</v>
      </c>
      <c r="B1228">
        <v>139.65</v>
      </c>
      <c r="C1228">
        <v>66.94</v>
      </c>
      <c r="D1228">
        <v>77.16</v>
      </c>
      <c r="G1228" s="100">
        <v>40991</v>
      </c>
      <c r="H1228" s="14">
        <f t="shared" si="57"/>
        <v>92.117414248021106</v>
      </c>
      <c r="I1228" s="14">
        <f t="shared" si="58"/>
        <v>143.80236305048334</v>
      </c>
      <c r="J1228" s="14">
        <f t="shared" si="59"/>
        <v>132.87411744446359</v>
      </c>
    </row>
    <row r="1229" spans="1:10">
      <c r="A1229" s="100">
        <v>40994</v>
      </c>
      <c r="B1229">
        <v>141.61000000000001</v>
      </c>
      <c r="C1229">
        <v>68.11</v>
      </c>
      <c r="D1229">
        <v>78.31</v>
      </c>
      <c r="G1229" s="100">
        <v>40994</v>
      </c>
      <c r="H1229" s="14">
        <f t="shared" si="57"/>
        <v>93.410290237467024</v>
      </c>
      <c r="I1229" s="14">
        <f t="shared" si="58"/>
        <v>146.31578947368422</v>
      </c>
      <c r="J1229" s="14">
        <f t="shared" si="59"/>
        <v>134.85448596521442</v>
      </c>
    </row>
    <row r="1230" spans="1:10">
      <c r="A1230" s="100">
        <v>40995</v>
      </c>
      <c r="B1230">
        <v>141.16999999999999</v>
      </c>
      <c r="C1230">
        <v>68.209999999999994</v>
      </c>
      <c r="D1230">
        <v>78.36</v>
      </c>
      <c r="G1230" s="100">
        <v>40995</v>
      </c>
      <c r="H1230" s="14">
        <f t="shared" si="57"/>
        <v>93.120052770448552</v>
      </c>
      <c r="I1230" s="14">
        <f t="shared" si="58"/>
        <v>146.53061224489795</v>
      </c>
      <c r="J1230" s="14">
        <f t="shared" si="59"/>
        <v>134.94058894437748</v>
      </c>
    </row>
    <row r="1231" spans="1:10">
      <c r="A1231" s="100">
        <v>40996</v>
      </c>
      <c r="B1231">
        <v>140.47</v>
      </c>
      <c r="C1231">
        <v>67.94</v>
      </c>
      <c r="D1231">
        <v>78.180000000000007</v>
      </c>
      <c r="G1231" s="100">
        <v>40996</v>
      </c>
      <c r="H1231" s="14">
        <f t="shared" si="57"/>
        <v>92.658311345646439</v>
      </c>
      <c r="I1231" s="14">
        <f t="shared" si="58"/>
        <v>145.95059076262083</v>
      </c>
      <c r="J1231" s="14">
        <f t="shared" si="59"/>
        <v>134.63061821939039</v>
      </c>
    </row>
    <row r="1232" spans="1:10">
      <c r="A1232" s="100">
        <v>40997</v>
      </c>
      <c r="B1232">
        <v>140.22999999999999</v>
      </c>
      <c r="C1232">
        <v>67.680000000000007</v>
      </c>
      <c r="D1232">
        <v>78.040000000000006</v>
      </c>
      <c r="G1232" s="100">
        <v>40997</v>
      </c>
      <c r="H1232" s="14">
        <f t="shared" si="57"/>
        <v>92.5</v>
      </c>
      <c r="I1232" s="14">
        <f t="shared" si="58"/>
        <v>145.39205155746509</v>
      </c>
      <c r="J1232" s="14">
        <f t="shared" si="59"/>
        <v>134.38952987773379</v>
      </c>
    </row>
    <row r="1233" spans="1:10">
      <c r="A1233" s="100">
        <v>40998</v>
      </c>
      <c r="B1233">
        <v>140.81</v>
      </c>
      <c r="C1233">
        <v>67.55</v>
      </c>
      <c r="D1233">
        <v>77.81</v>
      </c>
      <c r="G1233" s="100">
        <v>40998</v>
      </c>
      <c r="H1233" s="14">
        <f t="shared" si="57"/>
        <v>92.882585751978894</v>
      </c>
      <c r="I1233" s="14">
        <f t="shared" si="58"/>
        <v>145.11278195488723</v>
      </c>
      <c r="J1233" s="14">
        <f t="shared" si="59"/>
        <v>133.99345617358361</v>
      </c>
    </row>
    <row r="1234" spans="1:10">
      <c r="A1234" s="100">
        <v>41001</v>
      </c>
      <c r="B1234">
        <v>141.84</v>
      </c>
      <c r="C1234">
        <v>68.25</v>
      </c>
      <c r="D1234">
        <v>78.62</v>
      </c>
      <c r="G1234" s="100">
        <v>41001</v>
      </c>
      <c r="H1234" s="14">
        <f t="shared" si="57"/>
        <v>93.562005277044861</v>
      </c>
      <c r="I1234" s="14">
        <f t="shared" si="58"/>
        <v>146.61654135338347</v>
      </c>
      <c r="J1234" s="14">
        <f t="shared" si="59"/>
        <v>135.3883244360255</v>
      </c>
    </row>
    <row r="1235" spans="1:10">
      <c r="A1235" s="100">
        <v>41002</v>
      </c>
      <c r="B1235">
        <v>141.26</v>
      </c>
      <c r="C1235">
        <v>68.23</v>
      </c>
      <c r="D1235">
        <v>78.510000000000005</v>
      </c>
      <c r="G1235" s="100">
        <v>41002</v>
      </c>
      <c r="H1235" s="14">
        <f t="shared" si="57"/>
        <v>93.179419525065967</v>
      </c>
      <c r="I1235" s="14">
        <f t="shared" si="58"/>
        <v>146.57357679914074</v>
      </c>
      <c r="J1235" s="14">
        <f t="shared" si="59"/>
        <v>135.19889788186671</v>
      </c>
    </row>
    <row r="1236" spans="1:10">
      <c r="A1236" s="100">
        <v>41003</v>
      </c>
      <c r="B1236">
        <v>139.86000000000001</v>
      </c>
      <c r="C1236">
        <v>67.3</v>
      </c>
      <c r="D1236">
        <v>77.33</v>
      </c>
      <c r="G1236" s="100">
        <v>41003</v>
      </c>
      <c r="H1236" s="14">
        <f t="shared" si="57"/>
        <v>92.255936675461754</v>
      </c>
      <c r="I1236" s="14">
        <f t="shared" si="58"/>
        <v>144.57572502685287</v>
      </c>
      <c r="J1236" s="14">
        <f t="shared" si="59"/>
        <v>133.16686757361805</v>
      </c>
    </row>
    <row r="1237" spans="1:10">
      <c r="A1237" s="100">
        <v>41004</v>
      </c>
      <c r="B1237">
        <v>139.79</v>
      </c>
      <c r="C1237">
        <v>67.72</v>
      </c>
      <c r="D1237">
        <v>77.55</v>
      </c>
      <c r="G1237" s="100">
        <v>41004</v>
      </c>
      <c r="H1237" s="14">
        <f t="shared" si="57"/>
        <v>92.209762532981529</v>
      </c>
      <c r="I1237" s="14">
        <f t="shared" si="58"/>
        <v>145.47798066595058</v>
      </c>
      <c r="J1237" s="14">
        <f t="shared" si="59"/>
        <v>133.54572068193559</v>
      </c>
    </row>
    <row r="1238" spans="1:10">
      <c r="A1238" s="100">
        <v>41008</v>
      </c>
      <c r="B1238">
        <v>138.22</v>
      </c>
      <c r="C1238">
        <v>67.209999999999994</v>
      </c>
      <c r="D1238">
        <v>77.040000000000006</v>
      </c>
      <c r="G1238" s="100">
        <v>41008</v>
      </c>
      <c r="H1238" s="14">
        <f t="shared" si="57"/>
        <v>91.174142480211088</v>
      </c>
      <c r="I1238" s="14">
        <f t="shared" si="58"/>
        <v>144.38238453276045</v>
      </c>
      <c r="J1238" s="14">
        <f t="shared" si="59"/>
        <v>132.6674702944722</v>
      </c>
    </row>
    <row r="1239" spans="1:10">
      <c r="A1239" s="100">
        <v>41009</v>
      </c>
      <c r="B1239">
        <v>135.9</v>
      </c>
      <c r="C1239">
        <v>66.13</v>
      </c>
      <c r="D1239">
        <v>75.91</v>
      </c>
      <c r="G1239" s="100">
        <v>41009</v>
      </c>
      <c r="H1239" s="14">
        <f t="shared" si="57"/>
        <v>89.643799472295527</v>
      </c>
      <c r="I1239" s="14">
        <f t="shared" si="58"/>
        <v>142.06229860365198</v>
      </c>
      <c r="J1239" s="14">
        <f t="shared" si="59"/>
        <v>130.72154296538662</v>
      </c>
    </row>
    <row r="1240" spans="1:10">
      <c r="A1240" s="100">
        <v>41010</v>
      </c>
      <c r="B1240">
        <v>137</v>
      </c>
      <c r="C1240">
        <v>66.45</v>
      </c>
      <c r="D1240">
        <v>76.290000000000006</v>
      </c>
      <c r="G1240" s="100">
        <v>41010</v>
      </c>
      <c r="H1240" s="14">
        <f t="shared" si="57"/>
        <v>90.369393139841691</v>
      </c>
      <c r="I1240" s="14">
        <f t="shared" si="58"/>
        <v>142.74973147153599</v>
      </c>
      <c r="J1240" s="14">
        <f t="shared" si="59"/>
        <v>131.37592560702603</v>
      </c>
    </row>
    <row r="1241" spans="1:10">
      <c r="A1241" s="100">
        <v>41011</v>
      </c>
      <c r="B1241">
        <v>138.79</v>
      </c>
      <c r="C1241">
        <v>67.209999999999994</v>
      </c>
      <c r="D1241">
        <v>77.34</v>
      </c>
      <c r="G1241" s="100">
        <v>41011</v>
      </c>
      <c r="H1241" s="14">
        <f t="shared" si="57"/>
        <v>91.550131926121367</v>
      </c>
      <c r="I1241" s="14">
        <f t="shared" si="58"/>
        <v>144.38238453276045</v>
      </c>
      <c r="J1241" s="14">
        <f t="shared" si="59"/>
        <v>133.18408816945066</v>
      </c>
    </row>
    <row r="1242" spans="1:10">
      <c r="A1242" s="100">
        <v>41012</v>
      </c>
      <c r="B1242">
        <v>137.13999999999999</v>
      </c>
      <c r="C1242">
        <v>66.19</v>
      </c>
      <c r="D1242">
        <v>76</v>
      </c>
      <c r="G1242" s="100">
        <v>41012</v>
      </c>
      <c r="H1242" s="14">
        <f t="shared" si="57"/>
        <v>90.461741424802099</v>
      </c>
      <c r="I1242" s="14">
        <f t="shared" si="58"/>
        <v>142.19119226638023</v>
      </c>
      <c r="J1242" s="14">
        <f t="shared" si="59"/>
        <v>130.87652832788015</v>
      </c>
    </row>
    <row r="1243" spans="1:10">
      <c r="A1243" s="100">
        <v>41015</v>
      </c>
      <c r="B1243">
        <v>137.05000000000001</v>
      </c>
      <c r="C1243">
        <v>65.45</v>
      </c>
      <c r="D1243">
        <v>75.16</v>
      </c>
      <c r="G1243" s="100">
        <v>41015</v>
      </c>
      <c r="H1243" s="14">
        <f t="shared" si="57"/>
        <v>90.402374670184699</v>
      </c>
      <c r="I1243" s="14">
        <f t="shared" si="58"/>
        <v>140.6015037593985</v>
      </c>
      <c r="J1243" s="14">
        <f t="shared" si="59"/>
        <v>129.42999827794043</v>
      </c>
    </row>
    <row r="1244" spans="1:10">
      <c r="A1244" s="100">
        <v>41016</v>
      </c>
      <c r="B1244">
        <v>139.08000000000001</v>
      </c>
      <c r="C1244">
        <v>66.78</v>
      </c>
      <c r="D1244">
        <v>76.930000000000007</v>
      </c>
      <c r="G1244" s="100">
        <v>41016</v>
      </c>
      <c r="H1244" s="14">
        <f t="shared" si="57"/>
        <v>91.741424802110828</v>
      </c>
      <c r="I1244" s="14">
        <f t="shared" si="58"/>
        <v>143.45864661654139</v>
      </c>
      <c r="J1244" s="14">
        <f t="shared" si="59"/>
        <v>132.47804374031341</v>
      </c>
    </row>
    <row r="1245" spans="1:10">
      <c r="A1245" s="100">
        <v>41017</v>
      </c>
      <c r="B1245">
        <v>138.61000000000001</v>
      </c>
      <c r="C1245">
        <v>66.61</v>
      </c>
      <c r="D1245">
        <v>76.34</v>
      </c>
      <c r="G1245" s="100">
        <v>41017</v>
      </c>
      <c r="H1245" s="14">
        <f t="shared" si="57"/>
        <v>91.431398416886552</v>
      </c>
      <c r="I1245" s="14">
        <f t="shared" si="58"/>
        <v>143.09344790547797</v>
      </c>
      <c r="J1245" s="14">
        <f t="shared" si="59"/>
        <v>131.46202858618909</v>
      </c>
    </row>
    <row r="1246" spans="1:10">
      <c r="A1246" s="100">
        <v>41018</v>
      </c>
      <c r="B1246">
        <v>137.72</v>
      </c>
      <c r="C1246">
        <v>65.86</v>
      </c>
      <c r="D1246">
        <v>75.180000000000007</v>
      </c>
      <c r="G1246" s="100">
        <v>41018</v>
      </c>
      <c r="H1246" s="14">
        <f t="shared" si="57"/>
        <v>90.844327176781007</v>
      </c>
      <c r="I1246" s="14">
        <f t="shared" si="58"/>
        <v>141.48227712137486</v>
      </c>
      <c r="J1246" s="14">
        <f t="shared" si="59"/>
        <v>129.46443946960565</v>
      </c>
    </row>
    <row r="1247" spans="1:10">
      <c r="A1247" s="100">
        <v>41019</v>
      </c>
      <c r="B1247">
        <v>137.94999999999999</v>
      </c>
      <c r="C1247">
        <v>65.680000000000007</v>
      </c>
      <c r="D1247">
        <v>74.680000000000007</v>
      </c>
      <c r="G1247" s="100">
        <v>41019</v>
      </c>
      <c r="H1247" s="14">
        <f t="shared" si="57"/>
        <v>90.996042216358831</v>
      </c>
      <c r="I1247" s="14">
        <f t="shared" si="58"/>
        <v>141.09559613319013</v>
      </c>
      <c r="J1247" s="14">
        <f t="shared" si="59"/>
        <v>128.60340967797487</v>
      </c>
    </row>
    <row r="1248" spans="1:10">
      <c r="A1248" s="100">
        <v>41022</v>
      </c>
      <c r="B1248">
        <v>136.79</v>
      </c>
      <c r="C1248">
        <v>65.08</v>
      </c>
      <c r="D1248">
        <v>74.099999999999994</v>
      </c>
      <c r="G1248" s="100">
        <v>41022</v>
      </c>
      <c r="H1248" s="14">
        <f t="shared" si="57"/>
        <v>90.230870712401057</v>
      </c>
      <c r="I1248" s="14">
        <f t="shared" si="58"/>
        <v>139.80665950590762</v>
      </c>
      <c r="J1248" s="14">
        <f t="shared" si="59"/>
        <v>127.60461511968313</v>
      </c>
    </row>
    <row r="1249" spans="1:10">
      <c r="A1249" s="100">
        <v>41023</v>
      </c>
      <c r="B1249">
        <v>137.31</v>
      </c>
      <c r="C1249">
        <v>64.73</v>
      </c>
      <c r="D1249">
        <v>73.58</v>
      </c>
      <c r="G1249" s="100">
        <v>41023</v>
      </c>
      <c r="H1249" s="14">
        <f t="shared" si="57"/>
        <v>90.573878627968341</v>
      </c>
      <c r="I1249" s="14">
        <f t="shared" si="58"/>
        <v>139.05477980665952</v>
      </c>
      <c r="J1249" s="14">
        <f t="shared" si="59"/>
        <v>126.70914413638712</v>
      </c>
    </row>
    <row r="1250" spans="1:10">
      <c r="A1250" s="100">
        <v>41024</v>
      </c>
      <c r="B1250">
        <v>139.19</v>
      </c>
      <c r="C1250">
        <v>66.45</v>
      </c>
      <c r="D1250">
        <v>75.87</v>
      </c>
      <c r="G1250" s="100">
        <v>41024</v>
      </c>
      <c r="H1250" s="14">
        <f t="shared" si="57"/>
        <v>91.813984168865431</v>
      </c>
      <c r="I1250" s="14">
        <f t="shared" si="58"/>
        <v>142.74973147153599</v>
      </c>
      <c r="J1250" s="14">
        <f t="shared" si="59"/>
        <v>130.65266058205617</v>
      </c>
    </row>
    <row r="1251" spans="1:10">
      <c r="A1251" s="100">
        <v>41025</v>
      </c>
      <c r="B1251">
        <v>140.16</v>
      </c>
      <c r="C1251">
        <v>66.84</v>
      </c>
      <c r="D1251">
        <v>76.42</v>
      </c>
      <c r="G1251" s="100">
        <v>41025</v>
      </c>
      <c r="H1251" s="14">
        <f t="shared" si="57"/>
        <v>92.453825857519789</v>
      </c>
      <c r="I1251" s="14">
        <f t="shared" si="58"/>
        <v>143.5875402792696</v>
      </c>
      <c r="J1251" s="14">
        <f t="shared" si="59"/>
        <v>131.59979335285001</v>
      </c>
    </row>
    <row r="1252" spans="1:10">
      <c r="A1252" s="100">
        <v>41026</v>
      </c>
      <c r="B1252">
        <v>140.38999999999999</v>
      </c>
      <c r="C1252">
        <v>67.239999999999995</v>
      </c>
      <c r="D1252">
        <v>76.41</v>
      </c>
      <c r="G1252" s="100">
        <v>41026</v>
      </c>
      <c r="H1252" s="14">
        <f t="shared" si="57"/>
        <v>92.605540897097612</v>
      </c>
      <c r="I1252" s="14">
        <f t="shared" si="58"/>
        <v>144.44683136412459</v>
      </c>
      <c r="J1252" s="14">
        <f t="shared" si="59"/>
        <v>131.5825727570174</v>
      </c>
    </row>
    <row r="1253" spans="1:10">
      <c r="A1253" s="100">
        <v>41029</v>
      </c>
      <c r="B1253">
        <v>139.87</v>
      </c>
      <c r="C1253">
        <v>66.760000000000005</v>
      </c>
      <c r="D1253">
        <v>75.709999999999994</v>
      </c>
      <c r="G1253" s="100">
        <v>41029</v>
      </c>
      <c r="H1253" s="14">
        <f t="shared" si="57"/>
        <v>92.262532981530356</v>
      </c>
      <c r="I1253" s="14">
        <f t="shared" si="58"/>
        <v>143.41568206229863</v>
      </c>
      <c r="J1253" s="14">
        <f t="shared" si="59"/>
        <v>130.37713104873427</v>
      </c>
    </row>
    <row r="1254" spans="1:10">
      <c r="A1254" s="100">
        <v>41030</v>
      </c>
      <c r="B1254">
        <v>140.74</v>
      </c>
      <c r="C1254">
        <v>66.87</v>
      </c>
      <c r="D1254">
        <v>75.94</v>
      </c>
      <c r="G1254" s="100">
        <v>41030</v>
      </c>
      <c r="H1254" s="14">
        <f t="shared" si="57"/>
        <v>92.836411609498697</v>
      </c>
      <c r="I1254" s="14">
        <f t="shared" si="58"/>
        <v>143.65198711063374</v>
      </c>
      <c r="J1254" s="14">
        <f t="shared" si="59"/>
        <v>130.77320475288445</v>
      </c>
    </row>
    <row r="1255" spans="1:10">
      <c r="A1255" s="100">
        <v>41031</v>
      </c>
      <c r="B1255">
        <v>140.32</v>
      </c>
      <c r="C1255">
        <v>67.06</v>
      </c>
      <c r="D1255">
        <v>76.06</v>
      </c>
      <c r="G1255" s="100">
        <v>41031</v>
      </c>
      <c r="H1255" s="14">
        <f t="shared" si="57"/>
        <v>92.559366754617415</v>
      </c>
      <c r="I1255" s="14">
        <f t="shared" si="58"/>
        <v>144.06015037593986</v>
      </c>
      <c r="J1255" s="14">
        <f t="shared" si="59"/>
        <v>130.97985190287585</v>
      </c>
    </row>
    <row r="1256" spans="1:10">
      <c r="A1256" s="100">
        <v>41032</v>
      </c>
      <c r="B1256">
        <v>139.25</v>
      </c>
      <c r="C1256">
        <v>66.349999999999994</v>
      </c>
      <c r="D1256">
        <v>75.34</v>
      </c>
      <c r="G1256" s="100">
        <v>41032</v>
      </c>
      <c r="H1256" s="14">
        <f t="shared" si="57"/>
        <v>91.853562005277041</v>
      </c>
      <c r="I1256" s="14">
        <f t="shared" si="58"/>
        <v>142.53490870032223</v>
      </c>
      <c r="J1256" s="14">
        <f t="shared" si="59"/>
        <v>129.7399690029275</v>
      </c>
    </row>
    <row r="1257" spans="1:10">
      <c r="A1257" s="100">
        <v>41033</v>
      </c>
      <c r="B1257">
        <v>137</v>
      </c>
      <c r="C1257">
        <v>64.7</v>
      </c>
      <c r="D1257">
        <v>73.64</v>
      </c>
      <c r="G1257" s="100">
        <v>41033</v>
      </c>
      <c r="H1257" s="14">
        <f t="shared" si="57"/>
        <v>90.369393139841691</v>
      </c>
      <c r="I1257" s="14">
        <f t="shared" si="58"/>
        <v>138.99033297529539</v>
      </c>
      <c r="J1257" s="14">
        <f t="shared" si="59"/>
        <v>126.81246771138281</v>
      </c>
    </row>
    <row r="1258" spans="1:10">
      <c r="A1258" s="100">
        <v>41036</v>
      </c>
      <c r="B1258">
        <v>137.1</v>
      </c>
      <c r="C1258">
        <v>64.760000000000005</v>
      </c>
      <c r="D1258">
        <v>73.41</v>
      </c>
      <c r="G1258" s="100">
        <v>41036</v>
      </c>
      <c r="H1258" s="14">
        <f t="shared" si="57"/>
        <v>90.435356200527707</v>
      </c>
      <c r="I1258" s="14">
        <f t="shared" si="58"/>
        <v>139.11922663802366</v>
      </c>
      <c r="J1258" s="14">
        <f t="shared" si="59"/>
        <v>126.41639400723264</v>
      </c>
    </row>
    <row r="1259" spans="1:10">
      <c r="A1259" s="100">
        <v>41037</v>
      </c>
      <c r="B1259">
        <v>136.55000000000001</v>
      </c>
      <c r="C1259">
        <v>64.52</v>
      </c>
      <c r="D1259">
        <v>73.040000000000006</v>
      </c>
      <c r="G1259" s="100">
        <v>41037</v>
      </c>
      <c r="H1259" s="14">
        <f t="shared" si="57"/>
        <v>90.072559366754618</v>
      </c>
      <c r="I1259" s="14">
        <f t="shared" si="58"/>
        <v>138.60365198711065</v>
      </c>
      <c r="J1259" s="14">
        <f t="shared" si="59"/>
        <v>125.77923196142589</v>
      </c>
    </row>
    <row r="1260" spans="1:10">
      <c r="A1260" s="100">
        <v>41038</v>
      </c>
      <c r="B1260">
        <v>135.74</v>
      </c>
      <c r="C1260">
        <v>64.319999999999993</v>
      </c>
      <c r="D1260">
        <v>73.08</v>
      </c>
      <c r="G1260" s="100">
        <v>41038</v>
      </c>
      <c r="H1260" s="14">
        <f t="shared" si="57"/>
        <v>89.538258575197887</v>
      </c>
      <c r="I1260" s="14">
        <f t="shared" si="58"/>
        <v>138.17400644468313</v>
      </c>
      <c r="J1260" s="14">
        <f t="shared" si="59"/>
        <v>125.84811434475634</v>
      </c>
    </row>
    <row r="1261" spans="1:10">
      <c r="A1261" s="100">
        <v>41039</v>
      </c>
      <c r="B1261">
        <v>136.02000000000001</v>
      </c>
      <c r="C1261">
        <v>64.19</v>
      </c>
      <c r="D1261">
        <v>72.3</v>
      </c>
      <c r="G1261" s="100">
        <v>41039</v>
      </c>
      <c r="H1261" s="14">
        <f t="shared" si="57"/>
        <v>89.722955145118746</v>
      </c>
      <c r="I1261" s="14">
        <f t="shared" si="58"/>
        <v>137.89473684210526</v>
      </c>
      <c r="J1261" s="14">
        <f t="shared" si="59"/>
        <v>124.5049078698123</v>
      </c>
    </row>
    <row r="1262" spans="1:10">
      <c r="A1262" s="100">
        <v>41040</v>
      </c>
      <c r="B1262">
        <v>135.61000000000001</v>
      </c>
      <c r="C1262">
        <v>64.180000000000007</v>
      </c>
      <c r="D1262">
        <v>72.36</v>
      </c>
      <c r="G1262" s="100">
        <v>41040</v>
      </c>
      <c r="H1262" s="14">
        <f t="shared" si="57"/>
        <v>89.45250659630608</v>
      </c>
      <c r="I1262" s="14">
        <f t="shared" si="58"/>
        <v>137.87325456498391</v>
      </c>
      <c r="J1262" s="14">
        <f t="shared" si="59"/>
        <v>124.608231444808</v>
      </c>
    </row>
    <row r="1263" spans="1:10">
      <c r="A1263" s="100">
        <v>41043</v>
      </c>
      <c r="B1263">
        <v>134.11000000000001</v>
      </c>
      <c r="C1263">
        <v>63.58</v>
      </c>
      <c r="D1263">
        <v>71.62</v>
      </c>
      <c r="G1263" s="100">
        <v>41043</v>
      </c>
      <c r="H1263" s="14">
        <f t="shared" si="57"/>
        <v>88.463060686015851</v>
      </c>
      <c r="I1263" s="14">
        <f t="shared" si="58"/>
        <v>136.5843179377014</v>
      </c>
      <c r="J1263" s="14">
        <f t="shared" si="59"/>
        <v>123.33390735319443</v>
      </c>
    </row>
    <row r="1264" spans="1:10">
      <c r="A1264" s="100">
        <v>41044</v>
      </c>
      <c r="B1264">
        <v>133.34</v>
      </c>
      <c r="C1264">
        <v>63.37</v>
      </c>
      <c r="D1264">
        <v>71.42</v>
      </c>
      <c r="G1264" s="100">
        <v>41044</v>
      </c>
      <c r="H1264" s="14">
        <f t="shared" si="57"/>
        <v>87.955145118733512</v>
      </c>
      <c r="I1264" s="14">
        <f t="shared" si="58"/>
        <v>136.13319011815253</v>
      </c>
      <c r="J1264" s="14">
        <f t="shared" si="59"/>
        <v>122.9894954365421</v>
      </c>
    </row>
  </sheetData>
  <phoneticPr fontId="6" type="noConversion"/>
  <pageMargins left="0.75" right="0.75" top="1" bottom="1" header="0.5" footer="0.5"/>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AI9"/>
  <sheetViews>
    <sheetView workbookViewId="0">
      <selection activeCell="G3" sqref="G3"/>
    </sheetView>
  </sheetViews>
  <sheetFormatPr baseColWidth="10" defaultColWidth="8.88671875" defaultRowHeight="12.3"/>
  <cols>
    <col min="1" max="1" width="8.88671875" customWidth="1"/>
    <col min="2" max="2" width="15.33203125" customWidth="1"/>
    <col min="3" max="35" width="5.5546875" bestFit="1" customWidth="1"/>
  </cols>
  <sheetData>
    <row r="2" spans="2:35">
      <c r="B2" s="167" t="s">
        <v>281</v>
      </c>
    </row>
    <row r="3" spans="2:35" ht="14.1">
      <c r="B3" s="168"/>
    </row>
    <row r="4" spans="2:35">
      <c r="B4" s="167" t="s">
        <v>282</v>
      </c>
    </row>
    <row r="6" spans="2:35">
      <c r="B6" t="s">
        <v>74</v>
      </c>
      <c r="C6" t="s">
        <v>26</v>
      </c>
      <c r="D6" t="s">
        <v>27</v>
      </c>
      <c r="E6" t="s">
        <v>29</v>
      </c>
      <c r="F6" t="s">
        <v>30</v>
      </c>
      <c r="G6" t="s">
        <v>28</v>
      </c>
      <c r="H6" t="s">
        <v>32</v>
      </c>
      <c r="I6" t="s">
        <v>33</v>
      </c>
      <c r="J6" t="s">
        <v>34</v>
      </c>
      <c r="K6" t="s">
        <v>35</v>
      </c>
      <c r="L6" t="s">
        <v>36</v>
      </c>
      <c r="M6" t="s">
        <v>37</v>
      </c>
      <c r="N6" t="s">
        <v>38</v>
      </c>
      <c r="O6" t="s">
        <v>39</v>
      </c>
      <c r="P6" t="s">
        <v>40</v>
      </c>
      <c r="Q6" t="s">
        <v>41</v>
      </c>
      <c r="R6" t="s">
        <v>42</v>
      </c>
      <c r="S6" t="s">
        <v>43</v>
      </c>
      <c r="T6" t="s">
        <v>44</v>
      </c>
      <c r="U6" t="s">
        <v>45</v>
      </c>
      <c r="V6" t="s">
        <v>46</v>
      </c>
      <c r="W6" t="s">
        <v>47</v>
      </c>
      <c r="X6" t="s">
        <v>48</v>
      </c>
      <c r="Y6" t="s">
        <v>49</v>
      </c>
      <c r="Z6" t="s">
        <v>50</v>
      </c>
      <c r="AA6" t="s">
        <v>51</v>
      </c>
      <c r="AB6" t="s">
        <v>52</v>
      </c>
      <c r="AC6" t="s">
        <v>53</v>
      </c>
      <c r="AD6" t="s">
        <v>56</v>
      </c>
      <c r="AE6" t="s">
        <v>55</v>
      </c>
      <c r="AF6" t="s">
        <v>57</v>
      </c>
      <c r="AG6" t="s">
        <v>58</v>
      </c>
      <c r="AH6" t="s">
        <v>54</v>
      </c>
      <c r="AI6" t="s">
        <v>59</v>
      </c>
    </row>
    <row r="7" spans="2:35">
      <c r="B7" t="s">
        <v>31</v>
      </c>
      <c r="C7">
        <v>339</v>
      </c>
      <c r="D7">
        <v>385</v>
      </c>
      <c r="E7">
        <v>339</v>
      </c>
      <c r="F7">
        <v>457</v>
      </c>
      <c r="G7">
        <v>327</v>
      </c>
      <c r="H7">
        <v>409</v>
      </c>
      <c r="I7">
        <v>364</v>
      </c>
      <c r="J7">
        <v>452</v>
      </c>
      <c r="K7">
        <v>360</v>
      </c>
      <c r="L7">
        <v>473</v>
      </c>
      <c r="M7">
        <v>355</v>
      </c>
      <c r="N7">
        <v>608</v>
      </c>
      <c r="O7">
        <v>395</v>
      </c>
      <c r="P7">
        <v>574</v>
      </c>
      <c r="Q7">
        <v>442</v>
      </c>
      <c r="R7">
        <v>603</v>
      </c>
      <c r="S7">
        <v>253</v>
      </c>
      <c r="T7">
        <v>274</v>
      </c>
      <c r="U7">
        <v>164</v>
      </c>
      <c r="V7">
        <v>78</v>
      </c>
      <c r="W7">
        <v>52</v>
      </c>
      <c r="X7">
        <v>82</v>
      </c>
      <c r="Y7">
        <v>146</v>
      </c>
      <c r="Z7">
        <v>297</v>
      </c>
      <c r="AA7">
        <v>293</v>
      </c>
      <c r="AB7">
        <v>314</v>
      </c>
      <c r="AC7">
        <v>302</v>
      </c>
      <c r="AD7">
        <v>484</v>
      </c>
      <c r="AE7">
        <v>296</v>
      </c>
      <c r="AF7">
        <v>383</v>
      </c>
      <c r="AG7">
        <v>291</v>
      </c>
      <c r="AH7">
        <v>255</v>
      </c>
      <c r="AI7">
        <v>157</v>
      </c>
    </row>
    <row r="8" spans="2:35">
      <c r="C8" t="s">
        <v>26</v>
      </c>
      <c r="D8" t="s">
        <v>27</v>
      </c>
      <c r="E8" t="s">
        <v>29</v>
      </c>
      <c r="F8" t="s">
        <v>30</v>
      </c>
      <c r="G8" t="s">
        <v>28</v>
      </c>
      <c r="H8" t="s">
        <v>32</v>
      </c>
      <c r="I8" t="s">
        <v>33</v>
      </c>
      <c r="J8" t="s">
        <v>34</v>
      </c>
      <c r="K8" t="s">
        <v>35</v>
      </c>
      <c r="L8" t="s">
        <v>36</v>
      </c>
      <c r="M8" t="s">
        <v>37</v>
      </c>
      <c r="N8" t="s">
        <v>38</v>
      </c>
      <c r="O8" t="s">
        <v>39</v>
      </c>
      <c r="P8" t="s">
        <v>40</v>
      </c>
      <c r="Q8" t="s">
        <v>41</v>
      </c>
      <c r="R8" t="s">
        <v>42</v>
      </c>
      <c r="S8" t="s">
        <v>43</v>
      </c>
      <c r="T8" t="s">
        <v>44</v>
      </c>
      <c r="U8" t="s">
        <v>45</v>
      </c>
      <c r="V8" t="s">
        <v>46</v>
      </c>
      <c r="W8" t="s">
        <v>47</v>
      </c>
      <c r="X8" t="s">
        <v>48</v>
      </c>
      <c r="Y8" t="s">
        <v>49</v>
      </c>
      <c r="Z8" t="s">
        <v>50</v>
      </c>
      <c r="AA8" t="s">
        <v>51</v>
      </c>
      <c r="AB8" t="s">
        <v>52</v>
      </c>
      <c r="AC8" t="s">
        <v>53</v>
      </c>
      <c r="AD8" t="s">
        <v>56</v>
      </c>
      <c r="AE8" t="s">
        <v>55</v>
      </c>
      <c r="AF8" t="s">
        <v>57</v>
      </c>
      <c r="AG8" t="s">
        <v>58</v>
      </c>
      <c r="AH8" t="s">
        <v>54</v>
      </c>
      <c r="AI8" t="s">
        <v>59</v>
      </c>
    </row>
    <row r="9" spans="2:35">
      <c r="B9" t="s">
        <v>60</v>
      </c>
      <c r="C9">
        <v>29</v>
      </c>
      <c r="D9">
        <v>33</v>
      </c>
      <c r="E9">
        <v>29</v>
      </c>
      <c r="F9">
        <v>39</v>
      </c>
      <c r="G9">
        <v>29</v>
      </c>
      <c r="H9">
        <v>39</v>
      </c>
      <c r="I9">
        <v>38</v>
      </c>
      <c r="J9">
        <v>74</v>
      </c>
      <c r="K9">
        <v>39</v>
      </c>
      <c r="L9">
        <v>66</v>
      </c>
      <c r="M9">
        <v>49</v>
      </c>
      <c r="N9">
        <v>112</v>
      </c>
      <c r="O9">
        <v>37</v>
      </c>
      <c r="P9">
        <v>95</v>
      </c>
      <c r="Q9">
        <v>59</v>
      </c>
      <c r="R9">
        <v>105</v>
      </c>
      <c r="S9">
        <v>41</v>
      </c>
      <c r="T9">
        <v>39</v>
      </c>
      <c r="U9">
        <v>13</v>
      </c>
      <c r="V9" s="24">
        <v>2</v>
      </c>
      <c r="W9">
        <v>1.4</v>
      </c>
      <c r="X9">
        <v>10</v>
      </c>
      <c r="Y9">
        <v>34</v>
      </c>
      <c r="Z9">
        <v>67</v>
      </c>
      <c r="AA9">
        <v>54</v>
      </c>
      <c r="AB9">
        <v>47</v>
      </c>
      <c r="AC9">
        <v>53</v>
      </c>
      <c r="AD9">
        <v>132</v>
      </c>
      <c r="AE9">
        <v>47</v>
      </c>
      <c r="AF9">
        <v>66</v>
      </c>
      <c r="AG9">
        <v>29</v>
      </c>
      <c r="AH9">
        <v>29</v>
      </c>
      <c r="AI9">
        <v>14</v>
      </c>
    </row>
  </sheetData>
  <phoneticPr fontId="6" type="noConversion"/>
  <pageMargins left="0.75" right="0.75" top="1" bottom="1" header="0.5" footer="0.5"/>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J17"/>
  <sheetViews>
    <sheetView workbookViewId="0">
      <selection activeCell="J28" sqref="J28"/>
    </sheetView>
  </sheetViews>
  <sheetFormatPr baseColWidth="10" defaultColWidth="8.88671875" defaultRowHeight="12.3"/>
  <cols>
    <col min="1" max="3" width="8.88671875" customWidth="1"/>
    <col min="4" max="4" width="9.77734375" bestFit="1" customWidth="1"/>
    <col min="5" max="5" width="19.44140625" customWidth="1"/>
    <col min="6" max="6" width="8.88671875" customWidth="1"/>
    <col min="7" max="7" width="12.44140625" style="25" bestFit="1" customWidth="1"/>
    <col min="8" max="8" width="10.44140625" customWidth="1"/>
    <col min="9" max="9" width="11.5546875" customWidth="1"/>
    <col min="10" max="10" width="10.88671875" customWidth="1"/>
  </cols>
  <sheetData>
    <row r="2" spans="2:10">
      <c r="B2" s="167" t="s">
        <v>283</v>
      </c>
    </row>
    <row r="3" spans="2:10" ht="14.1">
      <c r="B3" s="168"/>
    </row>
    <row r="4" spans="2:10">
      <c r="B4" s="167" t="s">
        <v>284</v>
      </c>
    </row>
    <row r="6" spans="2:10" ht="36.9">
      <c r="B6" s="6" t="s">
        <v>85</v>
      </c>
      <c r="C6" s="6" t="s">
        <v>86</v>
      </c>
      <c r="D6" s="6" t="s">
        <v>87</v>
      </c>
      <c r="E6" s="54" t="s">
        <v>88</v>
      </c>
      <c r="F6" s="6" t="s">
        <v>89</v>
      </c>
      <c r="G6" s="54" t="s">
        <v>96</v>
      </c>
      <c r="H6" s="7" t="s">
        <v>90</v>
      </c>
      <c r="I6" s="7" t="s">
        <v>91</v>
      </c>
      <c r="J6" s="7" t="s">
        <v>92</v>
      </c>
    </row>
    <row r="7" spans="2:10">
      <c r="B7" s="8" t="s">
        <v>82</v>
      </c>
      <c r="C7" s="8" t="s">
        <v>78</v>
      </c>
      <c r="D7" s="55">
        <v>40682</v>
      </c>
      <c r="E7" s="56" t="s">
        <v>94</v>
      </c>
      <c r="F7" s="57">
        <v>45</v>
      </c>
      <c r="G7" s="58" t="s">
        <v>189</v>
      </c>
      <c r="H7" s="59">
        <v>1.0944444444444446</v>
      </c>
      <c r="I7" s="59">
        <v>0.91900000000000004</v>
      </c>
      <c r="J7" s="59">
        <v>0.45600000000000002</v>
      </c>
    </row>
    <row r="8" spans="2:10">
      <c r="B8" s="8" t="s">
        <v>83</v>
      </c>
      <c r="C8" s="8" t="s">
        <v>77</v>
      </c>
      <c r="D8" s="55">
        <v>40850</v>
      </c>
      <c r="E8" s="56" t="s">
        <v>98</v>
      </c>
      <c r="F8" s="57">
        <v>20</v>
      </c>
      <c r="G8" s="56" t="s">
        <v>97</v>
      </c>
      <c r="H8" s="60">
        <v>0.43</v>
      </c>
      <c r="I8" s="59">
        <v>0.21249999999999999</v>
      </c>
      <c r="J8" s="59">
        <v>-5.2499999999999998E-2</v>
      </c>
    </row>
    <row r="9" spans="2:10">
      <c r="B9" s="8" t="s">
        <v>84</v>
      </c>
      <c r="C9" s="8" t="s">
        <v>81</v>
      </c>
      <c r="D9" s="55">
        <v>40893</v>
      </c>
      <c r="E9" s="56" t="s">
        <v>102</v>
      </c>
      <c r="F9" s="57">
        <v>10</v>
      </c>
      <c r="G9" s="56" t="s">
        <v>104</v>
      </c>
      <c r="H9" s="59">
        <v>-5.0000000000000044E-2</v>
      </c>
      <c r="I9" s="59">
        <v>-6.0999999999999943E-2</v>
      </c>
      <c r="J9" s="59">
        <v>-0.1130000000000001</v>
      </c>
    </row>
    <row r="12" spans="2:10">
      <c r="B12" s="1" t="s">
        <v>93</v>
      </c>
    </row>
    <row r="13" spans="2:10">
      <c r="B13" s="1" t="s">
        <v>95</v>
      </c>
    </row>
    <row r="14" spans="2:10">
      <c r="B14" s="1" t="s">
        <v>99</v>
      </c>
    </row>
    <row r="15" spans="2:10">
      <c r="B15" s="1" t="s">
        <v>100</v>
      </c>
    </row>
    <row r="16" spans="2:10">
      <c r="B16" s="1" t="s">
        <v>101</v>
      </c>
    </row>
    <row r="17" spans="2:2">
      <c r="B17" s="1" t="s">
        <v>103</v>
      </c>
    </row>
  </sheetData>
  <phoneticPr fontId="0" type="noConversion"/>
  <hyperlinks>
    <hyperlink ref="B12" r:id="rId1" xr:uid="{00000000-0004-0000-0600-000000000000}"/>
    <hyperlink ref="B13" r:id="rId2" xr:uid="{00000000-0004-0000-0600-000001000000}"/>
    <hyperlink ref="B14" r:id="rId3" xr:uid="{00000000-0004-0000-0600-000002000000}"/>
    <hyperlink ref="B15" r:id="rId4" xr:uid="{00000000-0004-0000-0600-000003000000}"/>
    <hyperlink ref="B16" r:id="rId5" xr:uid="{00000000-0004-0000-0600-000004000000}"/>
    <hyperlink ref="B17" r:id="rId6" xr:uid="{00000000-0004-0000-0600-000005000000}"/>
  </hyperlinks>
  <pageMargins left="0.75" right="0.75" top="1" bottom="1" header="0.5" footer="0.5"/>
  <pageSetup orientation="portrait" horizontalDpi="1200" verticalDpi="1200" r:id="rId7"/>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J39"/>
  <sheetViews>
    <sheetView topLeftCell="A19" zoomScaleNormal="100" workbookViewId="0">
      <selection activeCell="B6" sqref="B6:H38"/>
    </sheetView>
  </sheetViews>
  <sheetFormatPr baseColWidth="10" defaultColWidth="9.6640625" defaultRowHeight="12.3"/>
  <cols>
    <col min="1" max="1" width="3.109375" style="82" customWidth="1"/>
    <col min="2" max="2" width="31.44140625" style="82" bestFit="1" customWidth="1"/>
    <col min="3" max="3" width="12.6640625" style="85" bestFit="1" customWidth="1"/>
    <col min="4" max="4" width="14.109375" style="85" bestFit="1" customWidth="1"/>
    <col min="5" max="5" width="15.109375" style="85" bestFit="1" customWidth="1"/>
    <col min="6" max="6" width="12.33203125" style="82" bestFit="1" customWidth="1"/>
    <col min="7" max="7" width="12.44140625" style="91" bestFit="1" customWidth="1"/>
    <col min="8" max="8" width="15.109375" style="85" bestFit="1" customWidth="1"/>
    <col min="9" max="9" width="9.6640625" style="82"/>
    <col min="10" max="10" width="15.109375" style="82" bestFit="1" customWidth="1"/>
    <col min="11" max="16384" width="9.6640625" style="82"/>
  </cols>
  <sheetData>
    <row r="1" spans="2:10">
      <c r="B1" s="92"/>
      <c r="C1" s="93"/>
      <c r="D1" s="93"/>
      <c r="E1" s="93"/>
      <c r="F1" s="93"/>
      <c r="G1" s="94"/>
      <c r="H1" s="93"/>
    </row>
    <row r="2" spans="2:10">
      <c r="B2" s="167" t="s">
        <v>285</v>
      </c>
      <c r="C2" s="93"/>
      <c r="D2" s="93"/>
      <c r="E2" s="93"/>
      <c r="F2" s="93"/>
      <c r="G2" s="94"/>
      <c r="H2" s="93"/>
    </row>
    <row r="3" spans="2:10" ht="14.1">
      <c r="B3" s="168"/>
      <c r="C3" s="93"/>
      <c r="D3" s="93"/>
      <c r="E3" s="93"/>
      <c r="F3" s="93"/>
      <c r="G3" s="94"/>
      <c r="H3" s="93"/>
    </row>
    <row r="4" spans="2:10">
      <c r="B4" s="167" t="s">
        <v>286</v>
      </c>
      <c r="C4" s="93"/>
      <c r="D4" s="93"/>
      <c r="E4" s="93"/>
      <c r="F4" s="93"/>
      <c r="G4" s="94"/>
      <c r="H4" s="93"/>
    </row>
    <row r="5" spans="2:10" ht="12.6" thickBot="1">
      <c r="B5" s="83" t="s">
        <v>204</v>
      </c>
      <c r="C5" s="84" t="s">
        <v>204</v>
      </c>
      <c r="D5" s="84" t="s">
        <v>204</v>
      </c>
      <c r="E5" s="84" t="s">
        <v>204</v>
      </c>
      <c r="F5" s="84" t="s">
        <v>204</v>
      </c>
      <c r="G5" s="90"/>
      <c r="H5" s="84" t="s">
        <v>204</v>
      </c>
    </row>
    <row r="6" spans="2:10">
      <c r="B6" s="179"/>
      <c r="C6" s="174" t="s">
        <v>288</v>
      </c>
      <c r="D6" s="174" t="s">
        <v>288</v>
      </c>
      <c r="E6" s="174" t="s">
        <v>289</v>
      </c>
      <c r="F6" s="174" t="s">
        <v>289</v>
      </c>
      <c r="G6" s="174"/>
      <c r="H6" s="174"/>
    </row>
    <row r="7" spans="2:10">
      <c r="B7" s="180"/>
      <c r="C7" s="175" t="s">
        <v>72</v>
      </c>
      <c r="D7" s="175" t="s">
        <v>73</v>
      </c>
      <c r="E7" s="175" t="s">
        <v>72</v>
      </c>
      <c r="F7" s="175" t="s">
        <v>73</v>
      </c>
      <c r="G7" s="175" t="s">
        <v>291</v>
      </c>
      <c r="H7" s="176" t="s">
        <v>71</v>
      </c>
    </row>
    <row r="8" spans="2:10">
      <c r="B8" s="180"/>
      <c r="C8" s="175" t="s">
        <v>71</v>
      </c>
      <c r="D8" s="175" t="s">
        <v>71</v>
      </c>
      <c r="E8" s="175" t="s">
        <v>71</v>
      </c>
      <c r="F8" s="175" t="s">
        <v>71</v>
      </c>
      <c r="G8" s="175" t="s">
        <v>292</v>
      </c>
      <c r="H8" s="176" t="s">
        <v>293</v>
      </c>
    </row>
    <row r="9" spans="2:10" ht="12.6" thickBot="1">
      <c r="B9" s="181" t="s">
        <v>61</v>
      </c>
      <c r="C9" s="177" t="s">
        <v>287</v>
      </c>
      <c r="D9" s="177" t="s">
        <v>287</v>
      </c>
      <c r="E9" s="177" t="s">
        <v>287</v>
      </c>
      <c r="F9" s="177" t="s">
        <v>287</v>
      </c>
      <c r="G9" s="177" t="s">
        <v>289</v>
      </c>
      <c r="H9" s="178" t="s">
        <v>290</v>
      </c>
    </row>
    <row r="10" spans="2:10">
      <c r="B10" s="88" t="s">
        <v>203</v>
      </c>
      <c r="F10" s="85"/>
    </row>
    <row r="11" spans="2:10">
      <c r="B11" s="83" t="s">
        <v>346</v>
      </c>
      <c r="C11" s="170">
        <v>0</v>
      </c>
      <c r="D11" s="87">
        <v>533801850</v>
      </c>
      <c r="E11" s="86"/>
      <c r="F11" s="87">
        <v>503601850</v>
      </c>
      <c r="G11" s="90">
        <v>31</v>
      </c>
      <c r="H11" s="87">
        <v>30200000</v>
      </c>
      <c r="J11" s="172"/>
    </row>
    <row r="12" spans="2:10">
      <c r="B12" s="83" t="s">
        <v>62</v>
      </c>
      <c r="C12" s="101">
        <v>42395203</v>
      </c>
      <c r="D12" s="101">
        <v>541994071</v>
      </c>
      <c r="E12" s="101">
        <v>5166794</v>
      </c>
      <c r="F12" s="101">
        <v>430293407</v>
      </c>
      <c r="G12" s="102">
        <v>27.5</v>
      </c>
      <c r="H12" s="101">
        <v>95795713</v>
      </c>
    </row>
    <row r="13" spans="2:10">
      <c r="B13" s="83" t="s">
        <v>206</v>
      </c>
      <c r="C13" s="87">
        <v>42395203</v>
      </c>
      <c r="D13" s="87">
        <v>1075795921</v>
      </c>
      <c r="E13" s="87">
        <v>5166794</v>
      </c>
      <c r="F13" s="87">
        <v>933895257</v>
      </c>
      <c r="G13" s="90">
        <v>57.5</v>
      </c>
      <c r="H13" s="87">
        <v>125995713</v>
      </c>
    </row>
    <row r="14" spans="2:10">
      <c r="B14" s="83"/>
      <c r="C14" s="87"/>
      <c r="D14" s="87"/>
      <c r="E14" s="87"/>
      <c r="F14" s="87"/>
      <c r="G14" s="90"/>
      <c r="H14" s="87"/>
    </row>
    <row r="15" spans="2:10">
      <c r="B15" s="83" t="s">
        <v>347</v>
      </c>
      <c r="C15" s="86"/>
      <c r="D15" s="87">
        <v>1899986</v>
      </c>
      <c r="E15" s="86"/>
      <c r="F15" s="87">
        <v>1899986</v>
      </c>
      <c r="G15" s="89" t="s">
        <v>194</v>
      </c>
      <c r="H15" s="170">
        <v>0</v>
      </c>
      <c r="J15" s="171"/>
    </row>
    <row r="16" spans="2:10">
      <c r="B16" s="83" t="s">
        <v>348</v>
      </c>
      <c r="C16" s="86"/>
      <c r="D16" s="87">
        <v>2399999</v>
      </c>
      <c r="E16" s="86"/>
      <c r="F16" s="87">
        <v>2399999</v>
      </c>
      <c r="G16" s="89" t="s">
        <v>194</v>
      </c>
      <c r="H16" s="170">
        <v>0</v>
      </c>
      <c r="J16" s="171"/>
    </row>
    <row r="17" spans="2:10">
      <c r="B17" s="83" t="s">
        <v>349</v>
      </c>
      <c r="C17" s="86"/>
      <c r="D17" s="87">
        <v>2291849</v>
      </c>
      <c r="E17" s="86"/>
      <c r="F17" s="87">
        <v>2291849</v>
      </c>
      <c r="G17" s="89" t="s">
        <v>194</v>
      </c>
      <c r="H17" s="170">
        <v>0</v>
      </c>
      <c r="J17" s="171"/>
    </row>
    <row r="18" spans="2:10">
      <c r="B18" s="83" t="s">
        <v>350</v>
      </c>
      <c r="C18" s="86"/>
      <c r="D18" s="87">
        <v>2025244</v>
      </c>
      <c r="E18" s="86"/>
      <c r="F18" s="87">
        <v>2025244</v>
      </c>
      <c r="G18" s="89" t="s">
        <v>194</v>
      </c>
      <c r="H18" s="170">
        <v>0</v>
      </c>
      <c r="J18" s="171"/>
    </row>
    <row r="19" spans="2:10">
      <c r="B19" s="83" t="s">
        <v>351</v>
      </c>
      <c r="C19" s="86"/>
      <c r="D19" s="87">
        <v>6607131</v>
      </c>
      <c r="E19" s="86"/>
      <c r="F19" s="87">
        <v>6607131</v>
      </c>
      <c r="G19" s="89" t="s">
        <v>194</v>
      </c>
      <c r="H19" s="170">
        <v>0</v>
      </c>
      <c r="J19" s="171"/>
    </row>
    <row r="20" spans="2:10">
      <c r="B20" s="83" t="s">
        <v>352</v>
      </c>
      <c r="C20" s="86"/>
      <c r="D20" s="87">
        <v>201378349</v>
      </c>
      <c r="E20" s="87">
        <v>144418008</v>
      </c>
      <c r="F20" s="87">
        <v>7929092</v>
      </c>
      <c r="G20" s="90">
        <v>1.4</v>
      </c>
      <c r="H20" s="87">
        <v>49031249</v>
      </c>
      <c r="J20" s="171"/>
    </row>
    <row r="21" spans="2:10">
      <c r="B21" s="83" t="s">
        <v>353</v>
      </c>
      <c r="C21" s="86"/>
      <c r="D21" s="87">
        <v>44724100</v>
      </c>
      <c r="E21" s="87">
        <v>18581901</v>
      </c>
      <c r="F21" s="87">
        <v>9297884</v>
      </c>
      <c r="G21" s="89" t="s">
        <v>194</v>
      </c>
      <c r="H21" s="87">
        <v>16844315</v>
      </c>
      <c r="J21" s="171"/>
    </row>
    <row r="22" spans="2:10">
      <c r="B22" s="88" t="s">
        <v>205</v>
      </c>
      <c r="F22" s="85"/>
      <c r="J22" s="171"/>
    </row>
    <row r="23" spans="2:10">
      <c r="B23" s="83" t="s">
        <v>195</v>
      </c>
      <c r="C23" s="86"/>
      <c r="D23" s="87">
        <v>201378349</v>
      </c>
      <c r="E23" s="87">
        <v>144418008</v>
      </c>
      <c r="F23" s="87">
        <v>7929092</v>
      </c>
      <c r="G23" s="90">
        <v>1.4</v>
      </c>
      <c r="H23" s="87">
        <v>49031249</v>
      </c>
      <c r="J23" s="171"/>
    </row>
    <row r="24" spans="2:10">
      <c r="B24" s="83" t="s">
        <v>196</v>
      </c>
      <c r="C24" s="87">
        <v>36711928</v>
      </c>
      <c r="D24" s="87">
        <v>94567945</v>
      </c>
      <c r="E24" s="87">
        <v>5016794</v>
      </c>
      <c r="F24" s="87">
        <v>80600514</v>
      </c>
      <c r="G24" s="90">
        <v>5.2</v>
      </c>
      <c r="H24" s="87">
        <v>45662565</v>
      </c>
      <c r="J24" s="171"/>
    </row>
    <row r="25" spans="2:10">
      <c r="B25" s="83" t="s">
        <v>63</v>
      </c>
      <c r="C25" s="86"/>
      <c r="D25" s="87">
        <v>133698645</v>
      </c>
      <c r="E25" s="86"/>
      <c r="F25" s="87">
        <v>133698645</v>
      </c>
      <c r="G25" s="90">
        <v>8.5</v>
      </c>
      <c r="H25" s="170">
        <v>0</v>
      </c>
      <c r="J25" s="171"/>
    </row>
    <row r="26" spans="2:10">
      <c r="B26" s="83" t="s">
        <v>197</v>
      </c>
      <c r="C26" s="87">
        <v>65947241</v>
      </c>
      <c r="D26" s="86"/>
      <c r="E26" s="87">
        <v>37274529</v>
      </c>
      <c r="F26" s="86"/>
      <c r="G26" s="89" t="s">
        <v>194</v>
      </c>
      <c r="H26" s="87">
        <v>28672712</v>
      </c>
      <c r="J26" s="171"/>
    </row>
    <row r="27" spans="2:10">
      <c r="B27" s="83" t="s">
        <v>64</v>
      </c>
      <c r="C27" s="87">
        <v>6033630</v>
      </c>
      <c r="D27" s="87">
        <v>12158743</v>
      </c>
      <c r="E27" s="87">
        <v>6033630</v>
      </c>
      <c r="F27" s="87">
        <v>12158743</v>
      </c>
      <c r="G27" s="89" t="s">
        <v>194</v>
      </c>
      <c r="H27" s="170">
        <v>0</v>
      </c>
      <c r="J27" s="171"/>
    </row>
    <row r="28" spans="2:10">
      <c r="B28" s="83" t="s">
        <v>198</v>
      </c>
      <c r="C28" s="86"/>
      <c r="D28" s="87">
        <v>40109645</v>
      </c>
      <c r="E28" s="86"/>
      <c r="F28" s="87">
        <v>35487149</v>
      </c>
      <c r="G28" s="90">
        <v>2.2999999999999998</v>
      </c>
      <c r="H28" s="87">
        <v>4622496</v>
      </c>
      <c r="J28" s="171"/>
    </row>
    <row r="29" spans="2:10">
      <c r="B29" s="83" t="s">
        <v>199</v>
      </c>
      <c r="C29" s="86"/>
      <c r="D29" s="87">
        <v>36656372</v>
      </c>
      <c r="E29" s="86"/>
      <c r="F29" s="87">
        <v>29049020</v>
      </c>
      <c r="G29" s="90">
        <v>1.9</v>
      </c>
      <c r="H29" s="87">
        <v>7607352</v>
      </c>
      <c r="J29" s="171"/>
    </row>
    <row r="30" spans="2:10">
      <c r="B30" s="83" t="s">
        <v>65</v>
      </c>
      <c r="C30" s="87">
        <v>1325775</v>
      </c>
      <c r="D30" s="87">
        <v>55026235</v>
      </c>
      <c r="E30" s="86"/>
      <c r="F30" s="87">
        <v>36751311</v>
      </c>
      <c r="G30" s="90">
        <v>2.2999999999999998</v>
      </c>
      <c r="H30" s="87">
        <v>19600699</v>
      </c>
      <c r="J30" s="171"/>
    </row>
    <row r="31" spans="2:10">
      <c r="B31" s="83" t="s">
        <v>66</v>
      </c>
      <c r="C31" s="86"/>
      <c r="D31" s="87">
        <v>5313920</v>
      </c>
      <c r="E31" s="86"/>
      <c r="F31" s="87">
        <v>4304637</v>
      </c>
      <c r="G31" s="89" t="s">
        <v>194</v>
      </c>
      <c r="H31" s="87">
        <v>1009283</v>
      </c>
      <c r="J31" s="171"/>
    </row>
    <row r="32" spans="2:10">
      <c r="B32" s="83" t="s">
        <v>200</v>
      </c>
      <c r="C32" s="86"/>
      <c r="D32" s="87">
        <v>40355223</v>
      </c>
      <c r="E32" s="86"/>
      <c r="F32" s="87">
        <v>33356443</v>
      </c>
      <c r="G32" s="90">
        <v>2.1</v>
      </c>
      <c r="H32" s="87">
        <v>6998780</v>
      </c>
      <c r="J32" s="171"/>
    </row>
    <row r="33" spans="2:10">
      <c r="B33" s="83" t="s">
        <v>67</v>
      </c>
      <c r="C33" s="86"/>
      <c r="D33" s="87">
        <v>32784626</v>
      </c>
      <c r="E33" s="86"/>
      <c r="F33" s="87">
        <v>26227701</v>
      </c>
      <c r="G33" s="90">
        <v>1.7</v>
      </c>
      <c r="H33" s="87">
        <v>6556925</v>
      </c>
      <c r="J33" s="171"/>
    </row>
    <row r="34" spans="2:10">
      <c r="B34" s="83" t="s">
        <v>201</v>
      </c>
      <c r="C34" s="86"/>
      <c r="D34" s="87">
        <v>4713920</v>
      </c>
      <c r="E34" s="86"/>
      <c r="F34" s="87">
        <v>3771136</v>
      </c>
      <c r="G34" s="89" t="s">
        <v>194</v>
      </c>
      <c r="H34" s="87">
        <v>942784</v>
      </c>
      <c r="J34" s="171"/>
    </row>
    <row r="35" spans="2:10">
      <c r="B35" s="83" t="s">
        <v>68</v>
      </c>
      <c r="C35" s="86"/>
      <c r="D35" s="87">
        <v>69653657</v>
      </c>
      <c r="E35" s="86"/>
      <c r="F35" s="87">
        <v>69653657</v>
      </c>
      <c r="G35" s="90">
        <v>4.4000000000000004</v>
      </c>
      <c r="H35" s="170">
        <v>0</v>
      </c>
      <c r="J35" s="171"/>
    </row>
    <row r="36" spans="2:10">
      <c r="B36" s="83" t="s">
        <v>202</v>
      </c>
      <c r="C36" s="87">
        <v>4207500</v>
      </c>
      <c r="D36" s="87">
        <v>49630486</v>
      </c>
      <c r="E36" s="86"/>
      <c r="F36" s="87">
        <v>30430166</v>
      </c>
      <c r="G36" s="90">
        <v>1.9</v>
      </c>
      <c r="H36" s="87">
        <v>23407820</v>
      </c>
      <c r="J36" s="171"/>
    </row>
    <row r="37" spans="2:10">
      <c r="B37" s="83" t="s">
        <v>69</v>
      </c>
      <c r="C37" s="86"/>
      <c r="D37" s="87">
        <v>36335590</v>
      </c>
      <c r="E37" s="86"/>
      <c r="F37" s="87">
        <v>36335590</v>
      </c>
      <c r="G37" s="90">
        <v>2.2999999999999998</v>
      </c>
      <c r="H37" s="170">
        <v>0</v>
      </c>
      <c r="J37" s="171"/>
    </row>
    <row r="38" spans="2:10">
      <c r="B38" s="239" t="s">
        <v>70</v>
      </c>
      <c r="C38" s="240"/>
      <c r="D38" s="241">
        <v>352522</v>
      </c>
      <c r="E38" s="240"/>
      <c r="F38" s="241">
        <v>275887</v>
      </c>
      <c r="G38" s="242" t="s">
        <v>194</v>
      </c>
      <c r="H38" s="241">
        <v>76635</v>
      </c>
      <c r="J38" s="171"/>
    </row>
    <row r="39" spans="2:10">
      <c r="B39" s="83"/>
      <c r="C39" s="86"/>
      <c r="D39" s="87"/>
      <c r="E39" s="86"/>
      <c r="F39" s="87"/>
      <c r="G39" s="89"/>
      <c r="H39" s="87"/>
      <c r="J39" s="173"/>
    </row>
  </sheetData>
  <pageMargins left="0.75" right="0.75" top="1" bottom="1" header="0.5" footer="0.5"/>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C18"/>
  <sheetViews>
    <sheetView workbookViewId="0">
      <selection activeCell="C11" sqref="C11"/>
    </sheetView>
  </sheetViews>
  <sheetFormatPr baseColWidth="10" defaultColWidth="8.88671875" defaultRowHeight="12.3"/>
  <cols>
    <col min="1" max="1" width="8.88671875" style="182"/>
    <col min="2" max="2" width="40.5546875" style="182" customWidth="1"/>
    <col min="3" max="3" width="79.21875" style="182" customWidth="1"/>
    <col min="4" max="4" width="8.88671875" style="182"/>
    <col min="5" max="5" width="10" style="182" bestFit="1" customWidth="1"/>
    <col min="6" max="16384" width="8.88671875" style="182"/>
  </cols>
  <sheetData>
    <row r="2" spans="2:3">
      <c r="B2" s="167" t="s">
        <v>308</v>
      </c>
    </row>
    <row r="3" spans="2:3" ht="14.1">
      <c r="B3" s="168"/>
    </row>
    <row r="4" spans="2:3">
      <c r="B4" s="167" t="s">
        <v>309</v>
      </c>
    </row>
    <row r="6" spans="2:3" ht="138" customHeight="1">
      <c r="B6" s="346" t="s">
        <v>294</v>
      </c>
      <c r="C6" s="346"/>
    </row>
    <row r="7" spans="2:3" ht="12.6" thickBot="1">
      <c r="B7" s="183"/>
      <c r="C7" s="184"/>
    </row>
    <row r="8" spans="2:3" ht="12.6" thickBot="1">
      <c r="B8" s="185" t="s">
        <v>295</v>
      </c>
      <c r="C8" s="186" t="s">
        <v>296</v>
      </c>
    </row>
    <row r="9" spans="2:3" ht="12.6" thickBot="1">
      <c r="B9" s="187" t="s">
        <v>297</v>
      </c>
      <c r="C9" s="188" t="s">
        <v>298</v>
      </c>
    </row>
    <row r="10" spans="2:3" ht="37.200000000000003" thickBot="1">
      <c r="B10" s="187" t="s">
        <v>299</v>
      </c>
      <c r="C10" s="188" t="s">
        <v>300</v>
      </c>
    </row>
    <row r="11" spans="2:3" ht="24.9" thickBot="1">
      <c r="B11" s="187" t="s">
        <v>301</v>
      </c>
      <c r="C11" s="188" t="s">
        <v>302</v>
      </c>
    </row>
    <row r="12" spans="2:3" ht="12.6" thickBot="1">
      <c r="B12" s="187" t="s">
        <v>303</v>
      </c>
      <c r="C12" s="188" t="s">
        <v>304</v>
      </c>
    </row>
    <row r="13" spans="2:3" ht="24.9" thickBot="1">
      <c r="B13" s="187" t="s">
        <v>305</v>
      </c>
      <c r="C13" s="188" t="s">
        <v>306</v>
      </c>
    </row>
    <row r="14" spans="2:3" ht="14.1">
      <c r="B14" s="189"/>
      <c r="C14" s="184"/>
    </row>
    <row r="15" spans="2:3" ht="83.4" customHeight="1">
      <c r="B15" s="346" t="s">
        <v>307</v>
      </c>
      <c r="C15" s="346"/>
    </row>
    <row r="17" spans="2:3">
      <c r="B17" s="193"/>
      <c r="C17" s="191"/>
    </row>
    <row r="18" spans="2:3">
      <c r="B18" s="190"/>
      <c r="C18" s="192"/>
    </row>
  </sheetData>
  <mergeCells count="2">
    <mergeCell ref="B6:C6"/>
    <mergeCell ref="B15:C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19</vt:i4>
      </vt:variant>
    </vt:vector>
  </HeadingPairs>
  <TitlesOfParts>
    <vt:vector size="19" baseType="lpstr">
      <vt:lpstr>Ex1</vt:lpstr>
      <vt:lpstr>Ex2</vt:lpstr>
      <vt:lpstr>Ex2 (revised)</vt:lpstr>
      <vt:lpstr>Ex3 </vt:lpstr>
      <vt:lpstr>Ex4</vt:lpstr>
      <vt:lpstr>Ex5</vt:lpstr>
      <vt:lpstr>Ex6</vt:lpstr>
      <vt:lpstr>Ex8</vt:lpstr>
      <vt:lpstr>Ex9</vt:lpstr>
      <vt:lpstr>Ex10</vt:lpstr>
      <vt:lpstr>Ex11 (revised)</vt:lpstr>
      <vt:lpstr>Ex12</vt:lpstr>
      <vt:lpstr>Ex14 (Model)</vt:lpstr>
      <vt:lpstr>Anex I. IPO terms</vt:lpstr>
      <vt:lpstr>Anex II. Prospectus--&gt;</vt:lpstr>
      <vt:lpstr>IPO P&amp;L</vt:lpstr>
      <vt:lpstr>IPO Bce Sheet</vt:lpstr>
      <vt:lpstr>IPO Cash Flow</vt:lpstr>
      <vt:lpstr>IPO Equity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Mark</dc:creator>
  <cp:lastModifiedBy>usuario</cp:lastModifiedBy>
  <dcterms:created xsi:type="dcterms:W3CDTF">2012-09-19T15:44:09Z</dcterms:created>
  <dcterms:modified xsi:type="dcterms:W3CDTF">2020-07-02T18:14:42Z</dcterms:modified>
</cp:coreProperties>
</file>