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drawings/drawing4.xml" ContentType="application/vnd.openxmlformats-officedocument.drawing+xml"/>
  <Override PartName="/xl/charts/chart11.xml" ContentType="application/vnd.openxmlformats-officedocument.drawingml.chart+xml"/>
  <Override PartName="/xl/drawings/drawing5.xml" ContentType="application/vnd.openxmlformats-officedocument.drawing+xml"/>
  <Override PartName="/xl/charts/chart12.xml" ContentType="application/vnd.openxmlformats-officedocument.drawingml.chart+xml"/>
  <Override PartName="/xl/drawings/drawing6.xml" ContentType="application/vnd.openxmlformats-officedocument.drawing+xml"/>
  <Override PartName="/xl/charts/chart13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filterPrivacy="1" defaultThemeVersion="124226"/>
  <xr:revisionPtr revIDLastSave="0" documentId="13_ncr:1_{7E95217D-3B0B-4356-A3DE-F76F91DF792B}" xr6:coauthVersionLast="45" xr6:coauthVersionMax="45" xr10:uidLastSave="{00000000-0000-0000-0000-000000000000}"/>
  <bookViews>
    <workbookView xWindow="-96" yWindow="-96" windowWidth="23232" windowHeight="12552" tabRatio="893" activeTab="1" xr2:uid="{00000000-000D-0000-FFFF-FFFF00000000}"/>
  </bookViews>
  <sheets>
    <sheet name="Credit Spreads" sheetId="29" r:id="rId1"/>
    <sheet name="Costo Bonos" sheetId="28" r:id="rId2"/>
    <sheet name="Comps" sheetId="30" r:id="rId3"/>
    <sheet name="Exhibit 7 (Modelo)" sheetId="27" r:id="rId4"/>
    <sheet name="Uses - Sources" sheetId="31" r:id="rId5"/>
    <sheet name="Exhibit 1" sheetId="4" r:id="rId6"/>
    <sheet name="Exhibit 2" sheetId="5" r:id="rId7"/>
    <sheet name="Exhibit 3" sheetId="2" r:id="rId8"/>
    <sheet name="Exhibit 4" sheetId="3" r:id="rId9"/>
    <sheet name="Exhibit 5" sheetId="10" r:id="rId10"/>
    <sheet name="Exhibit 6 (PP&amp;E)" sheetId="26" r:id="rId11"/>
    <sheet name="Figure 1" sheetId="19" r:id="rId12"/>
    <sheet name="Figure 2" sheetId="20" r:id="rId13"/>
    <sheet name="Figure 3" sheetId="18" r:id="rId14"/>
    <sheet name="Figure 4" sheetId="21" r:id="rId15"/>
    <sheet name="Quarterly Data" sheetId="17" r:id="rId16"/>
    <sheet name="Monthly Data" sheetId="16" r:id="rId17"/>
    <sheet name="Sheet1" sheetId="23" r:id="rId18"/>
  </sheets>
  <externalReferences>
    <externalReference r:id="rId19"/>
  </externalReferenc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B18" i="28" l="1"/>
  <c r="AB17" i="28"/>
  <c r="AB16" i="28"/>
  <c r="AB15" i="28"/>
  <c r="AB14" i="28"/>
  <c r="AB13" i="28"/>
  <c r="AB12" i="28"/>
  <c r="AB11" i="28"/>
  <c r="X18" i="28"/>
  <c r="X17" i="28"/>
  <c r="X16" i="28"/>
  <c r="X15" i="28"/>
  <c r="X14" i="28"/>
  <c r="X13" i="28"/>
  <c r="X12" i="28"/>
  <c r="X11" i="28"/>
  <c r="AD18" i="28"/>
  <c r="AD17" i="28"/>
  <c r="AD16" i="28"/>
  <c r="AD15" i="28"/>
  <c r="AD14" i="28"/>
  <c r="AD13" i="28"/>
  <c r="AD12" i="28"/>
  <c r="AD11" i="28"/>
  <c r="V18" i="28" l="1"/>
  <c r="T18" i="28"/>
  <c r="R18" i="28"/>
  <c r="V17" i="28"/>
  <c r="T17" i="28"/>
  <c r="R17" i="28"/>
  <c r="V16" i="28"/>
  <c r="T16" i="28"/>
  <c r="R16" i="28"/>
  <c r="V15" i="28"/>
  <c r="T15" i="28"/>
  <c r="R15" i="28"/>
  <c r="V14" i="28"/>
  <c r="T14" i="28"/>
  <c r="R14" i="28"/>
  <c r="V13" i="28"/>
  <c r="T13" i="28"/>
  <c r="R13" i="28"/>
  <c r="V12" i="28"/>
  <c r="T12" i="28"/>
  <c r="R12" i="28"/>
  <c r="V11" i="28"/>
  <c r="T11" i="28"/>
  <c r="R11" i="28"/>
  <c r="P12" i="28"/>
  <c r="P13" i="28" s="1"/>
  <c r="P14" i="28" s="1"/>
  <c r="P15" i="28" s="1"/>
  <c r="P16" i="28" s="1"/>
  <c r="P17" i="28" s="1"/>
  <c r="P18" i="28" s="1"/>
  <c r="M191" i="27" l="1"/>
  <c r="L191" i="27"/>
  <c r="K191" i="27"/>
  <c r="J191" i="27"/>
  <c r="I191" i="27"/>
  <c r="G191" i="27"/>
  <c r="F191" i="27"/>
  <c r="E191" i="27"/>
  <c r="D191" i="27"/>
  <c r="C191" i="27"/>
  <c r="M190" i="27"/>
  <c r="L190" i="27"/>
  <c r="K190" i="27"/>
  <c r="J190" i="27"/>
  <c r="I190" i="27"/>
  <c r="G190" i="27"/>
  <c r="F190" i="27"/>
  <c r="E190" i="27"/>
  <c r="D190" i="27"/>
  <c r="C190" i="27"/>
  <c r="AD97" i="31"/>
  <c r="AD62" i="31"/>
  <c r="AC90" i="31"/>
  <c r="AD10" i="31"/>
  <c r="AC91" i="31" s="1"/>
  <c r="AD30" i="31"/>
  <c r="AD29" i="31"/>
  <c r="AD24" i="31"/>
  <c r="AD23" i="31"/>
  <c r="AD19" i="31"/>
  <c r="AD92" i="31" s="1"/>
  <c r="AD16" i="31"/>
  <c r="AC89" i="31" s="1"/>
  <c r="AD15" i="31"/>
  <c r="AD25" i="31" s="1"/>
  <c r="AD14" i="31"/>
  <c r="AC88" i="31" s="1"/>
  <c r="AD8" i="31"/>
  <c r="AC92" i="31" s="1"/>
  <c r="Z104" i="27"/>
  <c r="Y87" i="27"/>
  <c r="Z102" i="27" s="1"/>
  <c r="Y83" i="27"/>
  <c r="Y93" i="27"/>
  <c r="Z100" i="27" s="1"/>
  <c r="Y102" i="27"/>
  <c r="Y104" i="27"/>
  <c r="Y103" i="27"/>
  <c r="Y97" i="27"/>
  <c r="Y100" i="27"/>
  <c r="Y81" i="27"/>
  <c r="Y80" i="27"/>
  <c r="Y79" i="27"/>
  <c r="Y77" i="27"/>
  <c r="Y63" i="27"/>
  <c r="Y62" i="27" s="1"/>
  <c r="Y65" i="27"/>
  <c r="Y70" i="27"/>
  <c r="Y61" i="27"/>
  <c r="Y60" i="27"/>
  <c r="Y57" i="27"/>
  <c r="Y55" i="27"/>
  <c r="Y56" i="27"/>
  <c r="Y48" i="27"/>
  <c r="Y49" i="27"/>
  <c r="Y47" i="27"/>
  <c r="Y43" i="27"/>
  <c r="Y41" i="27"/>
  <c r="Y40" i="27"/>
  <c r="Y96" i="27"/>
  <c r="Y94" i="27"/>
  <c r="Y86" i="27"/>
  <c r="Y99" i="27" s="1"/>
  <c r="Y76" i="27"/>
  <c r="Y25" i="27"/>
  <c r="Y22" i="27"/>
  <c r="Y15" i="27"/>
  <c r="Y8" i="27"/>
  <c r="Y23" i="27"/>
  <c r="AD98" i="31" l="1"/>
  <c r="AC95" i="31" s="1"/>
  <c r="AC98" i="31" s="1"/>
  <c r="AC93" i="31"/>
  <c r="AD32" i="31"/>
  <c r="AD27" i="31"/>
  <c r="AC97" i="31" s="1"/>
  <c r="AD17" i="31"/>
  <c r="AD12" i="31"/>
  <c r="Z87" i="27"/>
  <c r="Y82" i="27"/>
  <c r="Y11" i="27"/>
  <c r="M199" i="27"/>
  <c r="L199" i="27"/>
  <c r="K199" i="27"/>
  <c r="J199" i="27"/>
  <c r="I199" i="27"/>
  <c r="O30" i="27"/>
  <c r="O29" i="27"/>
  <c r="O23" i="27"/>
  <c r="O15" i="27"/>
  <c r="O14" i="27"/>
  <c r="O10" i="27"/>
  <c r="O7" i="27"/>
  <c r="AC60" i="31"/>
  <c r="K30" i="31"/>
  <c r="I30" i="31"/>
  <c r="G30" i="31"/>
  <c r="L32" i="31"/>
  <c r="L12" i="31"/>
  <c r="H30" i="31"/>
  <c r="F90" i="27"/>
  <c r="Q9" i="31"/>
  <c r="P9" i="31"/>
  <c r="O9" i="31"/>
  <c r="N9" i="31"/>
  <c r="M9" i="31"/>
  <c r="K9" i="31"/>
  <c r="J9" i="31"/>
  <c r="N6" i="31"/>
  <c r="O6" i="31" s="1"/>
  <c r="P6" i="31" s="1"/>
  <c r="Q6" i="31" s="1"/>
  <c r="H6" i="31"/>
  <c r="I6" i="31" s="1"/>
  <c r="J6" i="31" s="1"/>
  <c r="K6" i="31" s="1"/>
  <c r="F95" i="27"/>
  <c r="J30" i="31" s="1"/>
  <c r="G93" i="27"/>
  <c r="F93" i="27"/>
  <c r="J29" i="31" s="1"/>
  <c r="D93" i="27"/>
  <c r="M198" i="27"/>
  <c r="L198" i="27"/>
  <c r="K198" i="27"/>
  <c r="J198" i="27"/>
  <c r="I198" i="27"/>
  <c r="M197" i="27"/>
  <c r="L197" i="27"/>
  <c r="K197" i="27"/>
  <c r="J197" i="27"/>
  <c r="I197" i="27"/>
  <c r="I196" i="27"/>
  <c r="M184" i="27"/>
  <c r="L184" i="27"/>
  <c r="K184" i="27"/>
  <c r="J184" i="27"/>
  <c r="I184" i="27"/>
  <c r="J140" i="27"/>
  <c r="K140" i="27" s="1"/>
  <c r="L140" i="27" s="1"/>
  <c r="M140" i="27" s="1"/>
  <c r="D140" i="27"/>
  <c r="E140" i="27" s="1"/>
  <c r="F140" i="27" s="1"/>
  <c r="G140" i="27" s="1"/>
  <c r="I238" i="27"/>
  <c r="J213" i="27"/>
  <c r="K213" i="27" s="1"/>
  <c r="L213" i="27" s="1"/>
  <c r="M213" i="27" s="1"/>
  <c r="J181" i="27"/>
  <c r="K181" i="27" s="1"/>
  <c r="L181" i="27" s="1"/>
  <c r="M181" i="27" s="1"/>
  <c r="D213" i="27"/>
  <c r="E213" i="27" s="1"/>
  <c r="F213" i="27" s="1"/>
  <c r="G213" i="27" s="1"/>
  <c r="AC99" i="31" l="1"/>
  <c r="AD36" i="31"/>
  <c r="AD21" i="31"/>
  <c r="Y71" i="27"/>
  <c r="Y17" i="27"/>
  <c r="Y12" i="27"/>
  <c r="X9" i="31"/>
  <c r="H75" i="31" s="1"/>
  <c r="U30" i="31"/>
  <c r="J253" i="27"/>
  <c r="K253" i="27" s="1"/>
  <c r="L253" i="27" s="1"/>
  <c r="M253" i="27" s="1"/>
  <c r="D253" i="27"/>
  <c r="E253" i="27" s="1"/>
  <c r="F253" i="27" s="1"/>
  <c r="G253" i="27" s="1"/>
  <c r="J108" i="27"/>
  <c r="K108" i="27" s="1"/>
  <c r="L108" i="27" s="1"/>
  <c r="M108" i="27" s="1"/>
  <c r="D108" i="27"/>
  <c r="E108" i="27" s="1"/>
  <c r="F108" i="27" s="1"/>
  <c r="G108" i="27" s="1"/>
  <c r="K47" i="26"/>
  <c r="K46" i="26"/>
  <c r="K45" i="26"/>
  <c r="K44" i="26"/>
  <c r="K43" i="26"/>
  <c r="J33" i="26" s="1"/>
  <c r="J142" i="27"/>
  <c r="I135" i="27"/>
  <c r="J135" i="27" s="1"/>
  <c r="K135" i="27" s="1"/>
  <c r="L135" i="27" s="1"/>
  <c r="M135" i="27" s="1"/>
  <c r="AD38" i="31" l="1"/>
  <c r="Y33" i="27"/>
  <c r="Y34" i="27" s="1"/>
  <c r="Y18" i="27"/>
  <c r="Y27" i="27"/>
  <c r="K142" i="27"/>
  <c r="J196" i="27"/>
  <c r="I10" i="28"/>
  <c r="E10" i="28"/>
  <c r="N10" i="28" l="1"/>
  <c r="AB10" i="28"/>
  <c r="M10" i="28"/>
  <c r="E11" i="28"/>
  <c r="M11" i="28" s="1"/>
  <c r="X10" i="28"/>
  <c r="Y31" i="27"/>
  <c r="L142" i="27"/>
  <c r="L196" i="27" s="1"/>
  <c r="K196" i="27"/>
  <c r="I11" i="28"/>
  <c r="N11" i="28" s="1"/>
  <c r="E23" i="30"/>
  <c r="D23" i="30"/>
  <c r="C23" i="30"/>
  <c r="B23" i="30"/>
  <c r="A23" i="30"/>
  <c r="Z18" i="28" l="1"/>
  <c r="Z17" i="28"/>
  <c r="Z16" i="28"/>
  <c r="Z15" i="28"/>
  <c r="Z14" i="28"/>
  <c r="Z13" i="28"/>
  <c r="Z12" i="28"/>
  <c r="Z11" i="28"/>
  <c r="G23" i="30"/>
  <c r="E22" i="30"/>
  <c r="D22" i="30"/>
  <c r="C22" i="30"/>
  <c r="B22" i="30"/>
  <c r="A22" i="30"/>
  <c r="E21" i="30"/>
  <c r="F21" i="30" s="1"/>
  <c r="F24" i="30" s="1"/>
  <c r="D21" i="30"/>
  <c r="C21" i="30"/>
  <c r="B21" i="30"/>
  <c r="A21" i="30"/>
  <c r="E20" i="30"/>
  <c r="G20" i="30" s="1"/>
  <c r="D20" i="30"/>
  <c r="C20" i="30"/>
  <c r="B20" i="30"/>
  <c r="A20" i="30"/>
  <c r="C4" i="30"/>
  <c r="B4" i="30"/>
  <c r="A4" i="30"/>
  <c r="E14" i="30"/>
  <c r="D14" i="30"/>
  <c r="C14" i="30"/>
  <c r="B14" i="30"/>
  <c r="A14" i="30"/>
  <c r="E13" i="30"/>
  <c r="G13" i="30" s="1"/>
  <c r="D13" i="30"/>
  <c r="C13" i="30"/>
  <c r="B13" i="30"/>
  <c r="A13" i="30"/>
  <c r="E12" i="30"/>
  <c r="G12" i="30" s="1"/>
  <c r="D12" i="30"/>
  <c r="C12" i="30"/>
  <c r="B12" i="30"/>
  <c r="A12" i="30"/>
  <c r="E11" i="30"/>
  <c r="F11" i="30" s="1"/>
  <c r="D11" i="30"/>
  <c r="C11" i="30"/>
  <c r="B11" i="30"/>
  <c r="A11" i="30"/>
  <c r="E10" i="30"/>
  <c r="G10" i="30" s="1"/>
  <c r="D10" i="30"/>
  <c r="C10" i="30"/>
  <c r="B10" i="30"/>
  <c r="B9" i="30"/>
  <c r="A10" i="30"/>
  <c r="A9" i="30"/>
  <c r="C9" i="30"/>
  <c r="D9" i="30"/>
  <c r="E9" i="30"/>
  <c r="F9" i="30" s="1"/>
  <c r="E8" i="30"/>
  <c r="G8" i="30" s="1"/>
  <c r="D8" i="30"/>
  <c r="C8" i="30"/>
  <c r="B8" i="30"/>
  <c r="A8" i="30"/>
  <c r="E7" i="30"/>
  <c r="D7" i="30"/>
  <c r="C7" i="30"/>
  <c r="B7" i="30"/>
  <c r="A7" i="30"/>
  <c r="D15" i="29"/>
  <c r="C15" i="29"/>
  <c r="B15" i="29"/>
  <c r="D14" i="29"/>
  <c r="C14" i="29"/>
  <c r="B14" i="29"/>
  <c r="D11" i="29"/>
  <c r="C11" i="29"/>
  <c r="B11" i="29"/>
  <c r="D7" i="29"/>
  <c r="D20" i="29" s="1"/>
  <c r="C7" i="29"/>
  <c r="C20" i="29" s="1"/>
  <c r="B7" i="29"/>
  <c r="E36" i="30"/>
  <c r="F36" i="30" s="1"/>
  <c r="E34" i="30"/>
  <c r="F34" i="30" s="1"/>
  <c r="D34" i="30"/>
  <c r="C34" i="30"/>
  <c r="B34" i="30"/>
  <c r="A34" i="30"/>
  <c r="E33" i="30"/>
  <c r="G33" i="30" s="1"/>
  <c r="D33" i="30"/>
  <c r="C33" i="30"/>
  <c r="B33" i="30"/>
  <c r="A33" i="30"/>
  <c r="E32" i="30"/>
  <c r="F32" i="30" s="1"/>
  <c r="D32" i="30"/>
  <c r="C32" i="30"/>
  <c r="B32" i="30"/>
  <c r="A32" i="30"/>
  <c r="E31" i="30"/>
  <c r="F31" i="30" s="1"/>
  <c r="D31" i="30"/>
  <c r="C31" i="30"/>
  <c r="B31" i="30"/>
  <c r="A31" i="30"/>
  <c r="E30" i="30"/>
  <c r="F30" i="30" s="1"/>
  <c r="D30" i="30"/>
  <c r="C30" i="30"/>
  <c r="B30" i="30"/>
  <c r="A30" i="30"/>
  <c r="E29" i="30"/>
  <c r="D29" i="30"/>
  <c r="C29" i="30"/>
  <c r="B29" i="30"/>
  <c r="A29" i="30"/>
  <c r="E25" i="30"/>
  <c r="F25" i="30" s="1"/>
  <c r="G25" i="30" s="1"/>
  <c r="G22" i="30"/>
  <c r="E16" i="30"/>
  <c r="F16" i="30" s="1"/>
  <c r="F14" i="30"/>
  <c r="B20" i="29"/>
  <c r="D6" i="29"/>
  <c r="C6" i="29"/>
  <c r="C10" i="29" s="1"/>
  <c r="B6" i="29"/>
  <c r="B10" i="29" s="1"/>
  <c r="A12" i="28"/>
  <c r="H11" i="28"/>
  <c r="H12" i="28" s="1"/>
  <c r="D11" i="28"/>
  <c r="D12" i="28" s="1"/>
  <c r="B11" i="28"/>
  <c r="J10" i="28"/>
  <c r="B12" i="28" l="1"/>
  <c r="B13" i="28" s="1"/>
  <c r="B14" i="28" s="1"/>
  <c r="B15" i="28" s="1"/>
  <c r="B16" i="28" s="1"/>
  <c r="B17" i="28" s="1"/>
  <c r="B18" i="28" s="1"/>
  <c r="F35" i="30"/>
  <c r="E35" i="30"/>
  <c r="A13" i="28"/>
  <c r="I12" i="28"/>
  <c r="N12" i="28" s="1"/>
  <c r="E12" i="28"/>
  <c r="M12" i="28" s="1"/>
  <c r="E37" i="30"/>
  <c r="G24" i="30"/>
  <c r="G26" i="30" s="1"/>
  <c r="E24" i="30"/>
  <c r="E26" i="30" s="1"/>
  <c r="G15" i="30"/>
  <c r="E15" i="30"/>
  <c r="E17" i="30" s="1"/>
  <c r="F7" i="30"/>
  <c r="F15" i="30" s="1"/>
  <c r="F17" i="30" s="1"/>
  <c r="C12" i="29"/>
  <c r="B12" i="29"/>
  <c r="D8" i="29"/>
  <c r="D16" i="29" s="1"/>
  <c r="C8" i="29"/>
  <c r="C16" i="29" s="1"/>
  <c r="B8" i="29"/>
  <c r="B16" i="29" s="1"/>
  <c r="G16" i="30"/>
  <c r="F26" i="30"/>
  <c r="D13" i="28"/>
  <c r="H13" i="28"/>
  <c r="F37" i="30"/>
  <c r="G36" i="30"/>
  <c r="F10" i="28"/>
  <c r="J11" i="28"/>
  <c r="D10" i="29"/>
  <c r="D12" i="29" s="1"/>
  <c r="B18" i="29"/>
  <c r="G29" i="30"/>
  <c r="G35" i="30" s="1"/>
  <c r="C18" i="29"/>
  <c r="D18" i="29"/>
  <c r="F11" i="28"/>
  <c r="L47" i="26"/>
  <c r="L46" i="26"/>
  <c r="L45" i="26"/>
  <c r="L44" i="26"/>
  <c r="F12" i="28" l="1"/>
  <c r="J12" i="28"/>
  <c r="B20" i="28"/>
  <c r="A14" i="28"/>
  <c r="I13" i="28"/>
  <c r="N13" i="28" s="1"/>
  <c r="E13" i="28"/>
  <c r="M13" i="28" s="1"/>
  <c r="G17" i="30"/>
  <c r="G37" i="30"/>
  <c r="H14" i="28"/>
  <c r="D14" i="28"/>
  <c r="D83" i="27"/>
  <c r="E83" i="27"/>
  <c r="C85" i="27"/>
  <c r="G9" i="31" s="1"/>
  <c r="D85" i="27"/>
  <c r="H9" i="31" s="1"/>
  <c r="E85" i="27"/>
  <c r="I9" i="31" s="1"/>
  <c r="F83" i="27"/>
  <c r="G83" i="27"/>
  <c r="F94" i="27"/>
  <c r="J14" i="31" s="1"/>
  <c r="B56" i="27"/>
  <c r="B55" i="27" s="1"/>
  <c r="C92" i="27" s="1"/>
  <c r="G14" i="31" s="1"/>
  <c r="B60" i="27"/>
  <c r="C93" i="27" s="1"/>
  <c r="G92" i="27"/>
  <c r="K14" i="31" s="1"/>
  <c r="G91" i="27"/>
  <c r="K29" i="31" s="1"/>
  <c r="K32" i="31" s="1"/>
  <c r="E92" i="27"/>
  <c r="E91" i="27"/>
  <c r="I29" i="31" s="1"/>
  <c r="D92" i="27"/>
  <c r="H14" i="31" s="1"/>
  <c r="D91" i="27"/>
  <c r="H29" i="31" s="1"/>
  <c r="E90" i="27"/>
  <c r="B48" i="27"/>
  <c r="C83" i="27" s="1"/>
  <c r="C97" i="27"/>
  <c r="G16" i="31" s="1"/>
  <c r="D97" i="27"/>
  <c r="H16" i="31" s="1"/>
  <c r="E97" i="27"/>
  <c r="I16" i="31" s="1"/>
  <c r="F97" i="27"/>
  <c r="J16" i="31" s="1"/>
  <c r="G97" i="27"/>
  <c r="K16" i="31" s="1"/>
  <c r="C98" i="27"/>
  <c r="G31" i="31" s="1"/>
  <c r="D98" i="27"/>
  <c r="H31" i="31" s="1"/>
  <c r="F98" i="27"/>
  <c r="J31" i="31" s="1"/>
  <c r="J32" i="31" s="1"/>
  <c r="G98" i="27"/>
  <c r="K31" i="31" s="1"/>
  <c r="C86" i="27"/>
  <c r="D86" i="27"/>
  <c r="E86" i="27"/>
  <c r="F86" i="27"/>
  <c r="G86" i="27"/>
  <c r="C81" i="27"/>
  <c r="C80" i="27"/>
  <c r="C79" i="27"/>
  <c r="M98" i="27"/>
  <c r="Q31" i="31" s="1"/>
  <c r="L98" i="27"/>
  <c r="P31" i="31" s="1"/>
  <c r="K98" i="27"/>
  <c r="O31" i="31" s="1"/>
  <c r="J98" i="27"/>
  <c r="N31" i="31" s="1"/>
  <c r="I98" i="27"/>
  <c r="M31" i="31" s="1"/>
  <c r="J90" i="27"/>
  <c r="I90" i="27"/>
  <c r="M221" i="27"/>
  <c r="M90" i="27" s="1"/>
  <c r="L221" i="27"/>
  <c r="L90" i="27" s="1"/>
  <c r="K221" i="27"/>
  <c r="K90" i="27" s="1"/>
  <c r="I91" i="27"/>
  <c r="J91" i="27"/>
  <c r="K91" i="27"/>
  <c r="L91" i="27"/>
  <c r="M91" i="27"/>
  <c r="M142" i="27"/>
  <c r="M196" i="27" s="1"/>
  <c r="M96" i="27"/>
  <c r="L96" i="27"/>
  <c r="K96" i="27"/>
  <c r="J96" i="27"/>
  <c r="I96" i="27"/>
  <c r="J238" i="27"/>
  <c r="K238" i="27" s="1"/>
  <c r="L238" i="27" s="1"/>
  <c r="M238" i="27" s="1"/>
  <c r="M234" i="27"/>
  <c r="M95" i="27" s="1"/>
  <c r="Q30" i="31" s="1"/>
  <c r="L234" i="27"/>
  <c r="L95" i="27" s="1"/>
  <c r="P30" i="31" s="1"/>
  <c r="K234" i="27"/>
  <c r="K95" i="27" s="1"/>
  <c r="O30" i="31" s="1"/>
  <c r="F13" i="28" l="1"/>
  <c r="J13" i="28"/>
  <c r="I56" i="27"/>
  <c r="D99" i="27"/>
  <c r="H15" i="31" s="1"/>
  <c r="H25" i="31"/>
  <c r="P14" i="31"/>
  <c r="C99" i="27"/>
  <c r="G15" i="31" s="1"/>
  <c r="G25" i="31"/>
  <c r="U16" i="31"/>
  <c r="H59" i="31" s="1"/>
  <c r="U9" i="31"/>
  <c r="H60" i="31" s="1"/>
  <c r="F99" i="27"/>
  <c r="J15" i="31" s="1"/>
  <c r="J17" i="31" s="1"/>
  <c r="J25" i="31"/>
  <c r="E99" i="27"/>
  <c r="I15" i="31" s="1"/>
  <c r="I25" i="31"/>
  <c r="I14" i="31"/>
  <c r="U14" i="31" s="1"/>
  <c r="H17" i="31"/>
  <c r="Q14" i="31"/>
  <c r="Q29" i="31"/>
  <c r="Q32" i="31" s="1"/>
  <c r="M14" i="31"/>
  <c r="X31" i="31"/>
  <c r="G99" i="27"/>
  <c r="K15" i="31" s="1"/>
  <c r="K17" i="31" s="1"/>
  <c r="K25" i="31"/>
  <c r="H32" i="31"/>
  <c r="C91" i="27"/>
  <c r="G29" i="31" s="1"/>
  <c r="A15" i="28"/>
  <c r="E14" i="28"/>
  <c r="M14" i="28" s="1"/>
  <c r="I14" i="28"/>
  <c r="N14" i="28" s="1"/>
  <c r="J56" i="27"/>
  <c r="K56" i="27" s="1"/>
  <c r="L56" i="27" s="1"/>
  <c r="M56" i="27" s="1"/>
  <c r="H15" i="28"/>
  <c r="J14" i="28"/>
  <c r="F14" i="28"/>
  <c r="D15" i="28"/>
  <c r="D100" i="27"/>
  <c r="H40" i="31" s="1"/>
  <c r="F100" i="27"/>
  <c r="J40" i="31" s="1"/>
  <c r="G100" i="27"/>
  <c r="J251" i="27"/>
  <c r="K251" i="27" s="1"/>
  <c r="L251" i="27" s="1"/>
  <c r="M251" i="27" s="1"/>
  <c r="G249" i="27"/>
  <c r="F249" i="27"/>
  <c r="E249" i="27"/>
  <c r="D249" i="27"/>
  <c r="C249" i="27"/>
  <c r="B244" i="27"/>
  <c r="B250" i="27" s="1"/>
  <c r="G244" i="27"/>
  <c r="G250" i="27" s="1"/>
  <c r="I249" i="27" s="1"/>
  <c r="F244" i="27"/>
  <c r="F250" i="27" s="1"/>
  <c r="E244" i="27"/>
  <c r="E250" i="27" s="1"/>
  <c r="D244" i="27"/>
  <c r="D250" i="27" s="1"/>
  <c r="C244" i="27"/>
  <c r="C250" i="27" s="1"/>
  <c r="M94" i="27"/>
  <c r="L94" i="27"/>
  <c r="K94" i="27"/>
  <c r="O14" i="31" s="1"/>
  <c r="J94" i="27"/>
  <c r="N14" i="31" s="1"/>
  <c r="I94" i="27"/>
  <c r="K31" i="3"/>
  <c r="J31" i="3"/>
  <c r="I31" i="3"/>
  <c r="G31" i="3"/>
  <c r="F31" i="3"/>
  <c r="E31" i="3"/>
  <c r="D31" i="3"/>
  <c r="C31" i="3"/>
  <c r="J161" i="27"/>
  <c r="K161" i="27" s="1"/>
  <c r="L161" i="27" s="1"/>
  <c r="M161" i="27" s="1"/>
  <c r="G223" i="27"/>
  <c r="I223" i="27" s="1"/>
  <c r="J223" i="27" s="1"/>
  <c r="G224" i="27"/>
  <c r="F223" i="27"/>
  <c r="F224" i="27"/>
  <c r="E223" i="27"/>
  <c r="E224" i="27"/>
  <c r="D223" i="27"/>
  <c r="D224" i="27"/>
  <c r="C223" i="27"/>
  <c r="C217" i="27"/>
  <c r="C224" i="27"/>
  <c r="C216" i="27"/>
  <c r="M93" i="27"/>
  <c r="L93" i="27"/>
  <c r="P29" i="31" s="1"/>
  <c r="P32" i="31" s="1"/>
  <c r="K93" i="27"/>
  <c r="O29" i="31" s="1"/>
  <c r="O32" i="31" s="1"/>
  <c r="J93" i="27"/>
  <c r="N29" i="31" s="1"/>
  <c r="I93" i="27"/>
  <c r="M29" i="31" s="1"/>
  <c r="J231" i="27"/>
  <c r="K231" i="27" s="1"/>
  <c r="L231" i="27" s="1"/>
  <c r="M231" i="27" s="1"/>
  <c r="I229" i="27"/>
  <c r="D26" i="3"/>
  <c r="D28" i="3"/>
  <c r="D25" i="3"/>
  <c r="K25" i="3"/>
  <c r="K23" i="3"/>
  <c r="K22" i="3"/>
  <c r="K21" i="3"/>
  <c r="K20" i="3"/>
  <c r="K19" i="3"/>
  <c r="K18" i="3"/>
  <c r="K17" i="3"/>
  <c r="K16" i="3"/>
  <c r="K15" i="3"/>
  <c r="K14" i="3"/>
  <c r="K13" i="3"/>
  <c r="K11" i="3"/>
  <c r="K10" i="3"/>
  <c r="K9" i="3"/>
  <c r="K8" i="3"/>
  <c r="K7" i="3"/>
  <c r="C103" i="27"/>
  <c r="F104" i="27"/>
  <c r="G103" i="27" s="1"/>
  <c r="E104" i="27"/>
  <c r="F103" i="27" s="1"/>
  <c r="D104" i="27"/>
  <c r="E103" i="27" s="1"/>
  <c r="C104" i="27"/>
  <c r="D103" i="27" s="1"/>
  <c r="G104" i="27"/>
  <c r="I168" i="27"/>
  <c r="J168" i="27" s="1"/>
  <c r="K168" i="27" s="1"/>
  <c r="L168" i="27" s="1"/>
  <c r="M168" i="27" s="1"/>
  <c r="G177" i="27"/>
  <c r="F177" i="27"/>
  <c r="E177" i="27"/>
  <c r="D177" i="27"/>
  <c r="C177" i="27"/>
  <c r="D74" i="27"/>
  <c r="E74" i="27" s="1"/>
  <c r="F74" i="27" s="1"/>
  <c r="G74" i="27" s="1"/>
  <c r="J74" i="27"/>
  <c r="K74" i="27" s="1"/>
  <c r="L74" i="27" s="1"/>
  <c r="M74" i="27" s="1"/>
  <c r="I62" i="27"/>
  <c r="J62" i="27" s="1"/>
  <c r="K62" i="27" s="1"/>
  <c r="L62" i="27" s="1"/>
  <c r="M62" i="27" s="1"/>
  <c r="I61" i="27"/>
  <c r="J61" i="27" s="1"/>
  <c r="K61" i="27" s="1"/>
  <c r="L61" i="27" s="1"/>
  <c r="M61" i="27" s="1"/>
  <c r="I57" i="27"/>
  <c r="J57" i="27" s="1"/>
  <c r="K57" i="27" s="1"/>
  <c r="L57" i="27" s="1"/>
  <c r="M57" i="27" s="1"/>
  <c r="I48" i="27"/>
  <c r="J48" i="27" s="1"/>
  <c r="K48" i="27" s="1"/>
  <c r="L48" i="27" s="1"/>
  <c r="M48" i="27" s="1"/>
  <c r="I47" i="27"/>
  <c r="J47" i="27" s="1"/>
  <c r="K47" i="27" s="1"/>
  <c r="L47" i="27" s="1"/>
  <c r="M47" i="27" s="1"/>
  <c r="I43" i="27"/>
  <c r="J43" i="26"/>
  <c r="J126" i="27"/>
  <c r="K126" i="27" s="1"/>
  <c r="L126" i="27" s="1"/>
  <c r="M126" i="27" s="1"/>
  <c r="J138" i="27"/>
  <c r="K138" i="27" s="1"/>
  <c r="L138" i="27" s="1"/>
  <c r="M138" i="27" s="1"/>
  <c r="J37" i="27"/>
  <c r="K37" i="27" s="1"/>
  <c r="L37" i="27" s="1"/>
  <c r="M37" i="27" s="1"/>
  <c r="I30" i="27"/>
  <c r="J30" i="27" s="1"/>
  <c r="K30" i="27" s="1"/>
  <c r="L30" i="27" s="1"/>
  <c r="M30" i="27" s="1"/>
  <c r="P30" i="27" s="1"/>
  <c r="V129" i="27"/>
  <c r="U129" i="27"/>
  <c r="T129" i="27"/>
  <c r="Y124" i="27"/>
  <c r="Y123" i="27"/>
  <c r="V125" i="27"/>
  <c r="V128" i="27" s="1"/>
  <c r="G123" i="27"/>
  <c r="I123" i="27" s="1"/>
  <c r="J123" i="27" s="1"/>
  <c r="K123" i="27" s="1"/>
  <c r="L123" i="27" s="1"/>
  <c r="M123" i="27" s="1"/>
  <c r="F123" i="27"/>
  <c r="E123" i="27"/>
  <c r="C123" i="27"/>
  <c r="D123" i="27"/>
  <c r="X124" i="27"/>
  <c r="X123" i="27"/>
  <c r="W124" i="27"/>
  <c r="W123" i="27"/>
  <c r="U125" i="27"/>
  <c r="U128" i="27" s="1"/>
  <c r="T125" i="27"/>
  <c r="T128" i="27" s="1"/>
  <c r="G130" i="27"/>
  <c r="F130" i="27"/>
  <c r="E130" i="27"/>
  <c r="D130" i="27"/>
  <c r="C130" i="27"/>
  <c r="F129" i="27"/>
  <c r="G129" i="27"/>
  <c r="I129" i="27" s="1"/>
  <c r="J129" i="27" s="1"/>
  <c r="K129" i="27" s="1"/>
  <c r="L129" i="27" s="1"/>
  <c r="M129" i="27" s="1"/>
  <c r="J132" i="27"/>
  <c r="K132" i="27" s="1"/>
  <c r="L132" i="27" s="1"/>
  <c r="M132" i="27" s="1"/>
  <c r="H49" i="26"/>
  <c r="G49" i="26"/>
  <c r="F49" i="26"/>
  <c r="E49" i="26"/>
  <c r="D49" i="26"/>
  <c r="D55" i="26"/>
  <c r="D57" i="26" s="1"/>
  <c r="D56" i="26"/>
  <c r="D54" i="26"/>
  <c r="D53" i="26"/>
  <c r="E41" i="26"/>
  <c r="F41" i="26" s="1"/>
  <c r="G41" i="26" s="1"/>
  <c r="H41" i="26" s="1"/>
  <c r="G137" i="27"/>
  <c r="G138" i="27" s="1"/>
  <c r="F137" i="27"/>
  <c r="F138" i="27" s="1"/>
  <c r="E137" i="27"/>
  <c r="E138" i="27" s="1"/>
  <c r="D137" i="27"/>
  <c r="D138" i="27" s="1"/>
  <c r="C137" i="27"/>
  <c r="C138" i="27" s="1"/>
  <c r="E129" i="27"/>
  <c r="D129" i="27"/>
  <c r="C129" i="27"/>
  <c r="I7" i="27"/>
  <c r="J5" i="27"/>
  <c r="K5" i="27" s="1"/>
  <c r="L5" i="27" s="1"/>
  <c r="M5" i="27" s="1"/>
  <c r="E169" i="27"/>
  <c r="E98" i="27" s="1"/>
  <c r="C164" i="27"/>
  <c r="B265" i="27"/>
  <c r="G172" i="27"/>
  <c r="I164" i="27" s="1"/>
  <c r="F172" i="27"/>
  <c r="F265" i="27" s="1"/>
  <c r="E172" i="27"/>
  <c r="E265" i="27" s="1"/>
  <c r="D172" i="27"/>
  <c r="D265" i="27" s="1"/>
  <c r="C172" i="27"/>
  <c r="D164" i="27" s="1"/>
  <c r="G151" i="27"/>
  <c r="F151" i="27"/>
  <c r="E151" i="27"/>
  <c r="D151" i="27"/>
  <c r="C151" i="27"/>
  <c r="G147" i="27"/>
  <c r="F147" i="27"/>
  <c r="E147" i="27"/>
  <c r="D147" i="27"/>
  <c r="C147" i="27"/>
  <c r="D181" i="27"/>
  <c r="E181" i="27" s="1"/>
  <c r="F181" i="27" s="1"/>
  <c r="G181" i="27" s="1"/>
  <c r="D37" i="27"/>
  <c r="E37" i="27" s="1"/>
  <c r="F37" i="27" s="1"/>
  <c r="G37" i="27" s="1"/>
  <c r="G143" i="27"/>
  <c r="F143" i="27"/>
  <c r="E143" i="27"/>
  <c r="D143" i="27"/>
  <c r="C143" i="27"/>
  <c r="G63" i="27"/>
  <c r="F63" i="27"/>
  <c r="E63" i="27"/>
  <c r="D63" i="27"/>
  <c r="C63" i="27"/>
  <c r="G49" i="27"/>
  <c r="F49" i="27"/>
  <c r="E49" i="27"/>
  <c r="D49" i="27"/>
  <c r="C49" i="27"/>
  <c r="C8" i="27"/>
  <c r="C184" i="27" s="1"/>
  <c r="G8" i="27"/>
  <c r="F8" i="27"/>
  <c r="E8" i="27"/>
  <c r="D8" i="27"/>
  <c r="G118" i="27"/>
  <c r="F118" i="27"/>
  <c r="E118" i="27"/>
  <c r="D118" i="27"/>
  <c r="C118" i="27"/>
  <c r="C119" i="27"/>
  <c r="G112" i="27"/>
  <c r="F112" i="27"/>
  <c r="E112" i="27"/>
  <c r="D112" i="27"/>
  <c r="C112" i="27"/>
  <c r="G22" i="27"/>
  <c r="F22" i="27"/>
  <c r="E22" i="27"/>
  <c r="D22" i="27"/>
  <c r="C22" i="27"/>
  <c r="B154" i="27"/>
  <c r="G152" i="27"/>
  <c r="F152" i="27"/>
  <c r="E152" i="27"/>
  <c r="D152" i="27"/>
  <c r="C152" i="27"/>
  <c r="G148" i="27"/>
  <c r="F148" i="27"/>
  <c r="E148" i="27"/>
  <c r="D148" i="27"/>
  <c r="C148" i="27"/>
  <c r="G144" i="27"/>
  <c r="F144" i="27"/>
  <c r="E144" i="27"/>
  <c r="D144" i="27"/>
  <c r="C144" i="27"/>
  <c r="G11" i="27"/>
  <c r="F11" i="27"/>
  <c r="F185" i="27" s="1"/>
  <c r="E11" i="27"/>
  <c r="E185" i="27" s="1"/>
  <c r="D11" i="27"/>
  <c r="D185" i="27" s="1"/>
  <c r="C11" i="27"/>
  <c r="C17" i="27" s="1"/>
  <c r="C18" i="27" s="1"/>
  <c r="G217" i="27"/>
  <c r="F217" i="27"/>
  <c r="E217" i="27"/>
  <c r="D217" i="27"/>
  <c r="G216" i="27"/>
  <c r="F216" i="27"/>
  <c r="E216" i="27"/>
  <c r="D216" i="27"/>
  <c r="G204" i="27"/>
  <c r="F204" i="27"/>
  <c r="E204" i="27"/>
  <c r="D204" i="27"/>
  <c r="C204" i="27"/>
  <c r="G203" i="27"/>
  <c r="F203" i="27"/>
  <c r="E203" i="27"/>
  <c r="D203" i="27"/>
  <c r="C203" i="27"/>
  <c r="D161" i="27"/>
  <c r="E161" i="27" s="1"/>
  <c r="F161" i="27" s="1"/>
  <c r="G161" i="27" s="1"/>
  <c r="G58" i="27"/>
  <c r="G65" i="27" s="1"/>
  <c r="G70" i="27" s="1"/>
  <c r="F58" i="27"/>
  <c r="F65" i="27" s="1"/>
  <c r="F70" i="27" s="1"/>
  <c r="E58" i="27"/>
  <c r="E65" i="27" s="1"/>
  <c r="E70" i="27" s="1"/>
  <c r="D58" i="27"/>
  <c r="D65" i="27" s="1"/>
  <c r="C58" i="27"/>
  <c r="C65" i="27" s="1"/>
  <c r="G44" i="27"/>
  <c r="F44" i="27"/>
  <c r="E44" i="27"/>
  <c r="D44" i="27"/>
  <c r="D207" i="27" s="1"/>
  <c r="C44" i="27"/>
  <c r="D5" i="27"/>
  <c r="E5" i="27" s="1"/>
  <c r="F5" i="27" s="1"/>
  <c r="G5" i="27" s="1"/>
  <c r="U15" i="31" l="1"/>
  <c r="H58" i="31" s="1"/>
  <c r="K40" i="31"/>
  <c r="X14" i="31"/>
  <c r="X29" i="31"/>
  <c r="G17" i="27"/>
  <c r="O11" i="27"/>
  <c r="E100" i="27"/>
  <c r="I31" i="31"/>
  <c r="U17" i="31"/>
  <c r="G207" i="27"/>
  <c r="C100" i="27"/>
  <c r="G40" i="31" s="1"/>
  <c r="G17" i="31"/>
  <c r="G32" i="31"/>
  <c r="U29" i="31"/>
  <c r="I17" i="31"/>
  <c r="U25" i="31"/>
  <c r="E251" i="27"/>
  <c r="E207" i="27"/>
  <c r="F207" i="27"/>
  <c r="D184" i="27"/>
  <c r="W125" i="27"/>
  <c r="W126" i="27" s="1"/>
  <c r="F251" i="27"/>
  <c r="F184" i="27"/>
  <c r="G184" i="27"/>
  <c r="E184" i="27"/>
  <c r="C206" i="27"/>
  <c r="C207" i="27"/>
  <c r="A16" i="28"/>
  <c r="E15" i="28"/>
  <c r="I15" i="28"/>
  <c r="N15" i="28" s="1"/>
  <c r="D251" i="27"/>
  <c r="J43" i="27"/>
  <c r="J83" i="27"/>
  <c r="I83" i="27"/>
  <c r="C102" i="27"/>
  <c r="G42" i="31" s="1"/>
  <c r="G44" i="31" s="1"/>
  <c r="G34" i="31" s="1"/>
  <c r="I137" i="27"/>
  <c r="I22" i="27"/>
  <c r="D16" i="28"/>
  <c r="H16" i="28"/>
  <c r="C194" i="27"/>
  <c r="C84" i="27"/>
  <c r="G8" i="31" s="1"/>
  <c r="C187" i="27"/>
  <c r="C77" i="27"/>
  <c r="F187" i="27"/>
  <c r="F77" i="27"/>
  <c r="D187" i="27"/>
  <c r="D77" i="27"/>
  <c r="E187" i="27"/>
  <c r="E77" i="27"/>
  <c r="G187" i="27"/>
  <c r="G77" i="27"/>
  <c r="E220" i="27"/>
  <c r="D131" i="27"/>
  <c r="D132" i="27" s="1"/>
  <c r="I230" i="27"/>
  <c r="G102" i="27"/>
  <c r="K42" i="31" s="1"/>
  <c r="K44" i="31" s="1"/>
  <c r="K34" i="31" s="1"/>
  <c r="G251" i="27"/>
  <c r="C251" i="27"/>
  <c r="I103" i="27"/>
  <c r="X125" i="27"/>
  <c r="X126" i="27" s="1"/>
  <c r="F102" i="27"/>
  <c r="J42" i="31" s="1"/>
  <c r="J43" i="31" s="1"/>
  <c r="J19" i="31" s="1"/>
  <c r="E102" i="27"/>
  <c r="I42" i="31" s="1"/>
  <c r="I44" i="31" s="1"/>
  <c r="I34" i="31" s="1"/>
  <c r="D102" i="27"/>
  <c r="H42" i="31" s="1"/>
  <c r="H43" i="31" s="1"/>
  <c r="H19" i="31" s="1"/>
  <c r="E241" i="27"/>
  <c r="E242" i="27" s="1"/>
  <c r="E243" i="27" s="1"/>
  <c r="F241" i="27"/>
  <c r="F242" i="27" s="1"/>
  <c r="F243" i="27" s="1"/>
  <c r="D241" i="27"/>
  <c r="D242" i="27" s="1"/>
  <c r="D243" i="27" s="1"/>
  <c r="G241" i="27"/>
  <c r="G242" i="27" s="1"/>
  <c r="G243" i="27" s="1"/>
  <c r="C241" i="27"/>
  <c r="C242" i="27" s="1"/>
  <c r="C243" i="27" s="1"/>
  <c r="K223" i="27"/>
  <c r="L223" i="27" s="1"/>
  <c r="M223" i="27" s="1"/>
  <c r="G220" i="27"/>
  <c r="I220" i="27" s="1"/>
  <c r="F220" i="27"/>
  <c r="D220" i="27"/>
  <c r="C220" i="27"/>
  <c r="J229" i="27"/>
  <c r="I144" i="27"/>
  <c r="I143" i="27" s="1"/>
  <c r="I125" i="27"/>
  <c r="I131" i="27"/>
  <c r="I119" i="27"/>
  <c r="D43" i="26"/>
  <c r="J44" i="26"/>
  <c r="J119" i="27" s="1"/>
  <c r="D139" i="27"/>
  <c r="Y125" i="27"/>
  <c r="Y126" i="27" s="1"/>
  <c r="C139" i="27"/>
  <c r="E139" i="27"/>
  <c r="E131" i="27"/>
  <c r="E132" i="27" s="1"/>
  <c r="G131" i="27"/>
  <c r="F124" i="27"/>
  <c r="E124" i="27"/>
  <c r="G139" i="27"/>
  <c r="F139" i="27"/>
  <c r="G124" i="27"/>
  <c r="C124" i="27"/>
  <c r="C113" i="27" s="1"/>
  <c r="D124" i="27"/>
  <c r="D113" i="27" s="1"/>
  <c r="C131" i="27"/>
  <c r="F131" i="27"/>
  <c r="J7" i="27"/>
  <c r="E51" i="27"/>
  <c r="G51" i="27"/>
  <c r="C265" i="27"/>
  <c r="G164" i="27"/>
  <c r="F164" i="27"/>
  <c r="E164" i="27"/>
  <c r="F51" i="27"/>
  <c r="C51" i="27"/>
  <c r="G265" i="27"/>
  <c r="C256" i="27"/>
  <c r="C259" i="27" s="1"/>
  <c r="G256" i="27"/>
  <c r="G259" i="27" s="1"/>
  <c r="G185" i="27"/>
  <c r="D51" i="27"/>
  <c r="G18" i="27"/>
  <c r="C185" i="27"/>
  <c r="C186" i="27"/>
  <c r="C12" i="27"/>
  <c r="G186" i="27"/>
  <c r="D12" i="27"/>
  <c r="G157" i="27"/>
  <c r="G80" i="27" s="1"/>
  <c r="E12" i="27"/>
  <c r="F12" i="27"/>
  <c r="G12" i="27"/>
  <c r="F156" i="27"/>
  <c r="F79" i="27" s="1"/>
  <c r="D157" i="27"/>
  <c r="D80" i="27" s="1"/>
  <c r="G142" i="27"/>
  <c r="G196" i="27" s="1"/>
  <c r="E206" i="27"/>
  <c r="D150" i="27"/>
  <c r="D198" i="27" s="1"/>
  <c r="F206" i="27"/>
  <c r="C215" i="27"/>
  <c r="G156" i="27"/>
  <c r="G79" i="27" s="1"/>
  <c r="G206" i="27"/>
  <c r="E146" i="27"/>
  <c r="E197" i="27" s="1"/>
  <c r="C150" i="27"/>
  <c r="C198" i="27" s="1"/>
  <c r="C146" i="27"/>
  <c r="C197" i="27" s="1"/>
  <c r="E158" i="27"/>
  <c r="E81" i="27" s="1"/>
  <c r="E156" i="27"/>
  <c r="E79" i="27" s="1"/>
  <c r="F158" i="27"/>
  <c r="F81" i="27" s="1"/>
  <c r="G158" i="27"/>
  <c r="G81" i="27" s="1"/>
  <c r="G154" i="27"/>
  <c r="D146" i="27"/>
  <c r="D197" i="27" s="1"/>
  <c r="G146" i="27"/>
  <c r="G197" i="27" s="1"/>
  <c r="D215" i="27"/>
  <c r="F17" i="27"/>
  <c r="D156" i="27"/>
  <c r="D79" i="27" s="1"/>
  <c r="F142" i="27"/>
  <c r="F196" i="27" s="1"/>
  <c r="D158" i="27"/>
  <c r="D81" i="27" s="1"/>
  <c r="D154" i="27"/>
  <c r="C116" i="27"/>
  <c r="C111" i="27"/>
  <c r="C110" i="27" s="1"/>
  <c r="C27" i="27"/>
  <c r="G111" i="27"/>
  <c r="G110" i="27" s="1"/>
  <c r="E17" i="27"/>
  <c r="E256" i="27" s="1"/>
  <c r="E259" i="27" s="1"/>
  <c r="E157" i="27"/>
  <c r="E80" i="27" s="1"/>
  <c r="D17" i="27"/>
  <c r="D256" i="27" s="1"/>
  <c r="D259" i="27" s="1"/>
  <c r="G27" i="27"/>
  <c r="C154" i="27"/>
  <c r="F157" i="27"/>
  <c r="F80" i="27" s="1"/>
  <c r="C142" i="27"/>
  <c r="C196" i="27" s="1"/>
  <c r="E150" i="27"/>
  <c r="E198" i="27" s="1"/>
  <c r="E154" i="27"/>
  <c r="D142" i="27"/>
  <c r="D196" i="27" s="1"/>
  <c r="F150" i="27"/>
  <c r="F198" i="27" s="1"/>
  <c r="F154" i="27"/>
  <c r="E142" i="27"/>
  <c r="E196" i="27" s="1"/>
  <c r="F146" i="27"/>
  <c r="F197" i="27" s="1"/>
  <c r="G150" i="27"/>
  <c r="G198" i="27" s="1"/>
  <c r="E215" i="27"/>
  <c r="F215" i="27"/>
  <c r="C70" i="27"/>
  <c r="G215" i="27"/>
  <c r="D70" i="27"/>
  <c r="D206" i="27"/>
  <c r="F15" i="28" l="1"/>
  <c r="M15" i="28"/>
  <c r="J15" i="28"/>
  <c r="U19" i="31"/>
  <c r="I62" i="31" s="1"/>
  <c r="I68" i="31" s="1"/>
  <c r="H65" i="31" s="1"/>
  <c r="I40" i="31"/>
  <c r="G116" i="27"/>
  <c r="O17" i="27"/>
  <c r="U34" i="31"/>
  <c r="I67" i="31" s="1"/>
  <c r="U31" i="31"/>
  <c r="H66" i="31" s="1"/>
  <c r="I32" i="31"/>
  <c r="G189" i="27"/>
  <c r="O27" i="27"/>
  <c r="I24" i="31"/>
  <c r="E33" i="27"/>
  <c r="E34" i="27" s="1"/>
  <c r="H24" i="31"/>
  <c r="D33" i="27"/>
  <c r="D34" i="27" s="1"/>
  <c r="J24" i="31"/>
  <c r="F33" i="27"/>
  <c r="F34" i="27" s="1"/>
  <c r="K24" i="31"/>
  <c r="G33" i="27"/>
  <c r="G24" i="31"/>
  <c r="C33" i="27"/>
  <c r="C34" i="27" s="1"/>
  <c r="J144" i="27"/>
  <c r="J143" i="27" s="1"/>
  <c r="J41" i="27" s="1"/>
  <c r="F82" i="27"/>
  <c r="J10" i="31" s="1"/>
  <c r="A17" i="28"/>
  <c r="E16" i="28"/>
  <c r="I16" i="28"/>
  <c r="D82" i="27"/>
  <c r="H10" i="31" s="1"/>
  <c r="G82" i="27"/>
  <c r="K10" i="31" s="1"/>
  <c r="K43" i="27"/>
  <c r="K83" i="27" s="1"/>
  <c r="E82" i="27"/>
  <c r="I10" i="31" s="1"/>
  <c r="J22" i="27"/>
  <c r="H17" i="28"/>
  <c r="D17" i="28"/>
  <c r="D133" i="27"/>
  <c r="J230" i="27"/>
  <c r="J156" i="27"/>
  <c r="J79" i="27" s="1"/>
  <c r="I41" i="27"/>
  <c r="J220" i="27"/>
  <c r="I224" i="27"/>
  <c r="K229" i="27"/>
  <c r="K230" i="27" s="1"/>
  <c r="J194" i="27"/>
  <c r="J84" i="27"/>
  <c r="N8" i="31" s="1"/>
  <c r="I194" i="27"/>
  <c r="I84" i="27"/>
  <c r="M8" i="31" s="1"/>
  <c r="I156" i="27"/>
  <c r="I79" i="27" s="1"/>
  <c r="J45" i="26"/>
  <c r="F45" i="26" s="1"/>
  <c r="E44" i="26"/>
  <c r="G132" i="27"/>
  <c r="J137" i="27"/>
  <c r="J125" i="27"/>
  <c r="J131" i="27"/>
  <c r="F125" i="27"/>
  <c r="F126" i="27" s="1"/>
  <c r="F113" i="27"/>
  <c r="E125" i="27"/>
  <c r="E126" i="27" s="1"/>
  <c r="E113" i="27"/>
  <c r="G113" i="27"/>
  <c r="G133" i="27"/>
  <c r="E133" i="27"/>
  <c r="F132" i="27"/>
  <c r="F133" i="27"/>
  <c r="C132" i="27"/>
  <c r="C133" i="27"/>
  <c r="D125" i="27"/>
  <c r="D126" i="27" s="1"/>
  <c r="C125" i="27"/>
  <c r="G125" i="27"/>
  <c r="E269" i="27"/>
  <c r="E71" i="27"/>
  <c r="F269" i="27"/>
  <c r="F71" i="27"/>
  <c r="C269" i="27"/>
  <c r="C71" i="27"/>
  <c r="D257" i="27"/>
  <c r="D71" i="27"/>
  <c r="G269" i="27"/>
  <c r="G71" i="27"/>
  <c r="G257" i="27"/>
  <c r="K7" i="27"/>
  <c r="F257" i="27"/>
  <c r="C257" i="27"/>
  <c r="C255" i="27" s="1"/>
  <c r="E257" i="27"/>
  <c r="D269" i="27"/>
  <c r="F186" i="27"/>
  <c r="F256" i="27"/>
  <c r="F259" i="27" s="1"/>
  <c r="G188" i="27"/>
  <c r="G209" i="27"/>
  <c r="G211" i="27"/>
  <c r="C211" i="27"/>
  <c r="C209" i="27"/>
  <c r="C188" i="27"/>
  <c r="D18" i="27"/>
  <c r="D186" i="27"/>
  <c r="E18" i="27"/>
  <c r="E186" i="27"/>
  <c r="F27" i="27"/>
  <c r="F189" i="27" s="1"/>
  <c r="F18" i="27"/>
  <c r="G155" i="27"/>
  <c r="G120" i="27" s="1"/>
  <c r="G195" i="27" s="1"/>
  <c r="E155" i="27"/>
  <c r="E120" i="27" s="1"/>
  <c r="E195" i="27" s="1"/>
  <c r="F111" i="27"/>
  <c r="F110" i="27" s="1"/>
  <c r="F116" i="27"/>
  <c r="D155" i="27"/>
  <c r="D120" i="27" s="1"/>
  <c r="D195" i="27" s="1"/>
  <c r="G117" i="27"/>
  <c r="G31" i="27"/>
  <c r="O31" i="27" s="1"/>
  <c r="C189" i="27"/>
  <c r="C117" i="27" s="1"/>
  <c r="C31" i="27"/>
  <c r="F155" i="27"/>
  <c r="F120" i="27" s="1"/>
  <c r="F195" i="27" s="1"/>
  <c r="D111" i="27"/>
  <c r="D110" i="27" s="1"/>
  <c r="D27" i="27"/>
  <c r="D189" i="27" s="1"/>
  <c r="D116" i="27"/>
  <c r="E111" i="27"/>
  <c r="E110" i="27" s="1"/>
  <c r="E27" i="27"/>
  <c r="E189" i="27" s="1"/>
  <c r="E116" i="27"/>
  <c r="C155" i="27"/>
  <c r="G30" i="4"/>
  <c r="G31" i="4" s="1"/>
  <c r="F30" i="4"/>
  <c r="F31" i="4" s="1"/>
  <c r="E30" i="4"/>
  <c r="E31" i="4" s="1"/>
  <c r="D30" i="4"/>
  <c r="D31" i="4" s="1"/>
  <c r="C30" i="4"/>
  <c r="C31" i="4" s="1"/>
  <c r="F33" i="26"/>
  <c r="E119" i="27" s="1"/>
  <c r="E33" i="26"/>
  <c r="D119" i="27" s="1"/>
  <c r="F16" i="26"/>
  <c r="F15" i="26"/>
  <c r="F14" i="26"/>
  <c r="F13" i="26"/>
  <c r="F12" i="26"/>
  <c r="F11" i="26"/>
  <c r="D19" i="26"/>
  <c r="F19" i="26" s="1"/>
  <c r="H33" i="26"/>
  <c r="G119" i="27" s="1"/>
  <c r="G33" i="26"/>
  <c r="F119" i="27" s="1"/>
  <c r="E31" i="26"/>
  <c r="F31" i="26" s="1"/>
  <c r="G31" i="26" s="1"/>
  <c r="H31" i="26" s="1"/>
  <c r="E17" i="26"/>
  <c r="E21" i="26" s="1"/>
  <c r="D17" i="26"/>
  <c r="F27" i="26" s="1"/>
  <c r="J16" i="28" l="1"/>
  <c r="N16" i="28"/>
  <c r="F16" i="28"/>
  <c r="M16" i="28"/>
  <c r="U32" i="31"/>
  <c r="U24" i="31"/>
  <c r="O33" i="27"/>
  <c r="G34" i="27"/>
  <c r="AC62" i="31"/>
  <c r="K144" i="27"/>
  <c r="K143" i="27" s="1"/>
  <c r="K156" i="27" s="1"/>
  <c r="K79" i="27" s="1"/>
  <c r="C76" i="27"/>
  <c r="G23" i="31" s="1"/>
  <c r="C176" i="27"/>
  <c r="C166" i="27"/>
  <c r="G76" i="27"/>
  <c r="K23" i="31" s="1"/>
  <c r="K27" i="31" s="1"/>
  <c r="K36" i="31" s="1"/>
  <c r="G176" i="27"/>
  <c r="A18" i="28"/>
  <c r="E17" i="28"/>
  <c r="M17" i="28" s="1"/>
  <c r="I17" i="28"/>
  <c r="N17" i="28" s="1"/>
  <c r="L43" i="27"/>
  <c r="L83" i="27"/>
  <c r="C120" i="27"/>
  <c r="C195" i="27" s="1"/>
  <c r="C82" i="27"/>
  <c r="G10" i="31" s="1"/>
  <c r="G12" i="31" s="1"/>
  <c r="G21" i="31" s="1"/>
  <c r="K22" i="27"/>
  <c r="H18" i="28"/>
  <c r="F17" i="28"/>
  <c r="D18" i="28"/>
  <c r="D194" i="27"/>
  <c r="D84" i="27"/>
  <c r="H8" i="31" s="1"/>
  <c r="E194" i="27"/>
  <c r="E84" i="27"/>
  <c r="I8" i="31" s="1"/>
  <c r="I12" i="31" s="1"/>
  <c r="I21" i="31" s="1"/>
  <c r="F194" i="27"/>
  <c r="F84" i="27"/>
  <c r="J8" i="31" s="1"/>
  <c r="J12" i="31" s="1"/>
  <c r="J21" i="31" s="1"/>
  <c r="G194" i="27"/>
  <c r="G84" i="27"/>
  <c r="E268" i="27"/>
  <c r="E260" i="27"/>
  <c r="D268" i="27"/>
  <c r="D260" i="27"/>
  <c r="C268" i="27"/>
  <c r="C260" i="27"/>
  <c r="C261" i="27" s="1"/>
  <c r="G268" i="27"/>
  <c r="G260" i="27"/>
  <c r="F268" i="27"/>
  <c r="F260" i="27"/>
  <c r="C126" i="27"/>
  <c r="K220" i="27"/>
  <c r="J224" i="27"/>
  <c r="L229" i="27"/>
  <c r="L230" i="27" s="1"/>
  <c r="J46" i="26"/>
  <c r="L119" i="27" s="1"/>
  <c r="L84" i="27" s="1"/>
  <c r="P8" i="31" s="1"/>
  <c r="K119" i="27"/>
  <c r="K137" i="27"/>
  <c r="K131" i="27"/>
  <c r="K125" i="27"/>
  <c r="E127" i="27"/>
  <c r="G126" i="27"/>
  <c r="F127" i="27"/>
  <c r="D127" i="27"/>
  <c r="D27" i="26"/>
  <c r="D21" i="26"/>
  <c r="C127" i="27"/>
  <c r="G127" i="27"/>
  <c r="L7" i="27"/>
  <c r="E255" i="27"/>
  <c r="G255" i="27"/>
  <c r="D255" i="27"/>
  <c r="G159" i="27"/>
  <c r="F31" i="27"/>
  <c r="D159" i="27"/>
  <c r="G166" i="27"/>
  <c r="G178" i="27" s="1"/>
  <c r="G199" i="27" s="1"/>
  <c r="G264" i="27"/>
  <c r="C178" i="27"/>
  <c r="C199" i="27" s="1"/>
  <c r="C264" i="27"/>
  <c r="F159" i="27"/>
  <c r="F255" i="27"/>
  <c r="E159" i="27"/>
  <c r="F188" i="27"/>
  <c r="F211" i="27"/>
  <c r="F209" i="27"/>
  <c r="E188" i="27"/>
  <c r="E211" i="27"/>
  <c r="E209" i="27"/>
  <c r="D188" i="27"/>
  <c r="D211" i="27"/>
  <c r="D209" i="27"/>
  <c r="G115" i="27"/>
  <c r="F117" i="27"/>
  <c r="F115" i="27" s="1"/>
  <c r="E31" i="27"/>
  <c r="E117" i="27"/>
  <c r="E115" i="27" s="1"/>
  <c r="D31" i="27"/>
  <c r="D117" i="27"/>
  <c r="D115" i="27" s="1"/>
  <c r="F17" i="26"/>
  <c r="J17" i="28" l="1"/>
  <c r="U10" i="31"/>
  <c r="H61" i="31" s="1"/>
  <c r="G27" i="31"/>
  <c r="G36" i="31" s="1"/>
  <c r="G41" i="31" s="1"/>
  <c r="G87" i="27"/>
  <c r="G105" i="27" s="1"/>
  <c r="K8" i="31"/>
  <c r="K12" i="31" s="1"/>
  <c r="K21" i="31" s="1"/>
  <c r="H12" i="31"/>
  <c r="H21" i="31" s="1"/>
  <c r="K41" i="27"/>
  <c r="C115" i="27"/>
  <c r="F176" i="27"/>
  <c r="D76" i="27"/>
  <c r="D176" i="27"/>
  <c r="C87" i="27"/>
  <c r="L144" i="27"/>
  <c r="L143" i="27" s="1"/>
  <c r="L41" i="27" s="1"/>
  <c r="E76" i="27"/>
  <c r="E176" i="27"/>
  <c r="E261" i="27"/>
  <c r="E18" i="28"/>
  <c r="I18" i="28"/>
  <c r="M43" i="27"/>
  <c r="M83" i="27" s="1"/>
  <c r="F166" i="27"/>
  <c r="F178" i="27" s="1"/>
  <c r="F199" i="27" s="1"/>
  <c r="F76" i="27"/>
  <c r="L22" i="27"/>
  <c r="D261" i="27"/>
  <c r="L220" i="27"/>
  <c r="K224" i="27"/>
  <c r="M229" i="27"/>
  <c r="M230" i="27" s="1"/>
  <c r="G261" i="27"/>
  <c r="G46" i="26"/>
  <c r="K194" i="27"/>
  <c r="K84" i="27"/>
  <c r="O8" i="31" s="1"/>
  <c r="J47" i="26"/>
  <c r="H47" i="26" s="1"/>
  <c r="L194" i="27"/>
  <c r="H46" i="26"/>
  <c r="L131" i="27"/>
  <c r="L137" i="27"/>
  <c r="L125" i="27"/>
  <c r="H45" i="26"/>
  <c r="G45" i="26"/>
  <c r="H44" i="26"/>
  <c r="G44" i="26"/>
  <c r="F44" i="26"/>
  <c r="D48" i="26"/>
  <c r="D50" i="26" s="1"/>
  <c r="H43" i="26"/>
  <c r="G43" i="26"/>
  <c r="F43" i="26"/>
  <c r="E43" i="26"/>
  <c r="F261" i="27"/>
  <c r="M7" i="27"/>
  <c r="C173" i="27"/>
  <c r="C171" i="27"/>
  <c r="G171" i="27"/>
  <c r="G173" i="27"/>
  <c r="F264" i="27"/>
  <c r="F263" i="27" s="1"/>
  <c r="C267" i="27"/>
  <c r="C263" i="27"/>
  <c r="D264" i="27"/>
  <c r="D166" i="27"/>
  <c r="D178" i="27" s="1"/>
  <c r="D199" i="27" s="1"/>
  <c r="G267" i="27"/>
  <c r="G263" i="27"/>
  <c r="E264" i="27"/>
  <c r="E166" i="27"/>
  <c r="E178" i="27" s="1"/>
  <c r="E199" i="27" s="1"/>
  <c r="F21" i="26"/>
  <c r="U22" i="17"/>
  <c r="T22" i="17"/>
  <c r="S22" i="17"/>
  <c r="U21" i="17"/>
  <c r="T21" i="17"/>
  <c r="S21" i="17"/>
  <c r="U20" i="17"/>
  <c r="T20" i="17"/>
  <c r="S20" i="17"/>
  <c r="U19" i="17"/>
  <c r="T19" i="17"/>
  <c r="S19" i="17"/>
  <c r="U18" i="17"/>
  <c r="T18" i="17"/>
  <c r="S18" i="17"/>
  <c r="U17" i="17"/>
  <c r="T17" i="17"/>
  <c r="S17" i="17"/>
  <c r="U16" i="17"/>
  <c r="T16" i="17"/>
  <c r="S16" i="17"/>
  <c r="U15" i="17"/>
  <c r="T15" i="17"/>
  <c r="S15" i="17"/>
  <c r="U14" i="17"/>
  <c r="T14" i="17"/>
  <c r="S14" i="17"/>
  <c r="U13" i="17"/>
  <c r="T13" i="17"/>
  <c r="S13" i="17"/>
  <c r="U12" i="17"/>
  <c r="T12" i="17"/>
  <c r="S12" i="17"/>
  <c r="U11" i="17"/>
  <c r="T11" i="17"/>
  <c r="S11" i="17"/>
  <c r="U10" i="17"/>
  <c r="T10" i="17"/>
  <c r="S10" i="17"/>
  <c r="U9" i="17"/>
  <c r="T9" i="17"/>
  <c r="S9" i="17"/>
  <c r="U8" i="17"/>
  <c r="T8" i="17"/>
  <c r="S8" i="17"/>
  <c r="U7" i="17"/>
  <c r="T7" i="17"/>
  <c r="S7" i="17"/>
  <c r="U6" i="17"/>
  <c r="T6" i="17"/>
  <c r="S6" i="17"/>
  <c r="U5" i="17"/>
  <c r="T5" i="17"/>
  <c r="S5" i="17"/>
  <c r="F18" i="28" l="1"/>
  <c r="F20" i="28" s="1"/>
  <c r="M18" i="28"/>
  <c r="M24" i="28" s="1"/>
  <c r="E24" i="28"/>
  <c r="J18" i="28"/>
  <c r="J20" i="28" s="1"/>
  <c r="I24" i="28"/>
  <c r="N18" i="28"/>
  <c r="N24" i="28" s="1"/>
  <c r="G210" i="27"/>
  <c r="F87" i="27"/>
  <c r="J23" i="31"/>
  <c r="J27" i="31" s="1"/>
  <c r="J36" i="31" s="1"/>
  <c r="D87" i="27"/>
  <c r="D175" i="27" s="1"/>
  <c r="H23" i="31"/>
  <c r="H39" i="31" s="1"/>
  <c r="E87" i="27"/>
  <c r="E175" i="27" s="1"/>
  <c r="I23" i="31"/>
  <c r="I27" i="31" s="1"/>
  <c r="I36" i="31" s="1"/>
  <c r="L156" i="27"/>
  <c r="L79" i="27" s="1"/>
  <c r="G38" i="31"/>
  <c r="U8" i="31"/>
  <c r="F175" i="27"/>
  <c r="C175" i="27"/>
  <c r="G39" i="31"/>
  <c r="K38" i="31"/>
  <c r="K41" i="31"/>
  <c r="G175" i="27"/>
  <c r="K39" i="31"/>
  <c r="F171" i="27"/>
  <c r="F173" i="27"/>
  <c r="E210" i="27"/>
  <c r="E105" i="27"/>
  <c r="C210" i="27"/>
  <c r="C105" i="27"/>
  <c r="M144" i="27"/>
  <c r="M143" i="27" s="1"/>
  <c r="M41" i="27" s="1"/>
  <c r="F105" i="27"/>
  <c r="F210" i="27"/>
  <c r="D105" i="27"/>
  <c r="D210" i="27"/>
  <c r="M22" i="27"/>
  <c r="M156" i="27"/>
  <c r="M79" i="27" s="1"/>
  <c r="M220" i="27"/>
  <c r="M224" i="27" s="1"/>
  <c r="L224" i="27"/>
  <c r="M119" i="27"/>
  <c r="M84" i="27" s="1"/>
  <c r="Q8" i="31" s="1"/>
  <c r="X8" i="31" s="1"/>
  <c r="I112" i="27"/>
  <c r="I77" i="27" s="1"/>
  <c r="I118" i="27"/>
  <c r="E48" i="26"/>
  <c r="E50" i="26" s="1"/>
  <c r="M131" i="27"/>
  <c r="O131" i="27" s="1"/>
  <c r="P7" i="27"/>
  <c r="M137" i="27"/>
  <c r="O137" i="27" s="1"/>
  <c r="M125" i="27"/>
  <c r="O125" i="27" s="1"/>
  <c r="H48" i="26"/>
  <c r="H50" i="26" s="1"/>
  <c r="G48" i="26"/>
  <c r="G50" i="26" s="1"/>
  <c r="F48" i="26"/>
  <c r="F50" i="26" s="1"/>
  <c r="F267" i="27"/>
  <c r="F270" i="27" s="1"/>
  <c r="D173" i="27"/>
  <c r="D171" i="27"/>
  <c r="E173" i="27"/>
  <c r="E171" i="27"/>
  <c r="D267" i="27"/>
  <c r="D263" i="27"/>
  <c r="G270" i="27"/>
  <c r="E267" i="27"/>
  <c r="E263" i="27"/>
  <c r="C270" i="27"/>
  <c r="G25" i="5"/>
  <c r="F25" i="5"/>
  <c r="E25" i="5"/>
  <c r="D25" i="5"/>
  <c r="C25" i="5"/>
  <c r="G12" i="5"/>
  <c r="F12" i="5"/>
  <c r="E12" i="5"/>
  <c r="D12" i="5"/>
  <c r="C12" i="5"/>
  <c r="D6" i="5"/>
  <c r="E6" i="5" s="1"/>
  <c r="F6" i="5" s="1"/>
  <c r="G6" i="5" s="1"/>
  <c r="D7" i="4"/>
  <c r="E7" i="4" s="1"/>
  <c r="F7" i="4" s="1"/>
  <c r="G7" i="4" s="1"/>
  <c r="G11" i="4"/>
  <c r="F11" i="4"/>
  <c r="E11" i="4"/>
  <c r="D11" i="4"/>
  <c r="C11" i="4"/>
  <c r="J39" i="31" l="1"/>
  <c r="I41" i="31"/>
  <c r="I38" i="31"/>
  <c r="I39" i="31"/>
  <c r="H27" i="31"/>
  <c r="H36" i="31" s="1"/>
  <c r="U23" i="31"/>
  <c r="J41" i="31"/>
  <c r="J38" i="31"/>
  <c r="H62" i="31"/>
  <c r="H63" i="31" s="1"/>
  <c r="U12" i="31"/>
  <c r="U21" i="31" s="1"/>
  <c r="I46" i="27"/>
  <c r="I49" i="27" s="1"/>
  <c r="M24" i="31"/>
  <c r="H77" i="31"/>
  <c r="M194" i="27"/>
  <c r="O119" i="27"/>
  <c r="I124" i="27"/>
  <c r="I122" i="27" s="1"/>
  <c r="I136" i="27"/>
  <c r="I134" i="27" s="1"/>
  <c r="I15" i="27" s="1"/>
  <c r="I187" i="27"/>
  <c r="I130" i="27"/>
  <c r="I128" i="27" s="1"/>
  <c r="I14" i="27" s="1"/>
  <c r="K112" i="27"/>
  <c r="K118" i="27"/>
  <c r="J112" i="27"/>
  <c r="J118" i="27"/>
  <c r="L112" i="27"/>
  <c r="L118" i="27"/>
  <c r="M112" i="27"/>
  <c r="M118" i="27"/>
  <c r="E270" i="27"/>
  <c r="D270" i="27"/>
  <c r="E18" i="5"/>
  <c r="F18" i="5"/>
  <c r="G18" i="5"/>
  <c r="D18" i="5"/>
  <c r="C18" i="5"/>
  <c r="D16" i="4"/>
  <c r="G16" i="4"/>
  <c r="E16" i="4"/>
  <c r="F16" i="4"/>
  <c r="C16" i="4"/>
  <c r="D31" i="5"/>
  <c r="E31" i="5"/>
  <c r="F31" i="5"/>
  <c r="C31" i="5"/>
  <c r="G31" i="5"/>
  <c r="U27" i="31" l="1"/>
  <c r="H38" i="31"/>
  <c r="H41" i="31"/>
  <c r="V8" i="31"/>
  <c r="K187" i="27"/>
  <c r="K77" i="27"/>
  <c r="M187" i="27"/>
  <c r="M77" i="27"/>
  <c r="L187" i="27"/>
  <c r="L77" i="27"/>
  <c r="J187" i="27"/>
  <c r="J77" i="27"/>
  <c r="I133" i="27"/>
  <c r="I139" i="27"/>
  <c r="O118" i="27"/>
  <c r="J130" i="27"/>
  <c r="K130" i="27" s="1"/>
  <c r="L130" i="27" s="1"/>
  <c r="J136" i="27"/>
  <c r="J134" i="27" s="1"/>
  <c r="J139" i="27" s="1"/>
  <c r="I113" i="27"/>
  <c r="J124" i="27"/>
  <c r="J122" i="27" s="1"/>
  <c r="J127" i="27" s="1"/>
  <c r="O112" i="27"/>
  <c r="C35" i="5"/>
  <c r="F35" i="5"/>
  <c r="G35" i="5"/>
  <c r="E35" i="5"/>
  <c r="D35" i="5"/>
  <c r="G21" i="4"/>
  <c r="F21" i="4"/>
  <c r="E21" i="4"/>
  <c r="C21" i="4"/>
  <c r="D21" i="4"/>
  <c r="H67" i="31" l="1"/>
  <c r="H68" i="31" s="1"/>
  <c r="H69" i="31" s="1"/>
  <c r="U36" i="31"/>
  <c r="P24" i="31"/>
  <c r="Q24" i="31"/>
  <c r="O24" i="31"/>
  <c r="J46" i="27"/>
  <c r="K46" i="27" s="1"/>
  <c r="N24" i="31"/>
  <c r="J15" i="27"/>
  <c r="K136" i="27"/>
  <c r="K134" i="27" s="1"/>
  <c r="K139" i="27" s="1"/>
  <c r="J128" i="27"/>
  <c r="J133" i="27" s="1"/>
  <c r="K128" i="27"/>
  <c r="K133" i="27" s="1"/>
  <c r="K124" i="27"/>
  <c r="K122" i="27" s="1"/>
  <c r="K10" i="27" s="1"/>
  <c r="J10" i="27"/>
  <c r="J113" i="27"/>
  <c r="M130" i="27"/>
  <c r="L128" i="27"/>
  <c r="C25" i="4"/>
  <c r="F25" i="4"/>
  <c r="D25" i="4"/>
  <c r="E25" i="4"/>
  <c r="G25" i="4"/>
  <c r="I127" i="27"/>
  <c r="J49" i="27" l="1"/>
  <c r="V14" i="31"/>
  <c r="V19" i="31"/>
  <c r="V31" i="31"/>
  <c r="V15" i="31"/>
  <c r="V34" i="31"/>
  <c r="V10" i="31"/>
  <c r="V16" i="31"/>
  <c r="V29" i="31"/>
  <c r="V25" i="31"/>
  <c r="V9" i="31"/>
  <c r="V30" i="31"/>
  <c r="V24" i="31"/>
  <c r="U38" i="31"/>
  <c r="V23" i="31"/>
  <c r="X24" i="31"/>
  <c r="L46" i="27"/>
  <c r="K49" i="27"/>
  <c r="J14" i="27"/>
  <c r="J241" i="27" s="1"/>
  <c r="J242" i="27" s="1"/>
  <c r="J245" i="27" s="1"/>
  <c r="L136" i="27"/>
  <c r="M136" i="27" s="1"/>
  <c r="K127" i="27"/>
  <c r="K11" i="27"/>
  <c r="K185" i="27" s="1"/>
  <c r="K152" i="27"/>
  <c r="K151" i="27" s="1"/>
  <c r="K54" i="27" s="1"/>
  <c r="K148" i="27"/>
  <c r="K147" i="27" s="1"/>
  <c r="K42" i="27" s="1"/>
  <c r="J11" i="27"/>
  <c r="J185" i="27" s="1"/>
  <c r="J152" i="27"/>
  <c r="J151" i="27" s="1"/>
  <c r="J54" i="27" s="1"/>
  <c r="J148" i="27"/>
  <c r="J147" i="27" s="1"/>
  <c r="J42" i="27" s="1"/>
  <c r="K14" i="27"/>
  <c r="L124" i="27"/>
  <c r="L122" i="27" s="1"/>
  <c r="L10" i="27" s="1"/>
  <c r="K113" i="27"/>
  <c r="K15" i="27"/>
  <c r="M128" i="27"/>
  <c r="O128" i="27" s="1"/>
  <c r="O130" i="27"/>
  <c r="L133" i="27"/>
  <c r="L14" i="27"/>
  <c r="I10" i="27"/>
  <c r="I241" i="27" s="1"/>
  <c r="I242" i="27" s="1"/>
  <c r="I245" i="27" s="1"/>
  <c r="V36" i="31" l="1"/>
  <c r="V27" i="31"/>
  <c r="V21" i="31"/>
  <c r="V12" i="31"/>
  <c r="V17" i="31"/>
  <c r="V32" i="31"/>
  <c r="M134" i="27"/>
  <c r="M15" i="27" s="1"/>
  <c r="P15" i="27" s="1"/>
  <c r="O136" i="27"/>
  <c r="K241" i="27"/>
  <c r="K242" i="27" s="1"/>
  <c r="K245" i="27" s="1"/>
  <c r="M46" i="27"/>
  <c r="M49" i="27" s="1"/>
  <c r="L49" i="27"/>
  <c r="K12" i="27"/>
  <c r="L134" i="27"/>
  <c r="L139" i="27" s="1"/>
  <c r="L11" i="27"/>
  <c r="L185" i="27" s="1"/>
  <c r="L152" i="27"/>
  <c r="L151" i="27" s="1"/>
  <c r="L148" i="27"/>
  <c r="L147" i="27" s="1"/>
  <c r="J154" i="27"/>
  <c r="K157" i="27"/>
  <c r="K80" i="27" s="1"/>
  <c r="K154" i="27"/>
  <c r="I11" i="27"/>
  <c r="I185" i="27" s="1"/>
  <c r="I152" i="27"/>
  <c r="I151" i="27" s="1"/>
  <c r="I148" i="27"/>
  <c r="I147" i="27" s="1"/>
  <c r="I42" i="27" s="1"/>
  <c r="K158" i="27"/>
  <c r="K81" i="27" s="1"/>
  <c r="K17" i="27"/>
  <c r="K33" i="27" s="1"/>
  <c r="K34" i="27" s="1"/>
  <c r="J12" i="27"/>
  <c r="J17" i="27"/>
  <c r="J33" i="27" s="1"/>
  <c r="J34" i="27" s="1"/>
  <c r="M124" i="27"/>
  <c r="M122" i="27" s="1"/>
  <c r="L127" i="27"/>
  <c r="L113" i="27"/>
  <c r="M14" i="27"/>
  <c r="P14" i="27" s="1"/>
  <c r="M133" i="27"/>
  <c r="O134" i="27" l="1"/>
  <c r="M139" i="27"/>
  <c r="K82" i="27"/>
  <c r="O10" i="31" s="1"/>
  <c r="O12" i="31" s="1"/>
  <c r="K116" i="27"/>
  <c r="K256" i="27"/>
  <c r="J186" i="27"/>
  <c r="J256" i="27"/>
  <c r="L157" i="27"/>
  <c r="L80" i="27" s="1"/>
  <c r="L42" i="27"/>
  <c r="L158" i="27"/>
  <c r="L81" i="27" s="1"/>
  <c r="L54" i="27"/>
  <c r="I158" i="27"/>
  <c r="I81" i="27" s="1"/>
  <c r="I54" i="27"/>
  <c r="I12" i="27"/>
  <c r="I17" i="27"/>
  <c r="I33" i="27" s="1"/>
  <c r="I34" i="27" s="1"/>
  <c r="J158" i="27"/>
  <c r="J81" i="27" s="1"/>
  <c r="K18" i="27"/>
  <c r="K155" i="27"/>
  <c r="K120" i="27" s="1"/>
  <c r="K195" i="27" s="1"/>
  <c r="L15" i="27"/>
  <c r="L12" i="27"/>
  <c r="J157" i="27"/>
  <c r="J80" i="27" s="1"/>
  <c r="I157" i="27"/>
  <c r="I80" i="27" s="1"/>
  <c r="I154" i="27"/>
  <c r="L154" i="27"/>
  <c r="L155" i="27" s="1"/>
  <c r="J116" i="27"/>
  <c r="K186" i="27"/>
  <c r="J111" i="27"/>
  <c r="J110" i="27" s="1"/>
  <c r="K111" i="27"/>
  <c r="K110" i="27" s="1"/>
  <c r="J18" i="27"/>
  <c r="O122" i="27"/>
  <c r="M10" i="27"/>
  <c r="M241" i="27" s="1"/>
  <c r="M242" i="27" s="1"/>
  <c r="M245" i="27" s="1"/>
  <c r="M127" i="27"/>
  <c r="O124" i="27"/>
  <c r="M113" i="27"/>
  <c r="I82" i="27" l="1"/>
  <c r="M10" i="31" s="1"/>
  <c r="L82" i="27"/>
  <c r="P10" i="31" s="1"/>
  <c r="P12" i="31" s="1"/>
  <c r="J82" i="27"/>
  <c r="N10" i="31" s="1"/>
  <c r="N12" i="31" s="1"/>
  <c r="L17" i="27"/>
  <c r="L241" i="27"/>
  <c r="L242" i="27" s="1"/>
  <c r="L245" i="27" s="1"/>
  <c r="I116" i="27"/>
  <c r="I256" i="27"/>
  <c r="J259" i="27"/>
  <c r="K259" i="27"/>
  <c r="K188" i="27"/>
  <c r="J188" i="27"/>
  <c r="I111" i="27"/>
  <c r="I110" i="27" s="1"/>
  <c r="I186" i="27"/>
  <c r="I18" i="27"/>
  <c r="K159" i="27"/>
  <c r="L120" i="27"/>
  <c r="L159" i="27"/>
  <c r="J155" i="27"/>
  <c r="J120" i="27" s="1"/>
  <c r="J195" i="27" s="1"/>
  <c r="I155" i="27"/>
  <c r="I120" i="27" s="1"/>
  <c r="I195" i="27" s="1"/>
  <c r="M152" i="27"/>
  <c r="M151" i="27" s="1"/>
  <c r="M148" i="27"/>
  <c r="M147" i="27" s="1"/>
  <c r="M42" i="27" s="1"/>
  <c r="P10" i="27"/>
  <c r="M11" i="27"/>
  <c r="M185" i="27" s="1"/>
  <c r="L111" i="27" l="1"/>
  <c r="L110" i="27" s="1"/>
  <c r="L33" i="27"/>
  <c r="L34" i="27" s="1"/>
  <c r="AC61" i="31"/>
  <c r="M12" i="31"/>
  <c r="L256" i="27"/>
  <c r="L259" i="27" s="1"/>
  <c r="L18" i="27"/>
  <c r="L116" i="27"/>
  <c r="L186" i="27"/>
  <c r="I259" i="27"/>
  <c r="I188" i="27"/>
  <c r="L188" i="27"/>
  <c r="M158" i="27"/>
  <c r="M81" i="27" s="1"/>
  <c r="M54" i="27"/>
  <c r="P11" i="27"/>
  <c r="M17" i="27"/>
  <c r="M33" i="27" s="1"/>
  <c r="L195" i="27"/>
  <c r="M12" i="27"/>
  <c r="I159" i="27"/>
  <c r="J159" i="27"/>
  <c r="M154" i="27"/>
  <c r="M155" i="27" s="1"/>
  <c r="M120" i="27" s="1"/>
  <c r="M195" i="27" s="1"/>
  <c r="M157" i="27"/>
  <c r="M80" i="27" s="1"/>
  <c r="M34" i="27" l="1"/>
  <c r="P33" i="27"/>
  <c r="M82" i="27"/>
  <c r="Q10" i="31" s="1"/>
  <c r="M116" i="27"/>
  <c r="O116" i="27" s="1"/>
  <c r="M256" i="27"/>
  <c r="M111" i="27"/>
  <c r="M110" i="27" s="1"/>
  <c r="M18" i="27"/>
  <c r="P17" i="27"/>
  <c r="M186" i="27"/>
  <c r="M159" i="27"/>
  <c r="Q12" i="31" l="1"/>
  <c r="X10" i="31"/>
  <c r="M259" i="27"/>
  <c r="O111" i="27"/>
  <c r="M188" i="27"/>
  <c r="O110" i="27"/>
  <c r="J234" i="27"/>
  <c r="J95" i="27" s="1"/>
  <c r="N30" i="31" s="1"/>
  <c r="N32" i="31" s="1"/>
  <c r="I234" i="27"/>
  <c r="I95" i="27" s="1"/>
  <c r="M30" i="31" s="1"/>
  <c r="X30" i="31" l="1"/>
  <c r="AC65" i="31"/>
  <c r="M32" i="31"/>
  <c r="H76" i="31"/>
  <c r="X12" i="31"/>
  <c r="I60" i="27"/>
  <c r="I55" i="27"/>
  <c r="J55" i="27" s="1"/>
  <c r="K55" i="27" s="1"/>
  <c r="L55" i="27" s="1"/>
  <c r="M55" i="27" s="1"/>
  <c r="I236" i="27"/>
  <c r="X32" i="31" l="1"/>
  <c r="H80" i="31"/>
  <c r="J60" i="27"/>
  <c r="I63" i="27"/>
  <c r="J236" i="27"/>
  <c r="I237" i="27"/>
  <c r="I216" i="27" s="1"/>
  <c r="I58" i="27"/>
  <c r="I65" i="27" s="1"/>
  <c r="I217" i="27"/>
  <c r="I211" i="27" s="1"/>
  <c r="K60" i="27" l="1"/>
  <c r="J63" i="27"/>
  <c r="J217" i="27"/>
  <c r="J211" i="27" s="1"/>
  <c r="J58" i="27"/>
  <c r="J65" i="27" s="1"/>
  <c r="I218" i="27"/>
  <c r="I20" i="27"/>
  <c r="I215" i="27"/>
  <c r="I209" i="27"/>
  <c r="K236" i="27"/>
  <c r="J237" i="27"/>
  <c r="J216" i="27" s="1"/>
  <c r="L60" i="27" l="1"/>
  <c r="K63" i="27"/>
  <c r="J218" i="27"/>
  <c r="J20" i="27"/>
  <c r="J215" i="27"/>
  <c r="J209" i="27"/>
  <c r="K217" i="27"/>
  <c r="K211" i="27" s="1"/>
  <c r="K58" i="27"/>
  <c r="K65" i="27" s="1"/>
  <c r="K237" i="27"/>
  <c r="K216" i="27" s="1"/>
  <c r="L236" i="27"/>
  <c r="M60" i="27" l="1"/>
  <c r="M63" i="27" s="1"/>
  <c r="L63" i="27"/>
  <c r="K218" i="27"/>
  <c r="L237" i="27"/>
  <c r="L216" i="27" s="1"/>
  <c r="M236" i="27"/>
  <c r="K20" i="27"/>
  <c r="K215" i="27"/>
  <c r="K209" i="27"/>
  <c r="L217" i="27"/>
  <c r="L211" i="27" s="1"/>
  <c r="L58" i="27"/>
  <c r="L65" i="27" s="1"/>
  <c r="L218" i="27" l="1"/>
  <c r="L209" i="27"/>
  <c r="L20" i="27"/>
  <c r="L215" i="27"/>
  <c r="M237" i="27"/>
  <c r="M216" i="27" s="1"/>
  <c r="M217" i="27"/>
  <c r="M211" i="27" s="1"/>
  <c r="M58" i="27"/>
  <c r="M65" i="27" s="1"/>
  <c r="M218" i="27" l="1"/>
  <c r="M215" i="27"/>
  <c r="M209" i="27"/>
  <c r="M20" i="27"/>
  <c r="I21" i="27" l="1"/>
  <c r="I23" i="27" s="1"/>
  <c r="I86" i="27" l="1"/>
  <c r="I27" i="27"/>
  <c r="I99" i="27" l="1"/>
  <c r="M15" i="31" s="1"/>
  <c r="AC58" i="31" s="1"/>
  <c r="M25" i="31"/>
  <c r="I29" i="27"/>
  <c r="I189" i="27" s="1"/>
  <c r="I31" i="27" l="1"/>
  <c r="I166" i="27" s="1"/>
  <c r="I117" i="27"/>
  <c r="I115" i="27" s="1"/>
  <c r="I76" i="27" l="1"/>
  <c r="I264" i="27"/>
  <c r="I267" i="27" s="1"/>
  <c r="I176" i="27"/>
  <c r="I177" i="27"/>
  <c r="I167" i="27" s="1"/>
  <c r="I97" i="27" s="1"/>
  <c r="I100" i="27" l="1"/>
  <c r="M16" i="31"/>
  <c r="I87" i="27"/>
  <c r="I175" i="27" s="1"/>
  <c r="M23" i="31"/>
  <c r="I171" i="27"/>
  <c r="I172" i="27" s="1"/>
  <c r="I265" i="27" s="1"/>
  <c r="I263" i="27" s="1"/>
  <c r="I102" i="27" l="1"/>
  <c r="I104" i="27" s="1"/>
  <c r="I40" i="27" s="1"/>
  <c r="I244" i="27" s="1"/>
  <c r="M40" i="31"/>
  <c r="I210" i="27"/>
  <c r="M39" i="31"/>
  <c r="M27" i="31"/>
  <c r="AC59" i="31"/>
  <c r="AC63" i="31" s="1"/>
  <c r="M17" i="31"/>
  <c r="M21" i="31" s="1"/>
  <c r="J164" i="27"/>
  <c r="I68" i="27"/>
  <c r="I203" i="27" s="1"/>
  <c r="M42" i="31" l="1"/>
  <c r="M44" i="31" s="1"/>
  <c r="M34" i="31" s="1"/>
  <c r="AD67" i="31" s="1"/>
  <c r="AD68" i="31" s="1"/>
  <c r="AC66" i="31" s="1"/>
  <c r="I44" i="27"/>
  <c r="I206" i="27" s="1"/>
  <c r="J103" i="27"/>
  <c r="AC67" i="31"/>
  <c r="I70" i="27"/>
  <c r="I204" i="27"/>
  <c r="I247" i="27"/>
  <c r="I250" i="27"/>
  <c r="J249" i="27" s="1"/>
  <c r="AC68" i="31" l="1"/>
  <c r="AC69" i="31" s="1"/>
  <c r="M36" i="31"/>
  <c r="M41" i="31" s="1"/>
  <c r="I207" i="27"/>
  <c r="I51" i="27"/>
  <c r="I257" i="27"/>
  <c r="I269" i="27"/>
  <c r="I71" i="27"/>
  <c r="M38" i="31" l="1"/>
  <c r="I255" i="27"/>
  <c r="I268" i="27"/>
  <c r="I270" i="27" s="1"/>
  <c r="I260" i="27"/>
  <c r="I261" i="27" l="1"/>
  <c r="J21" i="27"/>
  <c r="J23" i="27" s="1"/>
  <c r="J27" i="27" l="1"/>
  <c r="J29" i="27" s="1"/>
  <c r="J189" i="27" s="1"/>
  <c r="J86" i="27"/>
  <c r="J99" i="27" l="1"/>
  <c r="N15" i="31" s="1"/>
  <c r="N25" i="31"/>
  <c r="J117" i="27"/>
  <c r="J115" i="27" s="1"/>
  <c r="J31" i="27"/>
  <c r="J264" i="27" l="1"/>
  <c r="J76" i="27"/>
  <c r="J166" i="27"/>
  <c r="J176" i="27"/>
  <c r="J87" i="27" l="1"/>
  <c r="N23" i="31"/>
  <c r="J267" i="27"/>
  <c r="J177" i="27"/>
  <c r="J167" i="27" s="1"/>
  <c r="J97" i="27" s="1"/>
  <c r="J210" i="27" l="1"/>
  <c r="J175" i="27"/>
  <c r="N39" i="31"/>
  <c r="J100" i="27"/>
  <c r="N16" i="31"/>
  <c r="N27" i="31"/>
  <c r="J171" i="27"/>
  <c r="J172" i="27" s="1"/>
  <c r="J102" i="27" l="1"/>
  <c r="N40" i="31"/>
  <c r="N17" i="31"/>
  <c r="N21" i="31" s="1"/>
  <c r="K164" i="27"/>
  <c r="J265" i="27"/>
  <c r="J263" i="27" s="1"/>
  <c r="J68" i="27"/>
  <c r="J104" i="27" l="1"/>
  <c r="N42" i="31"/>
  <c r="N44" i="31" s="1"/>
  <c r="N34" i="31" s="1"/>
  <c r="J70" i="27"/>
  <c r="J204" i="27"/>
  <c r="J203" i="27"/>
  <c r="J40" i="27" l="1"/>
  <c r="K103" i="27"/>
  <c r="N36" i="31"/>
  <c r="N41" i="31" l="1"/>
  <c r="N38" i="31"/>
  <c r="J44" i="27"/>
  <c r="J244" i="27"/>
  <c r="J250" i="27" l="1"/>
  <c r="K249" i="27" s="1"/>
  <c r="K21" i="27" s="1"/>
  <c r="K23" i="27" s="1"/>
  <c r="K27" i="27" s="1"/>
  <c r="K29" i="27" s="1"/>
  <c r="K189" i="27" s="1"/>
  <c r="J247" i="27"/>
  <c r="J206" i="27"/>
  <c r="J51" i="27"/>
  <c r="J207" i="27"/>
  <c r="K86" i="27" l="1"/>
  <c r="K99" i="27" s="1"/>
  <c r="O15" i="31" s="1"/>
  <c r="J269" i="27"/>
  <c r="J257" i="27"/>
  <c r="J71" i="27"/>
  <c r="K117" i="27"/>
  <c r="K115" i="27" s="1"/>
  <c r="K31" i="27"/>
  <c r="O25" i="31" l="1"/>
  <c r="J255" i="27"/>
  <c r="J260" i="27"/>
  <c r="J268" i="27"/>
  <c r="J270" i="27" s="1"/>
  <c r="K76" i="27"/>
  <c r="K264" i="27"/>
  <c r="K176" i="27"/>
  <c r="K166" i="27"/>
  <c r="J261" i="27" l="1"/>
  <c r="K87" i="27"/>
  <c r="K175" i="27" s="1"/>
  <c r="O23" i="31"/>
  <c r="K177" i="27"/>
  <c r="K167" i="27" s="1"/>
  <c r="K97" i="27" s="1"/>
  <c r="K267" i="27"/>
  <c r="K210" i="27" l="1"/>
  <c r="K100" i="27"/>
  <c r="O16" i="31"/>
  <c r="O27" i="31"/>
  <c r="O39" i="31"/>
  <c r="K171" i="27"/>
  <c r="K172" i="27" s="1"/>
  <c r="O17" i="31" l="1"/>
  <c r="O21" i="31" s="1"/>
  <c r="K102" i="27"/>
  <c r="O40" i="31"/>
  <c r="K68" i="27"/>
  <c r="L164" i="27"/>
  <c r="K265" i="27"/>
  <c r="K263" i="27" s="1"/>
  <c r="K104" i="27" l="1"/>
  <c r="O42" i="31"/>
  <c r="O44" i="31" s="1"/>
  <c r="O34" i="31" s="1"/>
  <c r="K203" i="27"/>
  <c r="K70" i="27"/>
  <c r="K204" i="27"/>
  <c r="X34" i="31" l="1"/>
  <c r="O36" i="31"/>
  <c r="K40" i="27"/>
  <c r="L103" i="27"/>
  <c r="I82" i="31" l="1"/>
  <c r="K44" i="27"/>
  <c r="K244" i="27"/>
  <c r="O41" i="31"/>
  <c r="O38" i="31"/>
  <c r="K250" i="27" l="1"/>
  <c r="L249" i="27" s="1"/>
  <c r="L21" i="27" s="1"/>
  <c r="L23" i="27" s="1"/>
  <c r="L86" i="27" s="1"/>
  <c r="K247" i="27"/>
  <c r="K206" i="27"/>
  <c r="K51" i="27"/>
  <c r="K207" i="27"/>
  <c r="L99" i="27" l="1"/>
  <c r="P15" i="31" s="1"/>
  <c r="P25" i="31"/>
  <c r="K269" i="27"/>
  <c r="K257" i="27"/>
  <c r="K71" i="27"/>
  <c r="L27" i="27"/>
  <c r="L29" i="27" l="1"/>
  <c r="K268" i="27"/>
  <c r="K270" i="27" s="1"/>
  <c r="K260" i="27"/>
  <c r="K255" i="27"/>
  <c r="L31" i="27"/>
  <c r="L189" i="27" l="1"/>
  <c r="K261" i="27"/>
  <c r="L176" i="27"/>
  <c r="L166" i="27"/>
  <c r="L177" i="27" s="1"/>
  <c r="L167" i="27" s="1"/>
  <c r="L97" i="27" s="1"/>
  <c r="L76" i="27"/>
  <c r="L264" i="27"/>
  <c r="L267" i="27" s="1"/>
  <c r="L117" i="27" l="1"/>
  <c r="L115" i="27" s="1"/>
  <c r="L87" i="27"/>
  <c r="L175" i="27" s="1"/>
  <c r="P23" i="31"/>
  <c r="L100" i="27"/>
  <c r="P16" i="31"/>
  <c r="L171" i="27"/>
  <c r="L172" i="27" s="1"/>
  <c r="L102" i="27" l="1"/>
  <c r="L104" i="27"/>
  <c r="M103" i="27" s="1"/>
  <c r="P42" i="31"/>
  <c r="P43" i="31" s="1"/>
  <c r="P19" i="31" s="1"/>
  <c r="P40" i="31"/>
  <c r="P27" i="31"/>
  <c r="P36" i="31" s="1"/>
  <c r="P17" i="31"/>
  <c r="L210" i="27"/>
  <c r="P39" i="31"/>
  <c r="L265" i="27"/>
  <c r="L263" i="27" s="1"/>
  <c r="M164" i="27"/>
  <c r="L68" i="27"/>
  <c r="P21" i="31" l="1"/>
  <c r="P38" i="31" s="1"/>
  <c r="P41" i="31"/>
  <c r="L40" i="27"/>
  <c r="L244" i="27" s="1"/>
  <c r="L250" i="27" s="1"/>
  <c r="M249" i="27" s="1"/>
  <c r="L44" i="27"/>
  <c r="L51" i="27" s="1"/>
  <c r="L70" i="27"/>
  <c r="L204" i="27"/>
  <c r="L203" i="27"/>
  <c r="L247" i="27"/>
  <c r="L206" i="27" l="1"/>
  <c r="L207" i="27"/>
  <c r="L269" i="27"/>
  <c r="L257" i="27"/>
  <c r="L71" i="27"/>
  <c r="L260" i="27" l="1"/>
  <c r="L255" i="27"/>
  <c r="L268" i="27"/>
  <c r="L270" i="27" s="1"/>
  <c r="L261" i="27" l="1"/>
  <c r="M21" i="27"/>
  <c r="M23" i="27" l="1"/>
  <c r="M86" i="27" l="1"/>
  <c r="P23" i="27"/>
  <c r="M27" i="27"/>
  <c r="P27" i="27" s="1"/>
  <c r="M99" i="27" l="1"/>
  <c r="Q15" i="31" s="1"/>
  <c r="Q25" i="31"/>
  <c r="X25" i="31" s="1"/>
  <c r="M29" i="27"/>
  <c r="P29" i="27" s="1"/>
  <c r="X15" i="31" l="1"/>
  <c r="M189" i="27"/>
  <c r="M31" i="27"/>
  <c r="P31" i="27" s="1"/>
  <c r="H73" i="31" l="1"/>
  <c r="M117" i="27"/>
  <c r="M176" i="27"/>
  <c r="M264" i="27"/>
  <c r="M166" i="27"/>
  <c r="M76" i="27"/>
  <c r="M87" i="27" l="1"/>
  <c r="Q23" i="31"/>
  <c r="M177" i="27"/>
  <c r="M167" i="27" s="1"/>
  <c r="M97" i="27" s="1"/>
  <c r="M210" i="27"/>
  <c r="M175" i="27"/>
  <c r="M267" i="27"/>
  <c r="O117" i="27"/>
  <c r="M115" i="27"/>
  <c r="O115" i="27" s="1"/>
  <c r="Q39" i="31" l="1"/>
  <c r="M100" i="27"/>
  <c r="Q16" i="31"/>
  <c r="Q27" i="31"/>
  <c r="Q36" i="31" s="1"/>
  <c r="X23" i="31"/>
  <c r="M171" i="27"/>
  <c r="M172" i="27" s="1"/>
  <c r="X16" i="31" l="1"/>
  <c r="Q17" i="31"/>
  <c r="X27" i="31"/>
  <c r="M102" i="27"/>
  <c r="Q40" i="31"/>
  <c r="M265" i="27"/>
  <c r="M263" i="27" s="1"/>
  <c r="M68" i="27"/>
  <c r="H82" i="31" l="1"/>
  <c r="X36" i="31"/>
  <c r="M104" i="27"/>
  <c r="M40" i="27" s="1"/>
  <c r="Q42" i="31"/>
  <c r="Q43" i="31" s="1"/>
  <c r="Q19" i="31" s="1"/>
  <c r="X19" i="31" s="1"/>
  <c r="H74" i="31"/>
  <c r="H78" i="31" s="1"/>
  <c r="Y16" i="31"/>
  <c r="X17" i="31"/>
  <c r="M203" i="27"/>
  <c r="M70" i="27"/>
  <c r="M204" i="27"/>
  <c r="X21" i="31" l="1"/>
  <c r="Q21" i="31"/>
  <c r="Q38" i="31" s="1"/>
  <c r="X38" i="31"/>
  <c r="Y8" i="31"/>
  <c r="I77" i="31"/>
  <c r="I83" i="31" s="1"/>
  <c r="H81" i="31" s="1"/>
  <c r="H83" i="31" s="1"/>
  <c r="H84" i="31" s="1"/>
  <c r="Y19" i="31"/>
  <c r="Y9" i="31"/>
  <c r="Y31" i="31"/>
  <c r="Y29" i="31"/>
  <c r="Y14" i="31"/>
  <c r="Y30" i="31"/>
  <c r="Y24" i="31"/>
  <c r="Y10" i="31"/>
  <c r="Y34" i="31"/>
  <c r="Y25" i="31"/>
  <c r="Y15" i="31"/>
  <c r="Y23" i="31"/>
  <c r="M244" i="27"/>
  <c r="M44" i="27"/>
  <c r="Q41" i="31" l="1"/>
  <c r="Y17" i="31"/>
  <c r="Y21" i="31"/>
  <c r="Y12" i="31"/>
  <c r="Y36" i="31"/>
  <c r="Y27" i="31"/>
  <c r="Y32" i="31"/>
  <c r="M51" i="27"/>
  <c r="M207" i="27"/>
  <c r="M206" i="27"/>
  <c r="M250" i="27"/>
  <c r="M247" i="27"/>
  <c r="M257" i="27" l="1"/>
  <c r="M269" i="27"/>
  <c r="M71" i="27"/>
  <c r="M268" i="27" l="1"/>
  <c r="M270" i="27" s="1"/>
  <c r="M260" i="27"/>
  <c r="M255" i="27"/>
  <c r="M261" i="2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I230" authorId="0" shapeId="0" xr:uid="{B45A8A94-5763-4F92-8581-EB772973C7CF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assumes closing end of april (only 8 months of of interest payment)</t>
        </r>
      </text>
    </comment>
  </commentList>
</comments>
</file>

<file path=xl/sharedStrings.xml><?xml version="1.0" encoding="utf-8"?>
<sst xmlns="http://schemas.openxmlformats.org/spreadsheetml/2006/main" count="895" uniqueCount="570">
  <si>
    <t>USD</t>
  </si>
  <si>
    <t>EUR</t>
  </si>
  <si>
    <t>GBP</t>
  </si>
  <si>
    <t>BRL</t>
  </si>
  <si>
    <t>Coupon</t>
  </si>
  <si>
    <t>Offer Date</t>
  </si>
  <si>
    <t>Offering Price</t>
  </si>
  <si>
    <t>Offering YTM</t>
  </si>
  <si>
    <t>Currency</t>
  </si>
  <si>
    <t>Revenue</t>
  </si>
  <si>
    <t>Inventory</t>
  </si>
  <si>
    <t>Goodwill</t>
  </si>
  <si>
    <t>Exhibit 1</t>
  </si>
  <si>
    <t>Exhibit 2</t>
  </si>
  <si>
    <t>Exhibit 3</t>
  </si>
  <si>
    <t>Exhibit 4</t>
  </si>
  <si>
    <t>Exhibit 5</t>
  </si>
  <si>
    <t>Baa1</t>
  </si>
  <si>
    <t>Baa2</t>
  </si>
  <si>
    <t>Baa3</t>
  </si>
  <si>
    <t>Ticker</t>
  </si>
  <si>
    <t>Company Name</t>
  </si>
  <si>
    <t>S&amp;P Rating</t>
  </si>
  <si>
    <t>ABX</t>
  </si>
  <si>
    <t>RIOLN</t>
  </si>
  <si>
    <t>BBB+</t>
  </si>
  <si>
    <t>AAl</t>
  </si>
  <si>
    <t>Anglo American</t>
  </si>
  <si>
    <t>BBB</t>
  </si>
  <si>
    <t>XTA</t>
  </si>
  <si>
    <t>Xstrata</t>
  </si>
  <si>
    <t>VMC</t>
  </si>
  <si>
    <t>AA</t>
  </si>
  <si>
    <t>MT</t>
  </si>
  <si>
    <t>ArcelorMittal</t>
  </si>
  <si>
    <t>REEDLN</t>
  </si>
  <si>
    <t>Reed Elsevier</t>
  </si>
  <si>
    <t>AALLN</t>
  </si>
  <si>
    <t>TLM</t>
  </si>
  <si>
    <t>TITIM</t>
  </si>
  <si>
    <t>GOGLN</t>
  </si>
  <si>
    <t>AAL</t>
  </si>
  <si>
    <t>GASSM</t>
  </si>
  <si>
    <t>Gas Natural</t>
  </si>
  <si>
    <t>Taxes</t>
  </si>
  <si>
    <t>As of December 31,</t>
  </si>
  <si>
    <t xml:space="preserve">Cash </t>
  </si>
  <si>
    <t>Balance Sheet</t>
  </si>
  <si>
    <t>Brazil</t>
  </si>
  <si>
    <t>Luxembourg</t>
  </si>
  <si>
    <t>Switzerland</t>
  </si>
  <si>
    <t>UK/Netherlands</t>
  </si>
  <si>
    <t>Italy</t>
  </si>
  <si>
    <t>Spain</t>
  </si>
  <si>
    <t>Headquarters</t>
  </si>
  <si>
    <t>USD/EUR</t>
  </si>
  <si>
    <t>USD/GBP</t>
  </si>
  <si>
    <t>USD/BRL</t>
  </si>
  <si>
    <t>Inflation</t>
  </si>
  <si>
    <t>Exchange Rates</t>
  </si>
  <si>
    <t>Government Yields</t>
  </si>
  <si>
    <t>EUR-BBB</t>
  </si>
  <si>
    <t>GBP-BBB</t>
  </si>
  <si>
    <t>USD-BBB</t>
  </si>
  <si>
    <t>Quarter Ended:</t>
  </si>
  <si>
    <t>United Kingdom</t>
  </si>
  <si>
    <t>United States</t>
  </si>
  <si>
    <t>Corporate Yields - AAA</t>
  </si>
  <si>
    <t>Corporate Yields - BBB</t>
  </si>
  <si>
    <t>EUR-AAA</t>
  </si>
  <si>
    <t>GBP-AAA</t>
  </si>
  <si>
    <t>USD-AAA</t>
  </si>
  <si>
    <t>Inflation and Yeilds</t>
  </si>
  <si>
    <t>Month Ended:</t>
  </si>
  <si>
    <t>Credit Spreads</t>
  </si>
  <si>
    <t xml:space="preserve">Income Statement </t>
  </si>
  <si>
    <t>Debt Outstanding as of Year Ended December 31, 2009</t>
  </si>
  <si>
    <t>UK/Australia</t>
  </si>
  <si>
    <t>Receivables</t>
  </si>
  <si>
    <t>Outstanding Debt Issues of Comparable Companies</t>
  </si>
  <si>
    <t>Net income</t>
  </si>
  <si>
    <t>Cost of goods sold</t>
  </si>
  <si>
    <t xml:space="preserve">Selling and general </t>
  </si>
  <si>
    <t>Other operating expenses</t>
  </si>
  <si>
    <t>Interest expense (income)</t>
  </si>
  <si>
    <t>Other nonoperating income (expense)</t>
  </si>
  <si>
    <t>Minority interest</t>
  </si>
  <si>
    <t>Year Ended December 31,</t>
  </si>
  <si>
    <t>Common equity</t>
  </si>
  <si>
    <t>Other long-term liabilities</t>
  </si>
  <si>
    <t>Long-term debt</t>
  </si>
  <si>
    <t>Accounts payable</t>
  </si>
  <si>
    <t>Short-term debt</t>
  </si>
  <si>
    <t>Current portion long-term debt</t>
  </si>
  <si>
    <t>Other current liabilities</t>
  </si>
  <si>
    <t>Other long-term assets</t>
  </si>
  <si>
    <t>Data sources: U.S. Federal Reserve and Datastream.</t>
  </si>
  <si>
    <t>Floating rate</t>
  </si>
  <si>
    <t xml:space="preserve">Data sources: Datastream and case writer estimates. </t>
  </si>
  <si>
    <t>(in millions of U.S. dollars)</t>
  </si>
  <si>
    <t>Vale SA</t>
  </si>
  <si>
    <t>Other current assets</t>
  </si>
  <si>
    <t>Property, plant, and equipment</t>
  </si>
  <si>
    <r>
      <t>Maturity Date</t>
    </r>
    <r>
      <rPr>
        <sz val="8"/>
        <color theme="1"/>
        <rFont val="Calibri"/>
        <family val="2"/>
        <scheme val="minor"/>
      </rPr>
      <t> </t>
    </r>
  </si>
  <si>
    <t>Amount</t>
  </si>
  <si>
    <t>May-15-2012</t>
  </si>
  <si>
    <t>May-08-2002</t>
  </si>
  <si>
    <t>Jun-15-2012</t>
  </si>
  <si>
    <t>Jul-07-2009</t>
  </si>
  <si>
    <t>Aug-15-2013</t>
  </si>
  <si>
    <t>Oct-27-2003</t>
  </si>
  <si>
    <t>Aug-01-2003</t>
  </si>
  <si>
    <t>Nov-20-2013</t>
  </si>
  <si>
    <t>Nov-20-2006</t>
  </si>
  <si>
    <t>Mar-15-2014</t>
  </si>
  <si>
    <t>May-05-2004</t>
  </si>
  <si>
    <t>Oct-15-2015</t>
  </si>
  <si>
    <t>Sep-23-2003</t>
  </si>
  <si>
    <t>Jan-11-2016</t>
  </si>
  <si>
    <t>Jan-05-2006</t>
  </si>
  <si>
    <t>Jan-23-2017</t>
  </si>
  <si>
    <t>Nov-16-2006</t>
  </si>
  <si>
    <t>Sep-15-2019</t>
  </si>
  <si>
    <t>Sep-08-2009</t>
  </si>
  <si>
    <t>Mar-14-2023</t>
  </si>
  <si>
    <t>Apr-29-2003</t>
  </si>
  <si>
    <t>Sep-15-2032</t>
  </si>
  <si>
    <t>Sep-18-2002</t>
  </si>
  <si>
    <t>Jan-17-2034</t>
  </si>
  <si>
    <t>Jan-09-2004</t>
  </si>
  <si>
    <t>Nov-21-2036</t>
  </si>
  <si>
    <t>Nov-10-2039</t>
  </si>
  <si>
    <t>Nov-03-2009</t>
  </si>
  <si>
    <t>Mar-14-2052</t>
  </si>
  <si>
    <t>Data source: Capital IQ.</t>
  </si>
  <si>
    <t>YTM on Apr-30-2010</t>
  </si>
  <si>
    <t>Moody’s Rating</t>
  </si>
  <si>
    <t>Jun-01-2016</t>
  </si>
  <si>
    <t>Dec-01-2016</t>
  </si>
  <si>
    <t>Jun-01-2017</t>
  </si>
  <si>
    <t>Xstrata plc</t>
  </si>
  <si>
    <t>Go-Ahead Group plc</t>
  </si>
  <si>
    <t>BBB−</t>
  </si>
  <si>
    <t>Sep-01-2017</t>
  </si>
  <si>
    <t>Dec-01-2017</t>
  </si>
  <si>
    <t>Talisman Energy Inc.</t>
  </si>
  <si>
    <t>Telecom Italia Group</t>
  </si>
  <si>
    <t>Feb-01-2018</t>
  </si>
  <si>
    <t>May-01-2018</t>
  </si>
  <si>
    <t>Vulcan Materials Company</t>
  </si>
  <si>
    <t>Jun-01-2018</t>
  </si>
  <si>
    <t>Alcoa Inc.</t>
  </si>
  <si>
    <t>Rio Tinto plc</t>
  </si>
  <si>
    <t>Jul-01-2018</t>
  </si>
  <si>
    <t>Barrick Gold Corporation</t>
  </si>
  <si>
    <t>A−</t>
  </si>
  <si>
    <t>Sep-01-2018</t>
  </si>
  <si>
    <t>Feb-01-2019</t>
  </si>
  <si>
    <t>Apr-01-2019</t>
  </si>
  <si>
    <t>VALEB</t>
  </si>
  <si>
    <t>Sep-01-2019</t>
  </si>
  <si>
    <t>May-01-2020</t>
  </si>
  <si>
    <t xml:space="preserve">  Government (U.S., Germany, U.K)</t>
  </si>
  <si>
    <t>Dec, 2005</t>
  </si>
  <si>
    <t>Mar, 2006</t>
  </si>
  <si>
    <t>Jun, 2006</t>
  </si>
  <si>
    <t>Sep, 2006</t>
  </si>
  <si>
    <t>Dec, 2006</t>
  </si>
  <si>
    <t>Mar, 2007</t>
  </si>
  <si>
    <t>Jun, 2007</t>
  </si>
  <si>
    <t>Sep, 2007</t>
  </si>
  <si>
    <t>Dec, 2007</t>
  </si>
  <si>
    <t>Mar, 2008</t>
  </si>
  <si>
    <t>Jun, 2008</t>
  </si>
  <si>
    <t>Sep, 2008</t>
  </si>
  <si>
    <t>Dec, 2008</t>
  </si>
  <si>
    <t>Mar, 2009</t>
  </si>
  <si>
    <t>Jun, 2009</t>
  </si>
  <si>
    <t>Sep, 2009</t>
  </si>
  <si>
    <t>Dec, 2009</t>
  </si>
  <si>
    <t>Mar, 2010</t>
  </si>
  <si>
    <t>Jan, 2006</t>
  </si>
  <si>
    <t>Feb, 2006</t>
  </si>
  <si>
    <t>Apr, 2006</t>
  </si>
  <si>
    <t>May, 2006</t>
  </si>
  <si>
    <t>Jul, 2006</t>
  </si>
  <si>
    <t>Aug, 2006</t>
  </si>
  <si>
    <t>Oct, 2006</t>
  </si>
  <si>
    <t>Nov, 2006</t>
  </si>
  <si>
    <t>Jan, 2007</t>
  </si>
  <si>
    <t>Feb, 2007</t>
  </si>
  <si>
    <t>Apr, 2007</t>
  </si>
  <si>
    <t>May, 2007</t>
  </si>
  <si>
    <t>Jul, 2007</t>
  </si>
  <si>
    <t>Aug, 2007</t>
  </si>
  <si>
    <t>Oct, 2007</t>
  </si>
  <si>
    <t>Nov, 2007</t>
  </si>
  <si>
    <t>Jan, 2008</t>
  </si>
  <si>
    <t>Feb, 2008</t>
  </si>
  <si>
    <t>Apr, 2008</t>
  </si>
  <si>
    <t>May, 2008</t>
  </si>
  <si>
    <t>Jul, 2008</t>
  </si>
  <si>
    <t>Aug, 2008</t>
  </si>
  <si>
    <t>Oct, 2008</t>
  </si>
  <si>
    <t>Nov, 2008</t>
  </si>
  <si>
    <t>Jan, 2009</t>
  </si>
  <si>
    <t>Feb, 2009</t>
  </si>
  <si>
    <t>Apr, 2009</t>
  </si>
  <si>
    <t>May, 2009</t>
  </si>
  <si>
    <t>Jul, 2009</t>
  </si>
  <si>
    <t>Aug, 2009</t>
  </si>
  <si>
    <t>Oct, 2009</t>
  </si>
  <si>
    <t>Nov, 2009</t>
  </si>
  <si>
    <t>Jan, 2010</t>
  </si>
  <si>
    <t>Feb, 2010</t>
  </si>
  <si>
    <t>Maturity Date</t>
  </si>
  <si>
    <t>Interest Rates and Exchange Rates as of April 30, 2010</t>
  </si>
  <si>
    <t>Interest rates by maturity (%)</t>
  </si>
  <si>
    <t>Note: Interest rates are zero-curve fixed-to-floating swap rates appropriate for pricing currency forward rates and indicative of prevailing interbank market rates for the given maturities.</t>
  </si>
  <si>
    <t>Data source: Vale 20-F filings, 2000–09.</t>
  </si>
  <si>
    <t xml:space="preserve">  AAA corporate</t>
  </si>
  <si>
    <t xml:space="preserve">  BBB corporate</t>
  </si>
  <si>
    <t>U.S. Dollar</t>
  </si>
  <si>
    <t>Other 10-year yields (%)</t>
  </si>
  <si>
    <t>Euro</t>
  </si>
  <si>
    <t>British Pound</t>
  </si>
  <si>
    <t>Spot rate (in U.S. dollars)</t>
  </si>
  <si>
    <r>
      <rPr>
        <b/>
        <sz val="10"/>
        <color theme="1"/>
        <rFont val="Times New Roman"/>
        <family val="1"/>
      </rPr>
      <t>(in millions U.S. dollars</t>
    </r>
    <r>
      <rPr>
        <b/>
        <sz val="11"/>
        <color theme="1"/>
        <rFont val="Times New Roman"/>
        <family val="1"/>
      </rPr>
      <t>)</t>
    </r>
  </si>
  <si>
    <t>Brazilian Real</t>
  </si>
  <si>
    <t>U.S. dollar</t>
  </si>
  <si>
    <t>British pound</t>
  </si>
  <si>
    <t>(USD/EUR)</t>
  </si>
  <si>
    <t>(USD/GBP)</t>
  </si>
  <si>
    <t xml:space="preserve">  1-year</t>
  </si>
  <si>
    <t xml:space="preserve">  2-year</t>
  </si>
  <si>
    <t xml:space="preserve">  3-year</t>
  </si>
  <si>
    <t xml:space="preserve">  4-year</t>
  </si>
  <si>
    <t xml:space="preserve">  5-year</t>
  </si>
  <si>
    <t xml:space="preserve">  6-year</t>
  </si>
  <si>
    <t xml:space="preserve">  7-year</t>
  </si>
  <si>
    <t xml:space="preserve">  8-year</t>
  </si>
  <si>
    <t>Germany (in EUR)</t>
  </si>
  <si>
    <t>United Kingdom (in GBP)</t>
  </si>
  <si>
    <t>United States (in USD)</t>
  </si>
  <si>
    <t>Depreciation and amortization</t>
  </si>
  <si>
    <t>Capital expenditures</t>
  </si>
  <si>
    <t>Building</t>
  </si>
  <si>
    <t>Installations</t>
  </si>
  <si>
    <t>Equipment</t>
  </si>
  <si>
    <t>Railroads</t>
  </si>
  <si>
    <t>Mine development costs</t>
  </si>
  <si>
    <t>Others</t>
  </si>
  <si>
    <t>Total</t>
  </si>
  <si>
    <t>Sub-total</t>
  </si>
  <si>
    <t>Cost</t>
  </si>
  <si>
    <t>Accumulated</t>
  </si>
  <si>
    <t>Depreciation</t>
  </si>
  <si>
    <t>Net</t>
  </si>
  <si>
    <t>As of December 31, 2009</t>
  </si>
  <si>
    <t>Land and construction in progress</t>
  </si>
  <si>
    <t>Property, plant &amp; equipment, and intangible assets</t>
  </si>
  <si>
    <t>1. Asset list</t>
  </si>
  <si>
    <t>2. Depreciation &amp; amortization</t>
  </si>
  <si>
    <t>D&amp;A expenses - year 2009</t>
  </si>
  <si>
    <t>Annual</t>
  </si>
  <si>
    <t>Useful</t>
  </si>
  <si>
    <t>Life (years)</t>
  </si>
  <si>
    <t>3. Annual Capex and D&amp;A</t>
  </si>
  <si>
    <t>Budget</t>
  </si>
  <si>
    <t>2010E</t>
  </si>
  <si>
    <t>Debt/Equity</t>
  </si>
  <si>
    <t>EBIT</t>
  </si>
  <si>
    <t>EBIT Margin %</t>
  </si>
  <si>
    <t>Gross Margin %</t>
  </si>
  <si>
    <t>EBITDA Margin %</t>
  </si>
  <si>
    <t>EBITDA</t>
  </si>
  <si>
    <t>D&amp;A</t>
  </si>
  <si>
    <t>D&amp;A % of Revenue</t>
  </si>
  <si>
    <t>Interest expense</t>
  </si>
  <si>
    <t>Interest income</t>
  </si>
  <si>
    <t>F/X and other financial results</t>
  </si>
  <si>
    <r>
      <rPr>
        <sz val="10"/>
        <color theme="1"/>
        <rFont val="Times New Roman"/>
        <family val="1"/>
      </rPr>
      <t>Data source: Vale 20-F filings, 2000–09</t>
    </r>
    <r>
      <rPr>
        <sz val="11"/>
        <color theme="1"/>
        <rFont val="Times New Roman"/>
        <family val="1"/>
      </rPr>
      <t xml:space="preserve">. </t>
    </r>
    <r>
      <rPr>
        <i/>
        <sz val="11"/>
        <color theme="1"/>
        <rFont val="Times New Roman"/>
        <family val="1"/>
      </rPr>
      <t>Interest expense detail added by Instructor.</t>
    </r>
  </si>
  <si>
    <t>Current Assets/Current Liabilities</t>
  </si>
  <si>
    <t>Interest Expense</t>
  </si>
  <si>
    <t>Financial Debt</t>
  </si>
  <si>
    <t>Taxes on EBIT</t>
  </si>
  <si>
    <t>Implied Tax rate %</t>
  </si>
  <si>
    <t>Change in working capital</t>
  </si>
  <si>
    <t>Capex % of Revenue</t>
  </si>
  <si>
    <t>Working capital</t>
  </si>
  <si>
    <t>DSO</t>
  </si>
  <si>
    <t>Accounts Receivable</t>
  </si>
  <si>
    <t>Sales</t>
  </si>
  <si>
    <t>DIO</t>
  </si>
  <si>
    <t>DPO</t>
  </si>
  <si>
    <t>Working capital analysis</t>
  </si>
  <si>
    <t xml:space="preserve">    Change in Accounts receivable</t>
  </si>
  <si>
    <t xml:space="preserve">    Change in Inventories</t>
  </si>
  <si>
    <t xml:space="preserve">    Change in Accounts payable</t>
  </si>
  <si>
    <t>NA</t>
  </si>
  <si>
    <t>Average interest rate</t>
  </si>
  <si>
    <t>ROA</t>
  </si>
  <si>
    <t>Assets</t>
  </si>
  <si>
    <t>ROE</t>
  </si>
  <si>
    <t>Net Income</t>
  </si>
  <si>
    <t>Shareholders equity</t>
  </si>
  <si>
    <t>EBITDA/Interest expense</t>
  </si>
  <si>
    <t>Debt/EBITDA</t>
  </si>
  <si>
    <t>Dupont</t>
  </si>
  <si>
    <t>EBIT/Revenue</t>
  </si>
  <si>
    <t>Revenue/Assets</t>
  </si>
  <si>
    <t>Net Income/Revenue</t>
  </si>
  <si>
    <t>Assets/Shareholder equity</t>
  </si>
  <si>
    <t>P&amp;L</t>
  </si>
  <si>
    <t>Vale - Financial Projections</t>
  </si>
  <si>
    <t>Pre-tax income</t>
  </si>
  <si>
    <t>Operating profit (EBIT)</t>
  </si>
  <si>
    <t>Gross margin</t>
  </si>
  <si>
    <t>Y-o-Y growth %</t>
  </si>
  <si>
    <t>EBIT margin %</t>
  </si>
  <si>
    <t>Gross margin %</t>
  </si>
  <si>
    <t>Total current asssets</t>
  </si>
  <si>
    <t>Total asssets</t>
  </si>
  <si>
    <t>Total current liabilities</t>
  </si>
  <si>
    <t>Total non-current liabilities</t>
  </si>
  <si>
    <t>Total non-current assets</t>
  </si>
  <si>
    <t>Total liabilities</t>
  </si>
  <si>
    <t>Total liabilities + common equity</t>
  </si>
  <si>
    <t>Liabilities</t>
  </si>
  <si>
    <t>Shareholders' equity</t>
  </si>
  <si>
    <t>Balance sheet analysis</t>
  </si>
  <si>
    <t>Profitability analysis</t>
  </si>
  <si>
    <t>Dividends</t>
  </si>
  <si>
    <t>Beginning balance - Shareholders' equity</t>
  </si>
  <si>
    <t>Ending balance - Shareholders' equity</t>
  </si>
  <si>
    <t>Share repurchases and treasury stock</t>
  </si>
  <si>
    <t>Changes in Shareholders' equity:</t>
  </si>
  <si>
    <t>Check assets = liabilities + equity</t>
  </si>
  <si>
    <t>Actuals</t>
  </si>
  <si>
    <t>Projections</t>
  </si>
  <si>
    <t>SG&amp;A</t>
  </si>
  <si>
    <t>Fixed expenses</t>
  </si>
  <si>
    <t>Variable expenses</t>
  </si>
  <si>
    <t>Depreciation &amp; amortization</t>
  </si>
  <si>
    <t>COGS</t>
  </si>
  <si>
    <t xml:space="preserve">    Variable expenses - % of Revenues</t>
  </si>
  <si>
    <t>Depreciation and amortization - Projections</t>
  </si>
  <si>
    <t>Capex</t>
  </si>
  <si>
    <t>Projected</t>
  </si>
  <si>
    <t>Life (Years)</t>
  </si>
  <si>
    <t>D&amp;A of Capex 2010</t>
  </si>
  <si>
    <t>D&amp;A of Capex 2011</t>
  </si>
  <si>
    <t>D&amp;A of Capex 2012</t>
  </si>
  <si>
    <t>D&amp;A of Capex 2013</t>
  </si>
  <si>
    <t>D&amp;A of Capex 2014</t>
  </si>
  <si>
    <t>Growth %</t>
  </si>
  <si>
    <t>D&amp;A per Year - Capex 2010-2014</t>
  </si>
  <si>
    <t>Depreciation of Capex 2010-2014</t>
  </si>
  <si>
    <t>Note: Remaining useful life of PP&amp;E</t>
  </si>
  <si>
    <t>Gross PP&amp;E as of 31/12/2009</t>
  </si>
  <si>
    <t>Accumulated depreciation</t>
  </si>
  <si>
    <t>% depreciated as of 31/12/2009 (avg)</t>
  </si>
  <si>
    <t>Net PP&amp;E as of 31/12/2009</t>
  </si>
  <si>
    <t>Remaining useful life (Years)</t>
  </si>
  <si>
    <t>D&amp;A per Year - PP&amp;E 31/12/2009</t>
  </si>
  <si>
    <t>(excludes land &amp; construction in progress - not depreciable)</t>
  </si>
  <si>
    <t>(conclusion: assume 2.7M per year -projections 2010-2014- of D&amp;A for existing assets)</t>
  </si>
  <si>
    <t>Total D&amp;A</t>
  </si>
  <si>
    <t>Personnel</t>
  </si>
  <si>
    <t>Total COGS</t>
  </si>
  <si>
    <t>Rest/Variable</t>
  </si>
  <si>
    <t>Rest/Variable % Rev</t>
  </si>
  <si>
    <t>COGS % Rev</t>
  </si>
  <si>
    <t>CAGR</t>
  </si>
  <si>
    <t>(se deprecia 1/2 el 1er año)</t>
  </si>
  <si>
    <t>Cash Flow Statement</t>
  </si>
  <si>
    <t xml:space="preserve">     Changes in accounts receivable</t>
  </si>
  <si>
    <t xml:space="preserve">     Changes in inventories</t>
  </si>
  <si>
    <t xml:space="preserve">     Changes in accounts payable</t>
  </si>
  <si>
    <t>Cash flow from operations</t>
  </si>
  <si>
    <t>New equity raises</t>
  </si>
  <si>
    <t>Net interest expense</t>
  </si>
  <si>
    <t>Dividend analysis</t>
  </si>
  <si>
    <t>Dividends paid</t>
  </si>
  <si>
    <t>Dividend pay-out %</t>
  </si>
  <si>
    <t>Changes in working capital:</t>
  </si>
  <si>
    <t>Average interest rate in USD</t>
  </si>
  <si>
    <t>Debt analysis</t>
  </si>
  <si>
    <t>Total Debt</t>
  </si>
  <si>
    <t>Existing Debt</t>
  </si>
  <si>
    <t>Average interest rate - existing debt</t>
  </si>
  <si>
    <t>Debt repayment schedule</t>
  </si>
  <si>
    <t>2017+</t>
  </si>
  <si>
    <t>Control</t>
  </si>
  <si>
    <t>Total Debt in USD</t>
  </si>
  <si>
    <t>Existing Long-term Debt repayments</t>
  </si>
  <si>
    <t>Cash balance analysis</t>
  </si>
  <si>
    <t>Cash operating costs per Year</t>
  </si>
  <si>
    <t>Cash operating costs per Month</t>
  </si>
  <si>
    <t>Cash balance</t>
  </si>
  <si>
    <t># of months of operating costs</t>
  </si>
  <si>
    <t>Minimum required cash balance ….................................................................................................................................................................................</t>
  </si>
  <si>
    <t>Interest income on cash balances</t>
  </si>
  <si>
    <t>Average interest rate - Short-term investments</t>
  </si>
  <si>
    <t xml:space="preserve">    Changes in Shareholders' equity</t>
  </si>
  <si>
    <t>New Long-term debt raises (8-Year Bond - Bullet payment)</t>
  </si>
  <si>
    <t>New Long-term debt repayments</t>
  </si>
  <si>
    <t>New Long-term debt - ending balance</t>
  </si>
  <si>
    <t>Interest Expense - new Long-term debt</t>
  </si>
  <si>
    <t>Interest rate - new Long-term debt</t>
  </si>
  <si>
    <t>Paid-in capital (new equity capital raises)</t>
  </si>
  <si>
    <t>Existing Short-term portion of Long-term Debt repayments</t>
  </si>
  <si>
    <t>Existing Debt - ending balance</t>
  </si>
  <si>
    <t xml:space="preserve">     Changes in Working capital</t>
  </si>
  <si>
    <t>Acquisitions</t>
  </si>
  <si>
    <t>Free Cash Flow to Firm ("FCFF")</t>
  </si>
  <si>
    <t>Exhibit 6</t>
  </si>
  <si>
    <t>Hedged Cost of Funds Calculations</t>
  </si>
  <si>
    <t>U.S.  Dollar</t>
  </si>
  <si>
    <t>Cash Flow</t>
  </si>
  <si>
    <t>Issued</t>
  </si>
  <si>
    <t>Data source: Vale 20-F filings, 2009.</t>
  </si>
  <si>
    <t>Credit Spreads and Real Rates Implied by Borrowings</t>
  </si>
  <si>
    <t>Local Vale borrowing rates</t>
  </si>
  <si>
    <t>Government bond rates (10-year)</t>
  </si>
  <si>
    <t>Implied Vale credit spread</t>
  </si>
  <si>
    <t>Interbank rates (8-year)</t>
  </si>
  <si>
    <t>General credit spread AAA</t>
  </si>
  <si>
    <t>General credit spread BBB</t>
  </si>
  <si>
    <t>Vale premium to AAA</t>
  </si>
  <si>
    <t>Government bond rates</t>
  </si>
  <si>
    <t>Expected inflation rates (case)</t>
  </si>
  <si>
    <t>Implied real rate</t>
  </si>
  <si>
    <t>Data sources: Federal Reserve and Datastream.</t>
  </si>
  <si>
    <t>Comparison to Other Issuers</t>
  </si>
  <si>
    <t>Rating</t>
  </si>
  <si>
    <t>YTM</t>
  </si>
  <si>
    <t xml:space="preserve">  Average</t>
  </si>
  <si>
    <t xml:space="preserve">  Vale</t>
  </si>
  <si>
    <t xml:space="preserve">  Difference Vale to average</t>
  </si>
  <si>
    <t>Data sources: Datastream and casewriter estimates.</t>
  </si>
  <si>
    <t>Cash balance (from Balance Sheet)</t>
  </si>
  <si>
    <t>Detailed Calculations</t>
  </si>
  <si>
    <t>(Curr. Assets - Inventories)/Curr. Liabilities</t>
  </si>
  <si>
    <t>se asume que se refinancia siempre</t>
  </si>
  <si>
    <t>Existing Long-Term debt repayments</t>
  </si>
  <si>
    <t>para analisis de sensibilidad: abrir la deuda en distintas monedas y evaluar impacto en P&amp;L y cash en USD, de una apreciacion vs. el Euro y GBP</t>
  </si>
  <si>
    <t>New "debt issuance" required to maintain minimum cash balance …...........................................................................................................................</t>
  </si>
  <si>
    <t>Check - Tiene que dar " 0 ", ajustando la fila arriba "New debt issuance required to maintain minimum cash"---&gt;</t>
  </si>
  <si>
    <t>Long-term</t>
  </si>
  <si>
    <t>New Debt - Long-term Bond</t>
  </si>
  <si>
    <t>en general conviene dejar colchon minimo, si tengo que levantar deuda para mantener este saldo (si la deuda es + cara que el ingreso financiero ganado sobre saldos de caja)</t>
  </si>
  <si>
    <t>New Debt - Banks/Other</t>
  </si>
  <si>
    <t>New Bank/Other debt raises (minimum cash required)</t>
  </si>
  <si>
    <t>New Bank/Other debt repayments</t>
  </si>
  <si>
    <t>New Bank/Other debt - ending balance</t>
  </si>
  <si>
    <t>Interest Expense - new Bank/Other debt</t>
  </si>
  <si>
    <t>Interest rate - new Bank/Other debt</t>
  </si>
  <si>
    <t>Cash Flow Operations/Interest expense</t>
  </si>
  <si>
    <t>Cuando le va bien, Vale tiende a pagar + dividendos/share repurchases</t>
  </si>
  <si>
    <t>Debt/Total Capitalization</t>
  </si>
  <si>
    <t>Interest expense/(income)</t>
  </si>
  <si>
    <t>Cash Flow from Operations</t>
  </si>
  <si>
    <t>Cash Flow from Financings</t>
  </si>
  <si>
    <t>Change in Cash Flow</t>
  </si>
  <si>
    <t>Cash - Beginning Balance</t>
  </si>
  <si>
    <t>Cash - Ending Balance</t>
  </si>
  <si>
    <t>Annual Revenue Growth %</t>
  </si>
  <si>
    <t>P&amp;L Ratios</t>
  </si>
  <si>
    <t>Cash Flow Ratios</t>
  </si>
  <si>
    <t>Credit Ratios</t>
  </si>
  <si>
    <t>Change in Working Capital % of Revenue</t>
  </si>
  <si>
    <t>Days Sales Collections ("DSO")</t>
  </si>
  <si>
    <t>Days Sales Inventory ("DIO")</t>
  </si>
  <si>
    <t>Days Payable ("DPO")</t>
  </si>
  <si>
    <t>Leverage</t>
  </si>
  <si>
    <t>Liquidity</t>
  </si>
  <si>
    <t>Financial Ratios</t>
  </si>
  <si>
    <t>Performance &amp; Risk Indicators</t>
  </si>
  <si>
    <t>Bono en Euro o GBP puede impactar con diferencias de cambio</t>
  </si>
  <si>
    <t>'09-'14</t>
  </si>
  <si>
    <t>Other income/(expense)</t>
  </si>
  <si>
    <t>Net change other assets &amp; liabilities</t>
  </si>
  <si>
    <t>Exist. Short-term debt repayments</t>
  </si>
  <si>
    <t>New Debt issuance (Banks/Other)</t>
  </si>
  <si>
    <t>New Banks/Other debt repayments</t>
  </si>
  <si>
    <t>Long-Term debt issuance</t>
  </si>
  <si>
    <t>Other Long-Term debt repayments</t>
  </si>
  <si>
    <t>(assumes Bond offering closing 30-April-2010)</t>
  </si>
  <si>
    <t>USES</t>
  </si>
  <si>
    <t>SOURCES</t>
  </si>
  <si>
    <t>OPERATING</t>
  </si>
  <si>
    <t>FINANCING</t>
  </si>
  <si>
    <t>Working Capital</t>
  </si>
  <si>
    <t>Debt Principal Repayments</t>
  </si>
  <si>
    <t>LT debt (curr. portion) increase</t>
  </si>
  <si>
    <t>Bank/Other Debt Issuance</t>
  </si>
  <si>
    <t>Check CF Operations</t>
  </si>
  <si>
    <t>Dividend Payments</t>
  </si>
  <si>
    <t>Equity Capital Raises</t>
  </si>
  <si>
    <r>
      <t>D&amp;A Expense (</t>
    </r>
    <r>
      <rPr>
        <i/>
        <sz val="11"/>
        <color theme="1"/>
        <rFont val="Calibri"/>
        <family val="2"/>
        <scheme val="minor"/>
      </rPr>
      <t>Add Back</t>
    </r>
    <r>
      <rPr>
        <sz val="11"/>
        <color theme="1"/>
        <rFont val="Calibri"/>
        <family val="2"/>
        <scheme val="minor"/>
      </rPr>
      <t>)</t>
    </r>
  </si>
  <si>
    <r>
      <t>Interest Expense (</t>
    </r>
    <r>
      <rPr>
        <i/>
        <sz val="11"/>
        <color theme="1"/>
        <rFont val="Calibri"/>
        <family val="2"/>
        <scheme val="minor"/>
      </rPr>
      <t>Add Back</t>
    </r>
    <r>
      <rPr>
        <sz val="11"/>
        <color theme="1"/>
        <rFont val="Calibri"/>
        <family val="2"/>
        <scheme val="minor"/>
      </rPr>
      <t>)</t>
    </r>
  </si>
  <si>
    <t>Total Operating</t>
  </si>
  <si>
    <t>Total Financing</t>
  </si>
  <si>
    <t>Check Change in Cash</t>
  </si>
  <si>
    <t xml:space="preserve">    From Model</t>
  </si>
  <si>
    <t>2005-2009</t>
  </si>
  <si>
    <t>2010-2014</t>
  </si>
  <si>
    <t>TOTAL USES</t>
  </si>
  <si>
    <t>TOTAL SOURCES</t>
  </si>
  <si>
    <t>Long-Term Debt/Bond Issuance</t>
  </si>
  <si>
    <t>Check CF Financings (vs. Change in Cash)</t>
  </si>
  <si>
    <t>Check Sources vs Uses</t>
  </si>
  <si>
    <t>Debt Service</t>
  </si>
  <si>
    <t>Oper. Profit</t>
  </si>
  <si>
    <t>Equity</t>
  </si>
  <si>
    <t>Debt</t>
  </si>
  <si>
    <t xml:space="preserve">       Presented as Investment of Excess Cash (in OPER. USES)</t>
  </si>
  <si>
    <t xml:space="preserve">       Presented as Funding with Own Cash (in OPER. SOURCES)</t>
  </si>
  <si>
    <t>Cash Balance</t>
  </si>
  <si>
    <t>Vale - Sources and Uses of Funds</t>
  </si>
  <si>
    <t>'04-'09</t>
  </si>
  <si>
    <t>'10-'14</t>
  </si>
  <si>
    <t>Excess Cash/Liquidity</t>
  </si>
  <si>
    <t>CASH BALANCE</t>
  </si>
  <si>
    <t>CASH EXCESS</t>
  </si>
  <si>
    <t>Own Cash Used</t>
  </si>
  <si>
    <t>Working Capital &amp; Other Assets</t>
  </si>
  <si>
    <t>para repagar deuda</t>
  </si>
  <si>
    <t>Excess Cash</t>
  </si>
  <si>
    <t>Net Excess Cash</t>
  </si>
  <si>
    <t>Check</t>
  </si>
  <si>
    <t>total</t>
  </si>
  <si>
    <t>Net Own Cash Used</t>
  </si>
  <si>
    <t>'05-'09</t>
  </si>
  <si>
    <t xml:space="preserve">           EBITDA Margin %</t>
  </si>
  <si>
    <r>
      <rPr>
        <b/>
        <u/>
        <sz val="11"/>
        <color theme="1"/>
        <rFont val="Calibri"/>
        <family val="2"/>
        <scheme val="minor"/>
      </rPr>
      <t>Note:</t>
    </r>
    <r>
      <rPr>
        <b/>
        <sz val="11"/>
        <color theme="1"/>
        <rFont val="Calibri"/>
        <family val="2"/>
        <scheme val="minor"/>
      </rPr>
      <t xml:space="preserve"> EBITDA</t>
    </r>
  </si>
  <si>
    <t>Dividend Pay-out Ratio</t>
  </si>
  <si>
    <t>Local Yield:</t>
  </si>
  <si>
    <t>TIR USD-equivalent:</t>
  </si>
  <si>
    <t>se</t>
  </si>
  <si>
    <t>aprecio</t>
  </si>
  <si>
    <t>el euro</t>
  </si>
  <si>
    <t>deprecio</t>
  </si>
  <si>
    <t>el GBP</t>
  </si>
  <si>
    <t>Real</t>
  </si>
  <si>
    <t>check</t>
  </si>
  <si>
    <t>exclude ST investments</t>
  </si>
  <si>
    <t>Projected 2010 (Budget)</t>
  </si>
  <si>
    <t>Actual 2010 (Real)</t>
  </si>
  <si>
    <t>REAL</t>
  </si>
  <si>
    <t>Domestic</t>
  </si>
  <si>
    <t>Non</t>
  </si>
  <si>
    <t>incluye D&amp;A como proxy de "maintenance capex", supuesto conservador</t>
  </si>
  <si>
    <t>Avg. Cost of Debt</t>
  </si>
  <si>
    <r>
      <rPr>
        <i/>
        <u/>
        <sz val="11"/>
        <color theme="1"/>
        <rFont val="Times New Roman"/>
        <family val="1"/>
      </rPr>
      <t>Note:</t>
    </r>
    <r>
      <rPr>
        <i/>
        <sz val="11"/>
        <color theme="1"/>
        <rFont val="Times New Roman"/>
        <family val="1"/>
      </rPr>
      <t xml:space="preserve"> Interese expense (income)</t>
    </r>
  </si>
  <si>
    <t>vs el USD</t>
  </si>
  <si>
    <t>Euro/USD</t>
  </si>
  <si>
    <t>GBP/USD</t>
  </si>
  <si>
    <t>Maturity</t>
  </si>
  <si>
    <t>USD/Euro</t>
  </si>
  <si>
    <t>X-Rate</t>
  </si>
  <si>
    <t>Year</t>
  </si>
  <si>
    <t>Interest Rates</t>
  </si>
  <si>
    <t>Projected Exchange Rates (Interest Rate Parity)</t>
  </si>
  <si>
    <t>Calculation</t>
  </si>
  <si>
    <t>BP</t>
  </si>
  <si>
    <t>USD/BP</t>
  </si>
  <si>
    <t>X-Rate (Yr 0) = (1 + USD Rate)  / (1 + Euro Rate)</t>
  </si>
  <si>
    <t>X-Rate (Yr 0) = (1 + USD Rate)   / (1 + BP Rate)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</si>
</sst>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4" formatCode="0.000"/>
    <numFmt numFmtId="165" formatCode="mmm\-dd\-yyyy"/>
    <numFmt numFmtId="166" formatCode="#,##0.000_);\(#,##0.000\)"/>
    <numFmt numFmtId="167" formatCode="0.000%"/>
    <numFmt numFmtId="168" formatCode="0.0000"/>
    <numFmt numFmtId="169" formatCode="_(* #,##0.000_);_(* \(#,##0.000\);_(* &quot;-&quot;??_);_(@_)"/>
    <numFmt numFmtId="170" formatCode="0.0%"/>
    <numFmt numFmtId="171" formatCode="#,##0.0_);\(#,##0.0\)"/>
    <numFmt numFmtId="172" formatCode="_(* #,##0_);_(* \(#,##0\);_(* &quot;-&quot;??_);_(@_)"/>
    <numFmt numFmtId="173" formatCode="#,##0.0000_);\(#,##0.0000\)"/>
    <numFmt numFmtId="174" formatCode="_(* #,##0.0000_);_(* \(#,##0.0000\);_(* &quot;-&quot;??_);_(@_)"/>
  </numFmts>
  <fonts count="68" x14ac:knownFonts="1">
    <font>
      <sz val="11"/>
      <color theme="1"/>
      <name val="Calibri"/>
      <family val="2"/>
      <scheme val="minor"/>
    </font>
    <font>
      <sz val="1"/>
      <color indexed="9"/>
      <name val="Symbol"/>
      <family val="1"/>
      <charset val="2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8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b/>
      <sz val="11"/>
      <color indexed="8"/>
      <name val="Times New Roman"/>
      <family val="1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sz val="8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0"/>
      <color theme="1"/>
      <name val="Times New Roman"/>
      <family val="1"/>
    </font>
    <font>
      <b/>
      <u/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u/>
      <sz val="11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70C0"/>
      <name val="Times New Roman"/>
      <family val="1"/>
    </font>
    <font>
      <u/>
      <sz val="11"/>
      <color theme="1"/>
      <name val="Times New Roman"/>
      <family val="1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  <font>
      <sz val="8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u/>
      <sz val="11"/>
      <name val="Calibri"/>
      <family val="2"/>
      <scheme val="minor"/>
    </font>
    <font>
      <i/>
      <sz val="1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9"/>
      <color rgb="FF0070C0"/>
      <name val="Calibri"/>
      <family val="2"/>
      <scheme val="minor"/>
    </font>
    <font>
      <b/>
      <i/>
      <sz val="10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3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9">
    <xf numFmtId="0" fontId="0" fillId="0" borderId="0"/>
    <xf numFmtId="0" fontId="1" fillId="0" borderId="0" applyAlignment="0"/>
    <xf numFmtId="0" fontId="9" fillId="0" borderId="0"/>
    <xf numFmtId="9" fontId="4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0" applyNumberFormat="0" applyBorder="0" applyAlignment="0" applyProtection="0"/>
    <xf numFmtId="0" fontId="17" fillId="6" borderId="6" applyNumberFormat="0" applyAlignment="0" applyProtection="0"/>
    <xf numFmtId="0" fontId="18" fillId="7" borderId="7" applyNumberFormat="0" applyAlignment="0" applyProtection="0"/>
    <xf numFmtId="0" fontId="19" fillId="7" borderId="6" applyNumberFormat="0" applyAlignment="0" applyProtection="0"/>
    <xf numFmtId="0" fontId="20" fillId="0" borderId="8" applyNumberFormat="0" applyFill="0" applyAlignment="0" applyProtection="0"/>
    <xf numFmtId="0" fontId="21" fillId="8" borderId="9" applyNumberFormat="0" applyAlignment="0" applyProtection="0"/>
    <xf numFmtId="0" fontId="22" fillId="0" borderId="0" applyNumberFormat="0" applyFill="0" applyBorder="0" applyAlignment="0" applyProtection="0"/>
    <xf numFmtId="0" fontId="4" fillId="9" borderId="10" applyNumberFormat="0" applyFont="0" applyAlignment="0" applyProtection="0"/>
    <xf numFmtId="0" fontId="23" fillId="0" borderId="0" applyNumberFormat="0" applyFill="0" applyBorder="0" applyAlignment="0" applyProtection="0"/>
    <xf numFmtId="0" fontId="24" fillId="0" borderId="11" applyNumberFormat="0" applyFill="0" applyAlignment="0" applyProtection="0"/>
    <xf numFmtId="0" fontId="25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25" fillId="13" borderId="0" applyNumberFormat="0" applyBorder="0" applyAlignment="0" applyProtection="0"/>
    <xf numFmtId="0" fontId="25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25" fillId="17" borderId="0" applyNumberFormat="0" applyBorder="0" applyAlignment="0" applyProtection="0"/>
    <xf numFmtId="0" fontId="25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25" fillId="21" borderId="0" applyNumberFormat="0" applyBorder="0" applyAlignment="0" applyProtection="0"/>
    <xf numFmtId="0" fontId="25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5" fillId="25" borderId="0" applyNumberFormat="0" applyBorder="0" applyAlignment="0" applyProtection="0"/>
    <xf numFmtId="0" fontId="25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25" fillId="29" borderId="0" applyNumberFormat="0" applyBorder="0" applyAlignment="0" applyProtection="0"/>
    <xf numFmtId="0" fontId="25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25" fillId="33" borderId="0" applyNumberFormat="0" applyBorder="0" applyAlignment="0" applyProtection="0"/>
    <xf numFmtId="0" fontId="4" fillId="0" borderId="0"/>
    <xf numFmtId="0" fontId="9" fillId="0" borderId="0"/>
    <xf numFmtId="0" fontId="26" fillId="0" borderId="0"/>
    <xf numFmtId="43" fontId="4" fillId="0" borderId="0" applyFont="0" applyFill="0" applyBorder="0" applyAlignment="0" applyProtection="0"/>
  </cellStyleXfs>
  <cellXfs count="295">
    <xf numFmtId="0" fontId="0" fillId="0" borderId="0" xfId="0"/>
    <xf numFmtId="0" fontId="2" fillId="0" borderId="0" xfId="0" applyFont="1"/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37" fontId="2" fillId="0" borderId="0" xfId="0" applyNumberFormat="1" applyFont="1" applyBorder="1"/>
    <xf numFmtId="37" fontId="2" fillId="0" borderId="1" xfId="0" applyNumberFormat="1" applyFont="1" applyBorder="1"/>
    <xf numFmtId="37" fontId="2" fillId="0" borderId="2" xfId="0" applyNumberFormat="1" applyFont="1" applyBorder="1"/>
    <xf numFmtId="0" fontId="5" fillId="0" borderId="0" xfId="0" applyFont="1"/>
    <xf numFmtId="37" fontId="2" fillId="0" borderId="0" xfId="0" applyNumberFormat="1" applyFont="1"/>
    <xf numFmtId="166" fontId="2" fillId="0" borderId="0" xfId="0" applyNumberFormat="1" applyFont="1" applyBorder="1"/>
    <xf numFmtId="165" fontId="7" fillId="0" borderId="0" xfId="0" applyNumberFormat="1" applyFont="1" applyBorder="1" applyAlignment="1">
      <alignment horizontal="right" vertical="top" wrapText="1"/>
    </xf>
    <xf numFmtId="164" fontId="2" fillId="0" borderId="0" xfId="0" applyNumberFormat="1" applyFont="1"/>
    <xf numFmtId="0" fontId="6" fillId="0" borderId="0" xfId="0" applyFont="1" applyBorder="1" applyAlignment="1">
      <alignment horizontal="center"/>
    </xf>
    <xf numFmtId="164" fontId="2" fillId="0" borderId="0" xfId="0" applyNumberFormat="1" applyFont="1" applyBorder="1"/>
    <xf numFmtId="0" fontId="6" fillId="0" borderId="1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1" fontId="6" fillId="0" borderId="0" xfId="0" applyNumberFormat="1" applyFont="1" applyBorder="1"/>
    <xf numFmtId="0" fontId="2" fillId="0" borderId="0" xfId="0" applyFont="1" applyBorder="1" applyAlignment="1">
      <alignment horizontal="right"/>
    </xf>
    <xf numFmtId="0" fontId="6" fillId="0" borderId="0" xfId="0" applyFont="1" applyBorder="1"/>
    <xf numFmtId="0" fontId="6" fillId="0" borderId="0" xfId="0" applyFont="1" applyBorder="1" applyAlignment="1">
      <alignment horizontal="left"/>
    </xf>
    <xf numFmtId="0" fontId="2" fillId="0" borderId="1" xfId="0" applyFont="1" applyBorder="1"/>
    <xf numFmtId="0" fontId="6" fillId="0" borderId="0" xfId="0" applyFont="1"/>
    <xf numFmtId="49" fontId="6" fillId="0" borderId="0" xfId="0" applyNumberFormat="1" applyFont="1" applyAlignment="1">
      <alignment horizontal="right"/>
    </xf>
    <xf numFmtId="167" fontId="2" fillId="0" borderId="0" xfId="3" applyNumberFormat="1" applyFont="1"/>
    <xf numFmtId="168" fontId="2" fillId="0" borderId="0" xfId="0" applyNumberFormat="1" applyFont="1"/>
    <xf numFmtId="2" fontId="2" fillId="0" borderId="0" xfId="0" applyNumberFormat="1" applyFont="1"/>
    <xf numFmtId="0" fontId="6" fillId="0" borderId="0" xfId="0" applyFont="1" applyAlignment="1">
      <alignment horizontal="right"/>
    </xf>
    <xf numFmtId="166" fontId="2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7" fillId="0" borderId="0" xfId="0" applyFont="1"/>
    <xf numFmtId="0" fontId="27" fillId="0" borderId="0" xfId="0" applyFont="1" applyBorder="1"/>
    <xf numFmtId="0" fontId="27" fillId="0" borderId="0" xfId="0" applyFont="1" applyAlignment="1">
      <alignment vertical="center"/>
    </xf>
    <xf numFmtId="0" fontId="2" fillId="0" borderId="0" xfId="0" applyFont="1" applyAlignment="1"/>
    <xf numFmtId="166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vertical="center" wrapText="1"/>
    </xf>
    <xf numFmtId="0" fontId="8" fillId="2" borderId="0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43" fontId="29" fillId="0" borderId="0" xfId="48" applyFont="1" applyBorder="1" applyAlignment="1">
      <alignment horizontal="center" vertical="center" wrapText="1"/>
    </xf>
    <xf numFmtId="43" fontId="2" fillId="0" borderId="0" xfId="48" applyFont="1" applyBorder="1" applyAlignment="1">
      <alignment horizontal="center" vertical="center" wrapText="1"/>
    </xf>
    <xf numFmtId="0" fontId="29" fillId="0" borderId="0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right" vertical="center" wrapText="1"/>
    </xf>
    <xf numFmtId="3" fontId="29" fillId="0" borderId="0" xfId="0" applyNumberFormat="1" applyFont="1" applyBorder="1" applyAlignment="1">
      <alignment horizontal="right" vertical="center" wrapText="1"/>
    </xf>
    <xf numFmtId="43" fontId="29" fillId="0" borderId="0" xfId="48" applyFont="1" applyBorder="1" applyAlignment="1">
      <alignment horizontal="right" vertical="center" wrapText="1"/>
    </xf>
    <xf numFmtId="0" fontId="30" fillId="0" borderId="0" xfId="0" applyFont="1" applyBorder="1" applyAlignment="1">
      <alignment horizontal="center" vertical="center" wrapText="1"/>
    </xf>
    <xf numFmtId="0" fontId="29" fillId="0" borderId="0" xfId="0" applyFont="1" applyBorder="1" applyAlignment="1">
      <alignment horizontal="left" vertical="center" indent="1"/>
    </xf>
    <xf numFmtId="0" fontId="29" fillId="0" borderId="0" xfId="0" applyFont="1" applyBorder="1" applyAlignment="1">
      <alignment vertical="center"/>
    </xf>
    <xf numFmtId="0" fontId="2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0" fontId="28" fillId="0" borderId="0" xfId="0" applyFont="1" applyBorder="1" applyAlignment="1">
      <alignment vertical="center"/>
    </xf>
    <xf numFmtId="0" fontId="0" fillId="0" borderId="0" xfId="0" applyBorder="1"/>
    <xf numFmtId="169" fontId="29" fillId="0" borderId="0" xfId="48" applyNumberFormat="1" applyFont="1" applyBorder="1" applyAlignment="1">
      <alignment horizontal="right" vertical="center"/>
    </xf>
    <xf numFmtId="43" fontId="29" fillId="0" borderId="0" xfId="48" applyNumberFormat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9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29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37" fontId="6" fillId="0" borderId="0" xfId="0" applyNumberFormat="1" applyFont="1" applyBorder="1"/>
    <xf numFmtId="37" fontId="6" fillId="0" borderId="1" xfId="0" applyNumberFormat="1" applyFont="1" applyBorder="1" applyAlignment="1">
      <alignment horizontal="centerContinuous"/>
    </xf>
    <xf numFmtId="1" fontId="6" fillId="0" borderId="12" xfId="0" applyNumberFormat="1" applyFont="1" applyBorder="1"/>
    <xf numFmtId="1" fontId="6" fillId="0" borderId="12" xfId="0" applyNumberFormat="1" applyFont="1" applyBorder="1" applyAlignment="1">
      <alignment horizontal="center"/>
    </xf>
    <xf numFmtId="0" fontId="6" fillId="0" borderId="1" xfId="0" applyFont="1" applyBorder="1"/>
    <xf numFmtId="0" fontId="2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33" fillId="0" borderId="0" xfId="0" applyFont="1" applyBorder="1"/>
    <xf numFmtId="37" fontId="33" fillId="0" borderId="0" xfId="0" applyNumberFormat="1" applyFont="1" applyBorder="1"/>
    <xf numFmtId="37" fontId="33" fillId="0" borderId="1" xfId="0" applyNumberFormat="1" applyFont="1" applyBorder="1"/>
    <xf numFmtId="0" fontId="32" fillId="0" borderId="0" xfId="0" applyFont="1"/>
    <xf numFmtId="37" fontId="6" fillId="0" borderId="0" xfId="0" applyNumberFormat="1" applyFont="1"/>
    <xf numFmtId="1" fontId="6" fillId="0" borderId="1" xfId="0" applyNumberFormat="1" applyFont="1" applyBorder="1" applyAlignment="1">
      <alignment horizontal="center"/>
    </xf>
    <xf numFmtId="37" fontId="2" fillId="0" borderId="0" xfId="0" applyNumberFormat="1" applyFont="1" applyAlignment="1">
      <alignment horizontal="center"/>
    </xf>
    <xf numFmtId="0" fontId="38" fillId="0" borderId="0" xfId="0" applyFont="1"/>
    <xf numFmtId="9" fontId="2" fillId="0" borderId="0" xfId="3" applyFont="1"/>
    <xf numFmtId="37" fontId="6" fillId="0" borderId="1" xfId="0" applyNumberFormat="1" applyFont="1" applyBorder="1"/>
    <xf numFmtId="37" fontId="37" fillId="0" borderId="0" xfId="0" applyNumberFormat="1" applyFont="1" applyAlignment="1">
      <alignment horizontal="center"/>
    </xf>
    <xf numFmtId="43" fontId="2" fillId="0" borderId="0" xfId="0" applyNumberFormat="1" applyFont="1"/>
    <xf numFmtId="3" fontId="30" fillId="0" borderId="0" xfId="0" applyNumberFormat="1" applyFont="1" applyBorder="1" applyAlignment="1">
      <alignment horizontal="right" vertical="center" wrapText="1"/>
    </xf>
    <xf numFmtId="10" fontId="6" fillId="0" borderId="0" xfId="3" applyNumberFormat="1" applyFont="1"/>
    <xf numFmtId="0" fontId="38" fillId="0" borderId="0" xfId="0" applyFont="1" applyAlignment="1">
      <alignment horizontal="right"/>
    </xf>
    <xf numFmtId="3" fontId="2" fillId="0" borderId="0" xfId="0" applyNumberFormat="1" applyFont="1"/>
    <xf numFmtId="3" fontId="6" fillId="0" borderId="0" xfId="0" applyNumberFormat="1" applyFont="1"/>
    <xf numFmtId="0" fontId="34" fillId="0" borderId="0" xfId="0" applyFont="1" applyAlignment="1">
      <alignment horizontal="center"/>
    </xf>
    <xf numFmtId="3" fontId="33" fillId="0" borderId="0" xfId="0" applyNumberFormat="1" applyFont="1" applyAlignment="1">
      <alignment horizontal="center"/>
    </xf>
    <xf numFmtId="0" fontId="32" fillId="0" borderId="0" xfId="0" applyFont="1" applyAlignment="1">
      <alignment horizontal="center"/>
    </xf>
    <xf numFmtId="167" fontId="0" fillId="0" borderId="0" xfId="3" applyNumberFormat="1" applyFont="1"/>
    <xf numFmtId="9" fontId="37" fillId="0" borderId="0" xfId="0" applyNumberFormat="1" applyFont="1" applyAlignment="1">
      <alignment horizontal="center"/>
    </xf>
    <xf numFmtId="0" fontId="42" fillId="0" borderId="13" xfId="0" applyFont="1" applyBorder="1"/>
    <xf numFmtId="0" fontId="43" fillId="0" borderId="13" xfId="0" applyFont="1" applyBorder="1"/>
    <xf numFmtId="0" fontId="0" fillId="0" borderId="13" xfId="0" applyFont="1" applyBorder="1"/>
    <xf numFmtId="0" fontId="0" fillId="0" borderId="0" xfId="0" applyFont="1"/>
    <xf numFmtId="0" fontId="0" fillId="0" borderId="0" xfId="0" applyFont="1" applyAlignment="1"/>
    <xf numFmtId="0" fontId="0" fillId="0" borderId="1" xfId="0" applyFont="1" applyBorder="1" applyAlignment="1">
      <alignment horizontal="centerContinuous"/>
    </xf>
    <xf numFmtId="0" fontId="21" fillId="34" borderId="1" xfId="0" applyFont="1" applyFill="1" applyBorder="1" applyAlignment="1">
      <alignment horizontal="centerContinuous"/>
    </xf>
    <xf numFmtId="0" fontId="25" fillId="34" borderId="1" xfId="0" applyFont="1" applyFill="1" applyBorder="1" applyAlignment="1">
      <alignment horizontal="centerContinuous"/>
    </xf>
    <xf numFmtId="0" fontId="0" fillId="0" borderId="0" xfId="0" applyFont="1" applyAlignment="1">
      <alignment horizontal="center"/>
    </xf>
    <xf numFmtId="37" fontId="44" fillId="0" borderId="0" xfId="0" applyNumberFormat="1" applyFont="1" applyBorder="1"/>
    <xf numFmtId="1" fontId="24" fillId="0" borderId="14" xfId="0" applyNumberFormat="1" applyFont="1" applyBorder="1"/>
    <xf numFmtId="0" fontId="0" fillId="0" borderId="0" xfId="0" applyFont="1" applyBorder="1"/>
    <xf numFmtId="37" fontId="0" fillId="0" borderId="0" xfId="0" applyNumberFormat="1" applyFont="1" applyBorder="1"/>
    <xf numFmtId="37" fontId="24" fillId="0" borderId="0" xfId="0" applyNumberFormat="1" applyFont="1" applyBorder="1"/>
    <xf numFmtId="172" fontId="0" fillId="0" borderId="0" xfId="48" applyNumberFormat="1" applyFont="1" applyBorder="1"/>
    <xf numFmtId="9" fontId="0" fillId="0" borderId="0" xfId="3" applyFont="1" applyBorder="1"/>
    <xf numFmtId="0" fontId="24" fillId="0" borderId="0" xfId="0" applyFont="1" applyBorder="1"/>
    <xf numFmtId="9" fontId="24" fillId="0" borderId="0" xfId="3" applyFont="1" applyBorder="1"/>
    <xf numFmtId="9" fontId="45" fillId="0" borderId="0" xfId="3" applyFont="1" applyBorder="1"/>
    <xf numFmtId="37" fontId="0" fillId="0" borderId="1" xfId="0" applyNumberFormat="1" applyFont="1" applyBorder="1"/>
    <xf numFmtId="9" fontId="0" fillId="0" borderId="0" xfId="3" applyNumberFormat="1" applyFont="1" applyBorder="1"/>
    <xf numFmtId="9" fontId="24" fillId="0" borderId="0" xfId="3" applyNumberFormat="1" applyFont="1" applyFill="1" applyBorder="1"/>
    <xf numFmtId="0" fontId="22" fillId="0" borderId="0" xfId="0" applyFont="1" applyBorder="1"/>
    <xf numFmtId="10" fontId="0" fillId="0" borderId="0" xfId="3" applyNumberFormat="1" applyFont="1" applyBorder="1"/>
    <xf numFmtId="9" fontId="24" fillId="0" borderId="0" xfId="3" applyNumberFormat="1" applyFont="1" applyBorder="1"/>
    <xf numFmtId="37" fontId="0" fillId="0" borderId="0" xfId="0" applyNumberFormat="1" applyFont="1" applyFill="1" applyBorder="1"/>
    <xf numFmtId="0" fontId="0" fillId="0" borderId="0" xfId="0" applyFont="1" applyFill="1" applyBorder="1"/>
    <xf numFmtId="172" fontId="22" fillId="0" borderId="0" xfId="48" applyNumberFormat="1" applyFont="1"/>
    <xf numFmtId="37" fontId="46" fillId="0" borderId="0" xfId="0" applyNumberFormat="1" applyFont="1" applyBorder="1"/>
    <xf numFmtId="37" fontId="24" fillId="0" borderId="2" xfId="0" applyNumberFormat="1" applyFont="1" applyBorder="1"/>
    <xf numFmtId="0" fontId="44" fillId="0" borderId="0" xfId="0" applyFont="1"/>
    <xf numFmtId="1" fontId="24" fillId="0" borderId="0" xfId="0" applyNumberFormat="1" applyFont="1" applyBorder="1"/>
    <xf numFmtId="0" fontId="39" fillId="0" borderId="0" xfId="0" applyFont="1"/>
    <xf numFmtId="37" fontId="46" fillId="0" borderId="0" xfId="0" applyNumberFormat="1" applyFont="1" applyFill="1" applyBorder="1"/>
    <xf numFmtId="0" fontId="22" fillId="0" borderId="0" xfId="0" applyFont="1"/>
    <xf numFmtId="0" fontId="24" fillId="0" borderId="0" xfId="0" applyFont="1"/>
    <xf numFmtId="37" fontId="24" fillId="0" borderId="0" xfId="0" applyNumberFormat="1" applyFont="1"/>
    <xf numFmtId="37" fontId="0" fillId="0" borderId="13" xfId="0" applyNumberFormat="1" applyFont="1" applyBorder="1"/>
    <xf numFmtId="37" fontId="46" fillId="0" borderId="0" xfId="0" applyNumberFormat="1" applyFont="1" applyFill="1"/>
    <xf numFmtId="0" fontId="46" fillId="0" borderId="0" xfId="0" applyFont="1"/>
    <xf numFmtId="0" fontId="47" fillId="0" borderId="0" xfId="0" applyFont="1"/>
    <xf numFmtId="43" fontId="47" fillId="0" borderId="0" xfId="48" applyFont="1" applyBorder="1"/>
    <xf numFmtId="0" fontId="46" fillId="0" borderId="0" xfId="0" applyFont="1" applyBorder="1"/>
    <xf numFmtId="0" fontId="44" fillId="0" borderId="0" xfId="0" applyFont="1" applyBorder="1"/>
    <xf numFmtId="0" fontId="39" fillId="0" borderId="0" xfId="0" applyFont="1" applyBorder="1"/>
    <xf numFmtId="0" fontId="48" fillId="0" borderId="0" xfId="0" applyFont="1" applyBorder="1"/>
    <xf numFmtId="37" fontId="0" fillId="0" borderId="0" xfId="0" applyNumberFormat="1" applyFont="1" applyBorder="1" applyAlignment="1">
      <alignment horizontal="right"/>
    </xf>
    <xf numFmtId="37" fontId="0" fillId="0" borderId="1" xfId="0" applyNumberFormat="1" applyFont="1" applyBorder="1" applyAlignment="1">
      <alignment horizontal="right"/>
    </xf>
    <xf numFmtId="0" fontId="22" fillId="0" borderId="0" xfId="0" applyFont="1" applyFill="1" applyBorder="1"/>
    <xf numFmtId="37" fontId="47" fillId="0" borderId="0" xfId="0" applyNumberFormat="1" applyFont="1" applyBorder="1"/>
    <xf numFmtId="0" fontId="47" fillId="0" borderId="0" xfId="0" applyFont="1" applyBorder="1"/>
    <xf numFmtId="43" fontId="49" fillId="0" borderId="0" xfId="48" applyFont="1" applyBorder="1"/>
    <xf numFmtId="0" fontId="49" fillId="0" borderId="0" xfId="0" applyFont="1" applyBorder="1"/>
    <xf numFmtId="9" fontId="46" fillId="0" borderId="0" xfId="3" applyNumberFormat="1" applyFont="1" applyBorder="1"/>
    <xf numFmtId="9" fontId="0" fillId="0" borderId="1" xfId="3" applyFont="1" applyBorder="1"/>
    <xf numFmtId="170" fontId="0" fillId="0" borderId="0" xfId="3" applyNumberFormat="1" applyFont="1" applyBorder="1"/>
    <xf numFmtId="170" fontId="46" fillId="0" borderId="0" xfId="3" applyNumberFormat="1" applyFont="1" applyBorder="1"/>
    <xf numFmtId="43" fontId="0" fillId="0" borderId="0" xfId="48" applyFont="1" applyBorder="1"/>
    <xf numFmtId="37" fontId="45" fillId="0" borderId="0" xfId="0" applyNumberFormat="1" applyFont="1" applyBorder="1"/>
    <xf numFmtId="0" fontId="0" fillId="0" borderId="0" xfId="0" applyFont="1" applyBorder="1" applyAlignment="1">
      <alignment horizontal="right"/>
    </xf>
    <xf numFmtId="0" fontId="50" fillId="0" borderId="0" xfId="0" applyFont="1"/>
    <xf numFmtId="0" fontId="51" fillId="0" borderId="0" xfId="0" applyFont="1"/>
    <xf numFmtId="1" fontId="24" fillId="0" borderId="1" xfId="0" applyNumberFormat="1" applyFont="1" applyBorder="1"/>
    <xf numFmtId="0" fontId="43" fillId="0" borderId="0" xfId="0" applyFont="1"/>
    <xf numFmtId="0" fontId="40" fillId="0" borderId="0" xfId="0" applyFont="1"/>
    <xf numFmtId="0" fontId="52" fillId="0" borderId="0" xfId="0" applyFont="1"/>
    <xf numFmtId="37" fontId="0" fillId="0" borderId="0" xfId="0" applyNumberFormat="1" applyFont="1"/>
    <xf numFmtId="37" fontId="46" fillId="35" borderId="15" xfId="0" applyNumberFormat="1" applyFont="1" applyFill="1" applyBorder="1"/>
    <xf numFmtId="37" fontId="0" fillId="0" borderId="12" xfId="0" applyNumberFormat="1" applyFont="1" applyBorder="1"/>
    <xf numFmtId="37" fontId="40" fillId="0" borderId="0" xfId="0" applyNumberFormat="1" applyFont="1"/>
    <xf numFmtId="9" fontId="46" fillId="35" borderId="0" xfId="3" applyFont="1" applyFill="1" applyBorder="1"/>
    <xf numFmtId="9" fontId="40" fillId="0" borderId="0" xfId="3" applyNumberFormat="1" applyFont="1"/>
    <xf numFmtId="9" fontId="0" fillId="0" borderId="0" xfId="0" applyNumberFormat="1" applyFont="1"/>
    <xf numFmtId="171" fontId="0" fillId="0" borderId="0" xfId="0" applyNumberFormat="1" applyFont="1" applyBorder="1"/>
    <xf numFmtId="9" fontId="40" fillId="0" borderId="0" xfId="3" applyFont="1"/>
    <xf numFmtId="0" fontId="41" fillId="0" borderId="0" xfId="0" applyFont="1"/>
    <xf numFmtId="170" fontId="41" fillId="0" borderId="0" xfId="3" applyNumberFormat="1" applyFont="1"/>
    <xf numFmtId="37" fontId="41" fillId="0" borderId="0" xfId="0" applyNumberFormat="1" applyFont="1"/>
    <xf numFmtId="37" fontId="53" fillId="0" borderId="0" xfId="0" applyNumberFormat="1" applyFont="1"/>
    <xf numFmtId="170" fontId="45" fillId="0" borderId="0" xfId="3" applyNumberFormat="1" applyFont="1"/>
    <xf numFmtId="37" fontId="46" fillId="35" borderId="1" xfId="0" applyNumberFormat="1" applyFont="1" applyFill="1" applyBorder="1"/>
    <xf numFmtId="37" fontId="45" fillId="35" borderId="15" xfId="0" applyNumberFormat="1" applyFont="1" applyFill="1" applyBorder="1"/>
    <xf numFmtId="37" fontId="40" fillId="0" borderId="16" xfId="0" applyNumberFormat="1" applyFont="1" applyBorder="1"/>
    <xf numFmtId="37" fontId="46" fillId="0" borderId="0" xfId="0" applyNumberFormat="1" applyFont="1"/>
    <xf numFmtId="170" fontId="45" fillId="35" borderId="0" xfId="0" applyNumberFormat="1" applyFont="1" applyFill="1"/>
    <xf numFmtId="9" fontId="41" fillId="0" borderId="0" xfId="3" applyFont="1"/>
    <xf numFmtId="37" fontId="24" fillId="0" borderId="17" xfId="0" applyNumberFormat="1" applyFont="1" applyBorder="1"/>
    <xf numFmtId="170" fontId="45" fillId="35" borderId="0" xfId="3" applyNumberFormat="1" applyFont="1" applyFill="1"/>
    <xf numFmtId="171" fontId="41" fillId="0" borderId="0" xfId="0" applyNumberFormat="1" applyFont="1"/>
    <xf numFmtId="171" fontId="45" fillId="0" borderId="0" xfId="0" applyNumberFormat="1" applyFont="1"/>
    <xf numFmtId="0" fontId="40" fillId="35" borderId="0" xfId="0" applyFont="1" applyFill="1"/>
    <xf numFmtId="9" fontId="40" fillId="35" borderId="0" xfId="3" applyFont="1" applyFill="1"/>
    <xf numFmtId="0" fontId="54" fillId="35" borderId="0" xfId="0" applyFont="1" applyFill="1" applyAlignment="1">
      <alignment horizontal="right"/>
    </xf>
    <xf numFmtId="37" fontId="55" fillId="35" borderId="0" xfId="0" applyNumberFormat="1" applyFont="1" applyFill="1"/>
    <xf numFmtId="0" fontId="24" fillId="0" borderId="0" xfId="0" applyFont="1" applyAlignment="1">
      <alignment horizontal="right"/>
    </xf>
    <xf numFmtId="43" fontId="40" fillId="0" borderId="0" xfId="48" applyFont="1"/>
    <xf numFmtId="172" fontId="43" fillId="0" borderId="0" xfId="48" applyNumberFormat="1" applyFont="1"/>
    <xf numFmtId="0" fontId="56" fillId="0" borderId="0" xfId="0" applyFont="1" applyAlignment="1">
      <alignment horizontal="center" vertical="center"/>
    </xf>
    <xf numFmtId="39" fontId="0" fillId="0" borderId="0" xfId="48" applyNumberFormat="1" applyFont="1" applyAlignment="1">
      <alignment horizontal="right" indent="1"/>
    </xf>
    <xf numFmtId="173" fontId="0" fillId="0" borderId="0" xfId="48" applyNumberFormat="1" applyFont="1" applyAlignment="1">
      <alignment horizontal="right" indent="1"/>
    </xf>
    <xf numFmtId="43" fontId="0" fillId="0" borderId="0" xfId="0" applyNumberFormat="1" applyFont="1"/>
    <xf numFmtId="0" fontId="50" fillId="0" borderId="0" xfId="0" applyFont="1" applyAlignment="1">
      <alignment vertical="center"/>
    </xf>
    <xf numFmtId="174" fontId="0" fillId="0" borderId="0" xfId="0" applyNumberFormat="1" applyFont="1"/>
    <xf numFmtId="0" fontId="0" fillId="0" borderId="0" xfId="0" applyFont="1" applyAlignment="1">
      <alignment horizontal="left"/>
    </xf>
    <xf numFmtId="0" fontId="24" fillId="0" borderId="0" xfId="0" applyFont="1" applyAlignment="1">
      <alignment horizontal="center"/>
    </xf>
    <xf numFmtId="10" fontId="0" fillId="0" borderId="0" xfId="0" applyNumberFormat="1" applyFont="1" applyAlignment="1">
      <alignment horizontal="center"/>
    </xf>
    <xf numFmtId="10" fontId="0" fillId="0" borderId="1" xfId="0" applyNumberFormat="1" applyFont="1" applyBorder="1" applyAlignment="1">
      <alignment horizontal="center"/>
    </xf>
    <xf numFmtId="0" fontId="50" fillId="0" borderId="0" xfId="0" applyFont="1" applyAlignment="1">
      <alignment horizontal="left" vertical="center"/>
    </xf>
    <xf numFmtId="10" fontId="0" fillId="0" borderId="0" xfId="0" applyNumberFormat="1" applyFont="1"/>
    <xf numFmtId="166" fontId="50" fillId="0" borderId="0" xfId="0" applyNumberFormat="1" applyFont="1"/>
    <xf numFmtId="0" fontId="57" fillId="0" borderId="0" xfId="0" applyFont="1"/>
    <xf numFmtId="166" fontId="57" fillId="0" borderId="0" xfId="0" applyNumberFormat="1" applyFont="1"/>
    <xf numFmtId="0" fontId="39" fillId="0" borderId="0" xfId="0" applyFont="1" applyAlignment="1">
      <alignment horizontal="center" wrapText="1"/>
    </xf>
    <xf numFmtId="37" fontId="46" fillId="0" borderId="1" xfId="0" applyNumberFormat="1" applyFont="1" applyFill="1" applyBorder="1"/>
    <xf numFmtId="9" fontId="0" fillId="0" borderId="0" xfId="0" applyNumberFormat="1" applyFont="1" applyBorder="1"/>
    <xf numFmtId="9" fontId="46" fillId="35" borderId="19" xfId="0" applyNumberFormat="1" applyFont="1" applyFill="1" applyBorder="1" applyAlignment="1">
      <alignment horizontal="center"/>
    </xf>
    <xf numFmtId="37" fontId="40" fillId="0" borderId="0" xfId="0" applyNumberFormat="1" applyFont="1" applyFill="1" applyBorder="1"/>
    <xf numFmtId="37" fontId="40" fillId="0" borderId="13" xfId="0" applyNumberFormat="1" applyFont="1" applyBorder="1"/>
    <xf numFmtId="37" fontId="40" fillId="0" borderId="0" xfId="0" applyNumberFormat="1" applyFont="1" applyBorder="1"/>
    <xf numFmtId="37" fontId="40" fillId="0" borderId="1" xfId="0" applyNumberFormat="1" applyFont="1" applyBorder="1"/>
    <xf numFmtId="0" fontId="48" fillId="0" borderId="0" xfId="0" applyFont="1" applyAlignment="1">
      <alignment horizontal="center"/>
    </xf>
    <xf numFmtId="0" fontId="58" fillId="35" borderId="18" xfId="0" applyFont="1" applyFill="1" applyBorder="1" applyAlignment="1">
      <alignment horizontal="center"/>
    </xf>
    <xf numFmtId="37" fontId="59" fillId="0" borderId="0" xfId="0" applyNumberFormat="1" applyFont="1"/>
    <xf numFmtId="37" fontId="49" fillId="0" borderId="0" xfId="0" applyNumberFormat="1" applyFont="1"/>
    <xf numFmtId="0" fontId="49" fillId="0" borderId="0" xfId="0" applyFont="1"/>
    <xf numFmtId="37" fontId="62" fillId="0" borderId="0" xfId="0" applyNumberFormat="1" applyFont="1"/>
    <xf numFmtId="0" fontId="62" fillId="0" borderId="0" xfId="0" applyFont="1"/>
    <xf numFmtId="43" fontId="0" fillId="0" borderId="0" xfId="48" applyFont="1"/>
    <xf numFmtId="0" fontId="65" fillId="0" borderId="0" xfId="0" applyFont="1"/>
    <xf numFmtId="37" fontId="0" fillId="0" borderId="14" xfId="0" applyNumberFormat="1" applyFont="1" applyBorder="1"/>
    <xf numFmtId="0" fontId="0" fillId="0" borderId="14" xfId="0" applyFont="1" applyBorder="1"/>
    <xf numFmtId="9" fontId="0" fillId="0" borderId="0" xfId="3" applyFont="1"/>
    <xf numFmtId="9" fontId="24" fillId="0" borderId="0" xfId="3" applyFont="1"/>
    <xf numFmtId="1" fontId="24" fillId="0" borderId="14" xfId="0" applyNumberFormat="1" applyFont="1" applyBorder="1" applyAlignment="1">
      <alignment horizontal="centerContinuous"/>
    </xf>
    <xf numFmtId="9" fontId="0" fillId="0" borderId="14" xfId="3" applyFont="1" applyBorder="1"/>
    <xf numFmtId="9" fontId="24" fillId="0" borderId="0" xfId="0" applyNumberFormat="1" applyFont="1"/>
    <xf numFmtId="37" fontId="46" fillId="0" borderId="14" xfId="0" applyNumberFormat="1" applyFont="1" applyBorder="1"/>
    <xf numFmtId="37" fontId="0" fillId="35" borderId="15" xfId="0" applyNumberFormat="1" applyFont="1" applyFill="1" applyBorder="1"/>
    <xf numFmtId="0" fontId="48" fillId="0" borderId="0" xfId="0" applyFont="1"/>
    <xf numFmtId="0" fontId="61" fillId="38" borderId="0" xfId="0" applyFont="1" applyFill="1" applyAlignment="1">
      <alignment horizontal="center" vertical="center" wrapText="1"/>
    </xf>
    <xf numFmtId="0" fontId="61" fillId="39" borderId="0" xfId="0" applyFont="1" applyFill="1" applyAlignment="1">
      <alignment horizontal="center" vertical="center" wrapText="1"/>
    </xf>
    <xf numFmtId="37" fontId="48" fillId="0" borderId="0" xfId="0" applyNumberFormat="1" applyFont="1"/>
    <xf numFmtId="43" fontId="49" fillId="0" borderId="0" xfId="48" applyFont="1"/>
    <xf numFmtId="0" fontId="48" fillId="0" borderId="0" xfId="0" applyFont="1" applyAlignment="1">
      <alignment horizontal="right"/>
    </xf>
    <xf numFmtId="0" fontId="48" fillId="0" borderId="0" xfId="0" quotePrefix="1" applyFont="1" applyAlignment="1">
      <alignment horizontal="right"/>
    </xf>
    <xf numFmtId="0" fontId="48" fillId="0" borderId="0" xfId="0" applyFont="1" applyAlignment="1">
      <alignment horizontal="left"/>
    </xf>
    <xf numFmtId="0" fontId="0" fillId="0" borderId="13" xfId="0" applyFont="1" applyBorder="1" applyAlignment="1">
      <alignment horizontal="centerContinuous"/>
    </xf>
    <xf numFmtId="0" fontId="50" fillId="0" borderId="1" xfId="0" quotePrefix="1" applyFont="1" applyBorder="1" applyAlignment="1">
      <alignment horizontal="center"/>
    </xf>
    <xf numFmtId="0" fontId="24" fillId="0" borderId="0" xfId="0" applyFont="1" applyFill="1" applyBorder="1"/>
    <xf numFmtId="170" fontId="46" fillId="0" borderId="0" xfId="3" applyNumberFormat="1" applyFont="1" applyAlignment="1">
      <alignment horizontal="center"/>
    </xf>
    <xf numFmtId="0" fontId="24" fillId="40" borderId="0" xfId="0" applyFont="1" applyFill="1"/>
    <xf numFmtId="167" fontId="24" fillId="40" borderId="0" xfId="0" applyNumberFormat="1" applyFont="1" applyFill="1"/>
    <xf numFmtId="0" fontId="24" fillId="0" borderId="13" xfId="0" applyFont="1" applyBorder="1" applyAlignment="1">
      <alignment horizontal="center"/>
    </xf>
    <xf numFmtId="0" fontId="60" fillId="0" borderId="0" xfId="0" applyFont="1"/>
    <xf numFmtId="0" fontId="24" fillId="41" borderId="0" xfId="0" applyFont="1" applyFill="1"/>
    <xf numFmtId="167" fontId="24" fillId="41" borderId="0" xfId="0" applyNumberFormat="1" applyFont="1" applyFill="1" applyAlignment="1">
      <alignment horizontal="center"/>
    </xf>
    <xf numFmtId="0" fontId="0" fillId="41" borderId="0" xfId="0" applyFont="1" applyFill="1"/>
    <xf numFmtId="39" fontId="24" fillId="0" borderId="0" xfId="48" applyNumberFormat="1" applyFont="1" applyAlignment="1">
      <alignment horizontal="right" indent="1"/>
    </xf>
    <xf numFmtId="0" fontId="57" fillId="35" borderId="0" xfId="0" applyFont="1" applyFill="1"/>
    <xf numFmtId="0" fontId="50" fillId="35" borderId="0" xfId="0" applyFont="1" applyFill="1"/>
    <xf numFmtId="166" fontId="57" fillId="35" borderId="0" xfId="0" applyNumberFormat="1" applyFont="1" applyFill="1"/>
    <xf numFmtId="0" fontId="57" fillId="42" borderId="0" xfId="0" applyFont="1" applyFill="1"/>
    <xf numFmtId="166" fontId="57" fillId="42" borderId="1" xfId="0" applyNumberFormat="1" applyFont="1" applyFill="1" applyBorder="1"/>
    <xf numFmtId="0" fontId="39" fillId="0" borderId="0" xfId="0" applyFont="1" applyAlignment="1">
      <alignment horizontal="left" wrapText="1"/>
    </xf>
    <xf numFmtId="0" fontId="24" fillId="43" borderId="1" xfId="0" applyFont="1" applyFill="1" applyBorder="1"/>
    <xf numFmtId="0" fontId="0" fillId="43" borderId="1" xfId="0" applyFont="1" applyFill="1" applyBorder="1"/>
    <xf numFmtId="0" fontId="60" fillId="43" borderId="1" xfId="0" applyFont="1" applyFill="1" applyBorder="1" applyAlignment="1">
      <alignment horizontal="center"/>
    </xf>
    <xf numFmtId="0" fontId="21" fillId="44" borderId="1" xfId="0" applyFont="1" applyFill="1" applyBorder="1"/>
    <xf numFmtId="0" fontId="25" fillId="44" borderId="1" xfId="0" applyFont="1" applyFill="1" applyBorder="1"/>
    <xf numFmtId="166" fontId="25" fillId="44" borderId="1" xfId="0" applyNumberFormat="1" applyFont="1" applyFill="1" applyBorder="1"/>
    <xf numFmtId="0" fontId="21" fillId="36" borderId="1" xfId="0" applyFont="1" applyFill="1" applyBorder="1"/>
    <xf numFmtId="0" fontId="25" fillId="36" borderId="1" xfId="0" applyFont="1" applyFill="1" applyBorder="1"/>
    <xf numFmtId="166" fontId="25" fillId="36" borderId="1" xfId="0" applyNumberFormat="1" applyFont="1" applyFill="1" applyBorder="1"/>
    <xf numFmtId="9" fontId="41" fillId="0" borderId="0" xfId="3" applyFont="1" applyBorder="1"/>
    <xf numFmtId="0" fontId="0" fillId="0" borderId="0" xfId="0" applyFont="1" applyAlignment="1">
      <alignment horizontal="right"/>
    </xf>
    <xf numFmtId="0" fontId="61" fillId="44" borderId="13" xfId="0" applyFont="1" applyFill="1" applyBorder="1" applyAlignment="1">
      <alignment horizontal="center"/>
    </xf>
    <xf numFmtId="0" fontId="61" fillId="36" borderId="13" xfId="0" applyFont="1" applyFill="1" applyBorder="1" applyAlignment="1">
      <alignment horizontal="center"/>
    </xf>
    <xf numFmtId="0" fontId="61" fillId="44" borderId="13" xfId="0" applyFont="1" applyFill="1" applyBorder="1" applyAlignment="1">
      <alignment horizontal="center"/>
    </xf>
    <xf numFmtId="0" fontId="61" fillId="36" borderId="13" xfId="0" applyFont="1" applyFill="1" applyBorder="1" applyAlignment="1">
      <alignment horizontal="center"/>
    </xf>
    <xf numFmtId="0" fontId="0" fillId="0" borderId="0" xfId="0" applyFont="1" applyAlignment="1">
      <alignment horizontal="left"/>
    </xf>
    <xf numFmtId="0" fontId="63" fillId="36" borderId="0" xfId="0" applyFont="1" applyFill="1" applyAlignment="1">
      <alignment horizontal="center" vertical="center" wrapText="1"/>
    </xf>
    <xf numFmtId="0" fontId="6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63" fillId="37" borderId="0" xfId="0" applyFont="1" applyFill="1" applyAlignment="1">
      <alignment horizontal="center" vertical="center" wrapText="1"/>
    </xf>
    <xf numFmtId="0" fontId="64" fillId="37" borderId="0" xfId="0" applyFont="1" applyFill="1" applyAlignment="1">
      <alignment horizontal="center" vertical="center" wrapText="1"/>
    </xf>
    <xf numFmtId="0" fontId="61" fillId="38" borderId="0" xfId="0" applyFont="1" applyFill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37" fontId="6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Border="1" applyAlignment="1">
      <alignment horizontal="center" vertical="center" wrapText="1"/>
    </xf>
    <xf numFmtId="10" fontId="0" fillId="0" borderId="0" xfId="3" applyNumberFormat="1" applyFont="1" applyAlignment="1">
      <alignment horizontal="center"/>
    </xf>
    <xf numFmtId="0" fontId="24" fillId="0" borderId="13" xfId="0" applyFont="1" applyBorder="1" applyAlignment="1">
      <alignment horizontal="centerContinuous"/>
    </xf>
    <xf numFmtId="0" fontId="0" fillId="0" borderId="13" xfId="0" applyFont="1" applyBorder="1" applyAlignment="1">
      <alignment horizontal="center"/>
    </xf>
    <xf numFmtId="0" fontId="66" fillId="0" borderId="0" xfId="0" applyFont="1"/>
    <xf numFmtId="173" fontId="24" fillId="0" borderId="0" xfId="0" applyNumberFormat="1" applyFont="1"/>
    <xf numFmtId="0" fontId="61" fillId="44" borderId="13" xfId="0" applyFont="1" applyFill="1" applyBorder="1" applyAlignment="1">
      <alignment horizontal="centerContinuous"/>
    </xf>
    <xf numFmtId="0" fontId="61" fillId="36" borderId="13" xfId="0" applyFont="1" applyFill="1" applyBorder="1" applyAlignment="1">
      <alignment horizontal="centerContinuous"/>
    </xf>
    <xf numFmtId="0" fontId="67" fillId="36" borderId="13" xfId="0" applyFont="1" applyFill="1" applyBorder="1" applyAlignment="1">
      <alignment horizontal="centerContinuous"/>
    </xf>
    <xf numFmtId="0" fontId="60" fillId="0" borderId="13" xfId="0" applyFont="1" applyBorder="1" applyAlignment="1">
      <alignment horizontal="centerContinuous"/>
    </xf>
    <xf numFmtId="0" fontId="56" fillId="0" borderId="0" xfId="0" applyFont="1"/>
    <xf numFmtId="10" fontId="24" fillId="40" borderId="0" xfId="0" applyNumberFormat="1" applyFont="1" applyFill="1" applyAlignment="1">
      <alignment horizontal="center"/>
    </xf>
  </cellXfs>
  <cellStyles count="49">
    <cellStyle name="20% - Énfasis1" xfId="22" builtinId="30" customBuiltin="1"/>
    <cellStyle name="20% - Énfasis2" xfId="26" builtinId="34" customBuiltin="1"/>
    <cellStyle name="20% - Énfasis3" xfId="30" builtinId="38" customBuiltin="1"/>
    <cellStyle name="20% - Énfasis4" xfId="34" builtinId="42" customBuiltin="1"/>
    <cellStyle name="20% - Énfasis5" xfId="38" builtinId="46" customBuiltin="1"/>
    <cellStyle name="20% - Énfasis6" xfId="42" builtinId="50" customBuiltin="1"/>
    <cellStyle name="40% - Énfasis1" xfId="23" builtinId="31" customBuiltin="1"/>
    <cellStyle name="40% - Énfasis2" xfId="27" builtinId="35" customBuiltin="1"/>
    <cellStyle name="40% - Énfasis3" xfId="31" builtinId="39" customBuiltin="1"/>
    <cellStyle name="40% - Énfasis4" xfId="35" builtinId="43" customBuiltin="1"/>
    <cellStyle name="40% - Énfasis5" xfId="39" builtinId="47" customBuiltin="1"/>
    <cellStyle name="40% - Énfasis6" xfId="43" builtinId="51" customBuiltin="1"/>
    <cellStyle name="60% - Énfasis1" xfId="24" builtinId="32" customBuiltin="1"/>
    <cellStyle name="60% - Énfasis2" xfId="28" builtinId="36" customBuiltin="1"/>
    <cellStyle name="60% - Énfasis3" xfId="32" builtinId="40" customBuiltin="1"/>
    <cellStyle name="60% - Énfasis4" xfId="36" builtinId="44" customBuiltin="1"/>
    <cellStyle name="60% - Énfasis5" xfId="40" builtinId="48" customBuiltin="1"/>
    <cellStyle name="60% - Énfasis6" xfId="44" builtinId="52" customBuiltin="1"/>
    <cellStyle name="Bueno" xfId="9" builtinId="26" customBuiltin="1"/>
    <cellStyle name="Cálculo" xfId="14" builtinId="22" customBuiltin="1"/>
    <cellStyle name="Celda de comprobación" xfId="16" builtinId="23" customBuiltin="1"/>
    <cellStyle name="Celda vinculada" xfId="15" builtinId="24" customBuiltin="1"/>
    <cellStyle name="Encabezado 1" xfId="5" builtinId="16" customBuiltin="1"/>
    <cellStyle name="Encabezado 4" xfId="8" builtinId="19" customBuiltin="1"/>
    <cellStyle name="Énfasis1" xfId="21" builtinId="29" customBuiltin="1"/>
    <cellStyle name="Énfasis2" xfId="25" builtinId="33" customBuiltin="1"/>
    <cellStyle name="Énfasis3" xfId="29" builtinId="37" customBuiltin="1"/>
    <cellStyle name="Énfasis4" xfId="33" builtinId="41" customBuiltin="1"/>
    <cellStyle name="Énfasis5" xfId="37" builtinId="45" customBuiltin="1"/>
    <cellStyle name="Énfasis6" xfId="41" builtinId="49" customBuiltin="1"/>
    <cellStyle name="Entrada" xfId="12" builtinId="20" customBuiltin="1"/>
    <cellStyle name="Incorrecto" xfId="10" builtinId="27" customBuiltin="1"/>
    <cellStyle name="Invisible" xfId="1" xr:uid="{00000000-0005-0000-0000-000023000000}"/>
    <cellStyle name="Millares" xfId="48" builtinId="3"/>
    <cellStyle name="Neutral" xfId="11" builtinId="28" customBuiltin="1"/>
    <cellStyle name="Normal" xfId="0" builtinId="0"/>
    <cellStyle name="Normal 2" xfId="2" xr:uid="{00000000-0005-0000-0000-000027000000}"/>
    <cellStyle name="Normal 2 2" xfId="45" xr:uid="{00000000-0005-0000-0000-000028000000}"/>
    <cellStyle name="Normal 2 2 2" xfId="46" xr:uid="{00000000-0005-0000-0000-000029000000}"/>
    <cellStyle name="Normal 3" xfId="47" xr:uid="{00000000-0005-0000-0000-00002A000000}"/>
    <cellStyle name="Notas" xfId="18" builtinId="10" customBuiltin="1"/>
    <cellStyle name="Porcentaje" xfId="3" builtinId="5"/>
    <cellStyle name="Salida" xfId="13" builtinId="21" customBuiltin="1"/>
    <cellStyle name="Texto de advertencia" xfId="17" builtinId="11" customBuiltin="1"/>
    <cellStyle name="Texto explicativo" xfId="19" builtinId="53" customBuiltin="1"/>
    <cellStyle name="Título" xfId="4" builtinId="15" customBuiltin="1"/>
    <cellStyle name="Título 2" xfId="6" builtinId="17" customBuiltin="1"/>
    <cellStyle name="Título 3" xfId="7" builtinId="18" customBuiltin="1"/>
    <cellStyle name="Total" xfId="20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hartsheet" Target="chartsheets/sheet2.xml"/><Relationship Id="rId18" Type="http://schemas.openxmlformats.org/officeDocument/2006/relationships/worksheet" Target="worksheets/sheet14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1.xml"/><Relationship Id="rId17" Type="http://schemas.openxmlformats.org/officeDocument/2006/relationships/worksheet" Target="worksheets/sheet13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2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chartsheet" Target="chartsheets/sheet4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hartsheet" Target="chartsheets/sheet3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0092655276474163E-2"/>
          <c:y val="1.760962120640466E-2"/>
          <c:w val="0.89981468944705179"/>
          <c:h val="0.95748688806069171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'Uses - Sources'!$G$58</c:f>
              <c:strCache>
                <c:ptCount val="1"/>
                <c:pt idx="0">
                  <c:v>Debt Service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'Uses - Sources'!$H$58</c:f>
              <c:numCache>
                <c:formatCode>#,##0_);\(#,##0\)</c:formatCode>
                <c:ptCount val="1"/>
                <c:pt idx="0">
                  <c:v>26.986999999999998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08-4B17-9D99-F6E6E2413131}"/>
            </c:ext>
          </c:extLst>
        </c:ser>
        <c:ser>
          <c:idx val="1"/>
          <c:order val="1"/>
          <c:tx>
            <c:strRef>
              <c:f>'Uses - Sources'!$G$59</c:f>
              <c:strCache>
                <c:ptCount val="1"/>
                <c:pt idx="0">
                  <c:v>Dividends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5C08-4B17-9D99-F6E6E241313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'Uses - Sources'!$H$59</c:f>
              <c:numCache>
                <c:formatCode>#,##0_);\(#,##0\)</c:formatCode>
                <c:ptCount val="1"/>
                <c:pt idx="0">
                  <c:v>10.048999999999999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08-4B17-9D99-F6E6E2413131}"/>
            </c:ext>
          </c:extLst>
        </c:ser>
        <c:ser>
          <c:idx val="2"/>
          <c:order val="2"/>
          <c:tx>
            <c:strRef>
              <c:f>'Uses - Sources'!$G$60</c:f>
              <c:strCache>
                <c:ptCount val="1"/>
                <c:pt idx="0">
                  <c:v>Acquisitions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'Uses - Sources'!$H$60</c:f>
              <c:numCache>
                <c:formatCode>#,##0_);\(#,##0\)</c:formatCode>
                <c:ptCount val="1"/>
                <c:pt idx="0">
                  <c:v>19.350000000000001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C08-4B17-9D99-F6E6E2413131}"/>
            </c:ext>
          </c:extLst>
        </c:ser>
        <c:ser>
          <c:idx val="3"/>
          <c:order val="3"/>
          <c:tx>
            <c:strRef>
              <c:f>'Uses - Sources'!$G$61</c:f>
              <c:strCache>
                <c:ptCount val="1"/>
                <c:pt idx="0">
                  <c:v>Working Capital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5C08-4B17-9D99-F6E6E241313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'Uses - Sources'!$H$61</c:f>
              <c:numCache>
                <c:formatCode>#,##0_);\(#,##0\)</c:formatCode>
                <c:ptCount val="1"/>
                <c:pt idx="0">
                  <c:v>5.0270000000000001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C08-4B17-9D99-F6E6E2413131}"/>
            </c:ext>
          </c:extLst>
        </c:ser>
        <c:ser>
          <c:idx val="4"/>
          <c:order val="4"/>
          <c:tx>
            <c:strRef>
              <c:f>'Uses - Sources'!$G$62</c:f>
              <c:strCache>
                <c:ptCount val="1"/>
                <c:pt idx="0">
                  <c:v>Capex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5C08-4B17-9D99-F6E6E241313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'Uses - Sources'!$H$62</c:f>
              <c:numCache>
                <c:formatCode>#,##0_);\(#,##0\)</c:formatCode>
                <c:ptCount val="1"/>
                <c:pt idx="0">
                  <c:v>35.695999999999998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C08-4B17-9D99-F6E6E24131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39834512"/>
        <c:axId val="2007485472"/>
      </c:barChart>
      <c:catAx>
        <c:axId val="33983451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007485472"/>
        <c:crosses val="autoZero"/>
        <c:auto val="1"/>
        <c:lblAlgn val="ctr"/>
        <c:lblOffset val="100"/>
        <c:noMultiLvlLbl val="0"/>
      </c:catAx>
      <c:valAx>
        <c:axId val="2007485472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339834512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0092655276474163E-2"/>
          <c:y val="1.760962120640466E-2"/>
          <c:w val="0.89981468944705179"/>
          <c:h val="0.95748688806069171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'Uses - Sources'!$G$65</c:f>
              <c:strCache>
                <c:ptCount val="1"/>
                <c:pt idx="0">
                  <c:v>Debt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'Uses - Sources'!$H$65</c:f>
              <c:numCache>
                <c:formatCode>#,##0_);\(#,##0\)</c:formatCode>
                <c:ptCount val="1"/>
                <c:pt idx="0">
                  <c:v>18.387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08-4B17-9D99-F6E6E2413131}"/>
            </c:ext>
          </c:extLst>
        </c:ser>
        <c:ser>
          <c:idx val="1"/>
          <c:order val="1"/>
          <c:tx>
            <c:strRef>
              <c:f>'Uses - Sources'!$G$66</c:f>
              <c:strCache>
                <c:ptCount val="1"/>
                <c:pt idx="0">
                  <c:v>Equity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5C08-4B17-9D99-F6E6E241313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'Uses - Sources'!$H$66</c:f>
              <c:numCache>
                <c:formatCode>#,##0_);\(#,##0\)</c:formatCode>
                <c:ptCount val="1"/>
                <c:pt idx="0">
                  <c:v>29.734999999999999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08-4B17-9D99-F6E6E2413131}"/>
            </c:ext>
          </c:extLst>
        </c:ser>
        <c:ser>
          <c:idx val="2"/>
          <c:order val="2"/>
          <c:tx>
            <c:strRef>
              <c:f>'Uses - Sources'!$G$67</c:f>
              <c:strCache>
                <c:ptCount val="1"/>
                <c:pt idx="0">
                  <c:v>Oper. Profit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B5A5-4BEF-B094-1DD013E2B1F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'Uses - Sources'!$H$67</c:f>
              <c:numCache>
                <c:formatCode>#,##0_);\(#,##0\)</c:formatCode>
                <c:ptCount val="1"/>
                <c:pt idx="0">
                  <c:v>48.987000000000002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C08-4B17-9D99-F6E6E24131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39834512"/>
        <c:axId val="2007485472"/>
      </c:barChart>
      <c:catAx>
        <c:axId val="33983451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007485472"/>
        <c:crosses val="autoZero"/>
        <c:auto val="1"/>
        <c:lblAlgn val="ctr"/>
        <c:lblOffset val="100"/>
        <c:noMultiLvlLbl val="0"/>
      </c:catAx>
      <c:valAx>
        <c:axId val="2007485472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339834512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0092655276474163E-2"/>
          <c:y val="1.760962120640466E-2"/>
          <c:w val="0.89981468944705179"/>
          <c:h val="0.95748688806069171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'Uses - Sources'!$G$65</c:f>
              <c:strCache>
                <c:ptCount val="1"/>
                <c:pt idx="0">
                  <c:v>Debt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'Uses - Sources'!$H$65</c:f>
              <c:numCache>
                <c:formatCode>#,##0_);\(#,##0\)</c:formatCode>
                <c:ptCount val="1"/>
                <c:pt idx="0">
                  <c:v>18.387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08-4B17-9D99-F6E6E2413131}"/>
            </c:ext>
          </c:extLst>
        </c:ser>
        <c:ser>
          <c:idx val="1"/>
          <c:order val="1"/>
          <c:tx>
            <c:strRef>
              <c:f>'Uses - Sources'!$G$66</c:f>
              <c:strCache>
                <c:ptCount val="1"/>
                <c:pt idx="0">
                  <c:v>Equity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5C08-4B17-9D99-F6E6E241313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'Uses - Sources'!$H$66</c:f>
              <c:numCache>
                <c:formatCode>#,##0_);\(#,##0\)</c:formatCode>
                <c:ptCount val="1"/>
                <c:pt idx="0">
                  <c:v>29.734999999999999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08-4B17-9D99-F6E6E2413131}"/>
            </c:ext>
          </c:extLst>
        </c:ser>
        <c:ser>
          <c:idx val="2"/>
          <c:order val="2"/>
          <c:tx>
            <c:strRef>
              <c:f>'Uses - Sources'!$G$67</c:f>
              <c:strCache>
                <c:ptCount val="1"/>
                <c:pt idx="0">
                  <c:v>Oper. Profit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B5A5-4BEF-B094-1DD013E2B1F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'Uses - Sources'!$H$67</c:f>
              <c:numCache>
                <c:formatCode>#,##0_);\(#,##0\)</c:formatCode>
                <c:ptCount val="1"/>
                <c:pt idx="0">
                  <c:v>48.987000000000002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C08-4B17-9D99-F6E6E24131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39834512"/>
        <c:axId val="2007485472"/>
      </c:barChart>
      <c:catAx>
        <c:axId val="33983451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007485472"/>
        <c:crosses val="autoZero"/>
        <c:auto val="1"/>
        <c:lblAlgn val="ctr"/>
        <c:lblOffset val="100"/>
        <c:noMultiLvlLbl val="0"/>
      </c:catAx>
      <c:valAx>
        <c:axId val="2007485472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339834512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0092655276474163E-2"/>
          <c:y val="1.760962120640466E-2"/>
          <c:w val="0.89981468944705179"/>
          <c:h val="0.95748688806069171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'Uses - Sources'!$G$73</c:f>
              <c:strCache>
                <c:ptCount val="1"/>
                <c:pt idx="0">
                  <c:v>Debt Service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'Uses - Sources'!$H$73</c:f>
              <c:numCache>
                <c:formatCode>#,##0_);\(#,##0\)</c:formatCode>
                <c:ptCount val="1"/>
                <c:pt idx="0">
                  <c:v>13.212792259692506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D8-49F9-914D-EA181F71BE51}"/>
            </c:ext>
          </c:extLst>
        </c:ser>
        <c:ser>
          <c:idx val="1"/>
          <c:order val="1"/>
          <c:tx>
            <c:strRef>
              <c:f>'Uses - Sources'!$G$74</c:f>
              <c:strCache>
                <c:ptCount val="1"/>
                <c:pt idx="0">
                  <c:v>Dividends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FCD8-49F9-914D-EA181F71BE5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'Uses - Sources'!$H$74</c:f>
              <c:numCache>
                <c:formatCode>#,##0_);\(#,##0\)</c:formatCode>
                <c:ptCount val="1"/>
                <c:pt idx="0">
                  <c:v>17.670552515754224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CD8-49F9-914D-EA181F71BE51}"/>
            </c:ext>
          </c:extLst>
        </c:ser>
        <c:ser>
          <c:idx val="2"/>
          <c:order val="2"/>
          <c:tx>
            <c:strRef>
              <c:f>'Uses - Sources'!$G$75</c:f>
              <c:strCache>
                <c:ptCount val="1"/>
                <c:pt idx="0">
                  <c:v>Acquisitions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'Uses - Sources'!$H$75</c:f>
              <c:numCache>
                <c:formatCode>#,##0_);\(#,##0\)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CD8-49F9-914D-EA181F71BE51}"/>
            </c:ext>
          </c:extLst>
        </c:ser>
        <c:ser>
          <c:idx val="3"/>
          <c:order val="3"/>
          <c:tx>
            <c:strRef>
              <c:f>'Uses - Sources'!$G$76</c:f>
              <c:strCache>
                <c:ptCount val="1"/>
                <c:pt idx="0">
                  <c:v>Working Capital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FCD8-49F9-914D-EA181F71BE51}"/>
              </c:ext>
            </c:extLst>
          </c:dPt>
          <c:dLbls>
            <c:dLbl>
              <c:idx val="0"/>
              <c:layout>
                <c:manualLayout>
                  <c:x val="0"/>
                  <c:y val="-1.2685238741976791E-16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FCD8-49F9-914D-EA181F71BE5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'Uses - Sources'!$H$76</c:f>
              <c:numCache>
                <c:formatCode>#,##0_);\(#,##0\)</c:formatCode>
                <c:ptCount val="1"/>
                <c:pt idx="0">
                  <c:v>2.1427841273387407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CD8-49F9-914D-EA181F71BE51}"/>
            </c:ext>
          </c:extLst>
        </c:ser>
        <c:ser>
          <c:idx val="4"/>
          <c:order val="4"/>
          <c:tx>
            <c:strRef>
              <c:f>'Uses - Sources'!$G$77</c:f>
              <c:strCache>
                <c:ptCount val="1"/>
                <c:pt idx="0">
                  <c:v>Capex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FCD8-49F9-914D-EA181F71BE5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'Uses - Sources'!$H$77</c:f>
              <c:numCache>
                <c:formatCode>#,##0_);\(#,##0\)</c:formatCode>
                <c:ptCount val="1"/>
                <c:pt idx="0">
                  <c:v>61.57792640160001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CD8-49F9-914D-EA181F71BE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39834512"/>
        <c:axId val="2007485472"/>
      </c:barChart>
      <c:catAx>
        <c:axId val="33983451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007485472"/>
        <c:crosses val="autoZero"/>
        <c:auto val="1"/>
        <c:lblAlgn val="ctr"/>
        <c:lblOffset val="100"/>
        <c:noMultiLvlLbl val="0"/>
      </c:catAx>
      <c:valAx>
        <c:axId val="2007485472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339834512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0092655276474163E-2"/>
          <c:y val="1.760962120640466E-2"/>
          <c:w val="0.89981468944705179"/>
          <c:h val="0.95748688806069171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'Uses - Sources'!$G$80</c:f>
              <c:strCache>
                <c:ptCount val="1"/>
                <c:pt idx="0">
                  <c:v>Debt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'Uses - Sources'!$H$80</c:f>
              <c:numCache>
                <c:formatCode>#,##0_);\(#,##0\)</c:formatCode>
                <c:ptCount val="1"/>
                <c:pt idx="0">
                  <c:v>22.117000000000001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56-409F-A3C1-47331EDC77D9}"/>
            </c:ext>
          </c:extLst>
        </c:ser>
        <c:ser>
          <c:idx val="1"/>
          <c:order val="1"/>
          <c:tx>
            <c:strRef>
              <c:f>'Uses - Sources'!$G$81</c:f>
              <c:strCache>
                <c:ptCount val="1"/>
                <c:pt idx="0">
                  <c:v>Cash Balance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6E56-409F-A3C1-47331EDC77D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'Uses - Sources'!$H$81</c:f>
              <c:numCache>
                <c:formatCode>#,##0_);\(#,##0\)</c:formatCode>
                <c:ptCount val="1"/>
                <c:pt idx="0">
                  <c:v>4.9902105455922214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E56-409F-A3C1-47331EDC77D9}"/>
            </c:ext>
          </c:extLst>
        </c:ser>
        <c:ser>
          <c:idx val="2"/>
          <c:order val="2"/>
          <c:tx>
            <c:strRef>
              <c:f>'Uses - Sources'!$G$82</c:f>
              <c:strCache>
                <c:ptCount val="1"/>
                <c:pt idx="0">
                  <c:v>Oper. Profit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6E56-409F-A3C1-47331EDC77D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'Uses - Sources'!$H$82</c:f>
              <c:numCache>
                <c:formatCode>#,##0_);\(#,##0\)</c:formatCode>
                <c:ptCount val="1"/>
                <c:pt idx="0">
                  <c:v>67.496844758793259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E56-409F-A3C1-47331EDC77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39834512"/>
        <c:axId val="2007485472"/>
      </c:barChart>
      <c:catAx>
        <c:axId val="33983451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007485472"/>
        <c:crosses val="autoZero"/>
        <c:auto val="1"/>
        <c:lblAlgn val="ctr"/>
        <c:lblOffset val="100"/>
        <c:noMultiLvlLbl val="0"/>
      </c:catAx>
      <c:valAx>
        <c:axId val="2007485472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339834512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0092655276474163E-2"/>
          <c:y val="1.760962120640466E-2"/>
          <c:w val="0.89981468944705179"/>
          <c:h val="0.95748688806069171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'Uses - Sources'!$AB$58</c:f>
              <c:strCache>
                <c:ptCount val="1"/>
                <c:pt idx="0">
                  <c:v>Debt Service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'Uses - Sources'!$AC$58</c:f>
              <c:numCache>
                <c:formatCode>#,##0_);\(#,##0\)</c:formatCode>
                <c:ptCount val="1"/>
                <c:pt idx="0">
                  <c:v>1.2268074328328684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3A-4192-BE69-FCC48CBE8ABA}"/>
            </c:ext>
          </c:extLst>
        </c:ser>
        <c:ser>
          <c:idx val="1"/>
          <c:order val="1"/>
          <c:tx>
            <c:strRef>
              <c:f>'Uses - Sources'!$AB$59</c:f>
              <c:strCache>
                <c:ptCount val="1"/>
                <c:pt idx="0">
                  <c:v>Dividends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633A-4192-BE69-FCC48CBE8AB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'Uses - Sources'!$AC$59</c:f>
              <c:numCache>
                <c:formatCode>#,##0_);\(#,##0\)</c:formatCode>
                <c:ptCount val="1"/>
                <c:pt idx="0">
                  <c:v>2.9747337494988462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33A-4192-BE69-FCC48CBE8ABA}"/>
            </c:ext>
          </c:extLst>
        </c:ser>
        <c:ser>
          <c:idx val="2"/>
          <c:order val="2"/>
          <c:tx>
            <c:strRef>
              <c:f>'Uses - Sources'!$AB$60</c:f>
              <c:strCache>
                <c:ptCount val="1"/>
                <c:pt idx="0">
                  <c:v>Acquisitions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'Uses - Sources'!$AC$60</c:f>
              <c:numCache>
                <c:formatCode>#,##0_);\(#,##0\)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33A-4192-BE69-FCC48CBE8ABA}"/>
            </c:ext>
          </c:extLst>
        </c:ser>
        <c:ser>
          <c:idx val="3"/>
          <c:order val="3"/>
          <c:tx>
            <c:strRef>
              <c:f>'Uses - Sources'!$AB$61</c:f>
              <c:strCache>
                <c:ptCount val="1"/>
                <c:pt idx="0">
                  <c:v>Working Capital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633A-4192-BE69-FCC48CBE8AB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'Uses - Sources'!$AC$61</c:f>
              <c:numCache>
                <c:formatCode>#,##0_);\(#,##0\)</c:formatCode>
                <c:ptCount val="1"/>
                <c:pt idx="0">
                  <c:v>0.91653659844374036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33A-4192-BE69-FCC48CBE8ABA}"/>
            </c:ext>
          </c:extLst>
        </c:ser>
        <c:ser>
          <c:idx val="4"/>
          <c:order val="4"/>
          <c:tx>
            <c:strRef>
              <c:f>'Uses - Sources'!$AB$62</c:f>
              <c:strCache>
                <c:ptCount val="1"/>
                <c:pt idx="0">
                  <c:v>Capex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633A-4192-BE69-FCC48CBE8AB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'Uses - Sources'!$AC$62</c:f>
              <c:numCache>
                <c:formatCode>#,##0_);\(#,##0\)</c:formatCode>
                <c:ptCount val="1"/>
                <c:pt idx="0">
                  <c:v>10.8156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33A-4192-BE69-FCC48CBE8A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39834512"/>
        <c:axId val="2007485472"/>
      </c:barChart>
      <c:catAx>
        <c:axId val="33983451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007485472"/>
        <c:crosses val="autoZero"/>
        <c:auto val="1"/>
        <c:lblAlgn val="ctr"/>
        <c:lblOffset val="100"/>
        <c:noMultiLvlLbl val="0"/>
      </c:catAx>
      <c:valAx>
        <c:axId val="2007485472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339834512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0092655276474163E-2"/>
          <c:y val="1.760962120640466E-2"/>
          <c:w val="0.89981468944705179"/>
          <c:h val="0.95748688806069171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'Uses - Sources'!$AB$65</c:f>
              <c:strCache>
                <c:ptCount val="1"/>
                <c:pt idx="0">
                  <c:v>Debt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'Uses - Sources'!$AC$65</c:f>
              <c:numCache>
                <c:formatCode>#,##0_);\(#,##0\)</c:formatCode>
                <c:ptCount val="1"/>
                <c:pt idx="0">
                  <c:v>1.7835000000000001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6F-42FD-8F5B-0688B83075C2}"/>
            </c:ext>
          </c:extLst>
        </c:ser>
        <c:ser>
          <c:idx val="1"/>
          <c:order val="1"/>
          <c:tx>
            <c:strRef>
              <c:f>'Uses - Sources'!$AB$66</c:f>
              <c:strCache>
                <c:ptCount val="1"/>
                <c:pt idx="0">
                  <c:v>Cash Balance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216F-42FD-8F5B-0688B83075C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'Uses - Sources'!$AC$66</c:f>
              <c:numCache>
                <c:formatCode>#,##0_);\(#,##0\)</c:formatCode>
                <c:ptCount val="1"/>
                <c:pt idx="0">
                  <c:v>3.3786971188134647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16F-42FD-8F5B-0688B83075C2}"/>
            </c:ext>
          </c:extLst>
        </c:ser>
        <c:ser>
          <c:idx val="2"/>
          <c:order val="2"/>
          <c:tx>
            <c:strRef>
              <c:f>'Uses - Sources'!$AB$67</c:f>
              <c:strCache>
                <c:ptCount val="1"/>
                <c:pt idx="0">
                  <c:v>Oper. Profit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16F-42FD-8F5B-0688B83075C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'Uses - Sources'!$AC$67</c:f>
              <c:numCache>
                <c:formatCode>#,##0_);\(#,##0\)</c:formatCode>
                <c:ptCount val="1"/>
                <c:pt idx="0">
                  <c:v>10.771480661961988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16F-42FD-8F5B-0688B83075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39834512"/>
        <c:axId val="2007485472"/>
      </c:barChart>
      <c:catAx>
        <c:axId val="33983451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007485472"/>
        <c:crosses val="autoZero"/>
        <c:auto val="1"/>
        <c:lblAlgn val="ctr"/>
        <c:lblOffset val="100"/>
        <c:noMultiLvlLbl val="0"/>
      </c:catAx>
      <c:valAx>
        <c:axId val="2007485472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339834512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0092655276474163E-2"/>
          <c:y val="1.760962120640466E-2"/>
          <c:w val="0.89981468944705179"/>
          <c:h val="0.95748688806069171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'Uses - Sources'!$AB$88</c:f>
              <c:strCache>
                <c:ptCount val="1"/>
                <c:pt idx="0">
                  <c:v>Debt Service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'Uses - Sources'!$AC$88</c:f>
              <c:numCache>
                <c:formatCode>#,##0_);\(#,##0\)</c:formatCode>
                <c:ptCount val="1"/>
                <c:pt idx="0">
                  <c:v>6.1420000000000003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F1-4A76-8883-F30FDE9C5245}"/>
            </c:ext>
          </c:extLst>
        </c:ser>
        <c:ser>
          <c:idx val="1"/>
          <c:order val="1"/>
          <c:tx>
            <c:strRef>
              <c:f>'Uses - Sources'!$AB$89</c:f>
              <c:strCache>
                <c:ptCount val="1"/>
                <c:pt idx="0">
                  <c:v>Dividends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EFF1-4A76-8883-F30FDE9C524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'Uses - Sources'!$AC$89</c:f>
              <c:numCache>
                <c:formatCode>#,##0_);\(#,##0\)</c:formatCode>
                <c:ptCount val="1"/>
                <c:pt idx="0">
                  <c:v>5.1360000000000001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FF1-4A76-8883-F30FDE9C5245}"/>
            </c:ext>
          </c:extLst>
        </c:ser>
        <c:ser>
          <c:idx val="2"/>
          <c:order val="2"/>
          <c:tx>
            <c:strRef>
              <c:f>'Uses - Sources'!$AB$90</c:f>
              <c:strCache>
                <c:ptCount val="1"/>
                <c:pt idx="0">
                  <c:v>Acquisitions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'Uses - Sources'!$AC$90</c:f>
              <c:numCache>
                <c:formatCode>#,##0_);\(#,##0\)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FF1-4A76-8883-F30FDE9C5245}"/>
            </c:ext>
          </c:extLst>
        </c:ser>
        <c:ser>
          <c:idx val="3"/>
          <c:order val="3"/>
          <c:tx>
            <c:strRef>
              <c:f>'Uses - Sources'!$AB$91</c:f>
              <c:strCache>
                <c:ptCount val="1"/>
                <c:pt idx="0">
                  <c:v>Working Capital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EFF1-4A76-8883-F30FDE9C524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'Uses - Sources'!$AC$91</c:f>
              <c:numCache>
                <c:formatCode>#,##0_);\(#,##0\)</c:formatCode>
                <c:ptCount val="1"/>
                <c:pt idx="0">
                  <c:v>3.5129999999999999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FF1-4A76-8883-F30FDE9C5245}"/>
            </c:ext>
          </c:extLst>
        </c:ser>
        <c:ser>
          <c:idx val="4"/>
          <c:order val="4"/>
          <c:tx>
            <c:strRef>
              <c:f>'Uses - Sources'!$AB$92</c:f>
              <c:strCache>
                <c:ptCount val="1"/>
                <c:pt idx="0">
                  <c:v>Capex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EFF1-4A76-8883-F30FDE9C524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'Uses - Sources'!$AC$92</c:f>
              <c:numCache>
                <c:formatCode>#,##0_);\(#,##0\)</c:formatCode>
                <c:ptCount val="1"/>
                <c:pt idx="0">
                  <c:v>12.647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FF1-4A76-8883-F30FDE9C52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39834512"/>
        <c:axId val="2007485472"/>
      </c:barChart>
      <c:catAx>
        <c:axId val="33983451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007485472"/>
        <c:crosses val="autoZero"/>
        <c:auto val="1"/>
        <c:lblAlgn val="ctr"/>
        <c:lblOffset val="100"/>
        <c:noMultiLvlLbl val="0"/>
      </c:catAx>
      <c:valAx>
        <c:axId val="2007485472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339834512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0092655276474163E-2"/>
          <c:y val="1.760962120640466E-2"/>
          <c:w val="0.89981468944705179"/>
          <c:h val="0.95748688806069171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'Uses - Sources'!$AB$95</c:f>
              <c:strCache>
                <c:ptCount val="1"/>
                <c:pt idx="0">
                  <c:v>Debt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'Uses - Sources'!$AC$95</c:f>
              <c:numCache>
                <c:formatCode>#,##0_);\(#,##0\)</c:formatCode>
                <c:ptCount val="1"/>
                <c:pt idx="0">
                  <c:v>5.5330000000000004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C6-4329-ABE1-46659E54CCC9}"/>
            </c:ext>
          </c:extLst>
        </c:ser>
        <c:ser>
          <c:idx val="1"/>
          <c:order val="1"/>
          <c:tx>
            <c:strRef>
              <c:f>'Uses - Sources'!$AB$96</c:f>
              <c:strCache>
                <c:ptCount val="1"/>
                <c:pt idx="0">
                  <c:v>Equity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4C6-4329-ABE1-46659E54CCC9}"/>
              </c:ext>
            </c:extLst>
          </c:dPt>
          <c:val>
            <c:numRef>
              <c:f>'Uses - Sources'!$AC$96</c:f>
              <c:numCache>
                <c:formatCode>#,##0_);\(#,##0\)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4C6-4329-ABE1-46659E54CCC9}"/>
            </c:ext>
          </c:extLst>
        </c:ser>
        <c:ser>
          <c:idx val="2"/>
          <c:order val="2"/>
          <c:tx>
            <c:strRef>
              <c:f>'Uses - Sources'!$AB$97</c:f>
              <c:strCache>
                <c:ptCount val="1"/>
                <c:pt idx="0">
                  <c:v>Oper. Profit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4C6-4329-ABE1-46659E54CC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'Uses - Sources'!$AC$97</c:f>
              <c:numCache>
                <c:formatCode>#,##0_);\(#,##0\)</c:formatCode>
                <c:ptCount val="1"/>
                <c:pt idx="0">
                  <c:v>21.905000000000001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4C6-4329-ABE1-46659E54CC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39834512"/>
        <c:axId val="2007485472"/>
      </c:barChart>
      <c:catAx>
        <c:axId val="33983451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007485472"/>
        <c:crosses val="autoZero"/>
        <c:auto val="1"/>
        <c:lblAlgn val="ctr"/>
        <c:lblOffset val="100"/>
        <c:noMultiLvlLbl val="0"/>
      </c:catAx>
      <c:valAx>
        <c:axId val="2007485472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339834512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Quarterly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Government Bond Yields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'Quarterly Data'!$G$4</c:f>
              <c:strCache>
                <c:ptCount val="1"/>
                <c:pt idx="0">
                  <c:v>Germany (in EUR)</c:v>
                </c:pt>
              </c:strCache>
            </c:strRef>
          </c:tx>
          <c:spPr>
            <a:ln w="19050"/>
          </c:spPr>
          <c:cat>
            <c:strRef>
              <c:f>'Quarterly Data'!$A$5:$A$22</c:f>
              <c:strCache>
                <c:ptCount val="18"/>
                <c:pt idx="0">
                  <c:v>Dec, 2005</c:v>
                </c:pt>
                <c:pt idx="1">
                  <c:v>Mar, 2006</c:v>
                </c:pt>
                <c:pt idx="2">
                  <c:v>Jun, 2006</c:v>
                </c:pt>
                <c:pt idx="3">
                  <c:v>Sep, 2006</c:v>
                </c:pt>
                <c:pt idx="4">
                  <c:v>Dec, 2006</c:v>
                </c:pt>
                <c:pt idx="5">
                  <c:v>Mar, 2007</c:v>
                </c:pt>
                <c:pt idx="6">
                  <c:v>Jun, 2007</c:v>
                </c:pt>
                <c:pt idx="7">
                  <c:v>Sep, 2007</c:v>
                </c:pt>
                <c:pt idx="8">
                  <c:v>Dec, 2007</c:v>
                </c:pt>
                <c:pt idx="9">
                  <c:v>Mar, 2008</c:v>
                </c:pt>
                <c:pt idx="10">
                  <c:v>Jun, 2008</c:v>
                </c:pt>
                <c:pt idx="11">
                  <c:v>Sep, 2008</c:v>
                </c:pt>
                <c:pt idx="12">
                  <c:v>Dec, 2008</c:v>
                </c:pt>
                <c:pt idx="13">
                  <c:v>Mar, 2009</c:v>
                </c:pt>
                <c:pt idx="14">
                  <c:v>Jun, 2009</c:v>
                </c:pt>
                <c:pt idx="15">
                  <c:v>Sep, 2009</c:v>
                </c:pt>
                <c:pt idx="16">
                  <c:v>Dec, 2009</c:v>
                </c:pt>
                <c:pt idx="17">
                  <c:v>Mar, 2010</c:v>
                </c:pt>
              </c:strCache>
            </c:strRef>
          </c:cat>
          <c:val>
            <c:numRef>
              <c:f>'Quarterly Data'!$G$5:$G$22</c:f>
              <c:numCache>
                <c:formatCode>0.000%</c:formatCode>
                <c:ptCount val="18"/>
                <c:pt idx="0">
                  <c:v>3.3090000000000001E-2</c:v>
                </c:pt>
                <c:pt idx="1">
                  <c:v>3.771E-2</c:v>
                </c:pt>
                <c:pt idx="2">
                  <c:v>4.0709999999999996E-2</c:v>
                </c:pt>
                <c:pt idx="3">
                  <c:v>3.7089999999999998E-2</c:v>
                </c:pt>
                <c:pt idx="4">
                  <c:v>3.9480000000000001E-2</c:v>
                </c:pt>
                <c:pt idx="5">
                  <c:v>4.0570000000000002E-2</c:v>
                </c:pt>
                <c:pt idx="6">
                  <c:v>4.5739999999999996E-2</c:v>
                </c:pt>
                <c:pt idx="7">
                  <c:v>4.3289999999999995E-2</c:v>
                </c:pt>
                <c:pt idx="8">
                  <c:v>4.3070000000000004E-2</c:v>
                </c:pt>
                <c:pt idx="9">
                  <c:v>3.8989999999999997E-2</c:v>
                </c:pt>
                <c:pt idx="10">
                  <c:v>4.6210000000000001E-2</c:v>
                </c:pt>
                <c:pt idx="11">
                  <c:v>4.0149999999999998E-2</c:v>
                </c:pt>
                <c:pt idx="12">
                  <c:v>2.9510000000000002E-2</c:v>
                </c:pt>
                <c:pt idx="13">
                  <c:v>2.9940000000000001E-2</c:v>
                </c:pt>
                <c:pt idx="14">
                  <c:v>3.3860000000000001E-2</c:v>
                </c:pt>
                <c:pt idx="15">
                  <c:v>3.2199999999999999E-2</c:v>
                </c:pt>
                <c:pt idx="16">
                  <c:v>3.3869999999999997E-2</c:v>
                </c:pt>
                <c:pt idx="17">
                  <c:v>3.092E-2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7B-4DAF-9B1A-0E33537458C4}"/>
            </c:ext>
          </c:extLst>
        </c:ser>
        <c:ser>
          <c:idx val="1"/>
          <c:order val="1"/>
          <c:tx>
            <c:strRef>
              <c:f>'Quarterly Data'!$H$4</c:f>
              <c:strCache>
                <c:ptCount val="1"/>
                <c:pt idx="0">
                  <c:v>United Kingdom (in GBP)</c:v>
                </c:pt>
              </c:strCache>
            </c:strRef>
          </c:tx>
          <c:spPr>
            <a:ln w="19050"/>
          </c:spPr>
          <c:cat>
            <c:strRef>
              <c:f>'Quarterly Data'!$A$5:$A$22</c:f>
              <c:strCache>
                <c:ptCount val="18"/>
                <c:pt idx="0">
                  <c:v>Dec, 2005</c:v>
                </c:pt>
                <c:pt idx="1">
                  <c:v>Mar, 2006</c:v>
                </c:pt>
                <c:pt idx="2">
                  <c:v>Jun, 2006</c:v>
                </c:pt>
                <c:pt idx="3">
                  <c:v>Sep, 2006</c:v>
                </c:pt>
                <c:pt idx="4">
                  <c:v>Dec, 2006</c:v>
                </c:pt>
                <c:pt idx="5">
                  <c:v>Mar, 2007</c:v>
                </c:pt>
                <c:pt idx="6">
                  <c:v>Jun, 2007</c:v>
                </c:pt>
                <c:pt idx="7">
                  <c:v>Sep, 2007</c:v>
                </c:pt>
                <c:pt idx="8">
                  <c:v>Dec, 2007</c:v>
                </c:pt>
                <c:pt idx="9">
                  <c:v>Mar, 2008</c:v>
                </c:pt>
                <c:pt idx="10">
                  <c:v>Jun, 2008</c:v>
                </c:pt>
                <c:pt idx="11">
                  <c:v>Sep, 2008</c:v>
                </c:pt>
                <c:pt idx="12">
                  <c:v>Dec, 2008</c:v>
                </c:pt>
                <c:pt idx="13">
                  <c:v>Mar, 2009</c:v>
                </c:pt>
                <c:pt idx="14">
                  <c:v>Jun, 2009</c:v>
                </c:pt>
                <c:pt idx="15">
                  <c:v>Sep, 2009</c:v>
                </c:pt>
                <c:pt idx="16">
                  <c:v>Dec, 2009</c:v>
                </c:pt>
                <c:pt idx="17">
                  <c:v>Mar, 2010</c:v>
                </c:pt>
              </c:strCache>
            </c:strRef>
          </c:cat>
          <c:val>
            <c:numRef>
              <c:f>'Quarterly Data'!$H$5:$H$22</c:f>
              <c:numCache>
                <c:formatCode>0.000%</c:formatCode>
                <c:ptCount val="18"/>
                <c:pt idx="0">
                  <c:v>4.0999999999999995E-2</c:v>
                </c:pt>
                <c:pt idx="1">
                  <c:v>4.3979999999999998E-2</c:v>
                </c:pt>
                <c:pt idx="2">
                  <c:v>4.7100000000000003E-2</c:v>
                </c:pt>
                <c:pt idx="3">
                  <c:v>4.5229999999999999E-2</c:v>
                </c:pt>
                <c:pt idx="4">
                  <c:v>4.7409999999999994E-2</c:v>
                </c:pt>
                <c:pt idx="5">
                  <c:v>4.9690000000000005E-2</c:v>
                </c:pt>
                <c:pt idx="6">
                  <c:v>5.4629999999999998E-2</c:v>
                </c:pt>
                <c:pt idx="7">
                  <c:v>5.0110000000000002E-2</c:v>
                </c:pt>
                <c:pt idx="8">
                  <c:v>4.5080000000000002E-2</c:v>
                </c:pt>
                <c:pt idx="9">
                  <c:v>4.3479999999999998E-2</c:v>
                </c:pt>
                <c:pt idx="10">
                  <c:v>5.1299999999999998E-2</c:v>
                </c:pt>
                <c:pt idx="11">
                  <c:v>4.4490000000000002E-2</c:v>
                </c:pt>
                <c:pt idx="12">
                  <c:v>3.0200000000000001E-2</c:v>
                </c:pt>
                <c:pt idx="13">
                  <c:v>3.1660000000000001E-2</c:v>
                </c:pt>
                <c:pt idx="14">
                  <c:v>3.6900000000000002E-2</c:v>
                </c:pt>
                <c:pt idx="15">
                  <c:v>3.5920000000000001E-2</c:v>
                </c:pt>
                <c:pt idx="16">
                  <c:v>4.0149999999999998E-2</c:v>
                </c:pt>
                <c:pt idx="17">
                  <c:v>3.9390000000000001E-2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7B-4DAF-9B1A-0E33537458C4}"/>
            </c:ext>
          </c:extLst>
        </c:ser>
        <c:ser>
          <c:idx val="2"/>
          <c:order val="2"/>
          <c:tx>
            <c:strRef>
              <c:f>'Quarterly Data'!$I$4</c:f>
              <c:strCache>
                <c:ptCount val="1"/>
                <c:pt idx="0">
                  <c:v>United States (in USD)</c:v>
                </c:pt>
              </c:strCache>
            </c:strRef>
          </c:tx>
          <c:spPr>
            <a:ln w="19050"/>
          </c:spPr>
          <c:cat>
            <c:strRef>
              <c:f>'Quarterly Data'!$A$5:$A$22</c:f>
              <c:strCache>
                <c:ptCount val="18"/>
                <c:pt idx="0">
                  <c:v>Dec, 2005</c:v>
                </c:pt>
                <c:pt idx="1">
                  <c:v>Mar, 2006</c:v>
                </c:pt>
                <c:pt idx="2">
                  <c:v>Jun, 2006</c:v>
                </c:pt>
                <c:pt idx="3">
                  <c:v>Sep, 2006</c:v>
                </c:pt>
                <c:pt idx="4">
                  <c:v>Dec, 2006</c:v>
                </c:pt>
                <c:pt idx="5">
                  <c:v>Mar, 2007</c:v>
                </c:pt>
                <c:pt idx="6">
                  <c:v>Jun, 2007</c:v>
                </c:pt>
                <c:pt idx="7">
                  <c:v>Sep, 2007</c:v>
                </c:pt>
                <c:pt idx="8">
                  <c:v>Dec, 2007</c:v>
                </c:pt>
                <c:pt idx="9">
                  <c:v>Mar, 2008</c:v>
                </c:pt>
                <c:pt idx="10">
                  <c:v>Jun, 2008</c:v>
                </c:pt>
                <c:pt idx="11">
                  <c:v>Sep, 2008</c:v>
                </c:pt>
                <c:pt idx="12">
                  <c:v>Dec, 2008</c:v>
                </c:pt>
                <c:pt idx="13">
                  <c:v>Mar, 2009</c:v>
                </c:pt>
                <c:pt idx="14">
                  <c:v>Jun, 2009</c:v>
                </c:pt>
                <c:pt idx="15">
                  <c:v>Sep, 2009</c:v>
                </c:pt>
                <c:pt idx="16">
                  <c:v>Dec, 2009</c:v>
                </c:pt>
                <c:pt idx="17">
                  <c:v>Mar, 2010</c:v>
                </c:pt>
              </c:strCache>
            </c:strRef>
          </c:cat>
          <c:val>
            <c:numRef>
              <c:f>'Quarterly Data'!$I$5:$I$22</c:f>
              <c:numCache>
                <c:formatCode>0.000%</c:formatCode>
                <c:ptCount val="18"/>
                <c:pt idx="0">
                  <c:v>4.3691100000000004E-2</c:v>
                </c:pt>
                <c:pt idx="1">
                  <c:v>4.8472000000000001E-2</c:v>
                </c:pt>
                <c:pt idx="2">
                  <c:v>5.1364E-2</c:v>
                </c:pt>
                <c:pt idx="3">
                  <c:v>4.6276000000000005E-2</c:v>
                </c:pt>
                <c:pt idx="4">
                  <c:v>4.7022000000000001E-2</c:v>
                </c:pt>
                <c:pt idx="5">
                  <c:v>4.6443000000000005E-2</c:v>
                </c:pt>
                <c:pt idx="6">
                  <c:v>5.0243999999999997E-2</c:v>
                </c:pt>
                <c:pt idx="7">
                  <c:v>4.5865000000000003E-2</c:v>
                </c:pt>
                <c:pt idx="8">
                  <c:v>4.0232000000000004E-2</c:v>
                </c:pt>
                <c:pt idx="9">
                  <c:v>3.4096000000000001E-2</c:v>
                </c:pt>
                <c:pt idx="10">
                  <c:v>3.9689999999999996E-2</c:v>
                </c:pt>
                <c:pt idx="11">
                  <c:v>3.8233999999999997E-2</c:v>
                </c:pt>
                <c:pt idx="12">
                  <c:v>2.2123E-2</c:v>
                </c:pt>
                <c:pt idx="13">
                  <c:v>2.6629E-2</c:v>
                </c:pt>
                <c:pt idx="14">
                  <c:v>3.5325999999999996E-2</c:v>
                </c:pt>
                <c:pt idx="15">
                  <c:v>3.3052999999999999E-2</c:v>
                </c:pt>
                <c:pt idx="16">
                  <c:v>3.8367999999999999E-2</c:v>
                </c:pt>
                <c:pt idx="17">
                  <c:v>3.8256999999999999E-2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37B-4DAF-9B1A-0E33537458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271424"/>
        <c:axId val="79272960"/>
      </c:lineChart>
      <c:catAx>
        <c:axId val="792714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/>
          </a:p>
        </c:txPr>
        <c:crossAx val="79272960"/>
        <c:crosses val="autoZero"/>
        <c:auto val="1"/>
        <c:lblAlgn val="ctr"/>
        <c:lblOffset val="100"/>
        <c:noMultiLvlLbl val="0"/>
      </c:catAx>
      <c:valAx>
        <c:axId val="79272960"/>
        <c:scaling>
          <c:orientation val="minMax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txPr>
          <a:bodyPr/>
          <a:lstStyle/>
          <a:p>
            <a:pPr>
              <a:defRPr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/>
          </a:p>
        </c:txPr>
        <c:crossAx val="79271424"/>
        <c:crosses val="autoZero"/>
        <c:crossBetween val="between"/>
      </c:valAx>
    </c:plotArea>
    <c:legend>
      <c:legendPos val="t"/>
      <c:overlay val="0"/>
      <c:txPr>
        <a:bodyPr/>
        <a:lstStyle/>
        <a:p>
          <a:pPr>
            <a:defRPr>
              <a:latin typeface="Times New Roman" panose="02020603050405020304" pitchFamily="18" charset="0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Quarterly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Government Bond Yields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'Quarterly Data'!$S$4</c:f>
              <c:strCache>
                <c:ptCount val="1"/>
                <c:pt idx="0">
                  <c:v>EUR-BBB</c:v>
                </c:pt>
              </c:strCache>
            </c:strRef>
          </c:tx>
          <c:spPr>
            <a:ln w="19050"/>
          </c:spPr>
          <c:cat>
            <c:strRef>
              <c:f>'Quarterly Data'!$A$5:$A$22</c:f>
              <c:strCache>
                <c:ptCount val="18"/>
                <c:pt idx="0">
                  <c:v>Dec, 2005</c:v>
                </c:pt>
                <c:pt idx="1">
                  <c:v>Mar, 2006</c:v>
                </c:pt>
                <c:pt idx="2">
                  <c:v>Jun, 2006</c:v>
                </c:pt>
                <c:pt idx="3">
                  <c:v>Sep, 2006</c:v>
                </c:pt>
                <c:pt idx="4">
                  <c:v>Dec, 2006</c:v>
                </c:pt>
                <c:pt idx="5">
                  <c:v>Mar, 2007</c:v>
                </c:pt>
                <c:pt idx="6">
                  <c:v>Jun, 2007</c:v>
                </c:pt>
                <c:pt idx="7">
                  <c:v>Sep, 2007</c:v>
                </c:pt>
                <c:pt idx="8">
                  <c:v>Dec, 2007</c:v>
                </c:pt>
                <c:pt idx="9">
                  <c:v>Mar, 2008</c:v>
                </c:pt>
                <c:pt idx="10">
                  <c:v>Jun, 2008</c:v>
                </c:pt>
                <c:pt idx="11">
                  <c:v>Sep, 2008</c:v>
                </c:pt>
                <c:pt idx="12">
                  <c:v>Dec, 2008</c:v>
                </c:pt>
                <c:pt idx="13">
                  <c:v>Mar, 2009</c:v>
                </c:pt>
                <c:pt idx="14">
                  <c:v>Jun, 2009</c:v>
                </c:pt>
                <c:pt idx="15">
                  <c:v>Sep, 2009</c:v>
                </c:pt>
                <c:pt idx="16">
                  <c:v>Dec, 2009</c:v>
                </c:pt>
                <c:pt idx="17">
                  <c:v>Mar, 2010</c:v>
                </c:pt>
              </c:strCache>
            </c:strRef>
          </c:cat>
          <c:val>
            <c:numRef>
              <c:f>'Quarterly Data'!$S$5:$S$22</c:f>
              <c:numCache>
                <c:formatCode>0.000%</c:formatCode>
                <c:ptCount val="18"/>
                <c:pt idx="0">
                  <c:v>9.0949999999999989E-3</c:v>
                </c:pt>
                <c:pt idx="1">
                  <c:v>1.0149999999999992E-2</c:v>
                </c:pt>
                <c:pt idx="2">
                  <c:v>1.0420000000000006E-2</c:v>
                </c:pt>
                <c:pt idx="3">
                  <c:v>1.0370000000000004E-2</c:v>
                </c:pt>
                <c:pt idx="4">
                  <c:v>9.2800000000000035E-3</c:v>
                </c:pt>
                <c:pt idx="5">
                  <c:v>8.9100000000000013E-3</c:v>
                </c:pt>
                <c:pt idx="6">
                  <c:v>8.2800000000000026E-3</c:v>
                </c:pt>
                <c:pt idx="7">
                  <c:v>1.143000000000001E-2</c:v>
                </c:pt>
                <c:pt idx="8">
                  <c:v>1.5566999999999991E-2</c:v>
                </c:pt>
                <c:pt idx="9">
                  <c:v>2.1980000000000006E-2</c:v>
                </c:pt>
                <c:pt idx="10">
                  <c:v>1.908E-2</c:v>
                </c:pt>
                <c:pt idx="11">
                  <c:v>2.6600000000000006E-2</c:v>
                </c:pt>
                <c:pt idx="12">
                  <c:v>4.6919999999999996E-2</c:v>
                </c:pt>
                <c:pt idx="13">
                  <c:v>4.6129999999999997E-2</c:v>
                </c:pt>
                <c:pt idx="14">
                  <c:v>3.5489999999999994E-2</c:v>
                </c:pt>
                <c:pt idx="15">
                  <c:v>2.4919999999999998E-2</c:v>
                </c:pt>
                <c:pt idx="16">
                  <c:v>2.0180000000000003E-2</c:v>
                </c:pt>
                <c:pt idx="17">
                  <c:v>1.8770000000000005E-2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6B-4325-8B56-46048B132345}"/>
            </c:ext>
          </c:extLst>
        </c:ser>
        <c:ser>
          <c:idx val="1"/>
          <c:order val="1"/>
          <c:tx>
            <c:strRef>
              <c:f>'Quarterly Data'!$T$4</c:f>
              <c:strCache>
                <c:ptCount val="1"/>
                <c:pt idx="0">
                  <c:v>GBP-BBB</c:v>
                </c:pt>
              </c:strCache>
            </c:strRef>
          </c:tx>
          <c:spPr>
            <a:ln w="19050"/>
          </c:spPr>
          <c:cat>
            <c:strRef>
              <c:f>'Quarterly Data'!$A$5:$A$22</c:f>
              <c:strCache>
                <c:ptCount val="18"/>
                <c:pt idx="0">
                  <c:v>Dec, 2005</c:v>
                </c:pt>
                <c:pt idx="1">
                  <c:v>Mar, 2006</c:v>
                </c:pt>
                <c:pt idx="2">
                  <c:v>Jun, 2006</c:v>
                </c:pt>
                <c:pt idx="3">
                  <c:v>Sep, 2006</c:v>
                </c:pt>
                <c:pt idx="4">
                  <c:v>Dec, 2006</c:v>
                </c:pt>
                <c:pt idx="5">
                  <c:v>Mar, 2007</c:v>
                </c:pt>
                <c:pt idx="6">
                  <c:v>Jun, 2007</c:v>
                </c:pt>
                <c:pt idx="7">
                  <c:v>Sep, 2007</c:v>
                </c:pt>
                <c:pt idx="8">
                  <c:v>Dec, 2007</c:v>
                </c:pt>
                <c:pt idx="9">
                  <c:v>Mar, 2008</c:v>
                </c:pt>
                <c:pt idx="10">
                  <c:v>Jun, 2008</c:v>
                </c:pt>
                <c:pt idx="11">
                  <c:v>Sep, 2008</c:v>
                </c:pt>
                <c:pt idx="12">
                  <c:v>Dec, 2008</c:v>
                </c:pt>
                <c:pt idx="13">
                  <c:v>Mar, 2009</c:v>
                </c:pt>
                <c:pt idx="14">
                  <c:v>Jun, 2009</c:v>
                </c:pt>
                <c:pt idx="15">
                  <c:v>Sep, 2009</c:v>
                </c:pt>
                <c:pt idx="16">
                  <c:v>Dec, 2009</c:v>
                </c:pt>
                <c:pt idx="17">
                  <c:v>Mar, 2010</c:v>
                </c:pt>
              </c:strCache>
            </c:strRef>
          </c:cat>
          <c:val>
            <c:numRef>
              <c:f>'Quarterly Data'!$T$5:$T$22</c:f>
              <c:numCache>
                <c:formatCode>0.000%</c:formatCode>
                <c:ptCount val="18"/>
                <c:pt idx="0">
                  <c:v>1.2444000000000011E-2</c:v>
                </c:pt>
                <c:pt idx="1">
                  <c:v>1.2307000000000005E-2</c:v>
                </c:pt>
                <c:pt idx="2">
                  <c:v>1.2336E-2</c:v>
                </c:pt>
                <c:pt idx="3">
                  <c:v>1.2304999999999996E-2</c:v>
                </c:pt>
                <c:pt idx="4">
                  <c:v>1.1651000000000009E-2</c:v>
                </c:pt>
                <c:pt idx="5">
                  <c:v>1.1088999999999995E-2</c:v>
                </c:pt>
                <c:pt idx="6">
                  <c:v>1.1334999999999998E-2</c:v>
                </c:pt>
                <c:pt idx="7">
                  <c:v>1.4451000000000006E-2</c:v>
                </c:pt>
                <c:pt idx="8">
                  <c:v>1.7092999999999997E-2</c:v>
                </c:pt>
                <c:pt idx="9">
                  <c:v>2.4029000000000002E-2</c:v>
                </c:pt>
                <c:pt idx="10">
                  <c:v>2.1222000000000005E-2</c:v>
                </c:pt>
                <c:pt idx="11">
                  <c:v>2.4122000000000005E-2</c:v>
                </c:pt>
                <c:pt idx="12">
                  <c:v>3.9489999999999997E-2</c:v>
                </c:pt>
                <c:pt idx="13">
                  <c:v>3.3329999999999992E-2</c:v>
                </c:pt>
                <c:pt idx="14">
                  <c:v>2.9330999999999996E-2</c:v>
                </c:pt>
                <c:pt idx="15">
                  <c:v>2.3005999999999999E-2</c:v>
                </c:pt>
                <c:pt idx="16">
                  <c:v>1.9511000000000001E-2</c:v>
                </c:pt>
                <c:pt idx="17">
                  <c:v>1.6230000000000001E-2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6B-4325-8B56-46048B132345}"/>
            </c:ext>
          </c:extLst>
        </c:ser>
        <c:ser>
          <c:idx val="2"/>
          <c:order val="2"/>
          <c:tx>
            <c:strRef>
              <c:f>'Quarterly Data'!$U$4</c:f>
              <c:strCache>
                <c:ptCount val="1"/>
                <c:pt idx="0">
                  <c:v>USD-BBB</c:v>
                </c:pt>
              </c:strCache>
            </c:strRef>
          </c:tx>
          <c:spPr>
            <a:ln w="19050"/>
          </c:spPr>
          <c:cat>
            <c:strRef>
              <c:f>'Quarterly Data'!$A$5:$A$22</c:f>
              <c:strCache>
                <c:ptCount val="18"/>
                <c:pt idx="0">
                  <c:v>Dec, 2005</c:v>
                </c:pt>
                <c:pt idx="1">
                  <c:v>Mar, 2006</c:v>
                </c:pt>
                <c:pt idx="2">
                  <c:v>Jun, 2006</c:v>
                </c:pt>
                <c:pt idx="3">
                  <c:v>Sep, 2006</c:v>
                </c:pt>
                <c:pt idx="4">
                  <c:v>Dec, 2006</c:v>
                </c:pt>
                <c:pt idx="5">
                  <c:v>Mar, 2007</c:v>
                </c:pt>
                <c:pt idx="6">
                  <c:v>Jun, 2007</c:v>
                </c:pt>
                <c:pt idx="7">
                  <c:v>Sep, 2007</c:v>
                </c:pt>
                <c:pt idx="8">
                  <c:v>Dec, 2007</c:v>
                </c:pt>
                <c:pt idx="9">
                  <c:v>Mar, 2008</c:v>
                </c:pt>
                <c:pt idx="10">
                  <c:v>Jun, 2008</c:v>
                </c:pt>
                <c:pt idx="11">
                  <c:v>Sep, 2008</c:v>
                </c:pt>
                <c:pt idx="12">
                  <c:v>Dec, 2008</c:v>
                </c:pt>
                <c:pt idx="13">
                  <c:v>Mar, 2009</c:v>
                </c:pt>
                <c:pt idx="14">
                  <c:v>Jun, 2009</c:v>
                </c:pt>
                <c:pt idx="15">
                  <c:v>Sep, 2009</c:v>
                </c:pt>
                <c:pt idx="16">
                  <c:v>Dec, 2009</c:v>
                </c:pt>
                <c:pt idx="17">
                  <c:v>Mar, 2010</c:v>
                </c:pt>
              </c:strCache>
            </c:strRef>
          </c:cat>
          <c:val>
            <c:numRef>
              <c:f>'Quarterly Data'!$U$5:$U$22</c:f>
              <c:numCache>
                <c:formatCode>0.000%</c:formatCode>
                <c:ptCount val="18"/>
                <c:pt idx="0">
                  <c:v>1.2708899999999995E-2</c:v>
                </c:pt>
                <c:pt idx="1">
                  <c:v>1.2228000000000003E-2</c:v>
                </c:pt>
                <c:pt idx="2">
                  <c:v>1.2835999999999993E-2</c:v>
                </c:pt>
                <c:pt idx="3">
                  <c:v>1.2823999999999995E-2</c:v>
                </c:pt>
                <c:pt idx="4">
                  <c:v>1.2378E-2</c:v>
                </c:pt>
                <c:pt idx="5">
                  <c:v>1.2356999999999993E-2</c:v>
                </c:pt>
                <c:pt idx="6">
                  <c:v>1.2855999999999992E-2</c:v>
                </c:pt>
                <c:pt idx="7">
                  <c:v>1.7134999999999997E-2</c:v>
                </c:pt>
                <c:pt idx="8">
                  <c:v>2.0867999999999998E-2</c:v>
                </c:pt>
                <c:pt idx="9">
                  <c:v>2.9303999999999997E-2</c:v>
                </c:pt>
                <c:pt idx="10">
                  <c:v>2.7610000000000003E-2</c:v>
                </c:pt>
                <c:pt idx="11">
                  <c:v>3.1666000000000007E-2</c:v>
                </c:pt>
                <c:pt idx="12">
                  <c:v>5.7376999999999997E-2</c:v>
                </c:pt>
                <c:pt idx="13">
                  <c:v>5.7271000000000002E-2</c:v>
                </c:pt>
                <c:pt idx="14">
                  <c:v>4.0174000000000001E-2</c:v>
                </c:pt>
                <c:pt idx="15">
                  <c:v>2.8547000000000003E-2</c:v>
                </c:pt>
                <c:pt idx="16">
                  <c:v>2.5232000000000004E-2</c:v>
                </c:pt>
                <c:pt idx="17">
                  <c:v>2.1042999999999999E-2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6B-4325-8B56-46048B1323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581504"/>
        <c:axId val="116583040"/>
      </c:lineChart>
      <c:catAx>
        <c:axId val="1165815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/>
          </a:p>
        </c:txPr>
        <c:crossAx val="116583040"/>
        <c:crosses val="autoZero"/>
        <c:auto val="1"/>
        <c:lblAlgn val="ctr"/>
        <c:lblOffset val="100"/>
        <c:noMultiLvlLbl val="0"/>
      </c:catAx>
      <c:valAx>
        <c:axId val="116583040"/>
        <c:scaling>
          <c:orientation val="minMax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txPr>
          <a:bodyPr/>
          <a:lstStyle/>
          <a:p>
            <a:pPr>
              <a:defRPr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/>
          </a:p>
        </c:txPr>
        <c:crossAx val="116581504"/>
        <c:crosses val="autoZero"/>
        <c:crossBetween val="between"/>
      </c:valAx>
    </c:plotArea>
    <c:legend>
      <c:legendPos val="t"/>
      <c:overlay val="0"/>
      <c:txPr>
        <a:bodyPr/>
        <a:lstStyle/>
        <a:p>
          <a:pPr>
            <a:defRPr>
              <a:latin typeface="Times New Roman" panose="02020603050405020304" pitchFamily="18" charset="0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>
                <a:latin typeface="Times New Roman" pitchFamily="18" charset="0"/>
                <a:cs typeface="Times New Roman" pitchFamily="18" charset="0"/>
              </a:rPr>
              <a:t>Quarterly</a:t>
            </a:r>
            <a:r>
              <a:rPr lang="en-US" baseline="0">
                <a:latin typeface="Times New Roman" pitchFamily="18" charset="0"/>
                <a:cs typeface="Times New Roman" pitchFamily="18" charset="0"/>
              </a:rPr>
              <a:t> Inflation Rates by Currency</a:t>
            </a:r>
            <a:endParaRPr lang="en-US">
              <a:latin typeface="Times New Roman" pitchFamily="18" charset="0"/>
              <a:cs typeface="Times New Roman" pitchFamily="18" charset="0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6018041301143285E-2"/>
          <c:y val="0.12887552217265122"/>
          <c:w val="0.90930690653020174"/>
          <c:h val="0.84671017132520621"/>
        </c:manualLayout>
      </c:layout>
      <c:lineChart>
        <c:grouping val="standard"/>
        <c:varyColors val="0"/>
        <c:ser>
          <c:idx val="0"/>
          <c:order val="0"/>
          <c:tx>
            <c:strRef>
              <c:f>'Quarterly Data'!$B$4</c:f>
              <c:strCache>
                <c:ptCount val="1"/>
                <c:pt idx="0">
                  <c:v>BRL</c:v>
                </c:pt>
              </c:strCache>
            </c:strRef>
          </c:tx>
          <c:spPr>
            <a:ln w="19050"/>
          </c:spPr>
          <c:cat>
            <c:strRef>
              <c:f>'Quarterly Data'!$A$5:$A$22</c:f>
              <c:strCache>
                <c:ptCount val="18"/>
                <c:pt idx="0">
                  <c:v>Dec, 2005</c:v>
                </c:pt>
                <c:pt idx="1">
                  <c:v>Mar, 2006</c:v>
                </c:pt>
                <c:pt idx="2">
                  <c:v>Jun, 2006</c:v>
                </c:pt>
                <c:pt idx="3">
                  <c:v>Sep, 2006</c:v>
                </c:pt>
                <c:pt idx="4">
                  <c:v>Dec, 2006</c:v>
                </c:pt>
                <c:pt idx="5">
                  <c:v>Mar, 2007</c:v>
                </c:pt>
                <c:pt idx="6">
                  <c:v>Jun, 2007</c:v>
                </c:pt>
                <c:pt idx="7">
                  <c:v>Sep, 2007</c:v>
                </c:pt>
                <c:pt idx="8">
                  <c:v>Dec, 2007</c:v>
                </c:pt>
                <c:pt idx="9">
                  <c:v>Mar, 2008</c:v>
                </c:pt>
                <c:pt idx="10">
                  <c:v>Jun, 2008</c:v>
                </c:pt>
                <c:pt idx="11">
                  <c:v>Sep, 2008</c:v>
                </c:pt>
                <c:pt idx="12">
                  <c:v>Dec, 2008</c:v>
                </c:pt>
                <c:pt idx="13">
                  <c:v>Mar, 2009</c:v>
                </c:pt>
                <c:pt idx="14">
                  <c:v>Jun, 2009</c:v>
                </c:pt>
                <c:pt idx="15">
                  <c:v>Sep, 2009</c:v>
                </c:pt>
                <c:pt idx="16">
                  <c:v>Dec, 2009</c:v>
                </c:pt>
                <c:pt idx="17">
                  <c:v>Mar, 2010</c:v>
                </c:pt>
              </c:strCache>
            </c:strRef>
          </c:cat>
          <c:val>
            <c:numRef>
              <c:f>'Quarterly Data'!$B$5:$B$22</c:f>
              <c:numCache>
                <c:formatCode>0.000%</c:formatCode>
                <c:ptCount val="18"/>
                <c:pt idx="0">
                  <c:v>3.4694206874294142E-2</c:v>
                </c:pt>
                <c:pt idx="1">
                  <c:v>4.2435424354243523E-2</c:v>
                </c:pt>
                <c:pt idx="2">
                  <c:v>2.1626297577854725E-2</c:v>
                </c:pt>
                <c:pt idx="3">
                  <c:v>4.5010247516947821E-2</c:v>
                </c:pt>
                <c:pt idx="4">
                  <c:v>4.8034934497816595E-2</c:v>
                </c:pt>
                <c:pt idx="5">
                  <c:v>5.2558676414005578E-2</c:v>
                </c:pt>
                <c:pt idx="6">
                  <c:v>6.5275960280194223E-2</c:v>
                </c:pt>
                <c:pt idx="7">
                  <c:v>5.7629931357018993E-2</c:v>
                </c:pt>
                <c:pt idx="8">
                  <c:v>6.7931547619047628E-2</c:v>
                </c:pt>
                <c:pt idx="9">
                  <c:v>6.470244187746732E-2</c:v>
                </c:pt>
                <c:pt idx="10">
                  <c:v>6.4744562468386224E-2</c:v>
                </c:pt>
                <c:pt idx="11">
                  <c:v>6.8468725483203707E-2</c:v>
                </c:pt>
                <c:pt idx="12">
                  <c:v>9.336027311363404E-3</c:v>
                </c:pt>
                <c:pt idx="13">
                  <c:v>-2.0188148046418997E-2</c:v>
                </c:pt>
                <c:pt idx="14">
                  <c:v>-1.7441465897522823E-2</c:v>
                </c:pt>
                <c:pt idx="15">
                  <c:v>-1.2615980241639346E-2</c:v>
                </c:pt>
                <c:pt idx="16">
                  <c:v>4.4039483675018865E-2</c:v>
                </c:pt>
                <c:pt idx="17">
                  <c:v>8.9074216833695541E-2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17-43B5-8A4D-F4A633E60402}"/>
            </c:ext>
          </c:extLst>
        </c:ser>
        <c:ser>
          <c:idx val="1"/>
          <c:order val="1"/>
          <c:tx>
            <c:strRef>
              <c:f>'Quarterly Data'!$C$4</c:f>
              <c:strCache>
                <c:ptCount val="1"/>
                <c:pt idx="0">
                  <c:v>EUR</c:v>
                </c:pt>
              </c:strCache>
            </c:strRef>
          </c:tx>
          <c:spPr>
            <a:ln w="19050"/>
          </c:spPr>
          <c:cat>
            <c:strRef>
              <c:f>'Quarterly Data'!$A$5:$A$22</c:f>
              <c:strCache>
                <c:ptCount val="18"/>
                <c:pt idx="0">
                  <c:v>Dec, 2005</c:v>
                </c:pt>
                <c:pt idx="1">
                  <c:v>Mar, 2006</c:v>
                </c:pt>
                <c:pt idx="2">
                  <c:v>Jun, 2006</c:v>
                </c:pt>
                <c:pt idx="3">
                  <c:v>Sep, 2006</c:v>
                </c:pt>
                <c:pt idx="4">
                  <c:v>Dec, 2006</c:v>
                </c:pt>
                <c:pt idx="5">
                  <c:v>Mar, 2007</c:v>
                </c:pt>
                <c:pt idx="6">
                  <c:v>Jun, 2007</c:v>
                </c:pt>
                <c:pt idx="7">
                  <c:v>Sep, 2007</c:v>
                </c:pt>
                <c:pt idx="8">
                  <c:v>Dec, 2007</c:v>
                </c:pt>
                <c:pt idx="9">
                  <c:v>Mar, 2008</c:v>
                </c:pt>
                <c:pt idx="10">
                  <c:v>Jun, 2008</c:v>
                </c:pt>
                <c:pt idx="11">
                  <c:v>Sep, 2008</c:v>
                </c:pt>
                <c:pt idx="12">
                  <c:v>Dec, 2008</c:v>
                </c:pt>
                <c:pt idx="13">
                  <c:v>Mar, 2009</c:v>
                </c:pt>
                <c:pt idx="14">
                  <c:v>Jun, 2009</c:v>
                </c:pt>
                <c:pt idx="15">
                  <c:v>Sep, 2009</c:v>
                </c:pt>
                <c:pt idx="16">
                  <c:v>Dec, 2009</c:v>
                </c:pt>
                <c:pt idx="17">
                  <c:v>Mar, 2010</c:v>
                </c:pt>
              </c:strCache>
            </c:strRef>
          </c:cat>
          <c:val>
            <c:numRef>
              <c:f>'Quarterly Data'!$C$5:$C$22</c:f>
              <c:numCache>
                <c:formatCode>0.000%</c:formatCode>
                <c:ptCount val="18"/>
                <c:pt idx="0">
                  <c:v>7.6335877862594437E-3</c:v>
                </c:pt>
                <c:pt idx="1">
                  <c:v>3.7950664136623402E-3</c:v>
                </c:pt>
                <c:pt idx="2">
                  <c:v>4.7393364928909332E-3</c:v>
                </c:pt>
                <c:pt idx="3">
                  <c:v>4.7348484848483974E-3</c:v>
                </c:pt>
                <c:pt idx="4">
                  <c:v>7.575757575757569E-3</c:v>
                </c:pt>
                <c:pt idx="5">
                  <c:v>1.7013232514177634E-2</c:v>
                </c:pt>
                <c:pt idx="6">
                  <c:v>1.9811320754717032E-2</c:v>
                </c:pt>
                <c:pt idx="7">
                  <c:v>2.0735155513666337E-2</c:v>
                </c:pt>
                <c:pt idx="8">
                  <c:v>1.9736842105263053E-2</c:v>
                </c:pt>
                <c:pt idx="9">
                  <c:v>1.3011152416356753E-2</c:v>
                </c:pt>
                <c:pt idx="10">
                  <c:v>1.3876040703052706E-2</c:v>
                </c:pt>
                <c:pt idx="11">
                  <c:v>1.3850415512465464E-2</c:v>
                </c:pt>
                <c:pt idx="12">
                  <c:v>1.935483870967758E-2</c:v>
                </c:pt>
                <c:pt idx="13">
                  <c:v>1.5596330275229331E-2</c:v>
                </c:pt>
                <c:pt idx="14">
                  <c:v>1.3686131386861256E-2</c:v>
                </c:pt>
                <c:pt idx="15">
                  <c:v>1.91256830601092E-2</c:v>
                </c:pt>
                <c:pt idx="16">
                  <c:v>1.1754068716093968E-2</c:v>
                </c:pt>
                <c:pt idx="17">
                  <c:v>1.4453477868112019E-2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17-43B5-8A4D-F4A633E60402}"/>
            </c:ext>
          </c:extLst>
        </c:ser>
        <c:ser>
          <c:idx val="2"/>
          <c:order val="2"/>
          <c:tx>
            <c:strRef>
              <c:f>'Quarterly Data'!$D$4</c:f>
              <c:strCache>
                <c:ptCount val="1"/>
                <c:pt idx="0">
                  <c:v>USD</c:v>
                </c:pt>
              </c:strCache>
            </c:strRef>
          </c:tx>
          <c:spPr>
            <a:ln w="19050"/>
          </c:spPr>
          <c:cat>
            <c:strRef>
              <c:f>'Quarterly Data'!$A$5:$A$22</c:f>
              <c:strCache>
                <c:ptCount val="18"/>
                <c:pt idx="0">
                  <c:v>Dec, 2005</c:v>
                </c:pt>
                <c:pt idx="1">
                  <c:v>Mar, 2006</c:v>
                </c:pt>
                <c:pt idx="2">
                  <c:v>Jun, 2006</c:v>
                </c:pt>
                <c:pt idx="3">
                  <c:v>Sep, 2006</c:v>
                </c:pt>
                <c:pt idx="4">
                  <c:v>Dec, 2006</c:v>
                </c:pt>
                <c:pt idx="5">
                  <c:v>Mar, 2007</c:v>
                </c:pt>
                <c:pt idx="6">
                  <c:v>Jun, 2007</c:v>
                </c:pt>
                <c:pt idx="7">
                  <c:v>Sep, 2007</c:v>
                </c:pt>
                <c:pt idx="8">
                  <c:v>Dec, 2007</c:v>
                </c:pt>
                <c:pt idx="9">
                  <c:v>Mar, 2008</c:v>
                </c:pt>
                <c:pt idx="10">
                  <c:v>Jun, 2008</c:v>
                </c:pt>
                <c:pt idx="11">
                  <c:v>Sep, 2008</c:v>
                </c:pt>
                <c:pt idx="12">
                  <c:v>Dec, 2008</c:v>
                </c:pt>
                <c:pt idx="13">
                  <c:v>Mar, 2009</c:v>
                </c:pt>
                <c:pt idx="14">
                  <c:v>Jun, 2009</c:v>
                </c:pt>
                <c:pt idx="15">
                  <c:v>Sep, 2009</c:v>
                </c:pt>
                <c:pt idx="16">
                  <c:v>Dec, 2009</c:v>
                </c:pt>
                <c:pt idx="17">
                  <c:v>Mar, 2010</c:v>
                </c:pt>
              </c:strCache>
            </c:strRef>
          </c:cat>
          <c:val>
            <c:numRef>
              <c:f>'Quarterly Data'!$D$5:$D$22</c:f>
              <c:numCache>
                <c:formatCode>0.000%</c:formatCode>
                <c:ptCount val="18"/>
                <c:pt idx="0">
                  <c:v>3.5223069219921799E-2</c:v>
                </c:pt>
                <c:pt idx="1">
                  <c:v>3.3462932588137484E-2</c:v>
                </c:pt>
                <c:pt idx="2">
                  <c:v>3.5549789818781541E-2</c:v>
                </c:pt>
                <c:pt idx="3">
                  <c:v>3.2798797543325264E-2</c:v>
                </c:pt>
                <c:pt idx="4">
                  <c:v>2.8714132011963489E-2</c:v>
                </c:pt>
                <c:pt idx="5">
                  <c:v>3.1732813433786422E-2</c:v>
                </c:pt>
                <c:pt idx="6">
                  <c:v>2.9473745544948748E-2</c:v>
                </c:pt>
                <c:pt idx="7">
                  <c:v>2.5935849493041285E-2</c:v>
                </c:pt>
                <c:pt idx="8">
                  <c:v>2.7356118904603877E-2</c:v>
                </c:pt>
                <c:pt idx="9">
                  <c:v>2.111860222201134E-2</c:v>
                </c:pt>
                <c:pt idx="10">
                  <c:v>1.9441928911025697E-2</c:v>
                </c:pt>
                <c:pt idx="11">
                  <c:v>2.5599594164231965E-2</c:v>
                </c:pt>
                <c:pt idx="12">
                  <c:v>1.9641539567942123E-2</c:v>
                </c:pt>
                <c:pt idx="13">
                  <c:v>2.0058772109286416E-2</c:v>
                </c:pt>
                <c:pt idx="14">
                  <c:v>1.4962662743247312E-2</c:v>
                </c:pt>
                <c:pt idx="15">
                  <c:v>5.5966731396328573E-3</c:v>
                </c:pt>
                <c:pt idx="16">
                  <c:v>6.8424138057376904E-3</c:v>
                </c:pt>
                <c:pt idx="17">
                  <c:v>4.7679390287260759E-3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E17-43B5-8A4D-F4A633E60402}"/>
            </c:ext>
          </c:extLst>
        </c:ser>
        <c:ser>
          <c:idx val="3"/>
          <c:order val="3"/>
          <c:tx>
            <c:strRef>
              <c:f>'Quarterly Data'!$E$4</c:f>
              <c:strCache>
                <c:ptCount val="1"/>
                <c:pt idx="0">
                  <c:v>GBP</c:v>
                </c:pt>
              </c:strCache>
            </c:strRef>
          </c:tx>
          <c:spPr>
            <a:ln w="19050"/>
          </c:spPr>
          <c:cat>
            <c:strRef>
              <c:f>'Quarterly Data'!$A$5:$A$22</c:f>
              <c:strCache>
                <c:ptCount val="18"/>
                <c:pt idx="0">
                  <c:v>Dec, 2005</c:v>
                </c:pt>
                <c:pt idx="1">
                  <c:v>Mar, 2006</c:v>
                </c:pt>
                <c:pt idx="2">
                  <c:v>Jun, 2006</c:v>
                </c:pt>
                <c:pt idx="3">
                  <c:v>Sep, 2006</c:v>
                </c:pt>
                <c:pt idx="4">
                  <c:v>Dec, 2006</c:v>
                </c:pt>
                <c:pt idx="5">
                  <c:v>Mar, 2007</c:v>
                </c:pt>
                <c:pt idx="6">
                  <c:v>Jun, 2007</c:v>
                </c:pt>
                <c:pt idx="7">
                  <c:v>Sep, 2007</c:v>
                </c:pt>
                <c:pt idx="8">
                  <c:v>Dec, 2007</c:v>
                </c:pt>
                <c:pt idx="9">
                  <c:v>Mar, 2008</c:v>
                </c:pt>
                <c:pt idx="10">
                  <c:v>Jun, 2008</c:v>
                </c:pt>
                <c:pt idx="11">
                  <c:v>Sep, 2008</c:v>
                </c:pt>
                <c:pt idx="12">
                  <c:v>Dec, 2008</c:v>
                </c:pt>
                <c:pt idx="13">
                  <c:v>Mar, 2009</c:v>
                </c:pt>
                <c:pt idx="14">
                  <c:v>Jun, 2009</c:v>
                </c:pt>
                <c:pt idx="15">
                  <c:v>Sep, 2009</c:v>
                </c:pt>
                <c:pt idx="16">
                  <c:v>Dec, 2009</c:v>
                </c:pt>
                <c:pt idx="17">
                  <c:v>Mar, 2010</c:v>
                </c:pt>
              </c:strCache>
            </c:strRef>
          </c:cat>
          <c:val>
            <c:numRef>
              <c:f>'Quarterly Data'!$E$5:$E$22</c:f>
              <c:numCache>
                <c:formatCode>0.000%</c:formatCode>
                <c:ptCount val="18"/>
                <c:pt idx="0">
                  <c:v>1.1161387631975828E-2</c:v>
                </c:pt>
                <c:pt idx="1">
                  <c:v>2.3821489596944412E-2</c:v>
                </c:pt>
                <c:pt idx="2">
                  <c:v>1.7347956131605224E-2</c:v>
                </c:pt>
                <c:pt idx="3">
                  <c:v>3.6728549924736509E-2</c:v>
                </c:pt>
                <c:pt idx="4">
                  <c:v>3.3412887828162319E-2</c:v>
                </c:pt>
                <c:pt idx="5">
                  <c:v>3.0728450814843988E-2</c:v>
                </c:pt>
                <c:pt idx="6">
                  <c:v>3.3614268914151202E-2</c:v>
                </c:pt>
                <c:pt idx="7">
                  <c:v>2.6425321846868632E-2</c:v>
                </c:pt>
                <c:pt idx="8">
                  <c:v>2.4634334103156297E-2</c:v>
                </c:pt>
                <c:pt idx="9">
                  <c:v>3.0955329078959926E-2</c:v>
                </c:pt>
                <c:pt idx="10">
                  <c:v>2.863373471129238E-2</c:v>
                </c:pt>
                <c:pt idx="11">
                  <c:v>2.6216522067144421E-2</c:v>
                </c:pt>
                <c:pt idx="12">
                  <c:v>3.3715251690458414E-2</c:v>
                </c:pt>
                <c:pt idx="13">
                  <c:v>1.284183296378405E-2</c:v>
                </c:pt>
                <c:pt idx="14">
                  <c:v>8.5722186376624432E-3</c:v>
                </c:pt>
                <c:pt idx="15">
                  <c:v>1.8654659070023838E-2</c:v>
                </c:pt>
                <c:pt idx="16">
                  <c:v>1.3991096574906825E-2</c:v>
                </c:pt>
                <c:pt idx="17">
                  <c:v>3.5756635957310934E-2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E17-43B5-8A4D-F4A633E604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635136"/>
        <c:axId val="116636672"/>
      </c:lineChart>
      <c:catAx>
        <c:axId val="11663513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5400000" vert="horz"/>
          <a:lstStyle/>
          <a:p>
            <a:pPr>
              <a:defRPr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/>
          </a:p>
        </c:txPr>
        <c:crossAx val="116636672"/>
        <c:crosses val="autoZero"/>
        <c:auto val="1"/>
        <c:lblAlgn val="ctr"/>
        <c:lblOffset val="100"/>
        <c:noMultiLvlLbl val="0"/>
      </c:catAx>
      <c:valAx>
        <c:axId val="116636672"/>
        <c:scaling>
          <c:orientation val="minMax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txPr>
          <a:bodyPr/>
          <a:lstStyle/>
          <a:p>
            <a:pPr>
              <a:defRPr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/>
          </a:p>
        </c:txPr>
        <c:crossAx val="116635136"/>
        <c:crosses val="autoZero"/>
        <c:crossBetween val="between"/>
      </c:valAx>
    </c:plotArea>
    <c:legend>
      <c:legendPos val="t"/>
      <c:overlay val="0"/>
      <c:txPr>
        <a:bodyPr/>
        <a:lstStyle/>
        <a:p>
          <a:pPr>
            <a:defRPr>
              <a:latin typeface="Times New Roman" panose="02020603050405020304" pitchFamily="18" charset="0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Monthly Exchange Rates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'Monthly Data'!$B$4</c:f>
              <c:strCache>
                <c:ptCount val="1"/>
                <c:pt idx="0">
                  <c:v>USD/EUR</c:v>
                </c:pt>
              </c:strCache>
            </c:strRef>
          </c:tx>
          <c:spPr>
            <a:ln w="19050">
              <a:solidFill>
                <a:schemeClr val="tx1"/>
              </a:solidFill>
              <a:prstDash val="sysDash"/>
            </a:ln>
          </c:spPr>
          <c:marker>
            <c:symbol val="none"/>
          </c:marker>
          <c:cat>
            <c:strRef>
              <c:f>'Monthly Data'!$A$5:$A$56</c:f>
              <c:strCache>
                <c:ptCount val="52"/>
                <c:pt idx="0">
                  <c:v>Dec, 2005</c:v>
                </c:pt>
                <c:pt idx="1">
                  <c:v>Jan, 2006</c:v>
                </c:pt>
                <c:pt idx="2">
                  <c:v>Feb, 2006</c:v>
                </c:pt>
                <c:pt idx="3">
                  <c:v>Mar, 2006</c:v>
                </c:pt>
                <c:pt idx="4">
                  <c:v>Apr, 2006</c:v>
                </c:pt>
                <c:pt idx="5">
                  <c:v>May, 2006</c:v>
                </c:pt>
                <c:pt idx="6">
                  <c:v>Jun, 2006</c:v>
                </c:pt>
                <c:pt idx="7">
                  <c:v>Jul, 2006</c:v>
                </c:pt>
                <c:pt idx="8">
                  <c:v>Aug, 2006</c:v>
                </c:pt>
                <c:pt idx="9">
                  <c:v>Sep, 2006</c:v>
                </c:pt>
                <c:pt idx="10">
                  <c:v>Oct, 2006</c:v>
                </c:pt>
                <c:pt idx="11">
                  <c:v>Nov, 2006</c:v>
                </c:pt>
                <c:pt idx="12">
                  <c:v>Dec, 2006</c:v>
                </c:pt>
                <c:pt idx="13">
                  <c:v>Jan, 2007</c:v>
                </c:pt>
                <c:pt idx="14">
                  <c:v>Feb, 2007</c:v>
                </c:pt>
                <c:pt idx="15">
                  <c:v>Mar, 2007</c:v>
                </c:pt>
                <c:pt idx="16">
                  <c:v>Apr, 2007</c:v>
                </c:pt>
                <c:pt idx="17">
                  <c:v>May, 2007</c:v>
                </c:pt>
                <c:pt idx="18">
                  <c:v>Jun, 2007</c:v>
                </c:pt>
                <c:pt idx="19">
                  <c:v>Jul, 2007</c:v>
                </c:pt>
                <c:pt idx="20">
                  <c:v>Aug, 2007</c:v>
                </c:pt>
                <c:pt idx="21">
                  <c:v>Sep, 2007</c:v>
                </c:pt>
                <c:pt idx="22">
                  <c:v>Oct, 2007</c:v>
                </c:pt>
                <c:pt idx="23">
                  <c:v>Nov, 2007</c:v>
                </c:pt>
                <c:pt idx="24">
                  <c:v>Dec, 2007</c:v>
                </c:pt>
                <c:pt idx="25">
                  <c:v>Jan, 2008</c:v>
                </c:pt>
                <c:pt idx="26">
                  <c:v>Feb, 2008</c:v>
                </c:pt>
                <c:pt idx="27">
                  <c:v>Mar, 2008</c:v>
                </c:pt>
                <c:pt idx="28">
                  <c:v>Apr, 2008</c:v>
                </c:pt>
                <c:pt idx="29">
                  <c:v>May, 2008</c:v>
                </c:pt>
                <c:pt idx="30">
                  <c:v>Jun, 2008</c:v>
                </c:pt>
                <c:pt idx="31">
                  <c:v>Jul, 2008</c:v>
                </c:pt>
                <c:pt idx="32">
                  <c:v>Aug, 2008</c:v>
                </c:pt>
                <c:pt idx="33">
                  <c:v>Sep, 2008</c:v>
                </c:pt>
                <c:pt idx="34">
                  <c:v>Oct, 2008</c:v>
                </c:pt>
                <c:pt idx="35">
                  <c:v>Nov, 2008</c:v>
                </c:pt>
                <c:pt idx="36">
                  <c:v>Dec, 2008</c:v>
                </c:pt>
                <c:pt idx="37">
                  <c:v>Jan, 2009</c:v>
                </c:pt>
                <c:pt idx="38">
                  <c:v>Feb, 2009</c:v>
                </c:pt>
                <c:pt idx="39">
                  <c:v>Mar, 2009</c:v>
                </c:pt>
                <c:pt idx="40">
                  <c:v>Apr, 2009</c:v>
                </c:pt>
                <c:pt idx="41">
                  <c:v>May, 2009</c:v>
                </c:pt>
                <c:pt idx="42">
                  <c:v>Jun, 2009</c:v>
                </c:pt>
                <c:pt idx="43">
                  <c:v>Jul, 2009</c:v>
                </c:pt>
                <c:pt idx="44">
                  <c:v>Aug, 2009</c:v>
                </c:pt>
                <c:pt idx="45">
                  <c:v>Sep, 2009</c:v>
                </c:pt>
                <c:pt idx="46">
                  <c:v>Oct, 2009</c:v>
                </c:pt>
                <c:pt idx="47">
                  <c:v>Nov, 2009</c:v>
                </c:pt>
                <c:pt idx="48">
                  <c:v>Dec, 2009</c:v>
                </c:pt>
                <c:pt idx="49">
                  <c:v>Jan, 2010</c:v>
                </c:pt>
                <c:pt idx="50">
                  <c:v>Feb, 2010</c:v>
                </c:pt>
                <c:pt idx="51">
                  <c:v>Mar, 2010</c:v>
                </c:pt>
              </c:strCache>
            </c:strRef>
          </c:cat>
          <c:val>
            <c:numRef>
              <c:f>'Monthly Data'!$B$5:$B$56</c:f>
              <c:numCache>
                <c:formatCode>General</c:formatCode>
                <c:ptCount val="52"/>
                <c:pt idx="0">
                  <c:v>1.1860999999999999</c:v>
                </c:pt>
                <c:pt idx="1">
                  <c:v>1.2125999999999999</c:v>
                </c:pt>
                <c:pt idx="2">
                  <c:v>1.194</c:v>
                </c:pt>
                <c:pt idx="3">
                  <c:v>1.2028000000000001</c:v>
                </c:pt>
                <c:pt idx="4">
                  <c:v>1.2273000000000001</c:v>
                </c:pt>
                <c:pt idx="5">
                  <c:v>1.2766999999999999</c:v>
                </c:pt>
                <c:pt idx="6">
                  <c:v>1.2661</c:v>
                </c:pt>
                <c:pt idx="7">
                  <c:v>1.2681</c:v>
                </c:pt>
                <c:pt idx="8">
                  <c:v>1.2809999999999999</c:v>
                </c:pt>
                <c:pt idx="9">
                  <c:v>1.2722</c:v>
                </c:pt>
                <c:pt idx="10">
                  <c:v>1.2617</c:v>
                </c:pt>
                <c:pt idx="11">
                  <c:v>1.2887999999999999</c:v>
                </c:pt>
                <c:pt idx="12">
                  <c:v>1.3205</c:v>
                </c:pt>
                <c:pt idx="13">
                  <c:v>1.2992999999999999</c:v>
                </c:pt>
                <c:pt idx="14">
                  <c:v>1.3080000000000001</c:v>
                </c:pt>
                <c:pt idx="15">
                  <c:v>1.3246</c:v>
                </c:pt>
                <c:pt idx="16">
                  <c:v>1.3512999999999999</c:v>
                </c:pt>
                <c:pt idx="17">
                  <c:v>1.3517999999999999</c:v>
                </c:pt>
                <c:pt idx="18">
                  <c:v>1.3421000000000001</c:v>
                </c:pt>
                <c:pt idx="19">
                  <c:v>1.3726</c:v>
                </c:pt>
                <c:pt idx="20">
                  <c:v>1.3626</c:v>
                </c:pt>
                <c:pt idx="21">
                  <c:v>1.391</c:v>
                </c:pt>
                <c:pt idx="22">
                  <c:v>1.4233</c:v>
                </c:pt>
                <c:pt idx="23">
                  <c:v>1.4682999999999999</c:v>
                </c:pt>
                <c:pt idx="24">
                  <c:v>1.4559</c:v>
                </c:pt>
                <c:pt idx="25">
                  <c:v>1.4728000000000001</c:v>
                </c:pt>
                <c:pt idx="26">
                  <c:v>1.4759</c:v>
                </c:pt>
                <c:pt idx="27">
                  <c:v>1.552</c:v>
                </c:pt>
                <c:pt idx="28">
                  <c:v>1.5753999999999999</c:v>
                </c:pt>
                <c:pt idx="29">
                  <c:v>1.5553999999999999</c:v>
                </c:pt>
                <c:pt idx="30">
                  <c:v>1.5562</c:v>
                </c:pt>
                <c:pt idx="31">
                  <c:v>1.5759000000000001</c:v>
                </c:pt>
                <c:pt idx="32">
                  <c:v>1.4955000000000001</c:v>
                </c:pt>
                <c:pt idx="33">
                  <c:v>1.4341999999999999</c:v>
                </c:pt>
                <c:pt idx="34">
                  <c:v>1.3266</c:v>
                </c:pt>
                <c:pt idx="35">
                  <c:v>1.2744</c:v>
                </c:pt>
                <c:pt idx="36">
                  <c:v>1.3511</c:v>
                </c:pt>
                <c:pt idx="37">
                  <c:v>1.3244</c:v>
                </c:pt>
                <c:pt idx="38">
                  <c:v>1.2797000000000001</c:v>
                </c:pt>
                <c:pt idx="39">
                  <c:v>1.3049999999999999</c:v>
                </c:pt>
                <c:pt idx="40">
                  <c:v>1.3199000000000001</c:v>
                </c:pt>
                <c:pt idx="41">
                  <c:v>1.3646</c:v>
                </c:pt>
                <c:pt idx="42">
                  <c:v>1.4014</c:v>
                </c:pt>
                <c:pt idx="43">
                  <c:v>1.4092</c:v>
                </c:pt>
                <c:pt idx="44">
                  <c:v>1.4266000000000001</c:v>
                </c:pt>
                <c:pt idx="45">
                  <c:v>1.4575</c:v>
                </c:pt>
                <c:pt idx="46">
                  <c:v>1.4821</c:v>
                </c:pt>
                <c:pt idx="47">
                  <c:v>1.4907999999999999</c:v>
                </c:pt>
                <c:pt idx="48">
                  <c:v>1.4579</c:v>
                </c:pt>
                <c:pt idx="49">
                  <c:v>1.4266000000000001</c:v>
                </c:pt>
                <c:pt idx="50">
                  <c:v>1.3680000000000001</c:v>
                </c:pt>
                <c:pt idx="51">
                  <c:v>1.357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0F-4A14-8DB7-0DB84760328B}"/>
            </c:ext>
          </c:extLst>
        </c:ser>
        <c:ser>
          <c:idx val="1"/>
          <c:order val="1"/>
          <c:tx>
            <c:strRef>
              <c:f>'Monthly Data'!$C$4</c:f>
              <c:strCache>
                <c:ptCount val="1"/>
                <c:pt idx="0">
                  <c:v>USD/GBP</c:v>
                </c:pt>
              </c:strCache>
            </c:strRef>
          </c:tx>
          <c:spPr>
            <a:ln w="19050">
              <a:solidFill>
                <a:schemeClr val="tx1"/>
              </a:solidFill>
            </a:ln>
          </c:spPr>
          <c:marker>
            <c:symbol val="none"/>
          </c:marker>
          <c:cat>
            <c:strRef>
              <c:f>'Monthly Data'!$A$5:$A$56</c:f>
              <c:strCache>
                <c:ptCount val="52"/>
                <c:pt idx="0">
                  <c:v>Dec, 2005</c:v>
                </c:pt>
                <c:pt idx="1">
                  <c:v>Jan, 2006</c:v>
                </c:pt>
                <c:pt idx="2">
                  <c:v>Feb, 2006</c:v>
                </c:pt>
                <c:pt idx="3">
                  <c:v>Mar, 2006</c:v>
                </c:pt>
                <c:pt idx="4">
                  <c:v>Apr, 2006</c:v>
                </c:pt>
                <c:pt idx="5">
                  <c:v>May, 2006</c:v>
                </c:pt>
                <c:pt idx="6">
                  <c:v>Jun, 2006</c:v>
                </c:pt>
                <c:pt idx="7">
                  <c:v>Jul, 2006</c:v>
                </c:pt>
                <c:pt idx="8">
                  <c:v>Aug, 2006</c:v>
                </c:pt>
                <c:pt idx="9">
                  <c:v>Sep, 2006</c:v>
                </c:pt>
                <c:pt idx="10">
                  <c:v>Oct, 2006</c:v>
                </c:pt>
                <c:pt idx="11">
                  <c:v>Nov, 2006</c:v>
                </c:pt>
                <c:pt idx="12">
                  <c:v>Dec, 2006</c:v>
                </c:pt>
                <c:pt idx="13">
                  <c:v>Jan, 2007</c:v>
                </c:pt>
                <c:pt idx="14">
                  <c:v>Feb, 2007</c:v>
                </c:pt>
                <c:pt idx="15">
                  <c:v>Mar, 2007</c:v>
                </c:pt>
                <c:pt idx="16">
                  <c:v>Apr, 2007</c:v>
                </c:pt>
                <c:pt idx="17">
                  <c:v>May, 2007</c:v>
                </c:pt>
                <c:pt idx="18">
                  <c:v>Jun, 2007</c:v>
                </c:pt>
                <c:pt idx="19">
                  <c:v>Jul, 2007</c:v>
                </c:pt>
                <c:pt idx="20">
                  <c:v>Aug, 2007</c:v>
                </c:pt>
                <c:pt idx="21">
                  <c:v>Sep, 2007</c:v>
                </c:pt>
                <c:pt idx="22">
                  <c:v>Oct, 2007</c:v>
                </c:pt>
                <c:pt idx="23">
                  <c:v>Nov, 2007</c:v>
                </c:pt>
                <c:pt idx="24">
                  <c:v>Dec, 2007</c:v>
                </c:pt>
                <c:pt idx="25">
                  <c:v>Jan, 2008</c:v>
                </c:pt>
                <c:pt idx="26">
                  <c:v>Feb, 2008</c:v>
                </c:pt>
                <c:pt idx="27">
                  <c:v>Mar, 2008</c:v>
                </c:pt>
                <c:pt idx="28">
                  <c:v>Apr, 2008</c:v>
                </c:pt>
                <c:pt idx="29">
                  <c:v>May, 2008</c:v>
                </c:pt>
                <c:pt idx="30">
                  <c:v>Jun, 2008</c:v>
                </c:pt>
                <c:pt idx="31">
                  <c:v>Jul, 2008</c:v>
                </c:pt>
                <c:pt idx="32">
                  <c:v>Aug, 2008</c:v>
                </c:pt>
                <c:pt idx="33">
                  <c:v>Sep, 2008</c:v>
                </c:pt>
                <c:pt idx="34">
                  <c:v>Oct, 2008</c:v>
                </c:pt>
                <c:pt idx="35">
                  <c:v>Nov, 2008</c:v>
                </c:pt>
                <c:pt idx="36">
                  <c:v>Dec, 2008</c:v>
                </c:pt>
                <c:pt idx="37">
                  <c:v>Jan, 2009</c:v>
                </c:pt>
                <c:pt idx="38">
                  <c:v>Feb, 2009</c:v>
                </c:pt>
                <c:pt idx="39">
                  <c:v>Mar, 2009</c:v>
                </c:pt>
                <c:pt idx="40">
                  <c:v>Apr, 2009</c:v>
                </c:pt>
                <c:pt idx="41">
                  <c:v>May, 2009</c:v>
                </c:pt>
                <c:pt idx="42">
                  <c:v>Jun, 2009</c:v>
                </c:pt>
                <c:pt idx="43">
                  <c:v>Jul, 2009</c:v>
                </c:pt>
                <c:pt idx="44">
                  <c:v>Aug, 2009</c:v>
                </c:pt>
                <c:pt idx="45">
                  <c:v>Sep, 2009</c:v>
                </c:pt>
                <c:pt idx="46">
                  <c:v>Oct, 2009</c:v>
                </c:pt>
                <c:pt idx="47">
                  <c:v>Nov, 2009</c:v>
                </c:pt>
                <c:pt idx="48">
                  <c:v>Dec, 2009</c:v>
                </c:pt>
                <c:pt idx="49">
                  <c:v>Jan, 2010</c:v>
                </c:pt>
                <c:pt idx="50">
                  <c:v>Feb, 2010</c:v>
                </c:pt>
                <c:pt idx="51">
                  <c:v>Mar, 2010</c:v>
                </c:pt>
              </c:strCache>
            </c:strRef>
          </c:cat>
          <c:val>
            <c:numRef>
              <c:f>'Monthly Data'!$C$5:$C$56</c:f>
              <c:numCache>
                <c:formatCode>General</c:formatCode>
                <c:ptCount val="52"/>
                <c:pt idx="0">
                  <c:v>1.7458</c:v>
                </c:pt>
                <c:pt idx="1">
                  <c:v>1.7685999999999999</c:v>
                </c:pt>
                <c:pt idx="2">
                  <c:v>1.748</c:v>
                </c:pt>
                <c:pt idx="3">
                  <c:v>1.7442</c:v>
                </c:pt>
                <c:pt idx="4">
                  <c:v>1.768</c:v>
                </c:pt>
                <c:pt idx="5">
                  <c:v>1.8687</c:v>
                </c:pt>
                <c:pt idx="6">
                  <c:v>1.8434999999999999</c:v>
                </c:pt>
                <c:pt idx="7">
                  <c:v>1.8443000000000001</c:v>
                </c:pt>
                <c:pt idx="8">
                  <c:v>1.8940999999999999</c:v>
                </c:pt>
                <c:pt idx="9">
                  <c:v>1.8838999999999999</c:v>
                </c:pt>
                <c:pt idx="10">
                  <c:v>1.8765000000000001</c:v>
                </c:pt>
                <c:pt idx="11">
                  <c:v>1.9125000000000001</c:v>
                </c:pt>
                <c:pt idx="12">
                  <c:v>1.9629000000000001</c:v>
                </c:pt>
                <c:pt idx="13">
                  <c:v>1.9587000000000001</c:v>
                </c:pt>
                <c:pt idx="14">
                  <c:v>1.9589000000000001</c:v>
                </c:pt>
                <c:pt idx="15">
                  <c:v>1.9474</c:v>
                </c:pt>
                <c:pt idx="16">
                  <c:v>1.9879</c:v>
                </c:pt>
                <c:pt idx="17">
                  <c:v>1.9842</c:v>
                </c:pt>
                <c:pt idx="18">
                  <c:v>1.9866999999999999</c:v>
                </c:pt>
                <c:pt idx="19">
                  <c:v>2.0354999999999999</c:v>
                </c:pt>
                <c:pt idx="20">
                  <c:v>2.0110000000000001</c:v>
                </c:pt>
                <c:pt idx="21">
                  <c:v>2.0184000000000002</c:v>
                </c:pt>
                <c:pt idx="22">
                  <c:v>2.0449000000000002</c:v>
                </c:pt>
                <c:pt idx="23">
                  <c:v>2.0701000000000001</c:v>
                </c:pt>
                <c:pt idx="24">
                  <c:v>2.0160999999999998</c:v>
                </c:pt>
                <c:pt idx="25">
                  <c:v>1.9702</c:v>
                </c:pt>
                <c:pt idx="26">
                  <c:v>1.9645999999999999</c:v>
                </c:pt>
                <c:pt idx="27">
                  <c:v>2.0015000000000001</c:v>
                </c:pt>
                <c:pt idx="28">
                  <c:v>1.9816</c:v>
                </c:pt>
                <c:pt idx="29">
                  <c:v>1.9650000000000001</c:v>
                </c:pt>
                <c:pt idx="30">
                  <c:v>1.9663999999999999</c:v>
                </c:pt>
                <c:pt idx="31">
                  <c:v>1.9887999999999999</c:v>
                </c:pt>
                <c:pt idx="32">
                  <c:v>1.8865000000000001</c:v>
                </c:pt>
                <c:pt idx="33">
                  <c:v>1.7972999999999999</c:v>
                </c:pt>
                <c:pt idx="34">
                  <c:v>1.6861999999999999</c:v>
                </c:pt>
                <c:pt idx="35">
                  <c:v>1.5327</c:v>
                </c:pt>
                <c:pt idx="36">
                  <c:v>1.4854000000000001</c:v>
                </c:pt>
                <c:pt idx="37">
                  <c:v>1.4461999999999999</c:v>
                </c:pt>
                <c:pt idx="38">
                  <c:v>1.4421999999999999</c:v>
                </c:pt>
                <c:pt idx="39">
                  <c:v>1.417</c:v>
                </c:pt>
                <c:pt idx="40">
                  <c:v>1.4712000000000001</c:v>
                </c:pt>
                <c:pt idx="41">
                  <c:v>1.5418000000000001</c:v>
                </c:pt>
                <c:pt idx="42">
                  <c:v>1.6369</c:v>
                </c:pt>
                <c:pt idx="43">
                  <c:v>1.6377999999999999</c:v>
                </c:pt>
                <c:pt idx="44">
                  <c:v>1.6532</c:v>
                </c:pt>
                <c:pt idx="45">
                  <c:v>1.6323000000000001</c:v>
                </c:pt>
                <c:pt idx="46">
                  <c:v>1.6212</c:v>
                </c:pt>
                <c:pt idx="47">
                  <c:v>1.6598999999999999</c:v>
                </c:pt>
                <c:pt idx="48">
                  <c:v>1.6226</c:v>
                </c:pt>
                <c:pt idx="49">
                  <c:v>1.6157999999999999</c:v>
                </c:pt>
                <c:pt idx="50">
                  <c:v>1.5618000000000001</c:v>
                </c:pt>
                <c:pt idx="51">
                  <c:v>1.5058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0F-4A14-8DB7-0DB84760328B}"/>
            </c:ext>
          </c:extLst>
        </c:ser>
        <c:ser>
          <c:idx val="2"/>
          <c:order val="2"/>
          <c:tx>
            <c:strRef>
              <c:f>'Monthly Data'!$D$4</c:f>
              <c:strCache>
                <c:ptCount val="1"/>
                <c:pt idx="0">
                  <c:v>USD/BRL</c:v>
                </c:pt>
              </c:strCache>
            </c:strRef>
          </c:tx>
          <c:spPr>
            <a:ln w="19050">
              <a:solidFill>
                <a:schemeClr val="bg1">
                  <a:lumMod val="75000"/>
                </a:schemeClr>
              </a:solidFill>
              <a:prstDash val="solid"/>
            </a:ln>
          </c:spPr>
          <c:marker>
            <c:symbol val="none"/>
          </c:marker>
          <c:cat>
            <c:strRef>
              <c:f>'Monthly Data'!$A$5:$A$56</c:f>
              <c:strCache>
                <c:ptCount val="52"/>
                <c:pt idx="0">
                  <c:v>Dec, 2005</c:v>
                </c:pt>
                <c:pt idx="1">
                  <c:v>Jan, 2006</c:v>
                </c:pt>
                <c:pt idx="2">
                  <c:v>Feb, 2006</c:v>
                </c:pt>
                <c:pt idx="3">
                  <c:v>Mar, 2006</c:v>
                </c:pt>
                <c:pt idx="4">
                  <c:v>Apr, 2006</c:v>
                </c:pt>
                <c:pt idx="5">
                  <c:v>May, 2006</c:v>
                </c:pt>
                <c:pt idx="6">
                  <c:v>Jun, 2006</c:v>
                </c:pt>
                <c:pt idx="7">
                  <c:v>Jul, 2006</c:v>
                </c:pt>
                <c:pt idx="8">
                  <c:v>Aug, 2006</c:v>
                </c:pt>
                <c:pt idx="9">
                  <c:v>Sep, 2006</c:v>
                </c:pt>
                <c:pt idx="10">
                  <c:v>Oct, 2006</c:v>
                </c:pt>
                <c:pt idx="11">
                  <c:v>Nov, 2006</c:v>
                </c:pt>
                <c:pt idx="12">
                  <c:v>Dec, 2006</c:v>
                </c:pt>
                <c:pt idx="13">
                  <c:v>Jan, 2007</c:v>
                </c:pt>
                <c:pt idx="14">
                  <c:v>Feb, 2007</c:v>
                </c:pt>
                <c:pt idx="15">
                  <c:v>Mar, 2007</c:v>
                </c:pt>
                <c:pt idx="16">
                  <c:v>Apr, 2007</c:v>
                </c:pt>
                <c:pt idx="17">
                  <c:v>May, 2007</c:v>
                </c:pt>
                <c:pt idx="18">
                  <c:v>Jun, 2007</c:v>
                </c:pt>
                <c:pt idx="19">
                  <c:v>Jul, 2007</c:v>
                </c:pt>
                <c:pt idx="20">
                  <c:v>Aug, 2007</c:v>
                </c:pt>
                <c:pt idx="21">
                  <c:v>Sep, 2007</c:v>
                </c:pt>
                <c:pt idx="22">
                  <c:v>Oct, 2007</c:v>
                </c:pt>
                <c:pt idx="23">
                  <c:v>Nov, 2007</c:v>
                </c:pt>
                <c:pt idx="24">
                  <c:v>Dec, 2007</c:v>
                </c:pt>
                <c:pt idx="25">
                  <c:v>Jan, 2008</c:v>
                </c:pt>
                <c:pt idx="26">
                  <c:v>Feb, 2008</c:v>
                </c:pt>
                <c:pt idx="27">
                  <c:v>Mar, 2008</c:v>
                </c:pt>
                <c:pt idx="28">
                  <c:v>Apr, 2008</c:v>
                </c:pt>
                <c:pt idx="29">
                  <c:v>May, 2008</c:v>
                </c:pt>
                <c:pt idx="30">
                  <c:v>Jun, 2008</c:v>
                </c:pt>
                <c:pt idx="31">
                  <c:v>Jul, 2008</c:v>
                </c:pt>
                <c:pt idx="32">
                  <c:v>Aug, 2008</c:v>
                </c:pt>
                <c:pt idx="33">
                  <c:v>Sep, 2008</c:v>
                </c:pt>
                <c:pt idx="34">
                  <c:v>Oct, 2008</c:v>
                </c:pt>
                <c:pt idx="35">
                  <c:v>Nov, 2008</c:v>
                </c:pt>
                <c:pt idx="36">
                  <c:v>Dec, 2008</c:v>
                </c:pt>
                <c:pt idx="37">
                  <c:v>Jan, 2009</c:v>
                </c:pt>
                <c:pt idx="38">
                  <c:v>Feb, 2009</c:v>
                </c:pt>
                <c:pt idx="39">
                  <c:v>Mar, 2009</c:v>
                </c:pt>
                <c:pt idx="40">
                  <c:v>Apr, 2009</c:v>
                </c:pt>
                <c:pt idx="41">
                  <c:v>May, 2009</c:v>
                </c:pt>
                <c:pt idx="42">
                  <c:v>Jun, 2009</c:v>
                </c:pt>
                <c:pt idx="43">
                  <c:v>Jul, 2009</c:v>
                </c:pt>
                <c:pt idx="44">
                  <c:v>Aug, 2009</c:v>
                </c:pt>
                <c:pt idx="45">
                  <c:v>Sep, 2009</c:v>
                </c:pt>
                <c:pt idx="46">
                  <c:v>Oct, 2009</c:v>
                </c:pt>
                <c:pt idx="47">
                  <c:v>Nov, 2009</c:v>
                </c:pt>
                <c:pt idx="48">
                  <c:v>Dec, 2009</c:v>
                </c:pt>
                <c:pt idx="49">
                  <c:v>Jan, 2010</c:v>
                </c:pt>
                <c:pt idx="50">
                  <c:v>Feb, 2010</c:v>
                </c:pt>
                <c:pt idx="51">
                  <c:v>Mar, 2010</c:v>
                </c:pt>
              </c:strCache>
            </c:strRef>
          </c:cat>
          <c:val>
            <c:numRef>
              <c:f>'Monthly Data'!$D$5:$D$56</c:f>
              <c:numCache>
                <c:formatCode>0.0000</c:formatCode>
                <c:ptCount val="52"/>
                <c:pt idx="0">
                  <c:v>0.43842342934806439</c:v>
                </c:pt>
                <c:pt idx="1">
                  <c:v>0.4411894467484338</c:v>
                </c:pt>
                <c:pt idx="2">
                  <c:v>0.46324176587761151</c:v>
                </c:pt>
                <c:pt idx="3">
                  <c:v>0.46451133407655149</c:v>
                </c:pt>
                <c:pt idx="4">
                  <c:v>0.46990273013486211</c:v>
                </c:pt>
                <c:pt idx="5">
                  <c:v>0.46089321104300129</c:v>
                </c:pt>
                <c:pt idx="6">
                  <c:v>0.44458275908060291</c:v>
                </c:pt>
                <c:pt idx="7">
                  <c:v>0.45697573458849339</c:v>
                </c:pt>
                <c:pt idx="8">
                  <c:v>0.46397253282605672</c:v>
                </c:pt>
                <c:pt idx="9">
                  <c:v>0.46127588910927625</c:v>
                </c:pt>
                <c:pt idx="10">
                  <c:v>0.46602665672476468</c:v>
                </c:pt>
                <c:pt idx="11">
                  <c:v>0.46392948271862677</c:v>
                </c:pt>
                <c:pt idx="12">
                  <c:v>0.46563605885639781</c:v>
                </c:pt>
                <c:pt idx="13">
                  <c:v>0.46781437125748504</c:v>
                </c:pt>
                <c:pt idx="14">
                  <c:v>0.47757772577486984</c:v>
                </c:pt>
                <c:pt idx="15">
                  <c:v>0.47885840157065562</c:v>
                </c:pt>
                <c:pt idx="16">
                  <c:v>0.49256230913210525</c:v>
                </c:pt>
                <c:pt idx="17">
                  <c:v>0.50413389796329899</c:v>
                </c:pt>
                <c:pt idx="18">
                  <c:v>0.5175179837499353</c:v>
                </c:pt>
                <c:pt idx="19">
                  <c:v>0.53157559004890498</c:v>
                </c:pt>
                <c:pt idx="20">
                  <c:v>0.509683995922528</c:v>
                </c:pt>
                <c:pt idx="21">
                  <c:v>0.52567944067707506</c:v>
                </c:pt>
                <c:pt idx="22">
                  <c:v>0.55595708011341527</c:v>
                </c:pt>
                <c:pt idx="23">
                  <c:v>0.56596298602071426</c:v>
                </c:pt>
                <c:pt idx="24">
                  <c:v>0.5601613264620211</c:v>
                </c:pt>
                <c:pt idx="25">
                  <c:v>0.56465273856578202</c:v>
                </c:pt>
                <c:pt idx="26">
                  <c:v>0.578368999421631</c:v>
                </c:pt>
                <c:pt idx="27">
                  <c:v>0.58513750731421876</c:v>
                </c:pt>
                <c:pt idx="28">
                  <c:v>0.59301429164442865</c:v>
                </c:pt>
                <c:pt idx="29">
                  <c:v>0.60295447693699122</c:v>
                </c:pt>
                <c:pt idx="30">
                  <c:v>0.61808517213672043</c:v>
                </c:pt>
                <c:pt idx="31">
                  <c:v>0.62893081761006286</c:v>
                </c:pt>
                <c:pt idx="32">
                  <c:v>0.62007812984436039</c:v>
                </c:pt>
                <c:pt idx="33">
                  <c:v>0.55460041040430375</c:v>
                </c:pt>
                <c:pt idx="34">
                  <c:v>0.4585052728106373</c:v>
                </c:pt>
                <c:pt idx="35">
                  <c:v>0.44045102184637069</c:v>
                </c:pt>
                <c:pt idx="36">
                  <c:v>0.41746681138849462</c:v>
                </c:pt>
                <c:pt idx="37">
                  <c:v>0.43329433684301744</c:v>
                </c:pt>
                <c:pt idx="38">
                  <c:v>0.43047783039173482</c:v>
                </c:pt>
                <c:pt idx="39">
                  <c:v>0.43176028668883037</c:v>
                </c:pt>
                <c:pt idx="40">
                  <c:v>0.45398828710219274</c:v>
                </c:pt>
                <c:pt idx="41">
                  <c:v>0.48334863937358014</c:v>
                </c:pt>
                <c:pt idx="42">
                  <c:v>0.51056877361380582</c:v>
                </c:pt>
                <c:pt idx="43">
                  <c:v>0.51738410596026485</c:v>
                </c:pt>
                <c:pt idx="44">
                  <c:v>0.54191730341949818</c:v>
                </c:pt>
                <c:pt idx="45">
                  <c:v>0.54984329466102166</c:v>
                </c:pt>
                <c:pt idx="46">
                  <c:v>0.57544021176199789</c:v>
                </c:pt>
                <c:pt idx="47">
                  <c:v>0.57910586055130886</c:v>
                </c:pt>
                <c:pt idx="48">
                  <c:v>0.57116746630111948</c:v>
                </c:pt>
                <c:pt idx="49">
                  <c:v>0.56126171633832855</c:v>
                </c:pt>
                <c:pt idx="50">
                  <c:v>0.54288816503800219</c:v>
                </c:pt>
                <c:pt idx="51">
                  <c:v>0.56006720806496779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10F-4A14-8DB7-0DB8476032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097024"/>
        <c:axId val="118098560"/>
      </c:lineChart>
      <c:catAx>
        <c:axId val="118097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/>
          </a:p>
        </c:txPr>
        <c:crossAx val="118098560"/>
        <c:crosses val="autoZero"/>
        <c:auto val="1"/>
        <c:lblAlgn val="ctr"/>
        <c:lblOffset val="100"/>
        <c:noMultiLvlLbl val="0"/>
      </c:catAx>
      <c:valAx>
        <c:axId val="1180985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/>
          </a:p>
        </c:txPr>
        <c:crossAx val="118097024"/>
        <c:crosses val="autoZero"/>
        <c:crossBetween val="between"/>
      </c:valAx>
    </c:plotArea>
    <c:legend>
      <c:legendPos val="t"/>
      <c:overlay val="0"/>
      <c:txPr>
        <a:bodyPr/>
        <a:lstStyle/>
        <a:p>
          <a:pPr>
            <a:defRPr>
              <a:latin typeface="Times New Roman" panose="02020603050405020304" pitchFamily="18" charset="0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600-000000000000}">
  <sheetPr/>
  <sheetViews>
    <sheetView zoomScale="60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700-000000000000}">
  <sheetPr/>
  <sheetViews>
    <sheetView zoomScale="90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800-000000000000}">
  <sheetPr/>
  <sheetViews>
    <sheetView zoomScale="10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900-000000000000}">
  <sheetPr/>
  <sheetViews>
    <sheetView zoomScale="90" workbookViewId="0" zoomToFit="1"/>
  </sheetViews>
  <pageMargins left="0.7" right="0.7" top="0.75" bottom="0.75" header="0.3" footer="0.3"/>
  <drawing r:id="rId1"/>
</chartsheet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25</xdr:col>
      <xdr:colOff>1093470</xdr:colOff>
      <xdr:row>9</xdr:row>
      <xdr:rowOff>133350</xdr:rowOff>
    </xdr:from>
    <xdr:ext cx="249684" cy="248851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C3780779-434F-44BD-B7BC-A1C3458DC4EB}"/>
            </a:ext>
          </a:extLst>
        </xdr:cNvPr>
        <xdr:cNvSpPr txBox="1"/>
      </xdr:nvSpPr>
      <xdr:spPr>
        <a:xfrm>
          <a:off x="13628370" y="1905000"/>
          <a:ext cx="249684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/>
            <a:t>1</a:t>
          </a:r>
        </a:p>
      </xdr:txBody>
    </xdr:sp>
    <xdr:clientData/>
  </xdr:oneCellAnchor>
  <xdr:oneCellAnchor>
    <xdr:from>
      <xdr:col>25</xdr:col>
      <xdr:colOff>1878330</xdr:colOff>
      <xdr:row>9</xdr:row>
      <xdr:rowOff>133350</xdr:rowOff>
    </xdr:from>
    <xdr:ext cx="249684" cy="248851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B191A708-A8D5-4C24-9D26-814FC062CD4A}"/>
            </a:ext>
          </a:extLst>
        </xdr:cNvPr>
        <xdr:cNvSpPr txBox="1"/>
      </xdr:nvSpPr>
      <xdr:spPr>
        <a:xfrm>
          <a:off x="14413230" y="1905000"/>
          <a:ext cx="249684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/>
            <a:t>1</a:t>
          </a:r>
        </a:p>
      </xdr:txBody>
    </xdr:sp>
    <xdr:clientData/>
  </xdr:oneCellAnchor>
  <xdr:oneCellAnchor>
    <xdr:from>
      <xdr:col>25</xdr:col>
      <xdr:colOff>1089660</xdr:colOff>
      <xdr:row>10</xdr:row>
      <xdr:rowOff>129540</xdr:rowOff>
    </xdr:from>
    <xdr:ext cx="249684" cy="248851"/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E25BC29D-E2BF-447A-9F46-D94E9CB1D9BF}"/>
            </a:ext>
          </a:extLst>
        </xdr:cNvPr>
        <xdr:cNvSpPr txBox="1"/>
      </xdr:nvSpPr>
      <xdr:spPr>
        <a:xfrm>
          <a:off x="13624560" y="2099310"/>
          <a:ext cx="249684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/>
            <a:t>2</a:t>
          </a:r>
        </a:p>
      </xdr:txBody>
    </xdr:sp>
    <xdr:clientData/>
  </xdr:oneCellAnchor>
  <xdr:oneCellAnchor>
    <xdr:from>
      <xdr:col>25</xdr:col>
      <xdr:colOff>1874520</xdr:colOff>
      <xdr:row>10</xdr:row>
      <xdr:rowOff>129540</xdr:rowOff>
    </xdr:from>
    <xdr:ext cx="249684" cy="248851"/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A8F92C7B-6D8C-4FC8-BBAB-3F07AFD46E40}"/>
            </a:ext>
          </a:extLst>
        </xdr:cNvPr>
        <xdr:cNvSpPr txBox="1"/>
      </xdr:nvSpPr>
      <xdr:spPr>
        <a:xfrm>
          <a:off x="14409420" y="2099310"/>
          <a:ext cx="249684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/>
            <a:t>2</a:t>
          </a:r>
        </a:p>
      </xdr:txBody>
    </xdr:sp>
    <xdr:clientData/>
  </xdr:oneCellAnchor>
  <xdr:oneCellAnchor>
    <xdr:from>
      <xdr:col>25</xdr:col>
      <xdr:colOff>1093470</xdr:colOff>
      <xdr:row>11</xdr:row>
      <xdr:rowOff>125730</xdr:rowOff>
    </xdr:from>
    <xdr:ext cx="249684" cy="248851"/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9D4CC1BB-2D07-4C19-A593-8C817FE04559}"/>
            </a:ext>
          </a:extLst>
        </xdr:cNvPr>
        <xdr:cNvSpPr txBox="1"/>
      </xdr:nvSpPr>
      <xdr:spPr>
        <a:xfrm>
          <a:off x="13628370" y="2293620"/>
          <a:ext cx="249684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/>
            <a:t>3</a:t>
          </a:r>
        </a:p>
      </xdr:txBody>
    </xdr:sp>
    <xdr:clientData/>
  </xdr:oneCellAnchor>
  <xdr:oneCellAnchor>
    <xdr:from>
      <xdr:col>25</xdr:col>
      <xdr:colOff>1878330</xdr:colOff>
      <xdr:row>11</xdr:row>
      <xdr:rowOff>125730</xdr:rowOff>
    </xdr:from>
    <xdr:ext cx="249684" cy="248851"/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294BF92D-4A68-4823-A200-BEB048895612}"/>
            </a:ext>
          </a:extLst>
        </xdr:cNvPr>
        <xdr:cNvSpPr txBox="1"/>
      </xdr:nvSpPr>
      <xdr:spPr>
        <a:xfrm>
          <a:off x="14413230" y="2293620"/>
          <a:ext cx="249684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/>
            <a:t>3</a:t>
          </a:r>
        </a:p>
      </xdr:txBody>
    </xdr:sp>
    <xdr:clientData/>
  </xdr:oneCellAnchor>
  <xdr:oneCellAnchor>
    <xdr:from>
      <xdr:col>25</xdr:col>
      <xdr:colOff>1093470</xdr:colOff>
      <xdr:row>12</xdr:row>
      <xdr:rowOff>140970</xdr:rowOff>
    </xdr:from>
    <xdr:ext cx="249684" cy="248851"/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0DC0DB6F-7911-4B0A-9A29-52F57A935E30}"/>
            </a:ext>
          </a:extLst>
        </xdr:cNvPr>
        <xdr:cNvSpPr txBox="1"/>
      </xdr:nvSpPr>
      <xdr:spPr>
        <a:xfrm>
          <a:off x="13628370" y="2506980"/>
          <a:ext cx="249684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/>
            <a:t>4</a:t>
          </a:r>
        </a:p>
      </xdr:txBody>
    </xdr:sp>
    <xdr:clientData/>
  </xdr:oneCellAnchor>
  <xdr:oneCellAnchor>
    <xdr:from>
      <xdr:col>25</xdr:col>
      <xdr:colOff>1878330</xdr:colOff>
      <xdr:row>12</xdr:row>
      <xdr:rowOff>140970</xdr:rowOff>
    </xdr:from>
    <xdr:ext cx="249684" cy="248851"/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3902D01D-6404-4BAC-BBFD-C3800324905E}"/>
            </a:ext>
          </a:extLst>
        </xdr:cNvPr>
        <xdr:cNvSpPr txBox="1"/>
      </xdr:nvSpPr>
      <xdr:spPr>
        <a:xfrm>
          <a:off x="14413230" y="2506980"/>
          <a:ext cx="249684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/>
            <a:t>4</a:t>
          </a:r>
        </a:p>
      </xdr:txBody>
    </xdr:sp>
    <xdr:clientData/>
  </xdr:oneCellAnchor>
  <xdr:oneCellAnchor>
    <xdr:from>
      <xdr:col>25</xdr:col>
      <xdr:colOff>1093470</xdr:colOff>
      <xdr:row>13</xdr:row>
      <xdr:rowOff>152400</xdr:rowOff>
    </xdr:from>
    <xdr:ext cx="249684" cy="248851"/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99630D1D-26E4-4F41-A2DD-A6A3C6122BC9}"/>
            </a:ext>
          </a:extLst>
        </xdr:cNvPr>
        <xdr:cNvSpPr txBox="1"/>
      </xdr:nvSpPr>
      <xdr:spPr>
        <a:xfrm>
          <a:off x="13628370" y="2716530"/>
          <a:ext cx="249684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/>
            <a:t>5</a:t>
          </a:r>
        </a:p>
      </xdr:txBody>
    </xdr:sp>
    <xdr:clientData/>
  </xdr:oneCellAnchor>
  <xdr:oneCellAnchor>
    <xdr:from>
      <xdr:col>25</xdr:col>
      <xdr:colOff>1878330</xdr:colOff>
      <xdr:row>13</xdr:row>
      <xdr:rowOff>152400</xdr:rowOff>
    </xdr:from>
    <xdr:ext cx="249684" cy="248851"/>
    <xdr:sp macro="" textlink="">
      <xdr:nvSpPr>
        <xdr:cNvPr id="13" name="CuadroTexto 12">
          <a:extLst>
            <a:ext uri="{FF2B5EF4-FFF2-40B4-BE49-F238E27FC236}">
              <a16:creationId xmlns:a16="http://schemas.microsoft.com/office/drawing/2014/main" id="{929BE85B-070D-435C-AB10-19FA75BDB715}"/>
            </a:ext>
          </a:extLst>
        </xdr:cNvPr>
        <xdr:cNvSpPr txBox="1"/>
      </xdr:nvSpPr>
      <xdr:spPr>
        <a:xfrm>
          <a:off x="14413230" y="2716530"/>
          <a:ext cx="249684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/>
            <a:t>5</a:t>
          </a:r>
        </a:p>
      </xdr:txBody>
    </xdr:sp>
    <xdr:clientData/>
  </xdr:oneCellAnchor>
  <xdr:oneCellAnchor>
    <xdr:from>
      <xdr:col>25</xdr:col>
      <xdr:colOff>1089660</xdr:colOff>
      <xdr:row>15</xdr:row>
      <xdr:rowOff>144780</xdr:rowOff>
    </xdr:from>
    <xdr:ext cx="249684" cy="248851"/>
    <xdr:sp macro="" textlink="">
      <xdr:nvSpPr>
        <xdr:cNvPr id="14" name="CuadroTexto 13">
          <a:extLst>
            <a:ext uri="{FF2B5EF4-FFF2-40B4-BE49-F238E27FC236}">
              <a16:creationId xmlns:a16="http://schemas.microsoft.com/office/drawing/2014/main" id="{35F7EB08-8F47-4B6C-B98E-500C5C57EB6A}"/>
            </a:ext>
          </a:extLst>
        </xdr:cNvPr>
        <xdr:cNvSpPr txBox="1"/>
      </xdr:nvSpPr>
      <xdr:spPr>
        <a:xfrm>
          <a:off x="13624560" y="3105150"/>
          <a:ext cx="249684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/>
            <a:t>7</a:t>
          </a:r>
        </a:p>
      </xdr:txBody>
    </xdr:sp>
    <xdr:clientData/>
  </xdr:oneCellAnchor>
  <xdr:oneCellAnchor>
    <xdr:from>
      <xdr:col>25</xdr:col>
      <xdr:colOff>1874520</xdr:colOff>
      <xdr:row>15</xdr:row>
      <xdr:rowOff>144780</xdr:rowOff>
    </xdr:from>
    <xdr:ext cx="249684" cy="248851"/>
    <xdr:sp macro="" textlink="">
      <xdr:nvSpPr>
        <xdr:cNvPr id="15" name="CuadroTexto 14">
          <a:extLst>
            <a:ext uri="{FF2B5EF4-FFF2-40B4-BE49-F238E27FC236}">
              <a16:creationId xmlns:a16="http://schemas.microsoft.com/office/drawing/2014/main" id="{16AF7E2B-D188-48E4-AF43-AE85A8C88EF2}"/>
            </a:ext>
          </a:extLst>
        </xdr:cNvPr>
        <xdr:cNvSpPr txBox="1"/>
      </xdr:nvSpPr>
      <xdr:spPr>
        <a:xfrm>
          <a:off x="14409420" y="3105150"/>
          <a:ext cx="249684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/>
            <a:t>7</a:t>
          </a:r>
        </a:p>
      </xdr:txBody>
    </xdr:sp>
    <xdr:clientData/>
  </xdr:oneCellAnchor>
  <xdr:oneCellAnchor>
    <xdr:from>
      <xdr:col>25</xdr:col>
      <xdr:colOff>1085850</xdr:colOff>
      <xdr:row>16</xdr:row>
      <xdr:rowOff>118110</xdr:rowOff>
    </xdr:from>
    <xdr:ext cx="249684" cy="248851"/>
    <xdr:sp macro="" textlink="">
      <xdr:nvSpPr>
        <xdr:cNvPr id="16" name="CuadroTexto 15">
          <a:extLst>
            <a:ext uri="{FF2B5EF4-FFF2-40B4-BE49-F238E27FC236}">
              <a16:creationId xmlns:a16="http://schemas.microsoft.com/office/drawing/2014/main" id="{CCC82AEA-5E18-4FA7-8273-4B55579DDB61}"/>
            </a:ext>
          </a:extLst>
        </xdr:cNvPr>
        <xdr:cNvSpPr txBox="1"/>
      </xdr:nvSpPr>
      <xdr:spPr>
        <a:xfrm>
          <a:off x="14337030" y="3188970"/>
          <a:ext cx="249684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/>
            <a:t>8</a:t>
          </a:r>
        </a:p>
      </xdr:txBody>
    </xdr:sp>
    <xdr:clientData/>
  </xdr:oneCellAnchor>
  <xdr:oneCellAnchor>
    <xdr:from>
      <xdr:col>25</xdr:col>
      <xdr:colOff>1870710</xdr:colOff>
      <xdr:row>16</xdr:row>
      <xdr:rowOff>118110</xdr:rowOff>
    </xdr:from>
    <xdr:ext cx="249684" cy="248851"/>
    <xdr:sp macro="" textlink="">
      <xdr:nvSpPr>
        <xdr:cNvPr id="17" name="CuadroTexto 16">
          <a:extLst>
            <a:ext uri="{FF2B5EF4-FFF2-40B4-BE49-F238E27FC236}">
              <a16:creationId xmlns:a16="http://schemas.microsoft.com/office/drawing/2014/main" id="{F9CF3A2B-8B30-4087-9780-3C5F93CF17E6}"/>
            </a:ext>
          </a:extLst>
        </xdr:cNvPr>
        <xdr:cNvSpPr txBox="1"/>
      </xdr:nvSpPr>
      <xdr:spPr>
        <a:xfrm>
          <a:off x="15121890" y="3188970"/>
          <a:ext cx="249684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/>
            <a:t>8</a:t>
          </a:r>
        </a:p>
      </xdr:txBody>
    </xdr:sp>
    <xdr:clientData/>
  </xdr:oneCellAnchor>
  <xdr:oneCellAnchor>
    <xdr:from>
      <xdr:col>25</xdr:col>
      <xdr:colOff>1093470</xdr:colOff>
      <xdr:row>14</xdr:row>
      <xdr:rowOff>144780</xdr:rowOff>
    </xdr:from>
    <xdr:ext cx="249684" cy="248851"/>
    <xdr:sp macro="" textlink="">
      <xdr:nvSpPr>
        <xdr:cNvPr id="18" name="CuadroTexto 17">
          <a:extLst>
            <a:ext uri="{FF2B5EF4-FFF2-40B4-BE49-F238E27FC236}">
              <a16:creationId xmlns:a16="http://schemas.microsoft.com/office/drawing/2014/main" id="{41519805-0B37-4EED-BCC5-66FB176570AA}"/>
            </a:ext>
          </a:extLst>
        </xdr:cNvPr>
        <xdr:cNvSpPr txBox="1"/>
      </xdr:nvSpPr>
      <xdr:spPr>
        <a:xfrm>
          <a:off x="13628370" y="2907030"/>
          <a:ext cx="249684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/>
            <a:t>6</a:t>
          </a:r>
        </a:p>
      </xdr:txBody>
    </xdr:sp>
    <xdr:clientData/>
  </xdr:oneCellAnchor>
  <xdr:oneCellAnchor>
    <xdr:from>
      <xdr:col>25</xdr:col>
      <xdr:colOff>1878330</xdr:colOff>
      <xdr:row>14</xdr:row>
      <xdr:rowOff>144780</xdr:rowOff>
    </xdr:from>
    <xdr:ext cx="249684" cy="248851"/>
    <xdr:sp macro="" textlink="">
      <xdr:nvSpPr>
        <xdr:cNvPr id="19" name="CuadroTexto 18">
          <a:extLst>
            <a:ext uri="{FF2B5EF4-FFF2-40B4-BE49-F238E27FC236}">
              <a16:creationId xmlns:a16="http://schemas.microsoft.com/office/drawing/2014/main" id="{D703892D-88A9-4126-AA42-F07E93A0673A}"/>
            </a:ext>
          </a:extLst>
        </xdr:cNvPr>
        <xdr:cNvSpPr txBox="1"/>
      </xdr:nvSpPr>
      <xdr:spPr>
        <a:xfrm>
          <a:off x="14413230" y="2907030"/>
          <a:ext cx="249684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/>
            <a:t>6</a:t>
          </a:r>
        </a:p>
      </xdr:txBody>
    </xdr:sp>
    <xdr:clientData/>
  </xdr:oneCellAnchor>
  <xdr:oneCellAnchor>
    <xdr:from>
      <xdr:col>25</xdr:col>
      <xdr:colOff>1177290</xdr:colOff>
      <xdr:row>8</xdr:row>
      <xdr:rowOff>156210</xdr:rowOff>
    </xdr:from>
    <xdr:ext cx="236668" cy="217560"/>
    <xdr:sp macro="" textlink="">
      <xdr:nvSpPr>
        <xdr:cNvPr id="20" name="CuadroTexto 19">
          <a:extLst>
            <a:ext uri="{FF2B5EF4-FFF2-40B4-BE49-F238E27FC236}">
              <a16:creationId xmlns:a16="http://schemas.microsoft.com/office/drawing/2014/main" id="{F43A1C10-ACDE-4A38-9727-D334A5704995}"/>
            </a:ext>
          </a:extLst>
        </xdr:cNvPr>
        <xdr:cNvSpPr txBox="1"/>
      </xdr:nvSpPr>
      <xdr:spPr>
        <a:xfrm>
          <a:off x="13712190" y="1725930"/>
          <a:ext cx="236668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 b="1" i="1"/>
            <a:t>n</a:t>
          </a:r>
        </a:p>
      </xdr:txBody>
    </xdr:sp>
    <xdr:clientData/>
  </xdr:oneCellAnchor>
  <xdr:oneCellAnchor>
    <xdr:from>
      <xdr:col>25</xdr:col>
      <xdr:colOff>1908810</xdr:colOff>
      <xdr:row>8</xdr:row>
      <xdr:rowOff>156210</xdr:rowOff>
    </xdr:from>
    <xdr:ext cx="238783" cy="217560"/>
    <xdr:sp macro="" textlink="">
      <xdr:nvSpPr>
        <xdr:cNvPr id="21" name="CuadroTexto 20">
          <a:extLst>
            <a:ext uri="{FF2B5EF4-FFF2-40B4-BE49-F238E27FC236}">
              <a16:creationId xmlns:a16="http://schemas.microsoft.com/office/drawing/2014/main" id="{29A26879-71D1-40AB-A7F4-0B15C0BFD35B}"/>
            </a:ext>
          </a:extLst>
        </xdr:cNvPr>
        <xdr:cNvSpPr txBox="1"/>
      </xdr:nvSpPr>
      <xdr:spPr>
        <a:xfrm>
          <a:off x="14443710" y="1725930"/>
          <a:ext cx="238783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 b="1" i="1"/>
            <a:t>n</a:t>
          </a:r>
        </a:p>
      </xdr:txBody>
    </xdr:sp>
    <xdr:clientData/>
  </xdr:oneCellAnchor>
  <xdr:oneCellAnchor>
    <xdr:from>
      <xdr:col>29</xdr:col>
      <xdr:colOff>1093470</xdr:colOff>
      <xdr:row>9</xdr:row>
      <xdr:rowOff>133350</xdr:rowOff>
    </xdr:from>
    <xdr:ext cx="249684" cy="248851"/>
    <xdr:sp macro="" textlink="">
      <xdr:nvSpPr>
        <xdr:cNvPr id="22" name="CuadroTexto 21">
          <a:extLst>
            <a:ext uri="{FF2B5EF4-FFF2-40B4-BE49-F238E27FC236}">
              <a16:creationId xmlns:a16="http://schemas.microsoft.com/office/drawing/2014/main" id="{07620E3F-B52E-46C7-8935-D717D81E32BA}"/>
            </a:ext>
          </a:extLst>
        </xdr:cNvPr>
        <xdr:cNvSpPr txBox="1"/>
      </xdr:nvSpPr>
      <xdr:spPr>
        <a:xfrm>
          <a:off x="13415010" y="1905000"/>
          <a:ext cx="249684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/>
            <a:t>1</a:t>
          </a:r>
        </a:p>
      </xdr:txBody>
    </xdr:sp>
    <xdr:clientData/>
  </xdr:oneCellAnchor>
  <xdr:oneCellAnchor>
    <xdr:from>
      <xdr:col>29</xdr:col>
      <xdr:colOff>1878330</xdr:colOff>
      <xdr:row>9</xdr:row>
      <xdr:rowOff>133350</xdr:rowOff>
    </xdr:from>
    <xdr:ext cx="249684" cy="248851"/>
    <xdr:sp macro="" textlink="">
      <xdr:nvSpPr>
        <xdr:cNvPr id="23" name="CuadroTexto 22">
          <a:extLst>
            <a:ext uri="{FF2B5EF4-FFF2-40B4-BE49-F238E27FC236}">
              <a16:creationId xmlns:a16="http://schemas.microsoft.com/office/drawing/2014/main" id="{E6B92576-FFBF-4DF5-8804-6E549DC33C3A}"/>
            </a:ext>
          </a:extLst>
        </xdr:cNvPr>
        <xdr:cNvSpPr txBox="1"/>
      </xdr:nvSpPr>
      <xdr:spPr>
        <a:xfrm>
          <a:off x="14199870" y="1905000"/>
          <a:ext cx="249684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/>
            <a:t>1</a:t>
          </a:r>
        </a:p>
      </xdr:txBody>
    </xdr:sp>
    <xdr:clientData/>
  </xdr:oneCellAnchor>
  <xdr:oneCellAnchor>
    <xdr:from>
      <xdr:col>29</xdr:col>
      <xdr:colOff>1089660</xdr:colOff>
      <xdr:row>10</xdr:row>
      <xdr:rowOff>129540</xdr:rowOff>
    </xdr:from>
    <xdr:ext cx="249684" cy="248851"/>
    <xdr:sp macro="" textlink="">
      <xdr:nvSpPr>
        <xdr:cNvPr id="24" name="CuadroTexto 23">
          <a:extLst>
            <a:ext uri="{FF2B5EF4-FFF2-40B4-BE49-F238E27FC236}">
              <a16:creationId xmlns:a16="http://schemas.microsoft.com/office/drawing/2014/main" id="{87E85608-1189-43E8-977E-5B1E615A4F44}"/>
            </a:ext>
          </a:extLst>
        </xdr:cNvPr>
        <xdr:cNvSpPr txBox="1"/>
      </xdr:nvSpPr>
      <xdr:spPr>
        <a:xfrm>
          <a:off x="13411200" y="2099310"/>
          <a:ext cx="249684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/>
            <a:t>2</a:t>
          </a:r>
        </a:p>
      </xdr:txBody>
    </xdr:sp>
    <xdr:clientData/>
  </xdr:oneCellAnchor>
  <xdr:oneCellAnchor>
    <xdr:from>
      <xdr:col>29</xdr:col>
      <xdr:colOff>1874520</xdr:colOff>
      <xdr:row>10</xdr:row>
      <xdr:rowOff>129540</xdr:rowOff>
    </xdr:from>
    <xdr:ext cx="249684" cy="248851"/>
    <xdr:sp macro="" textlink="">
      <xdr:nvSpPr>
        <xdr:cNvPr id="25" name="CuadroTexto 24">
          <a:extLst>
            <a:ext uri="{FF2B5EF4-FFF2-40B4-BE49-F238E27FC236}">
              <a16:creationId xmlns:a16="http://schemas.microsoft.com/office/drawing/2014/main" id="{7D0E97F5-081E-4C13-A75E-5F6122992054}"/>
            </a:ext>
          </a:extLst>
        </xdr:cNvPr>
        <xdr:cNvSpPr txBox="1"/>
      </xdr:nvSpPr>
      <xdr:spPr>
        <a:xfrm>
          <a:off x="14196060" y="2099310"/>
          <a:ext cx="249684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/>
            <a:t>2</a:t>
          </a:r>
        </a:p>
      </xdr:txBody>
    </xdr:sp>
    <xdr:clientData/>
  </xdr:oneCellAnchor>
  <xdr:oneCellAnchor>
    <xdr:from>
      <xdr:col>29</xdr:col>
      <xdr:colOff>1093470</xdr:colOff>
      <xdr:row>11</xdr:row>
      <xdr:rowOff>125730</xdr:rowOff>
    </xdr:from>
    <xdr:ext cx="249684" cy="248851"/>
    <xdr:sp macro="" textlink="">
      <xdr:nvSpPr>
        <xdr:cNvPr id="26" name="CuadroTexto 25">
          <a:extLst>
            <a:ext uri="{FF2B5EF4-FFF2-40B4-BE49-F238E27FC236}">
              <a16:creationId xmlns:a16="http://schemas.microsoft.com/office/drawing/2014/main" id="{6BF2BA23-1A03-4B44-AF09-780EB710A4E1}"/>
            </a:ext>
          </a:extLst>
        </xdr:cNvPr>
        <xdr:cNvSpPr txBox="1"/>
      </xdr:nvSpPr>
      <xdr:spPr>
        <a:xfrm>
          <a:off x="13415010" y="2293620"/>
          <a:ext cx="249684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/>
            <a:t>3</a:t>
          </a:r>
        </a:p>
      </xdr:txBody>
    </xdr:sp>
    <xdr:clientData/>
  </xdr:oneCellAnchor>
  <xdr:oneCellAnchor>
    <xdr:from>
      <xdr:col>29</xdr:col>
      <xdr:colOff>1878330</xdr:colOff>
      <xdr:row>11</xdr:row>
      <xdr:rowOff>125730</xdr:rowOff>
    </xdr:from>
    <xdr:ext cx="249684" cy="248851"/>
    <xdr:sp macro="" textlink="">
      <xdr:nvSpPr>
        <xdr:cNvPr id="27" name="CuadroTexto 26">
          <a:extLst>
            <a:ext uri="{FF2B5EF4-FFF2-40B4-BE49-F238E27FC236}">
              <a16:creationId xmlns:a16="http://schemas.microsoft.com/office/drawing/2014/main" id="{228632F2-625F-45FC-8313-86A3490A07B3}"/>
            </a:ext>
          </a:extLst>
        </xdr:cNvPr>
        <xdr:cNvSpPr txBox="1"/>
      </xdr:nvSpPr>
      <xdr:spPr>
        <a:xfrm>
          <a:off x="14199870" y="2293620"/>
          <a:ext cx="249684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/>
            <a:t>3</a:t>
          </a:r>
        </a:p>
      </xdr:txBody>
    </xdr:sp>
    <xdr:clientData/>
  </xdr:oneCellAnchor>
  <xdr:oneCellAnchor>
    <xdr:from>
      <xdr:col>29</xdr:col>
      <xdr:colOff>1093470</xdr:colOff>
      <xdr:row>12</xdr:row>
      <xdr:rowOff>140970</xdr:rowOff>
    </xdr:from>
    <xdr:ext cx="249684" cy="248851"/>
    <xdr:sp macro="" textlink="">
      <xdr:nvSpPr>
        <xdr:cNvPr id="28" name="CuadroTexto 27">
          <a:extLst>
            <a:ext uri="{FF2B5EF4-FFF2-40B4-BE49-F238E27FC236}">
              <a16:creationId xmlns:a16="http://schemas.microsoft.com/office/drawing/2014/main" id="{7F74E0D6-7B9E-490F-8D1F-8C4C1717C586}"/>
            </a:ext>
          </a:extLst>
        </xdr:cNvPr>
        <xdr:cNvSpPr txBox="1"/>
      </xdr:nvSpPr>
      <xdr:spPr>
        <a:xfrm>
          <a:off x="13415010" y="2506980"/>
          <a:ext cx="249684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/>
            <a:t>4</a:t>
          </a:r>
        </a:p>
      </xdr:txBody>
    </xdr:sp>
    <xdr:clientData/>
  </xdr:oneCellAnchor>
  <xdr:oneCellAnchor>
    <xdr:from>
      <xdr:col>29</xdr:col>
      <xdr:colOff>1878330</xdr:colOff>
      <xdr:row>12</xdr:row>
      <xdr:rowOff>140970</xdr:rowOff>
    </xdr:from>
    <xdr:ext cx="249684" cy="248851"/>
    <xdr:sp macro="" textlink="">
      <xdr:nvSpPr>
        <xdr:cNvPr id="29" name="CuadroTexto 28">
          <a:extLst>
            <a:ext uri="{FF2B5EF4-FFF2-40B4-BE49-F238E27FC236}">
              <a16:creationId xmlns:a16="http://schemas.microsoft.com/office/drawing/2014/main" id="{79E0464F-E2D4-4519-92C3-75B1489144F7}"/>
            </a:ext>
          </a:extLst>
        </xdr:cNvPr>
        <xdr:cNvSpPr txBox="1"/>
      </xdr:nvSpPr>
      <xdr:spPr>
        <a:xfrm>
          <a:off x="14199870" y="2506980"/>
          <a:ext cx="249684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/>
            <a:t>4</a:t>
          </a:r>
        </a:p>
      </xdr:txBody>
    </xdr:sp>
    <xdr:clientData/>
  </xdr:oneCellAnchor>
  <xdr:oneCellAnchor>
    <xdr:from>
      <xdr:col>29</xdr:col>
      <xdr:colOff>1093470</xdr:colOff>
      <xdr:row>13</xdr:row>
      <xdr:rowOff>152400</xdr:rowOff>
    </xdr:from>
    <xdr:ext cx="249684" cy="248851"/>
    <xdr:sp macro="" textlink="">
      <xdr:nvSpPr>
        <xdr:cNvPr id="30" name="CuadroTexto 29">
          <a:extLst>
            <a:ext uri="{FF2B5EF4-FFF2-40B4-BE49-F238E27FC236}">
              <a16:creationId xmlns:a16="http://schemas.microsoft.com/office/drawing/2014/main" id="{92BAB917-19A0-4DE7-A8F5-52B21778DA8C}"/>
            </a:ext>
          </a:extLst>
        </xdr:cNvPr>
        <xdr:cNvSpPr txBox="1"/>
      </xdr:nvSpPr>
      <xdr:spPr>
        <a:xfrm>
          <a:off x="13415010" y="2716530"/>
          <a:ext cx="249684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/>
            <a:t>5</a:t>
          </a:r>
        </a:p>
      </xdr:txBody>
    </xdr:sp>
    <xdr:clientData/>
  </xdr:oneCellAnchor>
  <xdr:oneCellAnchor>
    <xdr:from>
      <xdr:col>29</xdr:col>
      <xdr:colOff>1878330</xdr:colOff>
      <xdr:row>13</xdr:row>
      <xdr:rowOff>152400</xdr:rowOff>
    </xdr:from>
    <xdr:ext cx="249684" cy="248851"/>
    <xdr:sp macro="" textlink="">
      <xdr:nvSpPr>
        <xdr:cNvPr id="31" name="CuadroTexto 30">
          <a:extLst>
            <a:ext uri="{FF2B5EF4-FFF2-40B4-BE49-F238E27FC236}">
              <a16:creationId xmlns:a16="http://schemas.microsoft.com/office/drawing/2014/main" id="{FDE968A8-8C48-4D6E-BA37-814D52C2906C}"/>
            </a:ext>
          </a:extLst>
        </xdr:cNvPr>
        <xdr:cNvSpPr txBox="1"/>
      </xdr:nvSpPr>
      <xdr:spPr>
        <a:xfrm>
          <a:off x="14199870" y="2716530"/>
          <a:ext cx="249684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/>
            <a:t>5</a:t>
          </a:r>
        </a:p>
      </xdr:txBody>
    </xdr:sp>
    <xdr:clientData/>
  </xdr:oneCellAnchor>
  <xdr:oneCellAnchor>
    <xdr:from>
      <xdr:col>29</xdr:col>
      <xdr:colOff>1089660</xdr:colOff>
      <xdr:row>15</xdr:row>
      <xdr:rowOff>144780</xdr:rowOff>
    </xdr:from>
    <xdr:ext cx="249684" cy="248851"/>
    <xdr:sp macro="" textlink="">
      <xdr:nvSpPr>
        <xdr:cNvPr id="32" name="CuadroTexto 31">
          <a:extLst>
            <a:ext uri="{FF2B5EF4-FFF2-40B4-BE49-F238E27FC236}">
              <a16:creationId xmlns:a16="http://schemas.microsoft.com/office/drawing/2014/main" id="{F458388A-1786-4DAC-87E8-CC3D66A63132}"/>
            </a:ext>
          </a:extLst>
        </xdr:cNvPr>
        <xdr:cNvSpPr txBox="1"/>
      </xdr:nvSpPr>
      <xdr:spPr>
        <a:xfrm>
          <a:off x="13411200" y="3105150"/>
          <a:ext cx="249684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/>
            <a:t>7</a:t>
          </a:r>
        </a:p>
      </xdr:txBody>
    </xdr:sp>
    <xdr:clientData/>
  </xdr:oneCellAnchor>
  <xdr:oneCellAnchor>
    <xdr:from>
      <xdr:col>29</xdr:col>
      <xdr:colOff>1874520</xdr:colOff>
      <xdr:row>15</xdr:row>
      <xdr:rowOff>144780</xdr:rowOff>
    </xdr:from>
    <xdr:ext cx="249684" cy="248851"/>
    <xdr:sp macro="" textlink="">
      <xdr:nvSpPr>
        <xdr:cNvPr id="33" name="CuadroTexto 32">
          <a:extLst>
            <a:ext uri="{FF2B5EF4-FFF2-40B4-BE49-F238E27FC236}">
              <a16:creationId xmlns:a16="http://schemas.microsoft.com/office/drawing/2014/main" id="{87E3CD7A-D84F-447C-A85E-057CF2F25129}"/>
            </a:ext>
          </a:extLst>
        </xdr:cNvPr>
        <xdr:cNvSpPr txBox="1"/>
      </xdr:nvSpPr>
      <xdr:spPr>
        <a:xfrm>
          <a:off x="14196060" y="3105150"/>
          <a:ext cx="249684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/>
            <a:t>7</a:t>
          </a:r>
        </a:p>
      </xdr:txBody>
    </xdr:sp>
    <xdr:clientData/>
  </xdr:oneCellAnchor>
  <xdr:oneCellAnchor>
    <xdr:from>
      <xdr:col>29</xdr:col>
      <xdr:colOff>1085850</xdr:colOff>
      <xdr:row>16</xdr:row>
      <xdr:rowOff>118110</xdr:rowOff>
    </xdr:from>
    <xdr:ext cx="249684" cy="248851"/>
    <xdr:sp macro="" textlink="">
      <xdr:nvSpPr>
        <xdr:cNvPr id="34" name="CuadroTexto 33">
          <a:extLst>
            <a:ext uri="{FF2B5EF4-FFF2-40B4-BE49-F238E27FC236}">
              <a16:creationId xmlns:a16="http://schemas.microsoft.com/office/drawing/2014/main" id="{30533C89-AC46-47B3-9130-95B0FB385778}"/>
            </a:ext>
          </a:extLst>
        </xdr:cNvPr>
        <xdr:cNvSpPr txBox="1"/>
      </xdr:nvSpPr>
      <xdr:spPr>
        <a:xfrm>
          <a:off x="13407390" y="3276600"/>
          <a:ext cx="249684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/>
            <a:t>8</a:t>
          </a:r>
        </a:p>
      </xdr:txBody>
    </xdr:sp>
    <xdr:clientData/>
  </xdr:oneCellAnchor>
  <xdr:oneCellAnchor>
    <xdr:from>
      <xdr:col>29</xdr:col>
      <xdr:colOff>1870710</xdr:colOff>
      <xdr:row>16</xdr:row>
      <xdr:rowOff>118110</xdr:rowOff>
    </xdr:from>
    <xdr:ext cx="249684" cy="248851"/>
    <xdr:sp macro="" textlink="">
      <xdr:nvSpPr>
        <xdr:cNvPr id="35" name="CuadroTexto 34">
          <a:extLst>
            <a:ext uri="{FF2B5EF4-FFF2-40B4-BE49-F238E27FC236}">
              <a16:creationId xmlns:a16="http://schemas.microsoft.com/office/drawing/2014/main" id="{CECD493B-7FED-4E16-82A5-A71498DFB93D}"/>
            </a:ext>
          </a:extLst>
        </xdr:cNvPr>
        <xdr:cNvSpPr txBox="1"/>
      </xdr:nvSpPr>
      <xdr:spPr>
        <a:xfrm>
          <a:off x="14192250" y="3276600"/>
          <a:ext cx="249684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/>
            <a:t>8</a:t>
          </a:r>
        </a:p>
      </xdr:txBody>
    </xdr:sp>
    <xdr:clientData/>
  </xdr:oneCellAnchor>
  <xdr:oneCellAnchor>
    <xdr:from>
      <xdr:col>29</xdr:col>
      <xdr:colOff>1093470</xdr:colOff>
      <xdr:row>14</xdr:row>
      <xdr:rowOff>144780</xdr:rowOff>
    </xdr:from>
    <xdr:ext cx="249684" cy="248851"/>
    <xdr:sp macro="" textlink="">
      <xdr:nvSpPr>
        <xdr:cNvPr id="36" name="CuadroTexto 35">
          <a:extLst>
            <a:ext uri="{FF2B5EF4-FFF2-40B4-BE49-F238E27FC236}">
              <a16:creationId xmlns:a16="http://schemas.microsoft.com/office/drawing/2014/main" id="{246C4D1C-1E21-49B8-88C2-66EB8C38EE64}"/>
            </a:ext>
          </a:extLst>
        </xdr:cNvPr>
        <xdr:cNvSpPr txBox="1"/>
      </xdr:nvSpPr>
      <xdr:spPr>
        <a:xfrm>
          <a:off x="13415010" y="2907030"/>
          <a:ext cx="249684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/>
            <a:t>6</a:t>
          </a:r>
        </a:p>
      </xdr:txBody>
    </xdr:sp>
    <xdr:clientData/>
  </xdr:oneCellAnchor>
  <xdr:oneCellAnchor>
    <xdr:from>
      <xdr:col>29</xdr:col>
      <xdr:colOff>1878330</xdr:colOff>
      <xdr:row>14</xdr:row>
      <xdr:rowOff>144780</xdr:rowOff>
    </xdr:from>
    <xdr:ext cx="249684" cy="248851"/>
    <xdr:sp macro="" textlink="">
      <xdr:nvSpPr>
        <xdr:cNvPr id="37" name="CuadroTexto 36">
          <a:extLst>
            <a:ext uri="{FF2B5EF4-FFF2-40B4-BE49-F238E27FC236}">
              <a16:creationId xmlns:a16="http://schemas.microsoft.com/office/drawing/2014/main" id="{6B6FD780-C204-44EE-AC12-DFAB068F5E6A}"/>
            </a:ext>
          </a:extLst>
        </xdr:cNvPr>
        <xdr:cNvSpPr txBox="1"/>
      </xdr:nvSpPr>
      <xdr:spPr>
        <a:xfrm>
          <a:off x="14199870" y="2907030"/>
          <a:ext cx="249684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/>
            <a:t>6</a:t>
          </a:r>
        </a:p>
      </xdr:txBody>
    </xdr:sp>
    <xdr:clientData/>
  </xdr:oneCellAnchor>
  <xdr:oneCellAnchor>
    <xdr:from>
      <xdr:col>29</xdr:col>
      <xdr:colOff>1177290</xdr:colOff>
      <xdr:row>8</xdr:row>
      <xdr:rowOff>156210</xdr:rowOff>
    </xdr:from>
    <xdr:ext cx="236668" cy="217560"/>
    <xdr:sp macro="" textlink="">
      <xdr:nvSpPr>
        <xdr:cNvPr id="38" name="CuadroTexto 37">
          <a:extLst>
            <a:ext uri="{FF2B5EF4-FFF2-40B4-BE49-F238E27FC236}">
              <a16:creationId xmlns:a16="http://schemas.microsoft.com/office/drawing/2014/main" id="{277568D2-5DE0-4ADD-BB2A-1B8F76EC3D9B}"/>
            </a:ext>
          </a:extLst>
        </xdr:cNvPr>
        <xdr:cNvSpPr txBox="1"/>
      </xdr:nvSpPr>
      <xdr:spPr>
        <a:xfrm>
          <a:off x="13498830" y="1725930"/>
          <a:ext cx="236668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 b="1" i="1"/>
            <a:t>n</a:t>
          </a:r>
        </a:p>
      </xdr:txBody>
    </xdr:sp>
    <xdr:clientData/>
  </xdr:oneCellAnchor>
  <xdr:oneCellAnchor>
    <xdr:from>
      <xdr:col>29</xdr:col>
      <xdr:colOff>1870710</xdr:colOff>
      <xdr:row>8</xdr:row>
      <xdr:rowOff>156210</xdr:rowOff>
    </xdr:from>
    <xdr:ext cx="238783" cy="217560"/>
    <xdr:sp macro="" textlink="">
      <xdr:nvSpPr>
        <xdr:cNvPr id="39" name="CuadroTexto 38">
          <a:extLst>
            <a:ext uri="{FF2B5EF4-FFF2-40B4-BE49-F238E27FC236}">
              <a16:creationId xmlns:a16="http://schemas.microsoft.com/office/drawing/2014/main" id="{B21FB6A4-8DCF-486D-A61C-4B9EBB492070}"/>
            </a:ext>
          </a:extLst>
        </xdr:cNvPr>
        <xdr:cNvSpPr txBox="1"/>
      </xdr:nvSpPr>
      <xdr:spPr>
        <a:xfrm>
          <a:off x="17034510" y="1725930"/>
          <a:ext cx="238783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 b="1" i="1"/>
            <a:t>n</a:t>
          </a:r>
        </a:p>
      </xdr:txBody>
    </xdr:sp>
    <xdr:clientData/>
  </xdr:oneCellAnchor>
  <xdr:oneCellAnchor>
    <xdr:from>
      <xdr:col>29</xdr:col>
      <xdr:colOff>1177290</xdr:colOff>
      <xdr:row>8</xdr:row>
      <xdr:rowOff>156210</xdr:rowOff>
    </xdr:from>
    <xdr:ext cx="236668" cy="217560"/>
    <xdr:sp macro="" textlink="">
      <xdr:nvSpPr>
        <xdr:cNvPr id="46" name="CuadroTexto 45">
          <a:extLst>
            <a:ext uri="{FF2B5EF4-FFF2-40B4-BE49-F238E27FC236}">
              <a16:creationId xmlns:a16="http://schemas.microsoft.com/office/drawing/2014/main" id="{CC8CD181-A024-4D96-9C2C-CC072D4E79E5}"/>
            </a:ext>
          </a:extLst>
        </xdr:cNvPr>
        <xdr:cNvSpPr txBox="1"/>
      </xdr:nvSpPr>
      <xdr:spPr>
        <a:xfrm>
          <a:off x="13498830" y="1744980"/>
          <a:ext cx="236668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 b="1" i="1"/>
            <a:t>n</a:t>
          </a:r>
        </a:p>
      </xdr:txBody>
    </xdr:sp>
    <xdr:clientData/>
  </xdr:oneCellAnchor>
  <xdr:oneCellAnchor>
    <xdr:from>
      <xdr:col>29</xdr:col>
      <xdr:colOff>1908810</xdr:colOff>
      <xdr:row>8</xdr:row>
      <xdr:rowOff>156210</xdr:rowOff>
    </xdr:from>
    <xdr:ext cx="238783" cy="217560"/>
    <xdr:sp macro="" textlink="">
      <xdr:nvSpPr>
        <xdr:cNvPr id="47" name="CuadroTexto 46">
          <a:extLst>
            <a:ext uri="{FF2B5EF4-FFF2-40B4-BE49-F238E27FC236}">
              <a16:creationId xmlns:a16="http://schemas.microsoft.com/office/drawing/2014/main" id="{5179F8E5-4844-4838-89F2-8EB38A3AE01E}"/>
            </a:ext>
          </a:extLst>
        </xdr:cNvPr>
        <xdr:cNvSpPr txBox="1"/>
      </xdr:nvSpPr>
      <xdr:spPr>
        <a:xfrm>
          <a:off x="14230350" y="1744980"/>
          <a:ext cx="238783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 b="1" i="1"/>
            <a:t>n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551565</xdr:colOff>
      <xdr:row>46</xdr:row>
      <xdr:rowOff>178982</xdr:rowOff>
    </xdr:from>
    <xdr:to>
      <xdr:col>16</xdr:col>
      <xdr:colOff>159490</xdr:colOff>
      <xdr:row>67</xdr:row>
      <xdr:rowOff>35443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67BA7A6-FCD2-42F3-9799-A74053F75E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307903</xdr:colOff>
      <xdr:row>46</xdr:row>
      <xdr:rowOff>178982</xdr:rowOff>
    </xdr:from>
    <xdr:to>
      <xdr:col>24</xdr:col>
      <xdr:colOff>225944</xdr:colOff>
      <xdr:row>67</xdr:row>
      <xdr:rowOff>35443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8985D2C-970E-4050-99E1-A51CFEF98D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511694</xdr:colOff>
      <xdr:row>46</xdr:row>
      <xdr:rowOff>178982</xdr:rowOff>
    </xdr:from>
    <xdr:to>
      <xdr:col>25</xdr:col>
      <xdr:colOff>22153</xdr:colOff>
      <xdr:row>67</xdr:row>
      <xdr:rowOff>35443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89F6A6A2-84DD-45BC-946C-BEF6905C8D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557767</xdr:colOff>
      <xdr:row>69</xdr:row>
      <xdr:rowOff>154144</xdr:rowOff>
    </xdr:from>
    <xdr:to>
      <xdr:col>16</xdr:col>
      <xdr:colOff>165692</xdr:colOff>
      <xdr:row>90</xdr:row>
      <xdr:rowOff>10605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2FDCE53C-7DA3-4C59-ADB6-6B01EAA698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517896</xdr:colOff>
      <xdr:row>69</xdr:row>
      <xdr:rowOff>154144</xdr:rowOff>
    </xdr:from>
    <xdr:to>
      <xdr:col>25</xdr:col>
      <xdr:colOff>28355</xdr:colOff>
      <xdr:row>90</xdr:row>
      <xdr:rowOff>10605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3323DBF0-3DE3-492D-83AA-6AA2EB0BD3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31</xdr:col>
      <xdr:colOff>371992</xdr:colOff>
      <xdr:row>47</xdr:row>
      <xdr:rowOff>13782</xdr:rowOff>
    </xdr:from>
    <xdr:to>
      <xdr:col>34</xdr:col>
      <xdr:colOff>773667</xdr:colOff>
      <xdr:row>67</xdr:row>
      <xdr:rowOff>52806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1B48D407-6686-40B0-80EE-B026069C34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35</xdr:col>
      <xdr:colOff>332121</xdr:colOff>
      <xdr:row>47</xdr:row>
      <xdr:rowOff>13782</xdr:rowOff>
    </xdr:from>
    <xdr:to>
      <xdr:col>38</xdr:col>
      <xdr:colOff>735549</xdr:colOff>
      <xdr:row>67</xdr:row>
      <xdr:rowOff>52806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5EF8DC20-748A-490E-856E-648828A559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31</xdr:col>
      <xdr:colOff>371992</xdr:colOff>
      <xdr:row>77</xdr:row>
      <xdr:rowOff>13782</xdr:rowOff>
    </xdr:from>
    <xdr:to>
      <xdr:col>34</xdr:col>
      <xdr:colOff>773667</xdr:colOff>
      <xdr:row>97</xdr:row>
      <xdr:rowOff>52806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6D5C12C6-D8D1-473A-A15F-3819A93B21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35</xdr:col>
      <xdr:colOff>332121</xdr:colOff>
      <xdr:row>77</xdr:row>
      <xdr:rowOff>13782</xdr:rowOff>
    </xdr:from>
    <xdr:to>
      <xdr:col>38</xdr:col>
      <xdr:colOff>735549</xdr:colOff>
      <xdr:row>97</xdr:row>
      <xdr:rowOff>52806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A3B4F9DC-CFD8-4C85-8161-D43DDA8C7E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2358" cy="629908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Vale_Profes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 Page"/>
      <sheetName val="Exhibit 1"/>
      <sheetName val="Exhibit 2"/>
      <sheetName val="Exhibit 3"/>
      <sheetName val="Exhibit 4"/>
      <sheetName val="Exhibit 5"/>
      <sheetName val="Figure 1"/>
      <sheetName val="Figure 2"/>
      <sheetName val="Figure 3"/>
      <sheetName val="Figure 4"/>
      <sheetName val="Quarterly Data"/>
      <sheetName val="Monthly Data"/>
      <sheetName val="Exhibit TN1"/>
      <sheetName val="Exhibit TN2"/>
      <sheetName val="Exhibit TN3"/>
    </sheetNames>
    <sheetDataSet>
      <sheetData sheetId="0"/>
      <sheetData sheetId="1"/>
      <sheetData sheetId="2"/>
      <sheetData sheetId="3"/>
      <sheetData sheetId="4"/>
      <sheetData sheetId="5">
        <row r="20">
          <cell r="A20" t="str">
            <v>GOGLN</v>
          </cell>
          <cell r="B20" t="str">
            <v>Go-Ahead Group plc</v>
          </cell>
          <cell r="D20" t="str">
            <v>United Kingdom</v>
          </cell>
          <cell r="F20">
            <v>5.3849999999999998</v>
          </cell>
          <cell r="H20" t="str">
            <v>BBB−</v>
          </cell>
        </row>
        <row r="21">
          <cell r="A21" t="str">
            <v>REEDLN</v>
          </cell>
          <cell r="B21" t="str">
            <v>Reed Elsevier</v>
          </cell>
          <cell r="D21" t="str">
            <v>UK/Netherlands</v>
          </cell>
          <cell r="F21">
            <v>4.8689999999999998</v>
          </cell>
          <cell r="H21" t="str">
            <v>BBB+</v>
          </cell>
        </row>
        <row r="22">
          <cell r="A22" t="str">
            <v>TLM</v>
          </cell>
          <cell r="B22" t="str">
            <v>Talisman Energy Inc.</v>
          </cell>
          <cell r="D22" t="str">
            <v>United States</v>
          </cell>
          <cell r="F22">
            <v>5.0069999999999997</v>
          </cell>
          <cell r="H22" t="str">
            <v>BBB</v>
          </cell>
        </row>
        <row r="23">
          <cell r="A23" t="str">
            <v>TITIM</v>
          </cell>
          <cell r="B23" t="str">
            <v>Telecom Italia Group</v>
          </cell>
          <cell r="D23" t="str">
            <v>Italy</v>
          </cell>
          <cell r="F23">
            <v>5.4210000000000003</v>
          </cell>
          <cell r="H23" t="str">
            <v>BBB</v>
          </cell>
        </row>
        <row r="24">
          <cell r="A24" t="str">
            <v>AALLN</v>
          </cell>
          <cell r="B24" t="str">
            <v>Anglo American</v>
          </cell>
          <cell r="D24" t="str">
            <v>United Kingdom</v>
          </cell>
          <cell r="F24">
            <v>5.3529999999999998</v>
          </cell>
          <cell r="H24" t="str">
            <v>BBB</v>
          </cell>
        </row>
        <row r="25">
          <cell r="A25" t="str">
            <v>XTA</v>
          </cell>
          <cell r="B25" t="str">
            <v>Xstrata</v>
          </cell>
          <cell r="D25" t="str">
            <v>Switzerland</v>
          </cell>
          <cell r="F25">
            <v>5.8959999999999999</v>
          </cell>
          <cell r="H25" t="str">
            <v>BBB</v>
          </cell>
        </row>
      </sheetData>
      <sheetData sheetId="6" refreshError="1"/>
      <sheetData sheetId="7" refreshError="1"/>
      <sheetData sheetId="8" refreshError="1"/>
      <sheetData sheetId="9" refreshError="1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979DB-E697-45C4-830E-AEC5CE7DEF6A}">
  <dimension ref="A1:D27"/>
  <sheetViews>
    <sheetView showGridLines="0" workbookViewId="0">
      <selection activeCell="A20" sqref="A20"/>
    </sheetView>
  </sheetViews>
  <sheetFormatPr baseColWidth="10" defaultColWidth="8.83984375" defaultRowHeight="14.4" x14ac:dyDescent="0.55000000000000004"/>
  <cols>
    <col min="1" max="1" width="32" style="93" customWidth="1"/>
    <col min="2" max="4" width="16.26171875" style="93" customWidth="1"/>
    <col min="5" max="16384" width="8.83984375" style="93"/>
  </cols>
  <sheetData>
    <row r="1" spans="1:4" ht="18.600000000000001" thickBot="1" x14ac:dyDescent="0.75">
      <c r="A1" s="90" t="s">
        <v>422</v>
      </c>
      <c r="B1" s="91"/>
      <c r="C1" s="90"/>
      <c r="D1" s="91"/>
    </row>
    <row r="4" spans="1:4" x14ac:dyDescent="0.55000000000000004">
      <c r="A4" s="193"/>
      <c r="B4" s="194" t="s">
        <v>222</v>
      </c>
      <c r="C4" s="194" t="s">
        <v>224</v>
      </c>
      <c r="D4" s="194" t="s">
        <v>225</v>
      </c>
    </row>
    <row r="5" spans="1:4" x14ac:dyDescent="0.55000000000000004">
      <c r="A5" s="193"/>
      <c r="B5" s="184"/>
      <c r="C5" s="184"/>
      <c r="D5" s="184"/>
    </row>
    <row r="6" spans="1:4" x14ac:dyDescent="0.55000000000000004">
      <c r="A6" s="193" t="s">
        <v>423</v>
      </c>
      <c r="B6" s="195">
        <f>'Costo Bonos'!B6</f>
        <v>5.2400000000000002E-2</v>
      </c>
      <c r="C6" s="195">
        <f>'Costo Bonos'!D6</f>
        <v>4.3749999999999997E-2</v>
      </c>
      <c r="D6" s="195">
        <f>'Costo Bonos'!H6</f>
        <v>5.475E-2</v>
      </c>
    </row>
    <row r="7" spans="1:4" x14ac:dyDescent="0.55000000000000004">
      <c r="A7" s="193" t="s">
        <v>424</v>
      </c>
      <c r="B7" s="196">
        <f>'Exhibit 3'!B21/100</f>
        <v>3.8256999999999999E-2</v>
      </c>
      <c r="C7" s="196">
        <f>'Exhibit 3'!C21/100</f>
        <v>3.092E-2</v>
      </c>
      <c r="D7" s="196">
        <f>'Exhibit 3'!D21/100</f>
        <v>3.9390000000000001E-2</v>
      </c>
    </row>
    <row r="8" spans="1:4" x14ac:dyDescent="0.55000000000000004">
      <c r="A8" s="193" t="s">
        <v>425</v>
      </c>
      <c r="B8" s="195">
        <f>B6-B7</f>
        <v>1.4143000000000003E-2</v>
      </c>
      <c r="C8" s="195">
        <f>C6-C7</f>
        <v>1.2829999999999998E-2</v>
      </c>
      <c r="D8" s="195">
        <f>D6-D7</f>
        <v>1.5359999999999999E-2</v>
      </c>
    </row>
    <row r="9" spans="1:4" x14ac:dyDescent="0.55000000000000004">
      <c r="A9" s="193"/>
      <c r="B9" s="195"/>
      <c r="C9" s="195"/>
      <c r="D9" s="195"/>
    </row>
    <row r="10" spans="1:4" x14ac:dyDescent="0.55000000000000004">
      <c r="A10" s="193" t="s">
        <v>423</v>
      </c>
      <c r="B10" s="195">
        <f>B6</f>
        <v>5.2400000000000002E-2</v>
      </c>
      <c r="C10" s="195">
        <f t="shared" ref="C10:D10" si="0">C6</f>
        <v>4.3749999999999997E-2</v>
      </c>
      <c r="D10" s="195">
        <f t="shared" si="0"/>
        <v>5.475E-2</v>
      </c>
    </row>
    <row r="11" spans="1:4" x14ac:dyDescent="0.55000000000000004">
      <c r="A11" s="193" t="s">
        <v>426</v>
      </c>
      <c r="B11" s="196">
        <f>'Exhibit 3'!B18/100</f>
        <v>3.4862999999999998E-2</v>
      </c>
      <c r="C11" s="196">
        <f>'Exhibit 3'!C18/100</f>
        <v>3.0710000000000001E-2</v>
      </c>
      <c r="D11" s="196">
        <f>'Exhibit 3'!D18/100</f>
        <v>4.0534999999999995E-2</v>
      </c>
    </row>
    <row r="12" spans="1:4" x14ac:dyDescent="0.55000000000000004">
      <c r="A12" s="193"/>
      <c r="B12" s="195">
        <f t="shared" ref="B12:D12" si="1">B10-B11</f>
        <v>1.7537000000000004E-2</v>
      </c>
      <c r="C12" s="195">
        <f t="shared" si="1"/>
        <v>1.3039999999999996E-2</v>
      </c>
      <c r="D12" s="195">
        <f t="shared" si="1"/>
        <v>1.4215000000000005E-2</v>
      </c>
    </row>
    <row r="13" spans="1:4" x14ac:dyDescent="0.55000000000000004">
      <c r="A13" s="193"/>
      <c r="B13" s="195"/>
      <c r="C13" s="195"/>
      <c r="D13" s="195"/>
    </row>
    <row r="14" spans="1:4" x14ac:dyDescent="0.55000000000000004">
      <c r="A14" s="193" t="s">
        <v>427</v>
      </c>
      <c r="B14" s="195">
        <f>('Exhibit 3'!B22-'Exhibit 3'!B21)/100</f>
        <v>7.6190000000000025E-3</v>
      </c>
      <c r="C14" s="195">
        <f>('Exhibit 3'!C22-'Exhibit 3'!C21)/100</f>
        <v>7.360000000000002E-3</v>
      </c>
      <c r="D14" s="195">
        <f>('Exhibit 3'!D22-'Exhibit 3'!D21)/100</f>
        <v>8.1440000000000002E-3</v>
      </c>
    </row>
    <row r="15" spans="1:4" x14ac:dyDescent="0.55000000000000004">
      <c r="A15" s="193" t="s">
        <v>428</v>
      </c>
      <c r="B15" s="195">
        <f>('Exhibit 3'!B23-'Exhibit 3'!B21)/100</f>
        <v>2.1042999999999999E-2</v>
      </c>
      <c r="C15" s="195">
        <f>('Exhibit 3'!C23-'Exhibit 3'!C21)/100</f>
        <v>1.8770000000000002E-2</v>
      </c>
      <c r="D15" s="195">
        <f>('Exhibit 3'!D23-'Exhibit 3'!D21)/100</f>
        <v>1.6230000000000001E-2</v>
      </c>
    </row>
    <row r="16" spans="1:4" x14ac:dyDescent="0.55000000000000004">
      <c r="A16" s="193" t="s">
        <v>429</v>
      </c>
      <c r="B16" s="195">
        <f>B8-B14</f>
        <v>6.5240000000000003E-3</v>
      </c>
      <c r="C16" s="195">
        <f t="shared" ref="C16:D16" si="2">C8-C14</f>
        <v>5.4699999999999957E-3</v>
      </c>
      <c r="D16" s="195">
        <f t="shared" si="2"/>
        <v>7.2159999999999985E-3</v>
      </c>
    </row>
    <row r="17" spans="1:4" x14ac:dyDescent="0.55000000000000004">
      <c r="A17" s="193"/>
      <c r="B17" s="195"/>
      <c r="C17" s="195"/>
      <c r="D17" s="195"/>
    </row>
    <row r="18" spans="1:4" x14ac:dyDescent="0.55000000000000004">
      <c r="A18" s="193" t="s">
        <v>430</v>
      </c>
      <c r="B18" s="195">
        <f>B7</f>
        <v>3.8256999999999999E-2</v>
      </c>
      <c r="C18" s="195">
        <f t="shared" ref="C18:D18" si="3">C7</f>
        <v>3.092E-2</v>
      </c>
      <c r="D18" s="195">
        <f t="shared" si="3"/>
        <v>3.9390000000000001E-2</v>
      </c>
    </row>
    <row r="19" spans="1:4" x14ac:dyDescent="0.55000000000000004">
      <c r="A19" s="193" t="s">
        <v>431</v>
      </c>
      <c r="B19" s="196">
        <v>2.8000000000000001E-2</v>
      </c>
      <c r="C19" s="196">
        <v>2.1000000000000001E-2</v>
      </c>
      <c r="D19" s="196">
        <v>3.1E-2</v>
      </c>
    </row>
    <row r="20" spans="1:4" x14ac:dyDescent="0.55000000000000004">
      <c r="A20" s="193" t="s">
        <v>432</v>
      </c>
      <c r="B20" s="195">
        <f>B7-B19</f>
        <v>1.0256999999999999E-2</v>
      </c>
      <c r="C20" s="195">
        <f>C7-C19</f>
        <v>9.9199999999999983E-3</v>
      </c>
      <c r="D20" s="195">
        <f>D7-D19</f>
        <v>8.3900000000000016E-3</v>
      </c>
    </row>
    <row r="21" spans="1:4" x14ac:dyDescent="0.55000000000000004">
      <c r="A21" s="193"/>
    </row>
    <row r="22" spans="1:4" x14ac:dyDescent="0.55000000000000004">
      <c r="A22" s="193"/>
    </row>
    <row r="23" spans="1:4" x14ac:dyDescent="0.55000000000000004">
      <c r="A23" s="197" t="s">
        <v>433</v>
      </c>
      <c r="B23" s="88"/>
      <c r="C23" s="88"/>
      <c r="D23" s="88"/>
    </row>
    <row r="24" spans="1:4" x14ac:dyDescent="0.55000000000000004">
      <c r="B24" s="88"/>
      <c r="C24" s="88"/>
      <c r="D24" s="88"/>
    </row>
    <row r="27" spans="1:4" x14ac:dyDescent="0.55000000000000004">
      <c r="B27" s="198"/>
      <c r="C27" s="198"/>
      <c r="D27" s="19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34E52-CEF3-4BCA-A41B-4CA6EDE7CE00}">
  <dimension ref="A1:AD59"/>
  <sheetViews>
    <sheetView showGridLines="0" tabSelected="1" workbookViewId="0">
      <selection activeCell="A10" sqref="A10"/>
    </sheetView>
  </sheetViews>
  <sheetFormatPr baseColWidth="10" defaultColWidth="9.15625" defaultRowHeight="14.4" x14ac:dyDescent="0.55000000000000004"/>
  <cols>
    <col min="1" max="1" width="16.62890625" style="93" customWidth="1"/>
    <col min="2" max="2" width="10.83984375" style="93" customWidth="1"/>
    <col min="3" max="3" width="2.15625" style="93" customWidth="1"/>
    <col min="4" max="4" width="10.83984375" style="93" customWidth="1"/>
    <col min="5" max="5" width="10.578125" style="93" bestFit="1" customWidth="1"/>
    <col min="6" max="6" width="10.83984375" style="93" customWidth="1"/>
    <col min="7" max="7" width="2.15625" style="93" customWidth="1"/>
    <col min="8" max="8" width="10.83984375" style="93" customWidth="1"/>
    <col min="9" max="9" width="9.15625" style="93"/>
    <col min="10" max="10" width="10.83984375" style="93" customWidth="1"/>
    <col min="11" max="11" width="5.734375" style="93" customWidth="1"/>
    <col min="12" max="12" width="4.9453125" style="93" customWidth="1"/>
    <col min="13" max="15" width="9.15625" style="93"/>
    <col min="16" max="16" width="7.1015625" style="93" customWidth="1"/>
    <col min="17" max="17" width="0.83984375" style="93" customWidth="1"/>
    <col min="18" max="18" width="6.05078125" style="93" customWidth="1"/>
    <col min="19" max="19" width="0.68359375" style="93" customWidth="1"/>
    <col min="20" max="20" width="6.05078125" style="93" customWidth="1"/>
    <col min="21" max="21" width="0.68359375" style="93" customWidth="1"/>
    <col min="22" max="22" width="6.05078125" style="93" customWidth="1"/>
    <col min="23" max="23" width="1.1015625" style="93" customWidth="1"/>
    <col min="24" max="24" width="7.62890625" style="93" customWidth="1"/>
    <col min="25" max="25" width="0.9453125" style="93" customWidth="1"/>
    <col min="26" max="26" width="28.41796875" style="93" customWidth="1"/>
    <col min="27" max="27" width="2.26171875" style="93" customWidth="1"/>
    <col min="28" max="28" width="7.62890625" style="93" customWidth="1"/>
    <col min="29" max="29" width="0.9453125" style="93" customWidth="1"/>
    <col min="30" max="30" width="28.41796875" style="93" customWidth="1"/>
    <col min="31" max="16384" width="9.15625" style="93"/>
  </cols>
  <sheetData>
    <row r="1" spans="1:30" ht="18.600000000000001" thickBot="1" x14ac:dyDescent="0.75">
      <c r="A1" s="90" t="s">
        <v>417</v>
      </c>
      <c r="B1" s="91"/>
      <c r="C1" s="90"/>
      <c r="D1" s="91"/>
      <c r="E1" s="90"/>
      <c r="F1" s="91"/>
      <c r="G1" s="90"/>
      <c r="H1" s="91"/>
      <c r="I1" s="90"/>
      <c r="J1" s="91"/>
    </row>
    <row r="2" spans="1:30" ht="15.6" x14ac:dyDescent="0.55000000000000004">
      <c r="A2" s="193"/>
      <c r="B2" s="193"/>
      <c r="E2" s="187"/>
    </row>
    <row r="3" spans="1:30" ht="15.6" x14ac:dyDescent="0.55000000000000004">
      <c r="E3" s="187"/>
    </row>
    <row r="4" spans="1:30" ht="15.9" thickBot="1" x14ac:dyDescent="0.65">
      <c r="B4" s="256" t="s">
        <v>0</v>
      </c>
      <c r="C4" s="243"/>
      <c r="D4" s="267" t="s">
        <v>224</v>
      </c>
      <c r="E4" s="267"/>
      <c r="F4" s="267"/>
      <c r="G4" s="243"/>
      <c r="H4" s="268" t="s">
        <v>225</v>
      </c>
      <c r="I4" s="268"/>
      <c r="J4" s="268"/>
    </row>
    <row r="6" spans="1:30" ht="15.9" thickBot="1" x14ac:dyDescent="0.65">
      <c r="A6" s="244" t="s">
        <v>538</v>
      </c>
      <c r="B6" s="245">
        <v>5.2400000000000002E-2</v>
      </c>
      <c r="C6" s="244"/>
      <c r="D6" s="245">
        <v>4.3749999999999997E-2</v>
      </c>
      <c r="E6" s="244"/>
      <c r="F6" s="244"/>
      <c r="G6" s="244"/>
      <c r="H6" s="245">
        <v>5.475E-2</v>
      </c>
      <c r="I6" s="246"/>
      <c r="J6" s="246"/>
      <c r="P6" s="242" t="s">
        <v>559</v>
      </c>
      <c r="R6" s="292" t="s">
        <v>563</v>
      </c>
      <c r="S6" s="292"/>
      <c r="T6" s="292"/>
      <c r="U6" s="292"/>
      <c r="V6" s="292"/>
      <c r="W6" s="293"/>
      <c r="X6" s="292" t="s">
        <v>564</v>
      </c>
      <c r="Y6" s="285"/>
      <c r="Z6" s="285"/>
      <c r="AA6" s="285"/>
      <c r="AB6" s="285"/>
      <c r="AC6" s="285"/>
      <c r="AD6" s="285"/>
    </row>
    <row r="8" spans="1:30" ht="15.9" thickBot="1" x14ac:dyDescent="0.65">
      <c r="B8" s="194" t="s">
        <v>418</v>
      </c>
      <c r="C8" s="98"/>
      <c r="D8" s="194" t="s">
        <v>224</v>
      </c>
      <c r="E8" s="98" t="s">
        <v>560</v>
      </c>
      <c r="F8" s="194" t="s">
        <v>222</v>
      </c>
      <c r="G8" s="98"/>
      <c r="H8" s="194" t="s">
        <v>225</v>
      </c>
      <c r="I8" s="98" t="s">
        <v>567</v>
      </c>
      <c r="J8" s="194" t="s">
        <v>222</v>
      </c>
      <c r="X8" s="289" t="s">
        <v>560</v>
      </c>
      <c r="Y8" s="289"/>
      <c r="Z8" s="289"/>
      <c r="AB8" s="290" t="s">
        <v>567</v>
      </c>
      <c r="AC8" s="291"/>
      <c r="AD8" s="291"/>
    </row>
    <row r="9" spans="1:30" ht="15.9" thickBot="1" x14ac:dyDescent="0.65">
      <c r="B9" s="242" t="s">
        <v>419</v>
      </c>
      <c r="C9" s="98"/>
      <c r="D9" s="242" t="s">
        <v>419</v>
      </c>
      <c r="E9" s="210" t="s">
        <v>561</v>
      </c>
      <c r="F9" s="242" t="s">
        <v>419</v>
      </c>
      <c r="G9" s="98"/>
      <c r="H9" s="242" t="s">
        <v>419</v>
      </c>
      <c r="I9" s="210" t="s">
        <v>561</v>
      </c>
      <c r="J9" s="242" t="s">
        <v>419</v>
      </c>
      <c r="M9" s="228" t="s">
        <v>557</v>
      </c>
      <c r="N9" s="228" t="s">
        <v>558</v>
      </c>
      <c r="P9" s="286" t="s">
        <v>562</v>
      </c>
      <c r="R9" s="256" t="s">
        <v>0</v>
      </c>
      <c r="T9" s="265" t="s">
        <v>224</v>
      </c>
      <c r="V9" s="266" t="s">
        <v>566</v>
      </c>
      <c r="X9" s="236" t="s">
        <v>561</v>
      </c>
      <c r="Z9" s="236" t="s">
        <v>565</v>
      </c>
      <c r="AA9" s="101"/>
      <c r="AB9" s="236" t="s">
        <v>561</v>
      </c>
      <c r="AD9" s="236" t="s">
        <v>565</v>
      </c>
    </row>
    <row r="10" spans="1:30" ht="15.6" customHeight="1" x14ac:dyDescent="0.55000000000000004">
      <c r="A10" s="98" t="s">
        <v>420</v>
      </c>
      <c r="B10" s="247">
        <v>1000</v>
      </c>
      <c r="D10" s="247">
        <v>750</v>
      </c>
      <c r="E10" s="189">
        <f>'Exhibit 3'!C7</f>
        <v>1.3738999999999999</v>
      </c>
      <c r="F10" s="247">
        <f>D10*E10</f>
        <v>1030.425</v>
      </c>
      <c r="G10" s="188"/>
      <c r="H10" s="247">
        <v>700</v>
      </c>
      <c r="I10" s="189">
        <f>'Exhibit 3'!D7</f>
        <v>1.5296000000000001</v>
      </c>
      <c r="J10" s="247">
        <f>H10*I10</f>
        <v>1070.72</v>
      </c>
      <c r="M10" s="217">
        <f t="shared" ref="M10:M18" si="0">1/E10</f>
        <v>0.72785501128175267</v>
      </c>
      <c r="N10" s="217">
        <f t="shared" ref="N10:N18" si="1">1/I10</f>
        <v>0.65376569037656895</v>
      </c>
      <c r="P10" s="98">
        <v>0</v>
      </c>
      <c r="X10" s="288">
        <f>E10</f>
        <v>1.3738999999999999</v>
      </c>
      <c r="Z10" s="287" t="s">
        <v>568</v>
      </c>
      <c r="AB10" s="288">
        <f>I10</f>
        <v>1.5296000000000001</v>
      </c>
      <c r="AD10" s="287" t="s">
        <v>569</v>
      </c>
    </row>
    <row r="11" spans="1:30" ht="15.6" customHeight="1" x14ac:dyDescent="0.55000000000000004">
      <c r="A11" s="98">
        <v>1</v>
      </c>
      <c r="B11" s="247">
        <f>-B10*B6</f>
        <v>-52.400000000000006</v>
      </c>
      <c r="D11" s="247">
        <f>-D10*D6</f>
        <v>-32.8125</v>
      </c>
      <c r="E11" s="189">
        <f>$E$10*(1+'Exhibit 3'!B11/100)^A11/(1+'Exhibit 3'!C11/100)^A11</f>
        <v>1.3656416270275777</v>
      </c>
      <c r="F11" s="247">
        <f t="shared" ref="F11:F18" si="2">D11*E11</f>
        <v>-44.810115886842397</v>
      </c>
      <c r="G11" s="188"/>
      <c r="H11" s="247">
        <f>-H10*H6</f>
        <v>-38.325000000000003</v>
      </c>
      <c r="I11" s="189">
        <f>$I$10*(1+'Exhibit 3'!B11/100)^A11/(1+'Exhibit 3'!D11/100)^A11</f>
        <v>1.5195895683808847</v>
      </c>
      <c r="J11" s="247">
        <f t="shared" ref="J11:J18" si="3">H11*I11</f>
        <v>-58.238270208197406</v>
      </c>
      <c r="M11" s="217">
        <f t="shared" si="0"/>
        <v>0.73225653070972629</v>
      </c>
      <c r="N11" s="217">
        <f t="shared" si="1"/>
        <v>0.65807243008748417</v>
      </c>
      <c r="P11" s="98">
        <v>1</v>
      </c>
      <c r="Q11" s="98"/>
      <c r="R11" s="284">
        <f>'Exhibit 3'!B11/100</f>
        <v>4.9200000000000008E-3</v>
      </c>
      <c r="S11" s="284"/>
      <c r="T11" s="284">
        <f>'Exhibit 3'!C11/100</f>
        <v>1.0997000000000002E-2</v>
      </c>
      <c r="U11" s="284"/>
      <c r="V11" s="284">
        <f>'Exhibit 3'!D11/100</f>
        <v>1.154E-2</v>
      </c>
      <c r="X11" s="288">
        <f>$X$10*(1+R11)^P11/(1+T11)^P11</f>
        <v>1.3656416270275777</v>
      </c>
      <c r="Z11" s="154" t="str">
        <f>TEXT(X$10,"#,##0.0000")&amp;" * (1 + "&amp;TEXT(R11,"#,##0.00%")&amp;")  / (1 + "&amp;TEXT(T11,"#,##0.00%")&amp;")"</f>
        <v>1.3739 * (1 + 0.49%)  / (1 + 1.10%)</v>
      </c>
      <c r="AA11" s="154"/>
      <c r="AB11" s="288">
        <f>$AB$10*(1+R11)^P11/(1+V11)^P11</f>
        <v>1.5195895683808847</v>
      </c>
      <c r="AD11" s="154" t="str">
        <f>TEXT(AB$10,"#,##0.0000")&amp;" * (1 + "&amp;TEXT(R11,"#,##0.00%")&amp;")  / (1 + "&amp;TEXT(V11,"#,##0.00%")&amp;")"</f>
        <v>1.5296 * (1 + 0.49%)  / (1 + 1.15%)</v>
      </c>
    </row>
    <row r="12" spans="1:30" ht="15.6" customHeight="1" x14ac:dyDescent="0.55000000000000004">
      <c r="A12" s="98">
        <f>A11+1</f>
        <v>2</v>
      </c>
      <c r="B12" s="247">
        <f>B11</f>
        <v>-52.400000000000006</v>
      </c>
      <c r="D12" s="247">
        <f>D11</f>
        <v>-32.8125</v>
      </c>
      <c r="E12" s="189">
        <f>$E$10*(1+'Exhibit 3'!B12/100)^A12/(1+'Exhibit 3'!C12/100)^A12</f>
        <v>1.3634401773377038</v>
      </c>
      <c r="F12" s="247">
        <f t="shared" si="2"/>
        <v>-44.737880818893409</v>
      </c>
      <c r="G12" s="188"/>
      <c r="H12" s="247">
        <f t="shared" ref="H12:H17" si="4">H11</f>
        <v>-38.325000000000003</v>
      </c>
      <c r="I12" s="189">
        <f>$I$10*(1+'Exhibit 3'!B12/100)^A12/(1+'Exhibit 3'!D12/100)^A12</f>
        <v>1.5124051397299143</v>
      </c>
      <c r="J12" s="247">
        <f t="shared" si="3"/>
        <v>-57.962926980148971</v>
      </c>
      <c r="M12" s="217">
        <f t="shared" si="0"/>
        <v>0.73343885314618751</v>
      </c>
      <c r="N12" s="217">
        <f t="shared" si="1"/>
        <v>0.66119849353234827</v>
      </c>
      <c r="P12" s="98">
        <f>P11+1</f>
        <v>2</v>
      </c>
      <c r="Q12" s="98"/>
      <c r="R12" s="284">
        <f>'Exhibit 3'!B12/100</f>
        <v>1.0842000000000001E-2</v>
      </c>
      <c r="S12" s="284"/>
      <c r="T12" s="284">
        <f>'Exhibit 3'!C12/100</f>
        <v>1.4712000000000001E-2</v>
      </c>
      <c r="U12" s="284"/>
      <c r="V12" s="284">
        <f>'Exhibit 3'!D12/100</f>
        <v>1.6572E-2</v>
      </c>
      <c r="X12" s="288">
        <f>$X$10*(1+R12)^P12/(1+T12)^P12</f>
        <v>1.3634401773377038</v>
      </c>
      <c r="Z12" s="154" t="str">
        <f>TEXT(X$10,"#,##0.0000")&amp;" * (1 + "&amp;TEXT(R12,"#,##0.00%")&amp;")  / (1 + "&amp;TEXT(T12,"#,##0.00%")&amp;")"</f>
        <v>1.3739 * (1 + 1.08%)  / (1 + 1.47%)</v>
      </c>
      <c r="AA12" s="154"/>
      <c r="AB12" s="288">
        <f>$AB$10*(1+R12)^P12/(1+V12)^P12</f>
        <v>1.5124051397299143</v>
      </c>
      <c r="AD12" s="154" t="str">
        <f>TEXT(AB$10,"#,##0.0000")&amp;" * (1 + "&amp;TEXT(R12,"#,##0.00%")&amp;")  / (1 + "&amp;TEXT(V12,"#,##0.00%")&amp;")"</f>
        <v>1.5296 * (1 + 1.08%)  / (1 + 1.66%)</v>
      </c>
    </row>
    <row r="13" spans="1:30" ht="15.6" customHeight="1" x14ac:dyDescent="0.55000000000000004">
      <c r="A13" s="98">
        <f t="shared" ref="A13:A18" si="5">A12+1</f>
        <v>3</v>
      </c>
      <c r="B13" s="247">
        <f t="shared" ref="B13:D17" si="6">B12</f>
        <v>-52.400000000000006</v>
      </c>
      <c r="D13" s="247">
        <f t="shared" si="6"/>
        <v>-32.8125</v>
      </c>
      <c r="E13" s="189">
        <f>$E$10*(1+'Exhibit 3'!B13/100)^A13/(1+'Exhibit 3'!C13/100)^A13</f>
        <v>1.3684386165619036</v>
      </c>
      <c r="F13" s="247">
        <f t="shared" si="2"/>
        <v>-44.901892105937463</v>
      </c>
      <c r="G13" s="188"/>
      <c r="H13" s="247">
        <f t="shared" si="4"/>
        <v>-38.325000000000003</v>
      </c>
      <c r="I13" s="189">
        <f>$I$10*(1+'Exhibit 3'!B13/100)^A13/(1+'Exhibit 3'!D13/100)^A13</f>
        <v>1.5033877064005068</v>
      </c>
      <c r="J13" s="247">
        <f t="shared" si="3"/>
        <v>-57.617333847799429</v>
      </c>
      <c r="M13" s="217">
        <f t="shared" si="0"/>
        <v>0.73075985133510979</v>
      </c>
      <c r="N13" s="217">
        <f t="shared" si="1"/>
        <v>0.66516441217565547</v>
      </c>
      <c r="P13" s="98">
        <f t="shared" ref="P13:P18" si="7">P12+1</f>
        <v>3</v>
      </c>
      <c r="Q13" s="98"/>
      <c r="R13" s="284">
        <f>'Exhibit 3'!B13/100</f>
        <v>1.6895E-2</v>
      </c>
      <c r="S13" s="284"/>
      <c r="T13" s="284">
        <f>'Exhibit 3'!C13/100</f>
        <v>1.8245999999999998E-2</v>
      </c>
      <c r="U13" s="284"/>
      <c r="V13" s="284">
        <f>'Exhibit 3'!D13/100</f>
        <v>2.2771E-2</v>
      </c>
      <c r="X13" s="288">
        <f>$X$10*(1+R13)^P13/(1+T13)^P13</f>
        <v>1.3684386165619036</v>
      </c>
      <c r="Z13" s="154" t="str">
        <f>TEXT(X$10,"#,##0.0000")&amp;" * (1 + "&amp;TEXT(R13,"#,##0.00%")&amp;")  / (1 + "&amp;TEXT(T13,"#,##0.00%")&amp;")"</f>
        <v>1.3739 * (1 + 1.69%)  / (1 + 1.82%)</v>
      </c>
      <c r="AA13" s="154"/>
      <c r="AB13" s="288">
        <f>$AB$10*(1+R13)^P13/(1+V13)^P13</f>
        <v>1.5033877064005068</v>
      </c>
      <c r="AD13" s="154" t="str">
        <f>TEXT(AB$10,"#,##0.0000")&amp;" * (1 + "&amp;TEXT(R13,"#,##0.00%")&amp;")  / (1 + "&amp;TEXT(V13,"#,##0.00%")&amp;")"</f>
        <v>1.5296 * (1 + 1.69%)  / (1 + 2.28%)</v>
      </c>
    </row>
    <row r="14" spans="1:30" ht="15.6" customHeight="1" x14ac:dyDescent="0.55000000000000004">
      <c r="A14" s="98">
        <f t="shared" si="5"/>
        <v>4</v>
      </c>
      <c r="B14" s="247">
        <f t="shared" si="6"/>
        <v>-52.400000000000006</v>
      </c>
      <c r="D14" s="247">
        <f t="shared" si="6"/>
        <v>-32.8125</v>
      </c>
      <c r="E14" s="189">
        <f>$E$10*(1+'Exhibit 3'!B14/100)^A14/(1+'Exhibit 3'!C14/100)^A14</f>
        <v>1.3776055878798452</v>
      </c>
      <c r="F14" s="247">
        <f t="shared" si="2"/>
        <v>-45.202683352307425</v>
      </c>
      <c r="G14" s="188"/>
      <c r="H14" s="247">
        <f t="shared" si="4"/>
        <v>-38.325000000000003</v>
      </c>
      <c r="I14" s="189">
        <f>$I$10*(1+'Exhibit 3'!B14/100)^A14/(1+'Exhibit 3'!D14/100)^A14</f>
        <v>1.494703149944514</v>
      </c>
      <c r="J14" s="247">
        <f t="shared" si="3"/>
        <v>-57.284498221623501</v>
      </c>
      <c r="M14" s="217">
        <f t="shared" si="0"/>
        <v>0.72589717172896662</v>
      </c>
      <c r="N14" s="217">
        <f t="shared" si="1"/>
        <v>0.6690291647790545</v>
      </c>
      <c r="P14" s="98">
        <f t="shared" si="7"/>
        <v>4</v>
      </c>
      <c r="Q14" s="98"/>
      <c r="R14" s="284">
        <f>'Exhibit 3'!B14/100</f>
        <v>2.2063000000000003E-2</v>
      </c>
      <c r="S14" s="284"/>
      <c r="T14" s="284">
        <f>'Exhibit 3'!C14/100</f>
        <v>2.1375000000000002E-2</v>
      </c>
      <c r="U14" s="284"/>
      <c r="V14" s="284">
        <f>'Exhibit 3'!D14/100</f>
        <v>2.7976999999999998E-2</v>
      </c>
      <c r="X14" s="288">
        <f>$X$10*(1+R14)^P14/(1+T14)^P14</f>
        <v>1.3776055878798452</v>
      </c>
      <c r="Z14" s="154" t="str">
        <f>TEXT(X$10,"#,##0.0000")&amp;" * (1 + "&amp;TEXT(R14,"#,##0.00%")&amp;")  / (1 + "&amp;TEXT(T14,"#,##0.00%")&amp;")"</f>
        <v>1.3739 * (1 + 2.21%)  / (1 + 2.14%)</v>
      </c>
      <c r="AA14" s="154"/>
      <c r="AB14" s="288">
        <f>$AB$10*(1+R14)^P14/(1+V14)^P14</f>
        <v>1.494703149944514</v>
      </c>
      <c r="AD14" s="154" t="str">
        <f>TEXT(AB$10,"#,##0.0000")&amp;" * (1 + "&amp;TEXT(R14,"#,##0.00%")&amp;")  / (1 + "&amp;TEXT(V14,"#,##0.00%")&amp;")"</f>
        <v>1.5296 * (1 + 2.21%)  / (1 + 2.80%)</v>
      </c>
    </row>
    <row r="15" spans="1:30" ht="15.6" customHeight="1" x14ac:dyDescent="0.55000000000000004">
      <c r="A15" s="98">
        <f t="shared" si="5"/>
        <v>5</v>
      </c>
      <c r="B15" s="247">
        <f t="shared" si="6"/>
        <v>-52.400000000000006</v>
      </c>
      <c r="D15" s="247">
        <f t="shared" si="6"/>
        <v>-32.8125</v>
      </c>
      <c r="E15" s="189">
        <f>$E$10*(1+'Exhibit 3'!B15/100)^A15/(1+'Exhibit 3'!C15/100)^A15</f>
        <v>1.3885571572483417</v>
      </c>
      <c r="F15" s="247">
        <f t="shared" si="2"/>
        <v>-45.562031722211209</v>
      </c>
      <c r="G15" s="188"/>
      <c r="H15" s="247">
        <f t="shared" si="4"/>
        <v>-38.325000000000003</v>
      </c>
      <c r="I15" s="189">
        <f>$I$10*(1+'Exhibit 3'!B15/100)^A15/(1+'Exhibit 3'!D15/100)^A15</f>
        <v>1.4899818249419012</v>
      </c>
      <c r="J15" s="247">
        <f t="shared" si="3"/>
        <v>-57.103553440898366</v>
      </c>
      <c r="M15" s="217">
        <f t="shared" si="0"/>
        <v>0.72017201076667758</v>
      </c>
      <c r="N15" s="217">
        <f t="shared" si="1"/>
        <v>0.67114912629151902</v>
      </c>
      <c r="P15" s="98">
        <f t="shared" si="7"/>
        <v>5</v>
      </c>
      <c r="Q15" s="98"/>
      <c r="R15" s="284">
        <f>'Exhibit 3'!B15/100</f>
        <v>2.6364000000000002E-2</v>
      </c>
      <c r="S15" s="284"/>
      <c r="T15" s="284">
        <f>'Exhibit 3'!C15/100</f>
        <v>2.4188000000000001E-2</v>
      </c>
      <c r="U15" s="284"/>
      <c r="V15" s="284">
        <f>'Exhibit 3'!D15/100</f>
        <v>3.1765000000000002E-2</v>
      </c>
      <c r="X15" s="288">
        <f>$X$10*(1+R15)^P15/(1+T15)^P15</f>
        <v>1.3885571572483417</v>
      </c>
      <c r="Z15" s="154" t="str">
        <f>TEXT(X$10,"#,##0.0000")&amp;" * (1 + "&amp;TEXT(R15,"#,##0.00%")&amp;")  / (1 + "&amp;TEXT(T15,"#,##0.00%")&amp;")"</f>
        <v>1.3739 * (1 + 2.64%)  / (1 + 2.42%)</v>
      </c>
      <c r="AA15" s="154"/>
      <c r="AB15" s="288">
        <f>$AB$10*(1+R15)^P15/(1+V15)^P15</f>
        <v>1.4899818249419012</v>
      </c>
      <c r="AD15" s="154" t="str">
        <f>TEXT(AB$10,"#,##0.0000")&amp;" * (1 + "&amp;TEXT(R15,"#,##0.00%")&amp;")  / (1 + "&amp;TEXT(V15,"#,##0.00%")&amp;")"</f>
        <v>1.5296 * (1 + 2.64%)  / (1 + 3.18%)</v>
      </c>
    </row>
    <row r="16" spans="1:30" ht="15.6" customHeight="1" x14ac:dyDescent="0.55000000000000004">
      <c r="A16" s="98">
        <f t="shared" si="5"/>
        <v>6</v>
      </c>
      <c r="B16" s="247">
        <f t="shared" si="6"/>
        <v>-52.400000000000006</v>
      </c>
      <c r="D16" s="247">
        <f t="shared" si="6"/>
        <v>-32.8125</v>
      </c>
      <c r="E16" s="189">
        <f>$E$10*(1+'Exhibit 3'!B16/100)^A16/(1+'Exhibit 3'!C16/100)^A16</f>
        <v>1.3996637919819437</v>
      </c>
      <c r="F16" s="247">
        <f t="shared" si="2"/>
        <v>-45.926468174407525</v>
      </c>
      <c r="G16" s="188"/>
      <c r="H16" s="247">
        <f t="shared" si="4"/>
        <v>-38.325000000000003</v>
      </c>
      <c r="I16" s="189">
        <f>$I$10*(1+'Exhibit 3'!B16/100)^A16/(1+'Exhibit 3'!D16/100)^A16</f>
        <v>1.4852908221856813</v>
      </c>
      <c r="J16" s="247">
        <f t="shared" si="3"/>
        <v>-56.923770760266244</v>
      </c>
      <c r="M16" s="217">
        <f t="shared" si="0"/>
        <v>0.71445729019251536</v>
      </c>
      <c r="N16" s="217">
        <f t="shared" si="1"/>
        <v>0.67326882053202819</v>
      </c>
      <c r="P16" s="98">
        <f t="shared" si="7"/>
        <v>6</v>
      </c>
      <c r="Q16" s="98"/>
      <c r="R16" s="284">
        <f>'Exhibit 3'!B16/100</f>
        <v>2.9870000000000001E-2</v>
      </c>
      <c r="S16" s="284"/>
      <c r="T16" s="284">
        <f>'Exhibit 3'!C16/100</f>
        <v>2.6686000000000001E-2</v>
      </c>
      <c r="U16" s="284"/>
      <c r="V16" s="284">
        <f>'Exhibit 3'!D16/100</f>
        <v>3.4928000000000001E-2</v>
      </c>
      <c r="X16" s="288">
        <f>$X$10*(1+R16)^P16/(1+T16)^P16</f>
        <v>1.3996637919819437</v>
      </c>
      <c r="Z16" s="154" t="str">
        <f>TEXT(X$10,"#,##0.0000")&amp;" * (1 + "&amp;TEXT(R16,"#,##0.00%")&amp;")  / (1 + "&amp;TEXT(T16,"#,##0.00%")&amp;")"</f>
        <v>1.3739 * (1 + 2.99%)  / (1 + 2.67%)</v>
      </c>
      <c r="AA16" s="154"/>
      <c r="AB16" s="288">
        <f>$AB$10*(1+R16)^P16/(1+V16)^P16</f>
        <v>1.4852908221856813</v>
      </c>
      <c r="AD16" s="154" t="str">
        <f>TEXT(AB$10,"#,##0.0000")&amp;" * (1 + "&amp;TEXT(R16,"#,##0.00%")&amp;")  / (1 + "&amp;TEXT(V16,"#,##0.00%")&amp;")"</f>
        <v>1.5296 * (1 + 2.99%)  / (1 + 3.49%)</v>
      </c>
    </row>
    <row r="17" spans="1:30" ht="15.6" customHeight="1" x14ac:dyDescent="0.55000000000000004">
      <c r="A17" s="98">
        <f t="shared" si="5"/>
        <v>7</v>
      </c>
      <c r="B17" s="247">
        <f t="shared" si="6"/>
        <v>-52.400000000000006</v>
      </c>
      <c r="D17" s="247">
        <f t="shared" si="6"/>
        <v>-32.8125</v>
      </c>
      <c r="E17" s="189">
        <f>$E$10*(1+'Exhibit 3'!B17/100)^A17/(1+'Exhibit 3'!C17/100)^A17</f>
        <v>1.4096639355545146</v>
      </c>
      <c r="F17" s="247">
        <f t="shared" si="2"/>
        <v>-46.254597885382509</v>
      </c>
      <c r="G17" s="188"/>
      <c r="H17" s="247">
        <f t="shared" si="4"/>
        <v>-38.325000000000003</v>
      </c>
      <c r="I17" s="189">
        <f>$I$10*(1+'Exhibit 3'!B17/100)^A17/(1+'Exhibit 3'!D17/100)^A17</f>
        <v>1.4769215016371195</v>
      </c>
      <c r="J17" s="247">
        <f t="shared" si="3"/>
        <v>-56.603016550242614</v>
      </c>
      <c r="M17" s="217">
        <f t="shared" si="0"/>
        <v>0.70938893645359058</v>
      </c>
      <c r="N17" s="217">
        <f t="shared" si="1"/>
        <v>0.67708405551109685</v>
      </c>
      <c r="P17" s="98">
        <f t="shared" si="7"/>
        <v>7</v>
      </c>
      <c r="Q17" s="98"/>
      <c r="R17" s="284">
        <f>'Exhibit 3'!B17/100</f>
        <v>3.2638E-2</v>
      </c>
      <c r="S17" s="284"/>
      <c r="T17" s="284">
        <f>'Exhibit 3'!C17/100</f>
        <v>2.8854000000000001E-2</v>
      </c>
      <c r="U17" s="284"/>
      <c r="V17" s="284">
        <f>'Exhibit 3'!D17/100</f>
        <v>3.7821000000000007E-2</v>
      </c>
      <c r="X17" s="288">
        <f>$X$10*(1+R17)^P17/(1+T17)^P17</f>
        <v>1.4096639355545146</v>
      </c>
      <c r="Z17" s="154" t="str">
        <f>TEXT(X$10,"#,##0.0000")&amp;" * (1 + "&amp;TEXT(R17,"#,##0.00%")&amp;")  / (1 + "&amp;TEXT(T17,"#,##0.00%")&amp;")"</f>
        <v>1.3739 * (1 + 3.26%)  / (1 + 2.89%)</v>
      </c>
      <c r="AA17" s="154"/>
      <c r="AB17" s="288">
        <f>$AB$10*(1+R17)^P17/(1+V17)^P17</f>
        <v>1.4769215016371195</v>
      </c>
      <c r="AD17" s="154" t="str">
        <f>TEXT(AB$10,"#,##0.0000")&amp;" * (1 + "&amp;TEXT(R17,"#,##0.00%")&amp;")  / (1 + "&amp;TEXT(V17,"#,##0.00%")&amp;")"</f>
        <v>1.5296 * (1 + 3.26%)  / (1 + 3.78%)</v>
      </c>
    </row>
    <row r="18" spans="1:30" ht="15.6" customHeight="1" x14ac:dyDescent="0.55000000000000004">
      <c r="A18" s="98">
        <f t="shared" si="5"/>
        <v>8</v>
      </c>
      <c r="B18" s="247">
        <f>B17-B10</f>
        <v>-1052.4000000000001</v>
      </c>
      <c r="D18" s="247">
        <f>D17-D10</f>
        <v>-782.8125</v>
      </c>
      <c r="E18" s="189">
        <f>$E$10*(1+'Exhibit 3'!B18/100)^A18/(1+'Exhibit 3'!C18/100)^A18</f>
        <v>1.4188160214905579</v>
      </c>
      <c r="F18" s="247">
        <f t="shared" si="2"/>
        <v>-1110.6669168230774</v>
      </c>
      <c r="G18" s="188"/>
      <c r="H18" s="247">
        <f>H17-H10</f>
        <v>-738.32500000000005</v>
      </c>
      <c r="I18" s="189">
        <f>$I$10*(1+'Exhibit 3'!B18/100)^A18/(1+'Exhibit 3'!D18/100)^A18</f>
        <v>1.46415551806686</v>
      </c>
      <c r="J18" s="247">
        <f t="shared" si="3"/>
        <v>-1081.0226228767144</v>
      </c>
      <c r="M18" s="217">
        <f t="shared" si="0"/>
        <v>0.70481301652446482</v>
      </c>
      <c r="N18" s="217">
        <f t="shared" si="1"/>
        <v>0.68298755675920997</v>
      </c>
      <c r="P18" s="98">
        <f t="shared" si="7"/>
        <v>8</v>
      </c>
      <c r="Q18" s="98"/>
      <c r="R18" s="284">
        <f>'Exhibit 3'!B18/100</f>
        <v>3.4862999999999998E-2</v>
      </c>
      <c r="S18" s="284"/>
      <c r="T18" s="284">
        <f>'Exhibit 3'!C18/100</f>
        <v>3.0710000000000001E-2</v>
      </c>
      <c r="U18" s="284"/>
      <c r="V18" s="284">
        <f>'Exhibit 3'!D18/100</f>
        <v>4.0534999999999995E-2</v>
      </c>
      <c r="X18" s="288">
        <f>$X$10*(1+R18)^P18/(1+T18)^P18</f>
        <v>1.4188160214905579</v>
      </c>
      <c r="Z18" s="154" t="str">
        <f>TEXT(X$10,"#,##0.0000")&amp;" * (1 + "&amp;TEXT(R18,"#,##0.00%")&amp;")  / (1 + "&amp;TEXT(T18,"#,##0.00%")&amp;")"</f>
        <v>1.3739 * (1 + 3.49%)  / (1 + 3.07%)</v>
      </c>
      <c r="AA18" s="154"/>
      <c r="AB18" s="288">
        <f>$AB$10*(1+R18)^P18/(1+V18)^P18</f>
        <v>1.46415551806686</v>
      </c>
      <c r="AD18" s="154" t="str">
        <f>TEXT(AB$10,"#,##0.0000")&amp;" * (1 + "&amp;TEXT(R18,"#,##0.00%")&amp;")  / (1 + "&amp;TEXT(V18,"#,##0.00%")&amp;")"</f>
        <v>1.5296 * (1 + 3.49%)  / (1 + 4.05%)</v>
      </c>
    </row>
    <row r="19" spans="1:30" x14ac:dyDescent="0.55000000000000004">
      <c r="B19" s="190"/>
    </row>
    <row r="20" spans="1:30" x14ac:dyDescent="0.55000000000000004">
      <c r="A20" s="240" t="s">
        <v>539</v>
      </c>
      <c r="B20" s="294">
        <f>IRR(B10:B18)</f>
        <v>5.2400000004223957E-2</v>
      </c>
      <c r="C20" s="240"/>
      <c r="D20" s="241"/>
      <c r="E20" s="240"/>
      <c r="F20" s="294">
        <f>IRR(F10:F18)</f>
        <v>4.753966497459361E-2</v>
      </c>
      <c r="G20" s="240"/>
      <c r="H20" s="241"/>
      <c r="I20" s="240"/>
      <c r="J20" s="294">
        <f>IRR(J10:J18)</f>
        <v>4.9021206019403962E-2</v>
      </c>
      <c r="L20" s="124"/>
    </row>
    <row r="21" spans="1:30" x14ac:dyDescent="0.55000000000000004">
      <c r="B21" s="190"/>
    </row>
    <row r="23" spans="1:30" x14ac:dyDescent="0.55000000000000004">
      <c r="A23" s="191" t="s">
        <v>421</v>
      </c>
    </row>
    <row r="24" spans="1:30" x14ac:dyDescent="0.55000000000000004">
      <c r="E24" s="239">
        <f>(E18/E10)^(1/8)-1</f>
        <v>4.0292613829302493E-3</v>
      </c>
      <c r="I24" s="239">
        <f>(I18/I10)^(1/8)-1</f>
        <v>-5.451042012041829E-3</v>
      </c>
      <c r="M24" s="239">
        <f>(M18/M10)^(1/8)-1</f>
        <v>-4.0130915879686979E-3</v>
      </c>
      <c r="N24" s="239">
        <f>(N18/N10)^(1/8)-1</f>
        <v>5.4809187303053175E-3</v>
      </c>
    </row>
    <row r="25" spans="1:30" x14ac:dyDescent="0.55000000000000004">
      <c r="M25" s="93" t="s">
        <v>540</v>
      </c>
      <c r="N25" s="93" t="s">
        <v>540</v>
      </c>
    </row>
    <row r="26" spans="1:30" x14ac:dyDescent="0.55000000000000004">
      <c r="M26" s="93" t="s">
        <v>541</v>
      </c>
      <c r="N26" s="93" t="s">
        <v>543</v>
      </c>
    </row>
    <row r="27" spans="1:30" x14ac:dyDescent="0.55000000000000004">
      <c r="M27" s="93" t="s">
        <v>542</v>
      </c>
      <c r="N27" s="93" t="s">
        <v>544</v>
      </c>
    </row>
    <row r="28" spans="1:30" x14ac:dyDescent="0.55000000000000004">
      <c r="M28" s="93" t="s">
        <v>556</v>
      </c>
      <c r="N28" s="93" t="s">
        <v>556</v>
      </c>
    </row>
    <row r="49" spans="5:6" x14ac:dyDescent="0.55000000000000004">
      <c r="E49" s="192"/>
      <c r="F49" s="192"/>
    </row>
    <row r="50" spans="5:6" x14ac:dyDescent="0.55000000000000004">
      <c r="E50" s="192"/>
      <c r="F50" s="192"/>
    </row>
    <row r="51" spans="5:6" x14ac:dyDescent="0.55000000000000004">
      <c r="E51" s="192"/>
      <c r="F51" s="192"/>
    </row>
    <row r="52" spans="5:6" x14ac:dyDescent="0.55000000000000004">
      <c r="E52" s="192"/>
      <c r="F52" s="192"/>
    </row>
    <row r="53" spans="5:6" x14ac:dyDescent="0.55000000000000004">
      <c r="E53" s="192"/>
      <c r="F53" s="192"/>
    </row>
    <row r="54" spans="5:6" x14ac:dyDescent="0.55000000000000004">
      <c r="E54" s="192"/>
      <c r="F54" s="192"/>
    </row>
    <row r="55" spans="5:6" x14ac:dyDescent="0.55000000000000004">
      <c r="E55" s="192"/>
      <c r="F55" s="192"/>
    </row>
    <row r="56" spans="5:6" x14ac:dyDescent="0.55000000000000004">
      <c r="E56" s="192"/>
      <c r="F56" s="192"/>
    </row>
    <row r="57" spans="5:6" x14ac:dyDescent="0.55000000000000004">
      <c r="E57" s="192"/>
      <c r="F57" s="192"/>
    </row>
    <row r="58" spans="5:6" x14ac:dyDescent="0.55000000000000004">
      <c r="E58" s="192"/>
    </row>
    <row r="59" spans="5:6" x14ac:dyDescent="0.55000000000000004">
      <c r="E59" s="192"/>
    </row>
  </sheetData>
  <mergeCells count="2">
    <mergeCell ref="D4:F4"/>
    <mergeCell ref="H4:J4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48AFA-DD79-4164-B42B-25E7BD3FD9BA}">
  <dimension ref="A1:G43"/>
  <sheetViews>
    <sheetView showGridLines="0" topLeftCell="A4" workbookViewId="0">
      <selection activeCell="J30" sqref="J30"/>
    </sheetView>
  </sheetViews>
  <sheetFormatPr baseColWidth="10" defaultColWidth="9.15625" defaultRowHeight="14.4" x14ac:dyDescent="0.55000000000000004"/>
  <cols>
    <col min="1" max="1" width="9.41796875" style="93" customWidth="1"/>
    <col min="2" max="2" width="20.1015625" style="93" customWidth="1"/>
    <col min="3" max="3" width="14.41796875" style="93" customWidth="1"/>
    <col min="4" max="4" width="6.05078125" style="93" customWidth="1"/>
    <col min="5" max="5" width="8.1015625" style="93" customWidth="1"/>
    <col min="6" max="6" width="9.05078125" style="93" customWidth="1"/>
    <col min="7" max="7" width="8.83984375" style="93" customWidth="1"/>
    <col min="8" max="16384" width="9.15625" style="93"/>
  </cols>
  <sheetData>
    <row r="1" spans="1:7" ht="18.600000000000001" thickBot="1" x14ac:dyDescent="0.75">
      <c r="A1" s="90" t="s">
        <v>434</v>
      </c>
      <c r="B1" s="91"/>
      <c r="C1" s="90"/>
      <c r="D1" s="91"/>
      <c r="E1" s="91"/>
      <c r="F1" s="91"/>
      <c r="G1" s="91"/>
    </row>
    <row r="3" spans="1:7" ht="11.7" customHeight="1" x14ac:dyDescent="0.55000000000000004">
      <c r="F3" s="194" t="s">
        <v>552</v>
      </c>
    </row>
    <row r="4" spans="1:7" ht="11.7" customHeight="1" x14ac:dyDescent="0.55000000000000004">
      <c r="A4" s="253" t="str">
        <f>'Exhibit 5'!A5</f>
        <v>Ticker</v>
      </c>
      <c r="B4" s="253" t="str">
        <f>'Exhibit 5'!B5</f>
        <v>Company Name</v>
      </c>
      <c r="C4" s="253" t="str">
        <f>'Exhibit 5'!D5</f>
        <v>Headquarters</v>
      </c>
      <c r="D4" s="253" t="s">
        <v>435</v>
      </c>
      <c r="E4" s="202" t="s">
        <v>436</v>
      </c>
      <c r="F4" s="202" t="s">
        <v>551</v>
      </c>
      <c r="G4" s="202" t="s">
        <v>551</v>
      </c>
    </row>
    <row r="5" spans="1:7" ht="0.3" customHeight="1" x14ac:dyDescent="0.55000000000000004"/>
    <row r="6" spans="1:7" ht="13.5" customHeight="1" x14ac:dyDescent="0.55000000000000004">
      <c r="A6" s="254" t="s">
        <v>222</v>
      </c>
      <c r="B6" s="255"/>
      <c r="C6" s="255"/>
      <c r="D6" s="255"/>
      <c r="E6" s="255"/>
      <c r="F6" s="255"/>
      <c r="G6" s="255"/>
    </row>
    <row r="7" spans="1:7" s="150" customFormat="1" ht="11.5" customHeight="1" x14ac:dyDescent="0.5">
      <c r="A7" s="150" t="str">
        <f>'Exhibit 5'!A6</f>
        <v>XTA</v>
      </c>
      <c r="B7" s="150" t="str">
        <f>'Exhibit 5'!B6</f>
        <v>Xstrata plc</v>
      </c>
      <c r="C7" s="150" t="str">
        <f>'Exhibit 5'!D6</f>
        <v>Switzerland</v>
      </c>
      <c r="D7" s="150" t="str">
        <f>'Exhibit 5'!H6</f>
        <v>BBB</v>
      </c>
      <c r="E7" s="199">
        <f>'Exhibit 5'!F6</f>
        <v>5.4320000000000004</v>
      </c>
      <c r="F7" s="199">
        <f t="shared" ref="F7:F11" si="0">E7</f>
        <v>5.4320000000000004</v>
      </c>
      <c r="G7" s="199"/>
    </row>
    <row r="8" spans="1:7" s="150" customFormat="1" ht="11.5" customHeight="1" x14ac:dyDescent="0.5">
      <c r="A8" s="150" t="str">
        <f>'Exhibit 5'!A7</f>
        <v>AA</v>
      </c>
      <c r="B8" s="150" t="str">
        <f>'Exhibit 5'!B7</f>
        <v>Alcoa Inc.</v>
      </c>
      <c r="C8" s="150" t="str">
        <f>'Exhibit 5'!D7</f>
        <v>United States</v>
      </c>
      <c r="D8" s="150" t="str">
        <f>'Exhibit 5'!H7</f>
        <v>BBB−</v>
      </c>
      <c r="E8" s="199">
        <f>'Exhibit 5'!F7</f>
        <v>5.548</v>
      </c>
      <c r="F8" s="199"/>
      <c r="G8" s="199">
        <f>E8</f>
        <v>5.548</v>
      </c>
    </row>
    <row r="9" spans="1:7" s="150" customFormat="1" ht="11.5" customHeight="1" x14ac:dyDescent="0.5">
      <c r="A9" s="150" t="str">
        <f>'Exhibit 5'!A8</f>
        <v>MT</v>
      </c>
      <c r="B9" s="150" t="str">
        <f>'Exhibit 5'!B8</f>
        <v>ArcelorMittal</v>
      </c>
      <c r="C9" s="150" t="str">
        <f>'Exhibit 5'!D8</f>
        <v>Luxembourg</v>
      </c>
      <c r="D9" s="150" t="str">
        <f>'Exhibit 5'!H8</f>
        <v>BBB</v>
      </c>
      <c r="E9" s="199">
        <f>'Exhibit 5'!F8</f>
        <v>5.2169999999999996</v>
      </c>
      <c r="F9" s="199">
        <f t="shared" si="0"/>
        <v>5.2169999999999996</v>
      </c>
      <c r="G9" s="199"/>
    </row>
    <row r="10" spans="1:7" s="150" customFormat="1" ht="11.5" customHeight="1" x14ac:dyDescent="0.5">
      <c r="A10" s="150" t="str">
        <f>'Exhibit 5'!A9</f>
        <v>VMC</v>
      </c>
      <c r="B10" s="150" t="str">
        <f>'Exhibit 5'!B9</f>
        <v>Vulcan Materials Company</v>
      </c>
      <c r="C10" s="150" t="str">
        <f>'Exhibit 5'!D9</f>
        <v>United States</v>
      </c>
      <c r="D10" s="150" t="str">
        <f>'Exhibit 5'!H9</f>
        <v>BBB</v>
      </c>
      <c r="E10" s="199">
        <f>'Exhibit 5'!F9</f>
        <v>5.3529999999999998</v>
      </c>
      <c r="F10" s="199"/>
      <c r="G10" s="199">
        <f>E10</f>
        <v>5.3529999999999998</v>
      </c>
    </row>
    <row r="11" spans="1:7" s="150" customFormat="1" ht="11.5" customHeight="1" x14ac:dyDescent="0.5">
      <c r="A11" s="150" t="str">
        <f>'Exhibit 5'!A10</f>
        <v>RIOLN</v>
      </c>
      <c r="B11" s="150" t="str">
        <f>'Exhibit 5'!B10</f>
        <v>Rio Tinto plc</v>
      </c>
      <c r="C11" s="150" t="str">
        <f>'Exhibit 5'!D10</f>
        <v>UK/Australia</v>
      </c>
      <c r="D11" s="150" t="str">
        <f>'Exhibit 5'!H10</f>
        <v>BBB+</v>
      </c>
      <c r="E11" s="199">
        <f>'Exhibit 5'!F10</f>
        <v>4.58</v>
      </c>
      <c r="F11" s="199">
        <f t="shared" si="0"/>
        <v>4.58</v>
      </c>
      <c r="G11" s="199"/>
    </row>
    <row r="12" spans="1:7" s="150" customFormat="1" ht="11.5" customHeight="1" x14ac:dyDescent="0.5">
      <c r="A12" s="150" t="str">
        <f>'Exhibit 5'!A11</f>
        <v>ABX</v>
      </c>
      <c r="B12" s="150" t="str">
        <f>'Exhibit 5'!B11</f>
        <v>Barrick Gold Corporation</v>
      </c>
      <c r="C12" s="150" t="str">
        <f>'Exhibit 5'!D11</f>
        <v>United States</v>
      </c>
      <c r="D12" s="150" t="str">
        <f>'Exhibit 5'!H11</f>
        <v>A−</v>
      </c>
      <c r="E12" s="199">
        <f>'Exhibit 5'!F11</f>
        <v>4.702</v>
      </c>
      <c r="F12" s="199"/>
      <c r="G12" s="199">
        <f>E12</f>
        <v>4.702</v>
      </c>
    </row>
    <row r="13" spans="1:7" s="150" customFormat="1" ht="11.5" customHeight="1" x14ac:dyDescent="0.5">
      <c r="A13" s="150" t="str">
        <f>'Exhibit 5'!A12</f>
        <v>AA</v>
      </c>
      <c r="B13" s="150" t="str">
        <f>'Exhibit 5'!B12</f>
        <v>Alcoa Inc.</v>
      </c>
      <c r="C13" s="150" t="str">
        <f>'Exhibit 5'!D12</f>
        <v>United States</v>
      </c>
      <c r="D13" s="150" t="str">
        <f>'Exhibit 5'!H12</f>
        <v>BBB−</v>
      </c>
      <c r="E13" s="199">
        <f>'Exhibit 5'!F12</f>
        <v>6.6079999999999997</v>
      </c>
      <c r="F13" s="199"/>
      <c r="G13" s="199">
        <f t="shared" ref="G13" si="1">E13</f>
        <v>6.6079999999999997</v>
      </c>
    </row>
    <row r="14" spans="1:7" s="150" customFormat="1" ht="11.5" customHeight="1" x14ac:dyDescent="0.5">
      <c r="A14" s="150" t="str">
        <f>'Exhibit 5'!A13</f>
        <v>AAl</v>
      </c>
      <c r="B14" s="150" t="str">
        <f>'Exhibit 5'!B13</f>
        <v>Anglo American</v>
      </c>
      <c r="C14" s="150" t="str">
        <f>'Exhibit 5'!D13</f>
        <v>United Kingdom</v>
      </c>
      <c r="D14" s="150" t="str">
        <f>'Exhibit 5'!H13</f>
        <v>BBB</v>
      </c>
      <c r="E14" s="199">
        <f>'Exhibit 5'!F13</f>
        <v>5.3170000000000002</v>
      </c>
      <c r="F14" s="199">
        <f t="shared" ref="F14" si="2">E14</f>
        <v>5.3170000000000002</v>
      </c>
      <c r="G14" s="199"/>
    </row>
    <row r="15" spans="1:7" s="200" customFormat="1" ht="12.9" x14ac:dyDescent="0.5">
      <c r="A15" s="248" t="s">
        <v>437</v>
      </c>
      <c r="B15" s="249"/>
      <c r="C15" s="249"/>
      <c r="D15" s="249"/>
      <c r="E15" s="250">
        <f>AVERAGE(E7:E14)</f>
        <v>5.3446249999999988</v>
      </c>
      <c r="F15" s="250">
        <f>AVERAGE(F7:F14)</f>
        <v>5.1364999999999998</v>
      </c>
      <c r="G15" s="250">
        <f>AVERAGE(G7:G14)</f>
        <v>5.5527499999999996</v>
      </c>
    </row>
    <row r="16" spans="1:7" s="200" customFormat="1" ht="12.9" x14ac:dyDescent="0.5">
      <c r="A16" s="251" t="s">
        <v>438</v>
      </c>
      <c r="B16" s="251"/>
      <c r="C16" s="251"/>
      <c r="D16" s="251"/>
      <c r="E16" s="252">
        <f>'Costo Bonos'!B6*100</f>
        <v>5.24</v>
      </c>
      <c r="F16" s="252">
        <f>E16</f>
        <v>5.24</v>
      </c>
      <c r="G16" s="252">
        <f>F16</f>
        <v>5.24</v>
      </c>
    </row>
    <row r="17" spans="1:7" s="200" customFormat="1" ht="12.9" x14ac:dyDescent="0.5">
      <c r="A17" s="200" t="s">
        <v>439</v>
      </c>
      <c r="E17" s="201">
        <f>E16-E15</f>
        <v>-0.10462499999999864</v>
      </c>
      <c r="F17" s="201">
        <f>F16-F15</f>
        <v>0.10350000000000037</v>
      </c>
      <c r="G17" s="201">
        <f>G16-G15</f>
        <v>-0.31274999999999942</v>
      </c>
    </row>
    <row r="18" spans="1:7" s="200" customFormat="1" ht="5.4" customHeight="1" x14ac:dyDescent="0.5">
      <c r="E18" s="201"/>
    </row>
    <row r="19" spans="1:7" s="125" customFormat="1" ht="13.5" customHeight="1" x14ac:dyDescent="0.55000000000000004">
      <c r="A19" s="257" t="s">
        <v>224</v>
      </c>
      <c r="B19" s="258"/>
      <c r="C19" s="258"/>
      <c r="D19" s="258"/>
      <c r="E19" s="258"/>
      <c r="F19" s="259"/>
      <c r="G19" s="258"/>
    </row>
    <row r="20" spans="1:7" s="200" customFormat="1" ht="11.5" customHeight="1" x14ac:dyDescent="0.5">
      <c r="A20" s="150" t="str">
        <f>'Exhibit 5'!A16</f>
        <v>MT</v>
      </c>
      <c r="B20" s="150" t="str">
        <f>'Exhibit 5'!B16</f>
        <v>ArcelorMittal</v>
      </c>
      <c r="C20" s="150" t="str">
        <f>'Exhibit 5'!D16</f>
        <v>Luxembourg</v>
      </c>
      <c r="D20" s="150" t="str">
        <f>'Exhibit 5'!H16</f>
        <v>BBB</v>
      </c>
      <c r="E20" s="199">
        <f>'Exhibit 5'!F16</f>
        <v>4.6340000000000003</v>
      </c>
      <c r="F20" s="199"/>
      <c r="G20" s="199">
        <f>E20</f>
        <v>4.6340000000000003</v>
      </c>
    </row>
    <row r="21" spans="1:7" s="200" customFormat="1" ht="11.5" customHeight="1" x14ac:dyDescent="0.5">
      <c r="A21" s="150" t="str">
        <f>'Exhibit 5'!A17</f>
        <v>AAL</v>
      </c>
      <c r="B21" s="150" t="str">
        <f>'Exhibit 5'!B17</f>
        <v>Anglo American</v>
      </c>
      <c r="C21" s="150" t="str">
        <f>'Exhibit 5'!D17</f>
        <v>United Kingdom</v>
      </c>
      <c r="D21" s="150" t="str">
        <f>'Exhibit 5'!H17</f>
        <v>BBB</v>
      </c>
      <c r="E21" s="199">
        <f>'Exhibit 5'!F17</f>
        <v>4.5839999999999996</v>
      </c>
      <c r="F21" s="199">
        <f>E21</f>
        <v>4.5839999999999996</v>
      </c>
      <c r="G21" s="199"/>
    </row>
    <row r="22" spans="1:7" s="200" customFormat="1" ht="11.5" customHeight="1" x14ac:dyDescent="0.5">
      <c r="A22" s="150" t="str">
        <f>'Exhibit 5'!A18</f>
        <v>XTA</v>
      </c>
      <c r="B22" s="150" t="str">
        <f>'Exhibit 5'!B18</f>
        <v>Xstrata</v>
      </c>
      <c r="C22" s="150" t="str">
        <f>'Exhibit 5'!D18</f>
        <v>Switzerland</v>
      </c>
      <c r="D22" s="150" t="str">
        <f>'Exhibit 5'!H18</f>
        <v>BBB</v>
      </c>
      <c r="E22" s="199">
        <f>'Exhibit 5'!F18</f>
        <v>4.5220000000000002</v>
      </c>
      <c r="F22" s="150"/>
      <c r="G22" s="199">
        <f t="shared" ref="G22:G23" si="3">E22</f>
        <v>4.5220000000000002</v>
      </c>
    </row>
    <row r="23" spans="1:7" s="200" customFormat="1" ht="11.5" customHeight="1" x14ac:dyDescent="0.5">
      <c r="A23" s="150" t="str">
        <f>'Exhibit 5'!A19</f>
        <v>GASSM</v>
      </c>
      <c r="B23" s="150" t="str">
        <f>'Exhibit 5'!B19</f>
        <v>Gas Natural</v>
      </c>
      <c r="C23" s="150" t="str">
        <f>'Exhibit 5'!D19</f>
        <v>Spain</v>
      </c>
      <c r="D23" s="150" t="str">
        <f>'Exhibit 5'!H19</f>
        <v>BBB+</v>
      </c>
      <c r="E23" s="199">
        <f>'Exhibit 5'!F19</f>
        <v>4.58</v>
      </c>
      <c r="F23" s="150"/>
      <c r="G23" s="199">
        <f t="shared" si="3"/>
        <v>4.58</v>
      </c>
    </row>
    <row r="24" spans="1:7" s="200" customFormat="1" ht="12.9" x14ac:dyDescent="0.5">
      <c r="A24" s="248" t="s">
        <v>437</v>
      </c>
      <c r="B24" s="249"/>
      <c r="C24" s="249"/>
      <c r="D24" s="249"/>
      <c r="E24" s="250">
        <f>AVERAGE(E20:E23)</f>
        <v>4.58</v>
      </c>
      <c r="F24" s="250">
        <f>AVERAGE(F20:F23)</f>
        <v>4.5839999999999996</v>
      </c>
      <c r="G24" s="250">
        <f>AVERAGE(G20:G23)</f>
        <v>4.5786666666666669</v>
      </c>
    </row>
    <row r="25" spans="1:7" s="200" customFormat="1" ht="12.9" x14ac:dyDescent="0.5">
      <c r="A25" s="251" t="s">
        <v>438</v>
      </c>
      <c r="B25" s="251"/>
      <c r="C25" s="251"/>
      <c r="D25" s="251"/>
      <c r="E25" s="252">
        <f>'Costo Bonos'!D6*100</f>
        <v>4.375</v>
      </c>
      <c r="F25" s="252">
        <f>E25</f>
        <v>4.375</v>
      </c>
      <c r="G25" s="252">
        <f>F25</f>
        <v>4.375</v>
      </c>
    </row>
    <row r="26" spans="1:7" s="200" customFormat="1" ht="12.9" x14ac:dyDescent="0.5">
      <c r="A26" s="200" t="s">
        <v>439</v>
      </c>
      <c r="E26" s="201">
        <f t="shared" ref="E26:G26" si="4">E25-E24</f>
        <v>-0.20500000000000007</v>
      </c>
      <c r="F26" s="201">
        <f t="shared" si="4"/>
        <v>-0.20899999999999963</v>
      </c>
      <c r="G26" s="201">
        <f t="shared" si="4"/>
        <v>-0.20366666666666688</v>
      </c>
    </row>
    <row r="27" spans="1:7" s="200" customFormat="1" ht="5.4" customHeight="1" x14ac:dyDescent="0.5">
      <c r="E27" s="201"/>
    </row>
    <row r="28" spans="1:7" ht="13.5" customHeight="1" x14ac:dyDescent="0.55000000000000004">
      <c r="A28" s="260" t="s">
        <v>225</v>
      </c>
      <c r="B28" s="261"/>
      <c r="C28" s="261"/>
      <c r="D28" s="261"/>
      <c r="E28" s="261"/>
      <c r="F28" s="262"/>
      <c r="G28" s="261"/>
    </row>
    <row r="29" spans="1:7" s="150" customFormat="1" ht="11.5" customHeight="1" x14ac:dyDescent="0.5">
      <c r="A29" s="150" t="str">
        <f>'[1]Exhibit 5'!A20</f>
        <v>GOGLN</v>
      </c>
      <c r="B29" s="150" t="str">
        <f>'[1]Exhibit 5'!B20</f>
        <v>Go-Ahead Group plc</v>
      </c>
      <c r="C29" s="150" t="str">
        <f>'[1]Exhibit 5'!D20</f>
        <v>United Kingdom</v>
      </c>
      <c r="D29" s="150" t="str">
        <f>'[1]Exhibit 5'!H20</f>
        <v>BBB−</v>
      </c>
      <c r="E29" s="199">
        <f>'[1]Exhibit 5'!F20</f>
        <v>5.3849999999999998</v>
      </c>
      <c r="F29" s="199"/>
      <c r="G29" s="199">
        <f t="shared" ref="G29:G33" si="5">E29</f>
        <v>5.3849999999999998</v>
      </c>
    </row>
    <row r="30" spans="1:7" s="150" customFormat="1" ht="11.5" customHeight="1" x14ac:dyDescent="0.5">
      <c r="A30" s="150" t="str">
        <f>'[1]Exhibit 5'!A21</f>
        <v>REEDLN</v>
      </c>
      <c r="B30" s="150" t="str">
        <f>'[1]Exhibit 5'!B21</f>
        <v>Reed Elsevier</v>
      </c>
      <c r="C30" s="150" t="str">
        <f>'[1]Exhibit 5'!D21</f>
        <v>UK/Netherlands</v>
      </c>
      <c r="D30" s="150" t="str">
        <f>'[1]Exhibit 5'!H21</f>
        <v>BBB+</v>
      </c>
      <c r="E30" s="199">
        <f>'[1]Exhibit 5'!F21</f>
        <v>4.8689999999999998</v>
      </c>
      <c r="F30" s="199">
        <f t="shared" ref="F30:F34" si="6">E30</f>
        <v>4.8689999999999998</v>
      </c>
      <c r="G30" s="199"/>
    </row>
    <row r="31" spans="1:7" s="150" customFormat="1" ht="11.5" customHeight="1" x14ac:dyDescent="0.5">
      <c r="A31" s="150" t="str">
        <f>'[1]Exhibit 5'!A22</f>
        <v>TLM</v>
      </c>
      <c r="B31" s="150" t="str">
        <f>'[1]Exhibit 5'!B22</f>
        <v>Talisman Energy Inc.</v>
      </c>
      <c r="C31" s="150" t="str">
        <f>'[1]Exhibit 5'!D22</f>
        <v>United States</v>
      </c>
      <c r="D31" s="150" t="str">
        <f>'[1]Exhibit 5'!H22</f>
        <v>BBB</v>
      </c>
      <c r="E31" s="199">
        <f>'[1]Exhibit 5'!F22</f>
        <v>5.0069999999999997</v>
      </c>
      <c r="F31" s="199">
        <f t="shared" si="6"/>
        <v>5.0069999999999997</v>
      </c>
      <c r="G31" s="199"/>
    </row>
    <row r="32" spans="1:7" s="150" customFormat="1" ht="11.5" customHeight="1" x14ac:dyDescent="0.5">
      <c r="A32" s="150" t="str">
        <f>'[1]Exhibit 5'!A23</f>
        <v>TITIM</v>
      </c>
      <c r="B32" s="150" t="str">
        <f>'[1]Exhibit 5'!B23</f>
        <v>Telecom Italia Group</v>
      </c>
      <c r="C32" s="150" t="str">
        <f>'[1]Exhibit 5'!D23</f>
        <v>Italy</v>
      </c>
      <c r="D32" s="150" t="str">
        <f>'[1]Exhibit 5'!H23</f>
        <v>BBB</v>
      </c>
      <c r="E32" s="199">
        <f>'[1]Exhibit 5'!F23</f>
        <v>5.4210000000000003</v>
      </c>
      <c r="F32" s="199">
        <f t="shared" si="6"/>
        <v>5.4210000000000003</v>
      </c>
      <c r="G32" s="199"/>
    </row>
    <row r="33" spans="1:7" s="150" customFormat="1" ht="11.5" customHeight="1" x14ac:dyDescent="0.5">
      <c r="A33" s="150" t="str">
        <f>'[1]Exhibit 5'!A24</f>
        <v>AALLN</v>
      </c>
      <c r="B33" s="150" t="str">
        <f>'[1]Exhibit 5'!B24</f>
        <v>Anglo American</v>
      </c>
      <c r="C33" s="150" t="str">
        <f>'[1]Exhibit 5'!D24</f>
        <v>United Kingdom</v>
      </c>
      <c r="D33" s="150" t="str">
        <f>'[1]Exhibit 5'!H24</f>
        <v>BBB</v>
      </c>
      <c r="E33" s="199">
        <f>'[1]Exhibit 5'!F24</f>
        <v>5.3529999999999998</v>
      </c>
      <c r="F33" s="199"/>
      <c r="G33" s="199">
        <f t="shared" si="5"/>
        <v>5.3529999999999998</v>
      </c>
    </row>
    <row r="34" spans="1:7" s="150" customFormat="1" ht="11.5" customHeight="1" x14ac:dyDescent="0.5">
      <c r="A34" s="150" t="str">
        <f>'[1]Exhibit 5'!A25</f>
        <v>XTA</v>
      </c>
      <c r="B34" s="150" t="str">
        <f>'[1]Exhibit 5'!B25</f>
        <v>Xstrata</v>
      </c>
      <c r="C34" s="150" t="str">
        <f>'[1]Exhibit 5'!D25</f>
        <v>Switzerland</v>
      </c>
      <c r="D34" s="150" t="str">
        <f>'[1]Exhibit 5'!H25</f>
        <v>BBB</v>
      </c>
      <c r="E34" s="199">
        <f>'[1]Exhibit 5'!F25</f>
        <v>5.8959999999999999</v>
      </c>
      <c r="F34" s="199">
        <f t="shared" si="6"/>
        <v>5.8959999999999999</v>
      </c>
      <c r="G34" s="199"/>
    </row>
    <row r="35" spans="1:7" s="200" customFormat="1" ht="12.9" x14ac:dyDescent="0.5">
      <c r="A35" s="248" t="s">
        <v>437</v>
      </c>
      <c r="B35" s="249"/>
      <c r="C35" s="249"/>
      <c r="D35" s="249"/>
      <c r="E35" s="250">
        <f>AVERAGE(E29:E34)</f>
        <v>5.3218333333333332</v>
      </c>
      <c r="F35" s="250">
        <f>AVERAGE(F29:F34)</f>
        <v>5.2982500000000003</v>
      </c>
      <c r="G35" s="250">
        <f>AVERAGE(G29:G34)</f>
        <v>5.3689999999999998</v>
      </c>
    </row>
    <row r="36" spans="1:7" s="200" customFormat="1" ht="12.9" x14ac:dyDescent="0.5">
      <c r="A36" s="251" t="s">
        <v>438</v>
      </c>
      <c r="B36" s="251"/>
      <c r="C36" s="251"/>
      <c r="D36" s="251"/>
      <c r="E36" s="252">
        <f>'Costo Bonos'!H6*100</f>
        <v>5.4749999999999996</v>
      </c>
      <c r="F36" s="252">
        <f>E36</f>
        <v>5.4749999999999996</v>
      </c>
      <c r="G36" s="252">
        <f>F36</f>
        <v>5.4749999999999996</v>
      </c>
    </row>
    <row r="37" spans="1:7" s="200" customFormat="1" ht="12.9" x14ac:dyDescent="0.5">
      <c r="A37" s="200" t="s">
        <v>439</v>
      </c>
      <c r="E37" s="201">
        <f t="shared" ref="E37:G37" si="7">E36-E35</f>
        <v>0.15316666666666645</v>
      </c>
      <c r="F37" s="201">
        <f t="shared" si="7"/>
        <v>0.1767499999999993</v>
      </c>
      <c r="G37" s="201">
        <f t="shared" si="7"/>
        <v>0.10599999999999987</v>
      </c>
    </row>
    <row r="38" spans="1:7" s="150" customFormat="1" ht="12.9" x14ac:dyDescent="0.5"/>
    <row r="39" spans="1:7" s="150" customFormat="1" ht="12.9" x14ac:dyDescent="0.5"/>
    <row r="40" spans="1:7" x14ac:dyDescent="0.55000000000000004">
      <c r="A40" s="197" t="s">
        <v>440</v>
      </c>
    </row>
    <row r="43" spans="1:7" s="125" customFormat="1" x14ac:dyDescent="0.55000000000000004"/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E8986-FC2A-43C7-A4A8-7174CC4902A8}">
  <dimension ref="A1:AB271"/>
  <sheetViews>
    <sheetView showGridLines="0" zoomScale="92" zoomScaleNormal="99" workbookViewId="0">
      <selection activeCell="F1" sqref="F1"/>
    </sheetView>
  </sheetViews>
  <sheetFormatPr baseColWidth="10" defaultColWidth="9.15625" defaultRowHeight="14.4" outlineLevelRow="1" x14ac:dyDescent="0.55000000000000004"/>
  <cols>
    <col min="1" max="1" width="29.41796875" style="153" customWidth="1"/>
    <col min="2" max="2" width="0.578125" style="153" customWidth="1"/>
    <col min="3" max="7" width="8.1015625" style="153" customWidth="1"/>
    <col min="8" max="8" width="0.7890625" style="93" customWidth="1"/>
    <col min="9" max="13" width="8.1015625" style="93" customWidth="1"/>
    <col min="14" max="14" width="0.83984375" style="93" customWidth="1"/>
    <col min="15" max="16" width="5.89453125" style="93" customWidth="1"/>
    <col min="17" max="17" width="5.734375" style="93" customWidth="1"/>
    <col min="18" max="24" width="7.26171875" style="93" customWidth="1"/>
    <col min="25" max="25" width="9.15625" style="93"/>
    <col min="26" max="26" width="10.1015625" style="93" bestFit="1" customWidth="1"/>
    <col min="27" max="16384" width="9.15625" style="93"/>
  </cols>
  <sheetData>
    <row r="1" spans="1:25" ht="18.600000000000001" thickBot="1" x14ac:dyDescent="0.75">
      <c r="A1" s="90" t="s">
        <v>314</v>
      </c>
      <c r="B1" s="91"/>
      <c r="C1" s="91"/>
      <c r="D1" s="91"/>
      <c r="E1" s="91"/>
      <c r="F1" s="91"/>
      <c r="G1" s="91"/>
      <c r="H1" s="92"/>
      <c r="I1" s="92"/>
      <c r="J1" s="92"/>
      <c r="K1" s="92"/>
      <c r="L1" s="92"/>
      <c r="M1" s="92"/>
      <c r="N1" s="92"/>
      <c r="O1" s="236"/>
    </row>
    <row r="2" spans="1:25" x14ac:dyDescent="0.55000000000000004">
      <c r="A2" s="269" t="s">
        <v>99</v>
      </c>
      <c r="B2" s="269"/>
    </row>
    <row r="3" spans="1:25" x14ac:dyDescent="0.55000000000000004">
      <c r="A3" s="269"/>
      <c r="B3" s="269"/>
      <c r="C3" s="93"/>
      <c r="D3" s="93"/>
      <c r="E3" s="94"/>
      <c r="F3" s="93"/>
      <c r="G3" s="93"/>
    </row>
    <row r="4" spans="1:25" x14ac:dyDescent="0.55000000000000004">
      <c r="A4" s="93"/>
      <c r="B4" s="93"/>
      <c r="C4" s="95" t="s">
        <v>338</v>
      </c>
      <c r="D4" s="95"/>
      <c r="E4" s="95"/>
      <c r="F4" s="95"/>
      <c r="G4" s="95"/>
      <c r="I4" s="96" t="s">
        <v>339</v>
      </c>
      <c r="J4" s="97"/>
      <c r="K4" s="97"/>
      <c r="L4" s="97"/>
      <c r="M4" s="97"/>
      <c r="O4" s="95" t="s">
        <v>373</v>
      </c>
      <c r="P4" s="95"/>
      <c r="Y4" s="210" t="s">
        <v>545</v>
      </c>
    </row>
    <row r="5" spans="1:25" ht="15.9" thickBot="1" x14ac:dyDescent="0.65">
      <c r="A5" s="99" t="s">
        <v>313</v>
      </c>
      <c r="B5" s="93"/>
      <c r="C5" s="100">
        <v>2005</v>
      </c>
      <c r="D5" s="100">
        <f>C5+1</f>
        <v>2006</v>
      </c>
      <c r="E5" s="100">
        <f t="shared" ref="E5:G5" si="0">D5+1</f>
        <v>2007</v>
      </c>
      <c r="F5" s="100">
        <f t="shared" si="0"/>
        <v>2008</v>
      </c>
      <c r="G5" s="100">
        <f t="shared" si="0"/>
        <v>2009</v>
      </c>
      <c r="I5" s="100">
        <v>2010</v>
      </c>
      <c r="J5" s="100">
        <f>I5+1</f>
        <v>2011</v>
      </c>
      <c r="K5" s="100">
        <f t="shared" ref="K5" si="1">J5+1</f>
        <v>2012</v>
      </c>
      <c r="L5" s="100">
        <f t="shared" ref="L5" si="2">K5+1</f>
        <v>2013</v>
      </c>
      <c r="M5" s="100">
        <f t="shared" ref="M5" si="3">L5+1</f>
        <v>2014</v>
      </c>
      <c r="O5" s="237" t="s">
        <v>534</v>
      </c>
      <c r="P5" s="237" t="s">
        <v>480</v>
      </c>
      <c r="Y5" s="100">
        <v>2010</v>
      </c>
    </row>
    <row r="6" spans="1:25" s="101" customFormat="1" ht="3.6" customHeight="1" thickTop="1" x14ac:dyDescent="0.55000000000000004">
      <c r="B6" s="102"/>
      <c r="C6" s="102"/>
      <c r="D6" s="102"/>
      <c r="E6" s="102"/>
      <c r="F6" s="102"/>
      <c r="G6" s="102"/>
      <c r="I6" s="102"/>
      <c r="J6" s="102"/>
      <c r="K6" s="102"/>
      <c r="L6" s="102"/>
      <c r="M6" s="102"/>
      <c r="R6" s="93"/>
      <c r="S6" s="93"/>
      <c r="T6" s="93"/>
      <c r="Y6" s="102"/>
    </row>
    <row r="7" spans="1:25" s="101" customFormat="1" ht="14.05" customHeight="1" x14ac:dyDescent="0.55000000000000004">
      <c r="A7" s="103" t="s">
        <v>9</v>
      </c>
      <c r="B7" s="103">
        <v>8066</v>
      </c>
      <c r="C7" s="103">
        <v>14581</v>
      </c>
      <c r="D7" s="103">
        <v>21188</v>
      </c>
      <c r="E7" s="103">
        <v>36373</v>
      </c>
      <c r="F7" s="103">
        <v>30464</v>
      </c>
      <c r="G7" s="103">
        <v>27814</v>
      </c>
      <c r="H7" s="104"/>
      <c r="I7" s="103">
        <f>G7*(1+I8)</f>
        <v>33376.799999999996</v>
      </c>
      <c r="J7" s="103">
        <f>I7*(1+J8)</f>
        <v>36714.479999999996</v>
      </c>
      <c r="K7" s="103">
        <f>J7*(1+K8)</f>
        <v>38550.203999999998</v>
      </c>
      <c r="L7" s="103">
        <f>K7*(1+L8)</f>
        <v>40092.212160000003</v>
      </c>
      <c r="M7" s="103">
        <f>L7*(1+M8)</f>
        <v>41294.978524800004</v>
      </c>
      <c r="N7" s="103"/>
      <c r="O7" s="105">
        <f>((G7/C7)^(1/4)-1)</f>
        <v>0.17521962489098741</v>
      </c>
      <c r="P7" s="105">
        <f>((M7/G7)^(1/5)-1)</f>
        <v>8.2247917636720569E-2</v>
      </c>
      <c r="R7" s="93"/>
      <c r="S7" s="93"/>
      <c r="T7" s="93"/>
      <c r="Y7" s="103">
        <v>45293</v>
      </c>
    </row>
    <row r="8" spans="1:25" s="101" customFormat="1" ht="14.05" customHeight="1" x14ac:dyDescent="0.55000000000000004">
      <c r="A8" s="106" t="s">
        <v>318</v>
      </c>
      <c r="B8" s="102"/>
      <c r="C8" s="107">
        <f>C7/B7-1</f>
        <v>0.80771138110587648</v>
      </c>
      <c r="D8" s="107">
        <f>D7/C7-1</f>
        <v>0.45312392839997262</v>
      </c>
      <c r="E8" s="107">
        <f>E7/D7-1</f>
        <v>0.7166792524070229</v>
      </c>
      <c r="F8" s="107">
        <f>F7/E7-1</f>
        <v>-0.16245566766557606</v>
      </c>
      <c r="G8" s="107">
        <f>G7/F7-1</f>
        <v>-8.6987920168067223E-2</v>
      </c>
      <c r="H8" s="104"/>
      <c r="I8" s="108">
        <v>0.2</v>
      </c>
      <c r="J8" s="108">
        <v>0.1</v>
      </c>
      <c r="K8" s="108">
        <v>0.05</v>
      </c>
      <c r="L8" s="108">
        <v>0.04</v>
      </c>
      <c r="M8" s="108">
        <v>0.03</v>
      </c>
      <c r="N8" s="108"/>
      <c r="O8" s="108"/>
      <c r="P8" s="108"/>
      <c r="R8" s="93"/>
      <c r="S8" s="93"/>
      <c r="T8" s="93"/>
      <c r="Y8" s="263">
        <f>Y7/G7-1</f>
        <v>0.62842453440713308</v>
      </c>
    </row>
    <row r="9" spans="1:25" s="101" customFormat="1" ht="4.8" customHeight="1" x14ac:dyDescent="0.55000000000000004">
      <c r="A9" s="102"/>
      <c r="B9" s="102"/>
      <c r="C9" s="102"/>
      <c r="D9" s="102"/>
      <c r="E9" s="102"/>
      <c r="F9" s="102"/>
      <c r="G9" s="102"/>
      <c r="H9" s="104"/>
      <c r="I9" s="102"/>
      <c r="J9" s="102"/>
      <c r="K9" s="102"/>
      <c r="L9" s="102"/>
      <c r="M9" s="102"/>
      <c r="Y9" s="102"/>
    </row>
    <row r="10" spans="1:25" s="101" customFormat="1" ht="14.05" customHeight="1" x14ac:dyDescent="0.55000000000000004">
      <c r="A10" s="101" t="s">
        <v>81</v>
      </c>
      <c r="C10" s="109">
        <v>6996</v>
      </c>
      <c r="D10" s="109">
        <v>9710</v>
      </c>
      <c r="E10" s="109">
        <v>16896</v>
      </c>
      <c r="F10" s="109">
        <v>13887</v>
      </c>
      <c r="G10" s="109">
        <v>15898</v>
      </c>
      <c r="H10" s="104"/>
      <c r="I10" s="109">
        <f>I122</f>
        <v>17762.316372570185</v>
      </c>
      <c r="J10" s="109">
        <f t="shared" ref="J10:M10" si="4">J122</f>
        <v>19147.628306967581</v>
      </c>
      <c r="K10" s="109">
        <f t="shared" si="4"/>
        <v>19906.847583353359</v>
      </c>
      <c r="L10" s="109">
        <f t="shared" si="4"/>
        <v>20535.254457408038</v>
      </c>
      <c r="M10" s="109">
        <f t="shared" si="4"/>
        <v>21021.684745094295</v>
      </c>
      <c r="O10" s="105">
        <f>((G10/C10)^(1/4)-1)</f>
        <v>0.22778740220723814</v>
      </c>
      <c r="P10" s="105">
        <f>((M10/G10)^(1/5)-1)</f>
        <v>5.7462572991734184E-2</v>
      </c>
      <c r="Y10" s="109">
        <v>18814</v>
      </c>
    </row>
    <row r="11" spans="1:25" s="101" customFormat="1" ht="14.05" customHeight="1" x14ac:dyDescent="0.55000000000000004">
      <c r="A11" s="106" t="s">
        <v>317</v>
      </c>
      <c r="B11" s="106"/>
      <c r="C11" s="103">
        <f>C7-C10</f>
        <v>7585</v>
      </c>
      <c r="D11" s="103">
        <f t="shared" ref="D11:G11" si="5">D7-D10</f>
        <v>11478</v>
      </c>
      <c r="E11" s="103">
        <f t="shared" si="5"/>
        <v>19477</v>
      </c>
      <c r="F11" s="103">
        <f t="shared" si="5"/>
        <v>16577</v>
      </c>
      <c r="G11" s="103">
        <f t="shared" si="5"/>
        <v>11916</v>
      </c>
      <c r="H11" s="104"/>
      <c r="I11" s="103">
        <f>I7-I10</f>
        <v>15614.48362742981</v>
      </c>
      <c r="J11" s="103">
        <f>J7-J10</f>
        <v>17566.851693032415</v>
      </c>
      <c r="K11" s="103">
        <f>K7-K10</f>
        <v>18643.356416646639</v>
      </c>
      <c r="L11" s="103">
        <f>L7-L10</f>
        <v>19556.957702591964</v>
      </c>
      <c r="M11" s="103">
        <f>M7-M10</f>
        <v>20273.293779705709</v>
      </c>
      <c r="O11" s="105">
        <f>((G11/C11)^(1/4)-1)</f>
        <v>0.11955060081498092</v>
      </c>
      <c r="P11" s="105">
        <f>((M11/G11)^(1/5)-1)</f>
        <v>0.11213821430254178</v>
      </c>
      <c r="Y11" s="103">
        <f>Y7-Y10</f>
        <v>26479</v>
      </c>
    </row>
    <row r="12" spans="1:25" s="101" customFormat="1" ht="14.05" customHeight="1" x14ac:dyDescent="0.55000000000000004">
      <c r="A12" s="106" t="s">
        <v>320</v>
      </c>
      <c r="B12" s="106"/>
      <c r="C12" s="107">
        <f>C11/C$7</f>
        <v>0.52019751731705643</v>
      </c>
      <c r="D12" s="107">
        <f>D11/D$7</f>
        <v>0.54172172928072493</v>
      </c>
      <c r="E12" s="107">
        <f>E11/E$7</f>
        <v>0.53547961399939514</v>
      </c>
      <c r="F12" s="107">
        <f>F11/F$7</f>
        <v>0.54415047268907568</v>
      </c>
      <c r="G12" s="107">
        <f>G11/G$7</f>
        <v>0.42841734378370605</v>
      </c>
      <c r="H12" s="110"/>
      <c r="I12" s="111">
        <f>I11/I$7</f>
        <v>0.46782446571959602</v>
      </c>
      <c r="J12" s="111">
        <f>J11/J$7</f>
        <v>0.47847202774034703</v>
      </c>
      <c r="K12" s="111">
        <f>K11/K$7</f>
        <v>0.48361239324820798</v>
      </c>
      <c r="L12" s="111">
        <f>L11/L$7</f>
        <v>0.48779941661847087</v>
      </c>
      <c r="M12" s="111">
        <f>M11/M$7</f>
        <v>0.49093847494146131</v>
      </c>
      <c r="N12" s="112"/>
      <c r="Y12" s="111">
        <f>Y11/Y$7</f>
        <v>0.58461572428410569</v>
      </c>
    </row>
    <row r="13" spans="1:25" s="101" customFormat="1" ht="4.8" customHeight="1" x14ac:dyDescent="0.55000000000000004">
      <c r="C13" s="102"/>
      <c r="D13" s="102"/>
      <c r="E13" s="102"/>
      <c r="F13" s="102"/>
      <c r="G13" s="102"/>
      <c r="H13" s="104"/>
      <c r="I13" s="102"/>
      <c r="J13" s="102"/>
      <c r="K13" s="102"/>
      <c r="L13" s="102"/>
      <c r="M13" s="102"/>
      <c r="Y13" s="102"/>
    </row>
    <row r="14" spans="1:25" s="101" customFormat="1" ht="14.05" customHeight="1" x14ac:dyDescent="0.55000000000000004">
      <c r="A14" s="101" t="s">
        <v>82</v>
      </c>
      <c r="C14" s="102">
        <v>694</v>
      </c>
      <c r="D14" s="102">
        <v>913</v>
      </c>
      <c r="E14" s="102">
        <v>1431</v>
      </c>
      <c r="F14" s="102">
        <v>1562</v>
      </c>
      <c r="G14" s="102">
        <v>1359</v>
      </c>
      <c r="H14" s="104"/>
      <c r="I14" s="102">
        <f>I128</f>
        <v>1479.2342051032674</v>
      </c>
      <c r="J14" s="102">
        <f>J128</f>
        <v>1630.4172358201295</v>
      </c>
      <c r="K14" s="102">
        <f>K128</f>
        <v>1766.1468923279981</v>
      </c>
      <c r="L14" s="102">
        <f>L128</f>
        <v>1902.1436028723174</v>
      </c>
      <c r="M14" s="102">
        <f>M128</f>
        <v>2036.8793043171092</v>
      </c>
      <c r="O14" s="105">
        <f>((G14/C14)^(1/4)-1)</f>
        <v>0.18294620833775532</v>
      </c>
      <c r="P14" s="105">
        <f>((M14/G14)^(1/5)-1)</f>
        <v>8.4299275938303664E-2</v>
      </c>
      <c r="Y14" s="102">
        <v>1701</v>
      </c>
    </row>
    <row r="15" spans="1:25" s="101" customFormat="1" ht="14.05" customHeight="1" x14ac:dyDescent="0.55000000000000004">
      <c r="A15" s="101" t="s">
        <v>83</v>
      </c>
      <c r="C15" s="102">
        <v>645</v>
      </c>
      <c r="D15" s="102">
        <v>1167</v>
      </c>
      <c r="E15" s="102">
        <v>1581</v>
      </c>
      <c r="F15" s="102">
        <v>3181</v>
      </c>
      <c r="G15" s="102">
        <v>2997</v>
      </c>
      <c r="H15" s="104"/>
      <c r="I15" s="102">
        <f>I134</f>
        <v>3044.4428081248961</v>
      </c>
      <c r="J15" s="102">
        <f>J134</f>
        <v>3084.8102251871774</v>
      </c>
      <c r="K15" s="102">
        <f>K134</f>
        <v>3115.380429508818</v>
      </c>
      <c r="L15" s="102">
        <f>L134</f>
        <v>3143.0147535326983</v>
      </c>
      <c r="M15" s="102">
        <f>M134</f>
        <v>3168.5425625463376</v>
      </c>
      <c r="O15" s="105">
        <f>((G15/C15)^(1/4)-1)</f>
        <v>0.46818829399362993</v>
      </c>
      <c r="P15" s="105">
        <f>((M15/G15)^(1/5)-1)</f>
        <v>1.1194177998682164E-2</v>
      </c>
      <c r="Y15" s="102">
        <f>878+2205</f>
        <v>3083</v>
      </c>
    </row>
    <row r="16" spans="1:25" s="101" customFormat="1" ht="3" customHeight="1" x14ac:dyDescent="0.55000000000000004">
      <c r="C16" s="109"/>
      <c r="D16" s="109"/>
      <c r="E16" s="109"/>
      <c r="F16" s="109"/>
      <c r="G16" s="109"/>
      <c r="H16" s="104"/>
      <c r="I16" s="109"/>
      <c r="J16" s="109"/>
      <c r="K16" s="109"/>
      <c r="L16" s="109"/>
      <c r="M16" s="109"/>
      <c r="Y16" s="109"/>
    </row>
    <row r="17" spans="1:25" s="101" customFormat="1" x14ac:dyDescent="0.55000000000000004">
      <c r="A17" s="106" t="s">
        <v>316</v>
      </c>
      <c r="B17" s="106"/>
      <c r="C17" s="103">
        <f>C11-C14-C15</f>
        <v>6246</v>
      </c>
      <c r="D17" s="103">
        <f>D11-D14-D15</f>
        <v>9398</v>
      </c>
      <c r="E17" s="103">
        <f>E11-E14-E15</f>
        <v>16465</v>
      </c>
      <c r="F17" s="103">
        <f>F11-F14-F15</f>
        <v>11834</v>
      </c>
      <c r="G17" s="103">
        <f>G11-G14-G15</f>
        <v>7560</v>
      </c>
      <c r="H17" s="104"/>
      <c r="I17" s="103">
        <f>I11-I14-I15</f>
        <v>11090.806614201647</v>
      </c>
      <c r="J17" s="103">
        <f>J11-J14-J15</f>
        <v>12851.624232025109</v>
      </c>
      <c r="K17" s="103">
        <f>K11-K14-K15</f>
        <v>13761.829094809824</v>
      </c>
      <c r="L17" s="103">
        <f>L11-L14-L15</f>
        <v>14511.799346186948</v>
      </c>
      <c r="M17" s="103">
        <f>M11-M14-M15</f>
        <v>15067.871912842262</v>
      </c>
      <c r="O17" s="105">
        <f>((G17/C17)^(1/4)-1)</f>
        <v>4.8890021701509134E-2</v>
      </c>
      <c r="P17" s="105">
        <f>((M17/G17)^(1/5)-1)</f>
        <v>0.14790520425702236</v>
      </c>
      <c r="Y17" s="103">
        <f>Y11-Y14-Y15</f>
        <v>21695</v>
      </c>
    </row>
    <row r="18" spans="1:25" s="101" customFormat="1" x14ac:dyDescent="0.55000000000000004">
      <c r="A18" s="106" t="s">
        <v>319</v>
      </c>
      <c r="B18" s="106"/>
      <c r="C18" s="107">
        <f>C17/C$7</f>
        <v>0.42836568136616143</v>
      </c>
      <c r="D18" s="107">
        <f>D17/D$7</f>
        <v>0.44355295450254861</v>
      </c>
      <c r="E18" s="107">
        <f>E17/E$7</f>
        <v>0.45267093723366231</v>
      </c>
      <c r="F18" s="107">
        <f>F17/F$7</f>
        <v>0.38845850840336132</v>
      </c>
      <c r="G18" s="107">
        <f>G17/G$7</f>
        <v>0.27180556554253255</v>
      </c>
      <c r="H18" s="113"/>
      <c r="I18" s="114">
        <f>I17/I$7</f>
        <v>0.33229089110404975</v>
      </c>
      <c r="J18" s="107">
        <f>J17/J$7</f>
        <v>0.35004238741840032</v>
      </c>
      <c r="K18" s="107">
        <f>K17/K$7</f>
        <v>0.35698459844232794</v>
      </c>
      <c r="L18" s="107">
        <f>L17/L$7</f>
        <v>0.36196055454044934</v>
      </c>
      <c r="M18" s="107">
        <f>M17/M$7</f>
        <v>0.36488387816434242</v>
      </c>
      <c r="Y18" s="114">
        <f>Y17/Y$7</f>
        <v>0.47899233877199565</v>
      </c>
    </row>
    <row r="19" spans="1:25" s="101" customFormat="1" ht="6.6" customHeight="1" x14ac:dyDescent="0.55000000000000004">
      <c r="H19" s="104"/>
    </row>
    <row r="20" spans="1:25" s="101" customFormat="1" ht="14.05" customHeight="1" x14ac:dyDescent="0.55000000000000004">
      <c r="A20" s="101" t="s">
        <v>278</v>
      </c>
      <c r="C20" s="102">
        <v>560</v>
      </c>
      <c r="D20" s="102">
        <v>1338</v>
      </c>
      <c r="E20" s="102">
        <v>2517</v>
      </c>
      <c r="F20" s="102">
        <v>1765</v>
      </c>
      <c r="G20" s="102">
        <v>1558</v>
      </c>
      <c r="H20" s="104"/>
      <c r="I20" s="115">
        <f>I216</f>
        <v>1793.9079265303476</v>
      </c>
      <c r="J20" s="115">
        <f>J216</f>
        <v>1986.0637598636808</v>
      </c>
      <c r="K20" s="115">
        <f>K216</f>
        <v>2247.7996584593216</v>
      </c>
      <c r="L20" s="115">
        <f>L216</f>
        <v>2519.1926835502391</v>
      </c>
      <c r="M20" s="115">
        <f>M216</f>
        <v>2812.7270526177354</v>
      </c>
      <c r="O20" s="105"/>
      <c r="P20" s="105"/>
      <c r="Y20" s="115">
        <v>2646</v>
      </c>
    </row>
    <row r="21" spans="1:25" s="101" customFormat="1" ht="14.05" customHeight="1" x14ac:dyDescent="0.55000000000000004">
      <c r="A21" s="101" t="s">
        <v>279</v>
      </c>
      <c r="C21" s="102">
        <v>-123</v>
      </c>
      <c r="D21" s="102">
        <v>-327</v>
      </c>
      <c r="E21" s="102">
        <v>-295</v>
      </c>
      <c r="F21" s="102">
        <v>-602</v>
      </c>
      <c r="G21" s="102">
        <v>-381</v>
      </c>
      <c r="H21" s="104"/>
      <c r="I21" s="115">
        <f>-I249</f>
        <v>-227.45999999999998</v>
      </c>
      <c r="J21" s="115">
        <f>-J249</f>
        <v>-126.09908643559605</v>
      </c>
      <c r="K21" s="115">
        <f>-K249</f>
        <v>-102.15939276320385</v>
      </c>
      <c r="L21" s="115">
        <f>-L249</f>
        <v>-71.614023764557572</v>
      </c>
      <c r="M21" s="115">
        <f>-M249</f>
        <v>-74.84490449046244</v>
      </c>
      <c r="O21" s="105"/>
      <c r="P21" s="105"/>
      <c r="Y21" s="115">
        <v>-290</v>
      </c>
    </row>
    <row r="22" spans="1:25" s="101" customFormat="1" ht="14.05" customHeight="1" x14ac:dyDescent="0.55000000000000004">
      <c r="A22" s="116" t="s">
        <v>280</v>
      </c>
      <c r="C22" s="109">
        <f>C23-C20-C21</f>
        <v>-23</v>
      </c>
      <c r="D22" s="109">
        <f>D23-D20-D21</f>
        <v>-194</v>
      </c>
      <c r="E22" s="109">
        <f>E23-E20-E21</f>
        <v>-2377</v>
      </c>
      <c r="F22" s="109">
        <f>F23-F20-F21</f>
        <v>-310</v>
      </c>
      <c r="G22" s="109">
        <f>G23-G20-G21</f>
        <v>-515</v>
      </c>
      <c r="H22" s="117"/>
      <c r="I22" s="203">
        <f>F22/F7*I7</f>
        <v>-339.64049369747897</v>
      </c>
      <c r="J22" s="203">
        <f>I22/I7*J7</f>
        <v>-373.60454306722687</v>
      </c>
      <c r="K22" s="203">
        <f>J22/J7*K7</f>
        <v>-392.2847702205882</v>
      </c>
      <c r="L22" s="203">
        <f>K22/K7*L7</f>
        <v>-407.9761610294118</v>
      </c>
      <c r="M22" s="203">
        <f>L22/L7*M7</f>
        <v>-420.21544586029415</v>
      </c>
      <c r="O22" s="105"/>
      <c r="P22" s="105"/>
      <c r="R22" s="132" t="s">
        <v>479</v>
      </c>
      <c r="Y22" s="203">
        <f>-631-344</f>
        <v>-975</v>
      </c>
    </row>
    <row r="23" spans="1:25" s="101" customFormat="1" ht="14.05" customHeight="1" x14ac:dyDescent="0.55000000000000004">
      <c r="A23" s="101" t="s">
        <v>461</v>
      </c>
      <c r="C23" s="102">
        <v>414</v>
      </c>
      <c r="D23" s="102">
        <v>817</v>
      </c>
      <c r="E23" s="102">
        <v>-155</v>
      </c>
      <c r="F23" s="102">
        <v>853</v>
      </c>
      <c r="G23" s="102">
        <v>662</v>
      </c>
      <c r="H23" s="104"/>
      <c r="I23" s="102">
        <f>I20+I21+I22</f>
        <v>1226.8074328328685</v>
      </c>
      <c r="J23" s="102">
        <f t="shared" ref="J23:M23" si="6">J20+J21+J22</f>
        <v>1486.360130360858</v>
      </c>
      <c r="K23" s="102">
        <f t="shared" si="6"/>
        <v>1753.3554954755296</v>
      </c>
      <c r="L23" s="102">
        <f t="shared" si="6"/>
        <v>2039.6024987562696</v>
      </c>
      <c r="M23" s="102">
        <f t="shared" si="6"/>
        <v>2317.666702266979</v>
      </c>
      <c r="O23" s="105">
        <f>((G23/C23)^(1/4)-1)</f>
        <v>0.12451282287108123</v>
      </c>
      <c r="P23" s="105">
        <f>((M23/G23)^(1/5)-1)</f>
        <v>0.28480908351736289</v>
      </c>
      <c r="Y23" s="102">
        <f>Y20+Y21+Y22</f>
        <v>1381</v>
      </c>
    </row>
    <row r="24" spans="1:25" s="101" customFormat="1" ht="5.0999999999999996" customHeight="1" x14ac:dyDescent="0.55000000000000004">
      <c r="C24" s="102"/>
      <c r="D24" s="102"/>
      <c r="E24" s="102"/>
      <c r="F24" s="102"/>
      <c r="G24" s="102"/>
      <c r="H24" s="104"/>
      <c r="I24" s="102"/>
      <c r="J24" s="102"/>
      <c r="K24" s="102"/>
      <c r="L24" s="102"/>
      <c r="M24" s="102"/>
      <c r="Y24" s="102"/>
    </row>
    <row r="25" spans="1:25" s="101" customFormat="1" ht="14.05" customHeight="1" x14ac:dyDescent="0.55000000000000004">
      <c r="A25" s="101" t="s">
        <v>481</v>
      </c>
      <c r="C25" s="102">
        <v>107</v>
      </c>
      <c r="D25" s="102">
        <v>-194</v>
      </c>
      <c r="E25" s="102">
        <v>-533</v>
      </c>
      <c r="F25" s="102">
        <v>-1317</v>
      </c>
      <c r="G25" s="102">
        <v>1901</v>
      </c>
      <c r="H25" s="104"/>
      <c r="I25" s="118">
        <v>0</v>
      </c>
      <c r="J25" s="118">
        <v>0</v>
      </c>
      <c r="K25" s="118">
        <v>0</v>
      </c>
      <c r="L25" s="118">
        <v>0</v>
      </c>
      <c r="M25" s="118">
        <v>0</v>
      </c>
      <c r="O25" s="105"/>
      <c r="P25" s="105"/>
      <c r="Y25" s="118">
        <f>987-143</f>
        <v>844</v>
      </c>
    </row>
    <row r="26" spans="1:25" s="101" customFormat="1" ht="4.2" customHeight="1" x14ac:dyDescent="0.55000000000000004">
      <c r="C26" s="109"/>
      <c r="D26" s="109"/>
      <c r="E26" s="109"/>
      <c r="F26" s="109"/>
      <c r="G26" s="109"/>
      <c r="H26" s="104"/>
      <c r="I26" s="109"/>
      <c r="J26" s="109"/>
      <c r="K26" s="109"/>
      <c r="L26" s="109"/>
      <c r="M26" s="109"/>
      <c r="Y26" s="109"/>
    </row>
    <row r="27" spans="1:25" s="101" customFormat="1" ht="14.05" customHeight="1" x14ac:dyDescent="0.55000000000000004">
      <c r="A27" s="101" t="s">
        <v>315</v>
      </c>
      <c r="C27" s="102">
        <f>C17-C23+C25</f>
        <v>5939</v>
      </c>
      <c r="D27" s="102">
        <f t="shared" ref="D27:G27" si="7">D17-D23+D25</f>
        <v>8387</v>
      </c>
      <c r="E27" s="102">
        <f t="shared" si="7"/>
        <v>16087</v>
      </c>
      <c r="F27" s="102">
        <f t="shared" si="7"/>
        <v>9664</v>
      </c>
      <c r="G27" s="102">
        <f t="shared" si="7"/>
        <v>8799</v>
      </c>
      <c r="H27" s="104"/>
      <c r="I27" s="102">
        <f>I17-I23+I25</f>
        <v>9863.9991813687775</v>
      </c>
      <c r="J27" s="102">
        <f t="shared" ref="J27:M27" si="8">J17-J23+J25</f>
        <v>11365.264101664252</v>
      </c>
      <c r="K27" s="102">
        <f t="shared" si="8"/>
        <v>12008.473599334295</v>
      </c>
      <c r="L27" s="102">
        <f t="shared" si="8"/>
        <v>12472.196847430678</v>
      </c>
      <c r="M27" s="102">
        <f t="shared" si="8"/>
        <v>12750.205210575283</v>
      </c>
      <c r="O27" s="105">
        <f>((G27/C27)^(1/4)-1)</f>
        <v>0.10326539953565073</v>
      </c>
      <c r="P27" s="105">
        <f>((M27/G27)^(1/5)-1)</f>
        <v>7.7002648752784175E-2</v>
      </c>
      <c r="Y27" s="102">
        <f>Y17-Y23+Y25</f>
        <v>21158</v>
      </c>
    </row>
    <row r="28" spans="1:25" s="101" customFormat="1" ht="3" customHeight="1" x14ac:dyDescent="0.55000000000000004">
      <c r="H28" s="104"/>
    </row>
    <row r="29" spans="1:25" s="101" customFormat="1" ht="14.05" customHeight="1" x14ac:dyDescent="0.55000000000000004">
      <c r="A29" s="101" t="s">
        <v>44</v>
      </c>
      <c r="C29" s="102">
        <v>1015</v>
      </c>
      <c r="D29" s="102">
        <v>1585</v>
      </c>
      <c r="E29" s="102">
        <v>3979</v>
      </c>
      <c r="F29" s="102">
        <v>287</v>
      </c>
      <c r="G29" s="102">
        <v>2824</v>
      </c>
      <c r="H29" s="104"/>
      <c r="I29" s="102">
        <f>I27*0.32</f>
        <v>3156.4797380380087</v>
      </c>
      <c r="J29" s="102">
        <f>J27*0.32</f>
        <v>3636.8845125325606</v>
      </c>
      <c r="K29" s="102">
        <f>K27*0.32</f>
        <v>3842.7115517869743</v>
      </c>
      <c r="L29" s="102">
        <f>L27*0.32</f>
        <v>3991.1029911778169</v>
      </c>
      <c r="M29" s="102">
        <f>M27*0.32</f>
        <v>4080.0656673840904</v>
      </c>
      <c r="O29" s="105">
        <f>((G29/C29)^(1/4)-1)</f>
        <v>0.29151561850169827</v>
      </c>
      <c r="P29" s="105">
        <f>((M29/G29)^(1/5)-1)</f>
        <v>7.6367291768603796E-2</v>
      </c>
      <c r="Y29" s="102">
        <v>3705</v>
      </c>
    </row>
    <row r="30" spans="1:25" s="101" customFormat="1" ht="14.05" customHeight="1" x14ac:dyDescent="0.55000000000000004">
      <c r="A30" s="101" t="s">
        <v>86</v>
      </c>
      <c r="C30" s="102">
        <v>-445</v>
      </c>
      <c r="D30" s="102">
        <v>-519</v>
      </c>
      <c r="E30" s="102">
        <v>-873</v>
      </c>
      <c r="F30" s="102">
        <v>-187</v>
      </c>
      <c r="G30" s="102">
        <v>-97</v>
      </c>
      <c r="H30" s="104"/>
      <c r="I30" s="115">
        <f>G30</f>
        <v>-97</v>
      </c>
      <c r="J30" s="115">
        <f>I30</f>
        <v>-97</v>
      </c>
      <c r="K30" s="115">
        <f t="shared" ref="K30:M30" si="9">J30</f>
        <v>-97</v>
      </c>
      <c r="L30" s="115">
        <f t="shared" si="9"/>
        <v>-97</v>
      </c>
      <c r="M30" s="115">
        <f t="shared" si="9"/>
        <v>-97</v>
      </c>
      <c r="O30" s="105">
        <f>((G30/C30)^(1/4)-1)</f>
        <v>-0.31671335751002627</v>
      </c>
      <c r="P30" s="105">
        <f>((M30/G30)^(1/5)-1)</f>
        <v>0</v>
      </c>
      <c r="Y30" s="115">
        <v>-189</v>
      </c>
    </row>
    <row r="31" spans="1:25" s="101" customFormat="1" ht="14.05" customHeight="1" thickBot="1" x14ac:dyDescent="0.6">
      <c r="A31" s="106" t="s">
        <v>80</v>
      </c>
      <c r="B31" s="106"/>
      <c r="C31" s="119">
        <f>C27-C29+C30</f>
        <v>4479</v>
      </c>
      <c r="D31" s="119">
        <f>D27-D29+D30</f>
        <v>6283</v>
      </c>
      <c r="E31" s="119">
        <f>E27-E29+E30</f>
        <v>11235</v>
      </c>
      <c r="F31" s="119">
        <f>F27-F29+F30</f>
        <v>9190</v>
      </c>
      <c r="G31" s="119">
        <f>G27-G29+G30</f>
        <v>5878</v>
      </c>
      <c r="H31" s="104"/>
      <c r="I31" s="119">
        <f>I27-I29+I30</f>
        <v>6610.5194433307688</v>
      </c>
      <c r="J31" s="119">
        <f>J27-J29+J30</f>
        <v>7631.3795891316913</v>
      </c>
      <c r="K31" s="119">
        <f>K27-K29+K30</f>
        <v>8068.7620475473204</v>
      </c>
      <c r="L31" s="119">
        <f>L27-L29+L30</f>
        <v>8384.0938562528609</v>
      </c>
      <c r="M31" s="119">
        <f>M27-M29+M30</f>
        <v>8573.1395431911915</v>
      </c>
      <c r="O31" s="105">
        <f>((G31/C31)^(1/4)-1)</f>
        <v>7.0316276373540543E-2</v>
      </c>
      <c r="P31" s="105">
        <f>((M31/G31)^(1/5)-1)</f>
        <v>7.8405420643578028E-2</v>
      </c>
      <c r="Y31" s="119">
        <f>Y27-Y29+Y30</f>
        <v>17264</v>
      </c>
    </row>
    <row r="32" spans="1:25" s="101" customFormat="1" ht="10.199999999999999" customHeight="1" thickTop="1" x14ac:dyDescent="0.55000000000000004">
      <c r="C32" s="102"/>
      <c r="D32" s="102"/>
      <c r="E32" s="102"/>
      <c r="F32" s="102"/>
      <c r="G32" s="102"/>
    </row>
    <row r="33" spans="1:25" s="101" customFormat="1" x14ac:dyDescent="0.55000000000000004">
      <c r="A33" s="238" t="s">
        <v>536</v>
      </c>
      <c r="C33" s="103">
        <f>C77+C17</f>
        <v>6865</v>
      </c>
      <c r="D33" s="103">
        <f>D77+D17</f>
        <v>10395</v>
      </c>
      <c r="E33" s="103">
        <f>E77+E17</f>
        <v>18651</v>
      </c>
      <c r="F33" s="103">
        <f>F77+F17</f>
        <v>14641</v>
      </c>
      <c r="G33" s="103">
        <f>G77+G17</f>
        <v>10282</v>
      </c>
      <c r="I33" s="103">
        <f>I77+I17</f>
        <v>14024.9604</v>
      </c>
      <c r="J33" s="103">
        <f>J77+J17</f>
        <v>16231.300968000001</v>
      </c>
      <c r="K33" s="103">
        <f>K77+K17</f>
        <v>17619.912617760001</v>
      </c>
      <c r="L33" s="103">
        <f>L77+L17</f>
        <v>18869.759619235203</v>
      </c>
      <c r="M33" s="103">
        <f>M77+M17</f>
        <v>19943.155614717507</v>
      </c>
      <c r="O33" s="105">
        <f>((G33/C33)^(1/4)-1)</f>
        <v>0.10626523456497194</v>
      </c>
      <c r="P33" s="105">
        <f>((M33/G33)^(1/5)-1)</f>
        <v>0.14167700990556376</v>
      </c>
      <c r="Y33" s="103">
        <f>Y77+Y17</f>
        <v>24955</v>
      </c>
    </row>
    <row r="34" spans="1:25" s="101" customFormat="1" x14ac:dyDescent="0.55000000000000004">
      <c r="A34" s="238" t="s">
        <v>535</v>
      </c>
      <c r="C34" s="107">
        <f>C33/C7</f>
        <v>0.47081818805294562</v>
      </c>
      <c r="D34" s="107">
        <f>D33/D7</f>
        <v>0.49060789125920334</v>
      </c>
      <c r="E34" s="107">
        <f>E33/E7</f>
        <v>0.51277046160613637</v>
      </c>
      <c r="F34" s="107">
        <f>F33/F7</f>
        <v>0.4806000525210084</v>
      </c>
      <c r="G34" s="107">
        <f>G33/G7</f>
        <v>0.36966995038469835</v>
      </c>
      <c r="I34" s="107">
        <f>I33/I7</f>
        <v>0.42020087006543472</v>
      </c>
      <c r="J34" s="107">
        <f>J33/J7</f>
        <v>0.44209535224249408</v>
      </c>
      <c r="K34" s="107">
        <f>K33/K7</f>
        <v>0.45706405646413706</v>
      </c>
      <c r="L34" s="107">
        <f>L33/L7</f>
        <v>0.47065897845521132</v>
      </c>
      <c r="M34" s="107">
        <f>M33/M7</f>
        <v>0.48294384274205393</v>
      </c>
      <c r="Y34" s="107">
        <f>Y33/Y7</f>
        <v>0.55096814077230483</v>
      </c>
    </row>
    <row r="35" spans="1:25" s="101" customFormat="1" x14ac:dyDescent="0.55000000000000004">
      <c r="C35" s="102"/>
      <c r="D35" s="102"/>
      <c r="E35" s="102"/>
      <c r="F35" s="102"/>
      <c r="G35" s="102"/>
    </row>
    <row r="36" spans="1:25" s="101" customFormat="1" x14ac:dyDescent="0.55000000000000004">
      <c r="C36" s="95" t="s">
        <v>338</v>
      </c>
      <c r="D36" s="95"/>
      <c r="E36" s="95"/>
      <c r="F36" s="95"/>
      <c r="G36" s="95"/>
      <c r="H36" s="93"/>
      <c r="I36" s="96" t="s">
        <v>339</v>
      </c>
      <c r="J36" s="97"/>
      <c r="K36" s="97"/>
      <c r="L36" s="97"/>
      <c r="M36" s="97"/>
      <c r="Y36" s="210" t="s">
        <v>545</v>
      </c>
    </row>
    <row r="37" spans="1:25" s="101" customFormat="1" ht="15.9" thickBot="1" x14ac:dyDescent="0.65">
      <c r="A37" s="120" t="s">
        <v>47</v>
      </c>
      <c r="C37" s="100">
        <v>2005</v>
      </c>
      <c r="D37" s="100">
        <f>C37+1</f>
        <v>2006</v>
      </c>
      <c r="E37" s="100">
        <f t="shared" ref="E37" si="10">D37+1</f>
        <v>2007</v>
      </c>
      <c r="F37" s="100">
        <f t="shared" ref="F37" si="11">E37+1</f>
        <v>2008</v>
      </c>
      <c r="G37" s="100">
        <f t="shared" ref="G37" si="12">F37+1</f>
        <v>2009</v>
      </c>
      <c r="I37" s="100">
        <v>2010</v>
      </c>
      <c r="J37" s="100">
        <f>I37+1</f>
        <v>2011</v>
      </c>
      <c r="K37" s="100">
        <f t="shared" ref="K37" si="13">J37+1</f>
        <v>2012</v>
      </c>
      <c r="L37" s="100">
        <f t="shared" ref="L37" si="14">K37+1</f>
        <v>2013</v>
      </c>
      <c r="M37" s="100">
        <f t="shared" ref="M37" si="15">L37+1</f>
        <v>2014</v>
      </c>
      <c r="Y37" s="100">
        <v>2010</v>
      </c>
    </row>
    <row r="38" spans="1:25" ht="3.3" customHeight="1" thickTop="1" x14ac:dyDescent="0.55000000000000004">
      <c r="A38" s="93"/>
      <c r="B38" s="93"/>
      <c r="C38" s="121"/>
      <c r="D38" s="121"/>
      <c r="E38" s="121"/>
      <c r="F38" s="121"/>
      <c r="G38" s="121"/>
    </row>
    <row r="39" spans="1:25" ht="14.05" customHeight="1" x14ac:dyDescent="0.55000000000000004">
      <c r="A39" s="122" t="s">
        <v>302</v>
      </c>
      <c r="B39" s="93"/>
      <c r="C39" s="121"/>
      <c r="D39" s="121"/>
      <c r="E39" s="121"/>
      <c r="F39" s="121"/>
      <c r="G39" s="121"/>
    </row>
    <row r="40" spans="1:25" ht="14.05" customHeight="1" x14ac:dyDescent="0.55000000000000004">
      <c r="A40" s="93" t="s">
        <v>46</v>
      </c>
      <c r="B40" s="93"/>
      <c r="C40" s="102">
        <v>1159</v>
      </c>
      <c r="D40" s="102">
        <v>4574</v>
      </c>
      <c r="E40" s="102">
        <v>1195</v>
      </c>
      <c r="F40" s="102">
        <v>10716</v>
      </c>
      <c r="G40" s="102">
        <v>7582</v>
      </c>
      <c r="I40" s="123">
        <f>I104</f>
        <v>4203.3028811865352</v>
      </c>
      <c r="J40" s="123">
        <f>J104</f>
        <v>3405.3130921067955</v>
      </c>
      <c r="K40" s="123">
        <f>K104</f>
        <v>2387.1341254852523</v>
      </c>
      <c r="L40" s="123">
        <f>L104</f>
        <v>2494.8301496820814</v>
      </c>
      <c r="M40" s="123">
        <f>M104</f>
        <v>2591.789454407779</v>
      </c>
      <c r="N40" s="124"/>
      <c r="Y40" s="123">
        <f>7584+1793</f>
        <v>9377</v>
      </c>
    </row>
    <row r="41" spans="1:25" ht="14.05" customHeight="1" x14ac:dyDescent="0.55000000000000004">
      <c r="A41" s="93" t="s">
        <v>78</v>
      </c>
      <c r="B41" s="93"/>
      <c r="C41" s="102">
        <v>1851</v>
      </c>
      <c r="D41" s="102">
        <v>3720</v>
      </c>
      <c r="E41" s="102">
        <v>4028</v>
      </c>
      <c r="F41" s="102">
        <v>3438</v>
      </c>
      <c r="G41" s="102">
        <v>3377</v>
      </c>
      <c r="I41" s="102">
        <f>I143</f>
        <v>4114.9479452054793</v>
      </c>
      <c r="J41" s="102">
        <f>J143</f>
        <v>4526.442739726027</v>
      </c>
      <c r="K41" s="102">
        <f>K143</f>
        <v>4752.7648767123283</v>
      </c>
      <c r="L41" s="102">
        <f>L143</f>
        <v>4942.8754717808224</v>
      </c>
      <c r="M41" s="102">
        <f>M143</f>
        <v>5091.1617359342472</v>
      </c>
      <c r="Y41" s="102">
        <f>435+7776</f>
        <v>8211</v>
      </c>
    </row>
    <row r="42" spans="1:25" ht="14.05" customHeight="1" x14ac:dyDescent="0.55000000000000004">
      <c r="A42" s="93" t="s">
        <v>10</v>
      </c>
      <c r="B42" s="93"/>
      <c r="C42" s="102">
        <v>1387</v>
      </c>
      <c r="D42" s="102">
        <v>2979</v>
      </c>
      <c r="E42" s="102">
        <v>4076</v>
      </c>
      <c r="F42" s="102">
        <v>4183</v>
      </c>
      <c r="G42" s="102">
        <v>3391</v>
      </c>
      <c r="I42" s="102">
        <f>I147</f>
        <v>3795.7826768780124</v>
      </c>
      <c r="J42" s="102">
        <f>J147</f>
        <v>4091.8219395711544</v>
      </c>
      <c r="K42" s="102">
        <f>K147</f>
        <v>4254.0660589083891</v>
      </c>
      <c r="L42" s="102">
        <f>L147</f>
        <v>4388.3557470625392</v>
      </c>
      <c r="M42" s="102">
        <f>M147</f>
        <v>4492.3052331982326</v>
      </c>
      <c r="Y42" s="102">
        <v>4298</v>
      </c>
    </row>
    <row r="43" spans="1:25" ht="14.05" customHeight="1" x14ac:dyDescent="0.55000000000000004">
      <c r="A43" s="93" t="s">
        <v>101</v>
      </c>
      <c r="B43" s="93"/>
      <c r="C43" s="109">
        <v>993</v>
      </c>
      <c r="D43" s="109">
        <v>1436</v>
      </c>
      <c r="E43" s="109">
        <v>2580</v>
      </c>
      <c r="F43" s="109">
        <v>5872</v>
      </c>
      <c r="G43" s="109">
        <v>7590</v>
      </c>
      <c r="I43" s="209">
        <f>G43</f>
        <v>7590</v>
      </c>
      <c r="J43" s="209">
        <f>I43</f>
        <v>7590</v>
      </c>
      <c r="K43" s="209">
        <f>J43</f>
        <v>7590</v>
      </c>
      <c r="L43" s="209">
        <f>K43</f>
        <v>7590</v>
      </c>
      <c r="M43" s="209">
        <f>L43</f>
        <v>7590</v>
      </c>
      <c r="Y43" s="209">
        <f>Y44-Y40-Y41-Y42</f>
        <v>9905</v>
      </c>
    </row>
    <row r="44" spans="1:25" ht="14.05" customHeight="1" x14ac:dyDescent="0.55000000000000004">
      <c r="A44" s="125" t="s">
        <v>321</v>
      </c>
      <c r="B44" s="93"/>
      <c r="C44" s="126">
        <f>SUM(C40:C43)</f>
        <v>5390</v>
      </c>
      <c r="D44" s="126">
        <f t="shared" ref="D44:M44" si="16">SUM(D40:D43)</f>
        <v>12709</v>
      </c>
      <c r="E44" s="126">
        <f t="shared" si="16"/>
        <v>11879</v>
      </c>
      <c r="F44" s="126">
        <f t="shared" si="16"/>
        <v>24209</v>
      </c>
      <c r="G44" s="126">
        <f t="shared" si="16"/>
        <v>21940</v>
      </c>
      <c r="I44" s="126">
        <f t="shared" si="16"/>
        <v>19704.033503270024</v>
      </c>
      <c r="J44" s="126">
        <f t="shared" si="16"/>
        <v>19613.57777140398</v>
      </c>
      <c r="K44" s="126">
        <f t="shared" si="16"/>
        <v>18983.96506110597</v>
      </c>
      <c r="L44" s="126">
        <f t="shared" si="16"/>
        <v>19416.061368525443</v>
      </c>
      <c r="M44" s="126">
        <f t="shared" si="16"/>
        <v>19765.256423540261</v>
      </c>
      <c r="Y44" s="126">
        <v>31791</v>
      </c>
    </row>
    <row r="45" spans="1:25" ht="3.9" customHeight="1" x14ac:dyDescent="0.55000000000000004">
      <c r="A45" s="93"/>
      <c r="B45" s="93"/>
      <c r="C45" s="102"/>
      <c r="D45" s="102"/>
      <c r="E45" s="102"/>
      <c r="F45" s="102"/>
      <c r="G45" s="102"/>
      <c r="I45" s="102"/>
      <c r="J45" s="102"/>
      <c r="K45" s="102"/>
      <c r="L45" s="102"/>
      <c r="M45" s="102"/>
      <c r="Y45" s="102"/>
    </row>
    <row r="46" spans="1:25" ht="14.05" customHeight="1" x14ac:dyDescent="0.55000000000000004">
      <c r="A46" s="93" t="s">
        <v>102</v>
      </c>
      <c r="B46" s="93"/>
      <c r="C46" s="102">
        <v>14484</v>
      </c>
      <c r="D46" s="102">
        <v>36309</v>
      </c>
      <c r="E46" s="102">
        <v>51647</v>
      </c>
      <c r="F46" s="102">
        <v>47719</v>
      </c>
      <c r="G46" s="102">
        <v>66047</v>
      </c>
      <c r="I46" s="102">
        <f>G46-I84-I77</f>
        <v>73928.446214201656</v>
      </c>
      <c r="J46" s="102">
        <f>I46-J84-J77</f>
        <v>82445.929478226768</v>
      </c>
      <c r="K46" s="102">
        <f t="shared" ref="K46:M46" si="17">J46-K84-K77</f>
        <v>91079.863955276582</v>
      </c>
      <c r="L46" s="102">
        <f t="shared" si="17"/>
        <v>99713.602402228324</v>
      </c>
      <c r="M46" s="102">
        <f t="shared" si="17"/>
        <v>108219.76838195308</v>
      </c>
      <c r="Y46" s="102">
        <v>83096</v>
      </c>
    </row>
    <row r="47" spans="1:25" ht="14.05" customHeight="1" x14ac:dyDescent="0.55000000000000004">
      <c r="A47" s="93" t="s">
        <v>11</v>
      </c>
      <c r="B47" s="93"/>
      <c r="C47" s="102">
        <v>0</v>
      </c>
      <c r="D47" s="102">
        <v>0</v>
      </c>
      <c r="E47" s="102">
        <v>0</v>
      </c>
      <c r="F47" s="102">
        <v>3328</v>
      </c>
      <c r="G47" s="102">
        <v>4118</v>
      </c>
      <c r="I47" s="208">
        <f>G47</f>
        <v>4118</v>
      </c>
      <c r="J47" s="208">
        <f t="shared" ref="J47:M48" si="18">I47</f>
        <v>4118</v>
      </c>
      <c r="K47" s="208">
        <f t="shared" si="18"/>
        <v>4118</v>
      </c>
      <c r="L47" s="208">
        <f t="shared" si="18"/>
        <v>4118</v>
      </c>
      <c r="M47" s="208">
        <f t="shared" si="18"/>
        <v>4118</v>
      </c>
      <c r="Y47" s="208">
        <f>1274+3317</f>
        <v>4591</v>
      </c>
    </row>
    <row r="48" spans="1:25" ht="14.05" customHeight="1" thickBot="1" x14ac:dyDescent="0.6">
      <c r="A48" s="93" t="s">
        <v>95</v>
      </c>
      <c r="B48" s="102">
        <f>1603+1159</f>
        <v>2762</v>
      </c>
      <c r="C48" s="127">
        <v>2736</v>
      </c>
      <c r="D48" s="127">
        <v>8530</v>
      </c>
      <c r="E48" s="127">
        <v>11114</v>
      </c>
      <c r="F48" s="127">
        <v>4976</v>
      </c>
      <c r="G48" s="127">
        <v>8685</v>
      </c>
      <c r="I48" s="207">
        <f>G48</f>
        <v>8685</v>
      </c>
      <c r="J48" s="207">
        <f t="shared" si="18"/>
        <v>8685</v>
      </c>
      <c r="K48" s="207">
        <f t="shared" si="18"/>
        <v>8685</v>
      </c>
      <c r="L48" s="207">
        <f t="shared" si="18"/>
        <v>8685</v>
      </c>
      <c r="M48" s="207">
        <f t="shared" si="18"/>
        <v>8685</v>
      </c>
      <c r="Y48" s="207">
        <f>Y49-Y46-Y47</f>
        <v>9661</v>
      </c>
    </row>
    <row r="49" spans="1:25" ht="14.05" customHeight="1" x14ac:dyDescent="0.55000000000000004">
      <c r="A49" s="125" t="s">
        <v>325</v>
      </c>
      <c r="B49" s="93"/>
      <c r="C49" s="103">
        <f>C46+C47+C48</f>
        <v>17220</v>
      </c>
      <c r="D49" s="103">
        <f>D46+D47+D48</f>
        <v>44839</v>
      </c>
      <c r="E49" s="103">
        <f>E46+E47+E48</f>
        <v>62761</v>
      </c>
      <c r="F49" s="103">
        <f>F46+F47+F48</f>
        <v>56023</v>
      </c>
      <c r="G49" s="103">
        <f>G46+G47+G48</f>
        <v>78850</v>
      </c>
      <c r="I49" s="103">
        <f>I46+I47+I48</f>
        <v>86731.446214201656</v>
      </c>
      <c r="J49" s="103">
        <f>J46+J47+J48</f>
        <v>95248.929478226768</v>
      </c>
      <c r="K49" s="103">
        <f>K46+K47+K48</f>
        <v>103882.86395527658</v>
      </c>
      <c r="L49" s="103">
        <f>L46+L47+L48</f>
        <v>112516.60240222832</v>
      </c>
      <c r="M49" s="103">
        <f>M46+M47+M48</f>
        <v>121022.76838195308</v>
      </c>
      <c r="Y49" s="103">
        <f>Y51-Y44</f>
        <v>97348</v>
      </c>
    </row>
    <row r="50" spans="1:25" ht="2.4" customHeight="1" x14ac:dyDescent="0.55000000000000004">
      <c r="A50" s="125"/>
      <c r="B50" s="93"/>
      <c r="C50" s="102"/>
      <c r="D50" s="102"/>
      <c r="E50" s="102"/>
      <c r="F50" s="102"/>
      <c r="G50" s="102"/>
      <c r="I50" s="102"/>
      <c r="J50" s="102"/>
      <c r="K50" s="102"/>
      <c r="L50" s="102"/>
      <c r="M50" s="102"/>
      <c r="Y50" s="102"/>
    </row>
    <row r="51" spans="1:25" ht="14.05" customHeight="1" thickBot="1" x14ac:dyDescent="0.6">
      <c r="A51" s="125" t="s">
        <v>322</v>
      </c>
      <c r="B51" s="93"/>
      <c r="C51" s="119">
        <f>C44+C49</f>
        <v>22610</v>
      </c>
      <c r="D51" s="119">
        <f>D44+D49</f>
        <v>57548</v>
      </c>
      <c r="E51" s="119">
        <f>E44+E49</f>
        <v>74640</v>
      </c>
      <c r="F51" s="119">
        <f>F44+F49</f>
        <v>80232</v>
      </c>
      <c r="G51" s="119">
        <f>G44+G49</f>
        <v>100790</v>
      </c>
      <c r="I51" s="119">
        <f t="shared" ref="I51:M51" si="19">I44+I49</f>
        <v>106435.47971747168</v>
      </c>
      <c r="J51" s="119">
        <f t="shared" si="19"/>
        <v>114862.50724963075</v>
      </c>
      <c r="K51" s="119">
        <f t="shared" si="19"/>
        <v>122866.82901638254</v>
      </c>
      <c r="L51" s="119">
        <f t="shared" si="19"/>
        <v>131932.66377075377</v>
      </c>
      <c r="M51" s="119">
        <f t="shared" si="19"/>
        <v>140788.02480549333</v>
      </c>
      <c r="Y51" s="119">
        <v>129139</v>
      </c>
    </row>
    <row r="52" spans="1:25" ht="3.6" customHeight="1" thickTop="1" x14ac:dyDescent="0.55000000000000004">
      <c r="A52" s="93"/>
      <c r="B52" s="93"/>
      <c r="C52" s="102"/>
      <c r="D52" s="102"/>
      <c r="E52" s="102"/>
      <c r="F52" s="102"/>
      <c r="G52" s="102"/>
    </row>
    <row r="53" spans="1:25" ht="14.05" customHeight="1" x14ac:dyDescent="0.55000000000000004">
      <c r="A53" s="122" t="s">
        <v>328</v>
      </c>
      <c r="B53" s="93"/>
      <c r="C53" s="102"/>
      <c r="D53" s="102"/>
      <c r="E53" s="102"/>
      <c r="F53" s="102"/>
      <c r="G53" s="102"/>
    </row>
    <row r="54" spans="1:25" ht="14.05" customHeight="1" x14ac:dyDescent="0.55000000000000004">
      <c r="A54" s="93" t="s">
        <v>91</v>
      </c>
      <c r="B54" s="102"/>
      <c r="C54" s="102">
        <v>1151</v>
      </c>
      <c r="D54" s="102">
        <v>2416</v>
      </c>
      <c r="E54" s="102">
        <v>2411</v>
      </c>
      <c r="F54" s="102">
        <v>2266</v>
      </c>
      <c r="G54" s="102">
        <v>2207</v>
      </c>
      <c r="I54" s="102">
        <f>I151</f>
        <v>2433.1940236397513</v>
      </c>
      <c r="J54" s="102">
        <f t="shared" ref="J54:M54" si="20">J151</f>
        <v>2622.9627817763808</v>
      </c>
      <c r="K54" s="102">
        <f t="shared" si="20"/>
        <v>2726.9654223771722</v>
      </c>
      <c r="L54" s="102">
        <f t="shared" si="20"/>
        <v>2813.0485558093201</v>
      </c>
      <c r="M54" s="102">
        <f t="shared" si="20"/>
        <v>2879.682841793739</v>
      </c>
      <c r="Y54" s="102">
        <v>3558</v>
      </c>
    </row>
    <row r="55" spans="1:25" ht="14.05" customHeight="1" x14ac:dyDescent="0.55000000000000004">
      <c r="A55" s="93" t="s">
        <v>92</v>
      </c>
      <c r="B55" s="102">
        <f>856-B56</f>
        <v>74</v>
      </c>
      <c r="C55" s="102">
        <v>0</v>
      </c>
      <c r="D55" s="102">
        <v>0</v>
      </c>
      <c r="E55" s="102">
        <v>0</v>
      </c>
      <c r="F55" s="102">
        <v>469</v>
      </c>
      <c r="G55" s="102">
        <v>370</v>
      </c>
      <c r="I55" s="128">
        <f>G55+I92+I95*(1-$O$95)+I96</f>
        <v>565.875</v>
      </c>
      <c r="J55" s="128">
        <f>I55+J92+J95*(1-$O$95)+J96</f>
        <v>1575.875</v>
      </c>
      <c r="K55" s="128">
        <f>J55+K92+K95*(1-$O$95)+K96</f>
        <v>2776.75</v>
      </c>
      <c r="L55" s="128">
        <f>K55+L92+L95*(1-$O$95)+L96</f>
        <v>4593.375</v>
      </c>
      <c r="M55" s="128">
        <f>L55+M92+M95*(1-$O$95)+M96</f>
        <v>5649.25</v>
      </c>
      <c r="N55" s="124"/>
      <c r="Y55" s="128">
        <f>139</f>
        <v>139</v>
      </c>
    </row>
    <row r="56" spans="1:25" ht="14.05" customHeight="1" x14ac:dyDescent="0.55000000000000004">
      <c r="A56" s="93" t="s">
        <v>93</v>
      </c>
      <c r="B56" s="102">
        <f>730+52</f>
        <v>782</v>
      </c>
      <c r="C56" s="102">
        <v>1482</v>
      </c>
      <c r="D56" s="102">
        <v>1712</v>
      </c>
      <c r="E56" s="102">
        <v>1887</v>
      </c>
      <c r="F56" s="102">
        <v>683</v>
      </c>
      <c r="G56" s="102">
        <v>3042</v>
      </c>
      <c r="I56" s="128">
        <f>G56+I91</f>
        <v>3042</v>
      </c>
      <c r="J56" s="128">
        <f>I56+J91</f>
        <v>3042</v>
      </c>
      <c r="K56" s="128">
        <f>J56+K91</f>
        <v>3042</v>
      </c>
      <c r="L56" s="128">
        <f>K56+L91</f>
        <v>3042</v>
      </c>
      <c r="M56" s="128">
        <f>L56+M91</f>
        <v>3042</v>
      </c>
      <c r="P56" s="129" t="s">
        <v>444</v>
      </c>
      <c r="Y56" s="128">
        <f>2823</f>
        <v>2823</v>
      </c>
    </row>
    <row r="57" spans="1:25" ht="14.05" customHeight="1" thickBot="1" x14ac:dyDescent="0.6">
      <c r="A57" s="93" t="s">
        <v>94</v>
      </c>
      <c r="B57" s="102"/>
      <c r="C57" s="109">
        <v>2370</v>
      </c>
      <c r="D57" s="109">
        <v>3657</v>
      </c>
      <c r="E57" s="109">
        <v>6565</v>
      </c>
      <c r="F57" s="109">
        <v>4629</v>
      </c>
      <c r="G57" s="109">
        <v>4369</v>
      </c>
      <c r="I57" s="207">
        <f>G57</f>
        <v>4369</v>
      </c>
      <c r="J57" s="207">
        <f>I57</f>
        <v>4369</v>
      </c>
      <c r="K57" s="207">
        <f>J57</f>
        <v>4369</v>
      </c>
      <c r="L57" s="207">
        <f>K57</f>
        <v>4369</v>
      </c>
      <c r="M57" s="207">
        <f>L57</f>
        <v>4369</v>
      </c>
      <c r="Y57" s="207">
        <f>Y58-Y54-Y55-Y56</f>
        <v>11392</v>
      </c>
    </row>
    <row r="58" spans="1:25" ht="14.05" customHeight="1" x14ac:dyDescent="0.55000000000000004">
      <c r="A58" s="125" t="s">
        <v>323</v>
      </c>
      <c r="B58" s="102"/>
      <c r="C58" s="103">
        <f>SUM(C54:C57)</f>
        <v>5003</v>
      </c>
      <c r="D58" s="103">
        <f t="shared" ref="D58:M58" si="21">SUM(D54:D57)</f>
        <v>7785</v>
      </c>
      <c r="E58" s="103">
        <f t="shared" si="21"/>
        <v>10863</v>
      </c>
      <c r="F58" s="103">
        <f t="shared" si="21"/>
        <v>8047</v>
      </c>
      <c r="G58" s="103">
        <f t="shared" si="21"/>
        <v>9988</v>
      </c>
      <c r="I58" s="103">
        <f t="shared" si="21"/>
        <v>10410.069023639751</v>
      </c>
      <c r="J58" s="103">
        <f t="shared" si="21"/>
        <v>11609.837781776381</v>
      </c>
      <c r="K58" s="103">
        <f t="shared" si="21"/>
        <v>12914.715422377172</v>
      </c>
      <c r="L58" s="103">
        <f t="shared" si="21"/>
        <v>14817.423555809321</v>
      </c>
      <c r="M58" s="103">
        <f t="shared" si="21"/>
        <v>15939.932841793739</v>
      </c>
      <c r="Y58" s="103">
        <v>17912</v>
      </c>
    </row>
    <row r="59" spans="1:25" ht="2.4" customHeight="1" x14ac:dyDescent="0.55000000000000004">
      <c r="A59" s="93"/>
      <c r="B59" s="93"/>
      <c r="C59" s="102"/>
      <c r="D59" s="102"/>
      <c r="E59" s="102"/>
      <c r="F59" s="102"/>
      <c r="G59" s="102"/>
    </row>
    <row r="60" spans="1:25" ht="14.05" customHeight="1" x14ac:dyDescent="0.55000000000000004">
      <c r="A60" s="93" t="s">
        <v>90</v>
      </c>
      <c r="B60" s="102">
        <f>3214+18</f>
        <v>3232</v>
      </c>
      <c r="C60" s="102">
        <v>3888</v>
      </c>
      <c r="D60" s="102">
        <v>21522</v>
      </c>
      <c r="E60" s="102">
        <v>18222</v>
      </c>
      <c r="F60" s="102">
        <v>18438</v>
      </c>
      <c r="G60" s="102">
        <v>20719</v>
      </c>
      <c r="I60" s="128">
        <f>G60+I90+I93+I94+I95*$O$95</f>
        <v>22306.625</v>
      </c>
      <c r="J60" s="128">
        <f>I60+J90+J93+J94+J95*$O$95</f>
        <v>25336.625</v>
      </c>
      <c r="K60" s="128">
        <f>J60+K90+K93+K94+K95*$O$95</f>
        <v>27598.25</v>
      </c>
      <c r="L60" s="128">
        <f>K60+L90+L93+L94+L95*$O$95</f>
        <v>30150.125</v>
      </c>
      <c r="M60" s="128">
        <f>L60+M90+M93+M94+M95*$O$95</f>
        <v>33167.75</v>
      </c>
      <c r="N60" s="124"/>
      <c r="Y60" s="128">
        <f>21591+1284</f>
        <v>22875</v>
      </c>
    </row>
    <row r="61" spans="1:25" ht="14.05" customHeight="1" x14ac:dyDescent="0.55000000000000004">
      <c r="A61" s="93" t="s">
        <v>86</v>
      </c>
      <c r="B61" s="102">
        <v>788</v>
      </c>
      <c r="C61" s="102">
        <v>1265</v>
      </c>
      <c r="D61" s="102">
        <v>2807</v>
      </c>
      <c r="E61" s="102">
        <v>2630</v>
      </c>
      <c r="F61" s="102">
        <v>2626</v>
      </c>
      <c r="G61" s="102">
        <v>3330</v>
      </c>
      <c r="I61" s="206">
        <f>G61</f>
        <v>3330</v>
      </c>
      <c r="J61" s="206">
        <f t="shared" ref="J61:M62" si="22">I61</f>
        <v>3330</v>
      </c>
      <c r="K61" s="206">
        <f t="shared" si="22"/>
        <v>3330</v>
      </c>
      <c r="L61" s="206">
        <f t="shared" si="22"/>
        <v>3330</v>
      </c>
      <c r="M61" s="206">
        <f t="shared" si="22"/>
        <v>3330</v>
      </c>
      <c r="Y61" s="206">
        <f>712+2830</f>
        <v>3542</v>
      </c>
    </row>
    <row r="62" spans="1:25" ht="14.05" customHeight="1" thickBot="1" x14ac:dyDescent="0.6">
      <c r="A62" s="93" t="s">
        <v>89</v>
      </c>
      <c r="B62" s="102">
        <v>1867</v>
      </c>
      <c r="C62" s="127">
        <v>2137</v>
      </c>
      <c r="D62" s="127">
        <v>7143</v>
      </c>
      <c r="E62" s="127">
        <v>10895</v>
      </c>
      <c r="F62" s="127">
        <v>9543</v>
      </c>
      <c r="G62" s="127">
        <v>11846</v>
      </c>
      <c r="I62" s="207">
        <f>G62</f>
        <v>11846</v>
      </c>
      <c r="J62" s="207">
        <f t="shared" si="22"/>
        <v>11846</v>
      </c>
      <c r="K62" s="207">
        <f t="shared" si="22"/>
        <v>11846</v>
      </c>
      <c r="L62" s="207">
        <f t="shared" si="22"/>
        <v>11846</v>
      </c>
      <c r="M62" s="207">
        <f t="shared" si="22"/>
        <v>11846</v>
      </c>
      <c r="Y62" s="207">
        <f>Y63-Y60-Y61</f>
        <v>15911</v>
      </c>
    </row>
    <row r="63" spans="1:25" ht="14.05" customHeight="1" x14ac:dyDescent="0.55000000000000004">
      <c r="A63" s="125" t="s">
        <v>324</v>
      </c>
      <c r="B63" s="93"/>
      <c r="C63" s="103">
        <f>C60+C61+C62</f>
        <v>7290</v>
      </c>
      <c r="D63" s="103">
        <f>D60+D61+D62</f>
        <v>31472</v>
      </c>
      <c r="E63" s="103">
        <f>E60+E61+E62</f>
        <v>31747</v>
      </c>
      <c r="F63" s="103">
        <f>F60+F61+F62</f>
        <v>30607</v>
      </c>
      <c r="G63" s="103">
        <f>G60+G61+G62</f>
        <v>35895</v>
      </c>
      <c r="I63" s="103">
        <f>I60+I61+I62</f>
        <v>37482.625</v>
      </c>
      <c r="J63" s="103">
        <f>J60+J61+J62</f>
        <v>40512.625</v>
      </c>
      <c r="K63" s="103">
        <f>K60+K61+K62</f>
        <v>42774.25</v>
      </c>
      <c r="L63" s="103">
        <f>L60+L61+L62</f>
        <v>45326.125</v>
      </c>
      <c r="M63" s="103">
        <f>M60+M61+M62</f>
        <v>48343.75</v>
      </c>
      <c r="Y63" s="103">
        <f>Y65-Y58</f>
        <v>42328</v>
      </c>
    </row>
    <row r="64" spans="1:25" ht="3" customHeight="1" thickBot="1" x14ac:dyDescent="0.6">
      <c r="A64" s="93"/>
      <c r="B64" s="93"/>
      <c r="C64" s="127"/>
      <c r="D64" s="127"/>
      <c r="E64" s="127"/>
      <c r="F64" s="127"/>
      <c r="G64" s="127"/>
      <c r="I64" s="127"/>
      <c r="J64" s="127"/>
      <c r="K64" s="127"/>
      <c r="L64" s="127"/>
      <c r="M64" s="127"/>
      <c r="Y64" s="127"/>
    </row>
    <row r="65" spans="1:25" ht="14.05" customHeight="1" x14ac:dyDescent="0.55000000000000004">
      <c r="A65" s="125" t="s">
        <v>326</v>
      </c>
      <c r="B65" s="125"/>
      <c r="C65" s="103">
        <f>C58+SUM(C60:C62)</f>
        <v>12293</v>
      </c>
      <c r="D65" s="103">
        <f t="shared" ref="D65:M65" si="23">D58+SUM(D60:D62)</f>
        <v>39257</v>
      </c>
      <c r="E65" s="103">
        <f t="shared" si="23"/>
        <v>42610</v>
      </c>
      <c r="F65" s="103">
        <f t="shared" si="23"/>
        <v>38654</v>
      </c>
      <c r="G65" s="103">
        <f t="shared" si="23"/>
        <v>45883</v>
      </c>
      <c r="I65" s="103">
        <f t="shared" si="23"/>
        <v>47892.69402363975</v>
      </c>
      <c r="J65" s="103">
        <f t="shared" si="23"/>
        <v>52122.462781776383</v>
      </c>
      <c r="K65" s="103">
        <f t="shared" si="23"/>
        <v>55688.965422377172</v>
      </c>
      <c r="L65" s="103">
        <f t="shared" si="23"/>
        <v>60143.548555809321</v>
      </c>
      <c r="M65" s="103">
        <f t="shared" si="23"/>
        <v>64283.682841793736</v>
      </c>
      <c r="Y65" s="103">
        <f>Y70-Y68</f>
        <v>60240</v>
      </c>
    </row>
    <row r="66" spans="1:25" ht="3" customHeight="1" x14ac:dyDescent="0.55000000000000004">
      <c r="A66" s="93"/>
      <c r="B66" s="93"/>
      <c r="C66" s="102"/>
      <c r="D66" s="102"/>
      <c r="E66" s="102"/>
      <c r="F66" s="102"/>
      <c r="G66" s="102"/>
    </row>
    <row r="67" spans="1:25" ht="14.05" customHeight="1" x14ac:dyDescent="0.55000000000000004">
      <c r="A67" s="122" t="s">
        <v>329</v>
      </c>
      <c r="B67" s="93"/>
      <c r="C67" s="102"/>
      <c r="D67" s="102"/>
      <c r="E67" s="102"/>
      <c r="F67" s="102"/>
      <c r="G67" s="102"/>
    </row>
    <row r="68" spans="1:25" ht="14.05" customHeight="1" x14ac:dyDescent="0.55000000000000004">
      <c r="A68" s="125" t="s">
        <v>88</v>
      </c>
      <c r="B68" s="125"/>
      <c r="C68" s="103">
        <v>10317</v>
      </c>
      <c r="D68" s="103">
        <v>18291</v>
      </c>
      <c r="E68" s="103">
        <v>32030</v>
      </c>
      <c r="F68" s="103">
        <v>41578</v>
      </c>
      <c r="G68" s="103">
        <v>54907</v>
      </c>
      <c r="I68" s="126">
        <f>I172</f>
        <v>58542.785693831924</v>
      </c>
      <c r="J68" s="126">
        <f>J172</f>
        <v>62740.044467854357</v>
      </c>
      <c r="K68" s="126">
        <f>K172</f>
        <v>67177.863594005379</v>
      </c>
      <c r="L68" s="126">
        <f>L172</f>
        <v>71789.115214944453</v>
      </c>
      <c r="M68" s="126">
        <f>M172</f>
        <v>76504.341963699611</v>
      </c>
      <c r="Y68" s="126">
        <v>68899</v>
      </c>
    </row>
    <row r="69" spans="1:25" ht="3" customHeight="1" thickBot="1" x14ac:dyDescent="0.6">
      <c r="A69" s="93"/>
      <c r="B69" s="93"/>
      <c r="C69" s="127"/>
      <c r="D69" s="127"/>
      <c r="E69" s="127"/>
      <c r="F69" s="127"/>
      <c r="G69" s="127"/>
      <c r="I69" s="127"/>
      <c r="J69" s="127"/>
      <c r="K69" s="127"/>
      <c r="L69" s="127"/>
      <c r="M69" s="127"/>
      <c r="Y69" s="127"/>
    </row>
    <row r="70" spans="1:25" ht="14.05" customHeight="1" thickBot="1" x14ac:dyDescent="0.6">
      <c r="A70" s="125" t="s">
        <v>327</v>
      </c>
      <c r="B70" s="125"/>
      <c r="C70" s="119">
        <f>C65+C68</f>
        <v>22610</v>
      </c>
      <c r="D70" s="119">
        <f>D65+D68</f>
        <v>57548</v>
      </c>
      <c r="E70" s="119">
        <f>E65+E68</f>
        <v>74640</v>
      </c>
      <c r="F70" s="119">
        <f>F65+F68</f>
        <v>80232</v>
      </c>
      <c r="G70" s="119">
        <f>G65+G68</f>
        <v>100790</v>
      </c>
      <c r="I70" s="119">
        <f>I65+I68</f>
        <v>106435.47971747167</v>
      </c>
      <c r="J70" s="119">
        <f>J65+J68</f>
        <v>114862.50724963074</v>
      </c>
      <c r="K70" s="119">
        <f>K65+K68</f>
        <v>122866.82901638254</v>
      </c>
      <c r="L70" s="119">
        <f>L65+L68</f>
        <v>131932.66377075377</v>
      </c>
      <c r="M70" s="119">
        <f>M65+M68</f>
        <v>140788.02480549336</v>
      </c>
      <c r="Y70" s="119">
        <f>Y51</f>
        <v>129139</v>
      </c>
    </row>
    <row r="71" spans="1:25" ht="14.7" thickTop="1" x14ac:dyDescent="0.55000000000000004">
      <c r="A71" s="130" t="s">
        <v>337</v>
      </c>
      <c r="B71" s="130"/>
      <c r="C71" s="131">
        <f>C51-C70</f>
        <v>0</v>
      </c>
      <c r="D71" s="131">
        <f>D51-D70</f>
        <v>0</v>
      </c>
      <c r="E71" s="131">
        <f>E51-E70</f>
        <v>0</v>
      </c>
      <c r="F71" s="131">
        <f>F51-F70</f>
        <v>0</v>
      </c>
      <c r="G71" s="131">
        <f>G51-G70</f>
        <v>0</v>
      </c>
      <c r="I71" s="131">
        <f>I51-I70</f>
        <v>0</v>
      </c>
      <c r="J71" s="131">
        <f>J51-J70</f>
        <v>0</v>
      </c>
      <c r="K71" s="131">
        <f>K51-K70</f>
        <v>0</v>
      </c>
      <c r="L71" s="131">
        <f>L51-L70</f>
        <v>0</v>
      </c>
      <c r="M71" s="131">
        <f>M51-M70</f>
        <v>0</v>
      </c>
      <c r="Y71" s="131">
        <f>Y51-Y70</f>
        <v>0</v>
      </c>
    </row>
    <row r="72" spans="1:25" s="101" customFormat="1" x14ac:dyDescent="0.55000000000000004">
      <c r="D72" s="102"/>
      <c r="E72" s="102"/>
      <c r="F72" s="102"/>
      <c r="G72" s="102"/>
    </row>
    <row r="73" spans="1:25" s="101" customFormat="1" x14ac:dyDescent="0.55000000000000004">
      <c r="C73" s="95" t="s">
        <v>338</v>
      </c>
      <c r="D73" s="95"/>
      <c r="E73" s="95"/>
      <c r="F73" s="95"/>
      <c r="G73" s="95"/>
      <c r="H73" s="93"/>
      <c r="I73" s="96" t="s">
        <v>339</v>
      </c>
      <c r="J73" s="97"/>
      <c r="K73" s="97"/>
      <c r="L73" s="97"/>
      <c r="M73" s="97"/>
      <c r="Y73" s="210" t="s">
        <v>545</v>
      </c>
    </row>
    <row r="74" spans="1:25" s="101" customFormat="1" ht="15.9" thickBot="1" x14ac:dyDescent="0.65">
      <c r="A74" s="133" t="s">
        <v>375</v>
      </c>
      <c r="C74" s="100">
        <v>2005</v>
      </c>
      <c r="D74" s="100">
        <f>C74+1</f>
        <v>2006</v>
      </c>
      <c r="E74" s="100">
        <f t="shared" ref="E74" si="24">D74+1</f>
        <v>2007</v>
      </c>
      <c r="F74" s="100">
        <f t="shared" ref="F74" si="25">E74+1</f>
        <v>2008</v>
      </c>
      <c r="G74" s="100">
        <f t="shared" ref="G74" si="26">F74+1</f>
        <v>2009</v>
      </c>
      <c r="I74" s="100">
        <v>2010</v>
      </c>
      <c r="J74" s="100">
        <f>I74+1</f>
        <v>2011</v>
      </c>
      <c r="K74" s="100">
        <f t="shared" ref="K74" si="27">J74+1</f>
        <v>2012</v>
      </c>
      <c r="L74" s="100">
        <f t="shared" ref="L74" si="28">K74+1</f>
        <v>2013</v>
      </c>
      <c r="M74" s="100">
        <f t="shared" ref="M74" si="29">L74+1</f>
        <v>2014</v>
      </c>
      <c r="Y74" s="100">
        <v>2010</v>
      </c>
    </row>
    <row r="75" spans="1:25" s="101" customFormat="1" ht="14.05" customHeight="1" thickTop="1" x14ac:dyDescent="0.55000000000000004">
      <c r="A75" s="134" t="s">
        <v>462</v>
      </c>
      <c r="C75" s="121"/>
      <c r="D75" s="121"/>
      <c r="E75" s="121"/>
      <c r="F75" s="121"/>
      <c r="G75" s="121"/>
      <c r="I75" s="121"/>
      <c r="J75" s="121"/>
      <c r="K75" s="121"/>
      <c r="L75" s="121"/>
      <c r="M75" s="121"/>
    </row>
    <row r="76" spans="1:25" s="101" customFormat="1" ht="14.05" customHeight="1" x14ac:dyDescent="0.55000000000000004">
      <c r="A76" s="101" t="s">
        <v>304</v>
      </c>
      <c r="C76" s="102">
        <f>C31</f>
        <v>4479</v>
      </c>
      <c r="D76" s="102">
        <f>D31</f>
        <v>6283</v>
      </c>
      <c r="E76" s="102">
        <f>E31</f>
        <v>11235</v>
      </c>
      <c r="F76" s="102">
        <f>F31</f>
        <v>9190</v>
      </c>
      <c r="G76" s="102">
        <f>G31</f>
        <v>5878</v>
      </c>
      <c r="H76" s="104"/>
      <c r="I76" s="102">
        <f>I31</f>
        <v>6610.5194433307688</v>
      </c>
      <c r="J76" s="102">
        <f t="shared" ref="J76:M76" si="30">J31</f>
        <v>7631.3795891316913</v>
      </c>
      <c r="K76" s="102">
        <f t="shared" si="30"/>
        <v>8068.7620475473204</v>
      </c>
      <c r="L76" s="102">
        <f t="shared" si="30"/>
        <v>8384.0938562528609</v>
      </c>
      <c r="M76" s="102">
        <f t="shared" si="30"/>
        <v>8573.1395431911915</v>
      </c>
      <c r="Y76" s="102">
        <f t="shared" ref="Y76" si="31">Y31</f>
        <v>17264</v>
      </c>
    </row>
    <row r="77" spans="1:25" s="101" customFormat="1" ht="14.05" customHeight="1" x14ac:dyDescent="0.55000000000000004">
      <c r="A77" s="101" t="s">
        <v>244</v>
      </c>
      <c r="C77" s="102">
        <f>C112</f>
        <v>619</v>
      </c>
      <c r="D77" s="102">
        <f>D112</f>
        <v>997</v>
      </c>
      <c r="E77" s="102">
        <f>E112</f>
        <v>2186</v>
      </c>
      <c r="F77" s="102">
        <f>F112</f>
        <v>2807</v>
      </c>
      <c r="G77" s="102">
        <f>G112</f>
        <v>2722</v>
      </c>
      <c r="H77" s="104"/>
      <c r="I77" s="102">
        <f>I112</f>
        <v>2934.1537857983521</v>
      </c>
      <c r="J77" s="102">
        <f t="shared" ref="J77:M77" si="32">J112</f>
        <v>3379.6767359748919</v>
      </c>
      <c r="K77" s="102">
        <f t="shared" si="32"/>
        <v>3858.0835229501768</v>
      </c>
      <c r="L77" s="102">
        <f t="shared" si="32"/>
        <v>4357.9602730482547</v>
      </c>
      <c r="M77" s="102">
        <f t="shared" si="32"/>
        <v>4875.2837018752452</v>
      </c>
      <c r="Y77" s="102">
        <f>3260</f>
        <v>3260</v>
      </c>
    </row>
    <row r="78" spans="1:25" s="101" customFormat="1" ht="14.05" customHeight="1" x14ac:dyDescent="0.55000000000000004">
      <c r="A78" s="135" t="s">
        <v>385</v>
      </c>
      <c r="D78" s="102"/>
      <c r="E78" s="102"/>
      <c r="F78" s="102"/>
      <c r="G78" s="102"/>
      <c r="H78" s="104"/>
    </row>
    <row r="79" spans="1:25" s="101" customFormat="1" ht="14.05" customHeight="1" x14ac:dyDescent="0.55000000000000004">
      <c r="A79" s="101" t="s">
        <v>376</v>
      </c>
      <c r="C79" s="136" t="str">
        <f t="shared" ref="C79:G81" si="33">C156</f>
        <v>NA</v>
      </c>
      <c r="D79" s="102">
        <f t="shared" si="33"/>
        <v>-1869</v>
      </c>
      <c r="E79" s="102">
        <f t="shared" si="33"/>
        <v>-308</v>
      </c>
      <c r="F79" s="102">
        <f t="shared" si="33"/>
        <v>590</v>
      </c>
      <c r="G79" s="102">
        <f t="shared" si="33"/>
        <v>61</v>
      </c>
      <c r="H79" s="104"/>
      <c r="I79" s="102">
        <f t="shared" ref="I79:M81" si="34">I156</f>
        <v>-737.9479452054793</v>
      </c>
      <c r="J79" s="102">
        <f t="shared" si="34"/>
        <v>-411.49479452054766</v>
      </c>
      <c r="K79" s="102">
        <f t="shared" si="34"/>
        <v>-226.3221369863013</v>
      </c>
      <c r="L79" s="102">
        <f t="shared" si="34"/>
        <v>-190.11059506849415</v>
      </c>
      <c r="M79" s="102">
        <f t="shared" si="34"/>
        <v>-148.28626415342478</v>
      </c>
      <c r="Y79" s="102">
        <f>G41-Y41</f>
        <v>-4834</v>
      </c>
    </row>
    <row r="80" spans="1:25" s="101" customFormat="1" ht="14.05" customHeight="1" x14ac:dyDescent="0.55000000000000004">
      <c r="A80" s="101" t="s">
        <v>377</v>
      </c>
      <c r="C80" s="136" t="str">
        <f t="shared" si="33"/>
        <v>NA</v>
      </c>
      <c r="D80" s="102">
        <f t="shared" si="33"/>
        <v>-1592</v>
      </c>
      <c r="E80" s="102">
        <f t="shared" si="33"/>
        <v>-1097</v>
      </c>
      <c r="F80" s="102">
        <f t="shared" si="33"/>
        <v>-107</v>
      </c>
      <c r="G80" s="102">
        <f t="shared" si="33"/>
        <v>792</v>
      </c>
      <c r="H80" s="104"/>
      <c r="I80" s="102">
        <f t="shared" si="34"/>
        <v>-404.78267687801235</v>
      </c>
      <c r="J80" s="102">
        <f t="shared" si="34"/>
        <v>-296.03926269314206</v>
      </c>
      <c r="K80" s="102">
        <f t="shared" si="34"/>
        <v>-162.24411933723468</v>
      </c>
      <c r="L80" s="102">
        <f t="shared" si="34"/>
        <v>-134.2896881541501</v>
      </c>
      <c r="M80" s="102">
        <f t="shared" si="34"/>
        <v>-103.94948613569341</v>
      </c>
      <c r="Y80" s="102">
        <f>G42-Y42</f>
        <v>-907</v>
      </c>
    </row>
    <row r="81" spans="1:28" s="101" customFormat="1" ht="14.05" customHeight="1" x14ac:dyDescent="0.55000000000000004">
      <c r="A81" s="101" t="s">
        <v>378</v>
      </c>
      <c r="C81" s="137" t="str">
        <f t="shared" si="33"/>
        <v>NA</v>
      </c>
      <c r="D81" s="109">
        <f t="shared" si="33"/>
        <v>1265</v>
      </c>
      <c r="E81" s="109">
        <f t="shared" si="33"/>
        <v>-5</v>
      </c>
      <c r="F81" s="109">
        <f t="shared" si="33"/>
        <v>-145</v>
      </c>
      <c r="G81" s="109">
        <f t="shared" si="33"/>
        <v>-59</v>
      </c>
      <c r="H81" s="104"/>
      <c r="I81" s="109">
        <f t="shared" si="34"/>
        <v>226.19402363975132</v>
      </c>
      <c r="J81" s="109">
        <f t="shared" si="34"/>
        <v>189.76875813662946</v>
      </c>
      <c r="K81" s="109">
        <f t="shared" si="34"/>
        <v>104.00264060079144</v>
      </c>
      <c r="L81" s="109">
        <f t="shared" si="34"/>
        <v>86.083133432147861</v>
      </c>
      <c r="M81" s="109">
        <f t="shared" si="34"/>
        <v>66.634285984418966</v>
      </c>
      <c r="Y81" s="109">
        <f>Y54-G54</f>
        <v>1351</v>
      </c>
    </row>
    <row r="82" spans="1:28" s="101" customFormat="1" ht="14.05" customHeight="1" x14ac:dyDescent="0.55000000000000004">
      <c r="A82" s="101" t="s">
        <v>413</v>
      </c>
      <c r="C82" s="102">
        <f>C155</f>
        <v>-652</v>
      </c>
      <c r="D82" s="102">
        <f>D79+D80+D81</f>
        <v>-2196</v>
      </c>
      <c r="E82" s="102">
        <f>E79+E80+E81</f>
        <v>-1410</v>
      </c>
      <c r="F82" s="102">
        <f>F79+F80+F81</f>
        <v>338</v>
      </c>
      <c r="G82" s="102">
        <f>G79+G80+G81</f>
        <v>794</v>
      </c>
      <c r="H82" s="104"/>
      <c r="I82" s="102">
        <f>I79+I80+I81</f>
        <v>-916.53659844374033</v>
      </c>
      <c r="J82" s="102">
        <f>J79+J80+J81</f>
        <v>-517.76529907706026</v>
      </c>
      <c r="K82" s="102">
        <f>K79+K80+K81</f>
        <v>-284.56361572274454</v>
      </c>
      <c r="L82" s="102">
        <f>L79+L80+L81</f>
        <v>-238.31714979049639</v>
      </c>
      <c r="M82" s="102">
        <f>M79+M80+M81</f>
        <v>-185.60146430469922</v>
      </c>
      <c r="Y82" s="102">
        <f>Y79+Y80+Y81</f>
        <v>-4390</v>
      </c>
    </row>
    <row r="83" spans="1:28" s="101" customFormat="1" ht="14.05" customHeight="1" x14ac:dyDescent="0.55000000000000004">
      <c r="A83" s="101" t="s">
        <v>482</v>
      </c>
      <c r="C83" s="123">
        <f>(B43-C43)+(B48-C48)+(C57-B57)+(C62-B62)+(C61-B61)-1700</f>
        <v>450</v>
      </c>
      <c r="D83" s="123">
        <f>(C43-D43)+(C48-D48)+(D57-C57)+(D62-C62)+(D61-C61)+876</f>
        <v>2474</v>
      </c>
      <c r="E83" s="123">
        <f>(D43-E43)+(D48-E48)+(E57-D57)+(E62-D62)+(E61-D61)-1500</f>
        <v>1255</v>
      </c>
      <c r="F83" s="123">
        <f>(E43-F43)+(E48-F48)+(F57-E57)+(F62-E62)+(F61-E61)-954</f>
        <v>-1400</v>
      </c>
      <c r="G83" s="123">
        <f>(F43-G43)+(F48-G48)+(G57-F57)+(G62-F62)+(G61-F61)-2000</f>
        <v>-4680</v>
      </c>
      <c r="H83" s="104"/>
      <c r="I83" s="102">
        <f>(G43-I43)+(G48-I48)+(I57-G57)+(I62-G62)+(I61-G61)</f>
        <v>0</v>
      </c>
      <c r="J83" s="102">
        <f>(I43-J43)+(I48-J48)+(J57-I57)+(J62-I62)+(J61-I61)</f>
        <v>0</v>
      </c>
      <c r="K83" s="102">
        <f>(J43-K43)+(J48-K48)+(K57-J57)+(K62-J62)+(K61-J61)</f>
        <v>0</v>
      </c>
      <c r="L83" s="102">
        <f>(K43-L43)+(K48-L48)+(L57-K57)+(L62-K62)+(L61-K61)</f>
        <v>0</v>
      </c>
      <c r="M83" s="102">
        <f>(L43-M43)+(L48-M48)+(M57-L57)+(M62-L62)+(M61-L61)</f>
        <v>0</v>
      </c>
      <c r="Y83" s="118">
        <f>5250+1879</f>
        <v>7129</v>
      </c>
      <c r="AB83" s="101" t="s">
        <v>547</v>
      </c>
    </row>
    <row r="84" spans="1:28" s="101" customFormat="1" ht="14.05" customHeight="1" x14ac:dyDescent="0.55000000000000004">
      <c r="A84" s="101" t="s">
        <v>245</v>
      </c>
      <c r="C84" s="102">
        <f>C119</f>
        <v>-3977</v>
      </c>
      <c r="D84" s="102">
        <f>D119</f>
        <v>-4890</v>
      </c>
      <c r="E84" s="102">
        <f>E119</f>
        <v>-7625</v>
      </c>
      <c r="F84" s="102">
        <f>F119</f>
        <v>-10191</v>
      </c>
      <c r="G84" s="102">
        <f>G119</f>
        <v>-9013</v>
      </c>
      <c r="H84" s="104"/>
      <c r="I84" s="102">
        <f>I119</f>
        <v>-10815.6</v>
      </c>
      <c r="J84" s="102">
        <f t="shared" ref="J84:M84" si="35">J119</f>
        <v>-11897.160000000002</v>
      </c>
      <c r="K84" s="102">
        <f t="shared" si="35"/>
        <v>-12492.018000000002</v>
      </c>
      <c r="L84" s="102">
        <f t="shared" si="35"/>
        <v>-12991.698720000002</v>
      </c>
      <c r="M84" s="102">
        <f t="shared" si="35"/>
        <v>-13381.449681600003</v>
      </c>
      <c r="Y84" s="102">
        <v>-12647</v>
      </c>
    </row>
    <row r="85" spans="1:28" s="101" customFormat="1" ht="14.05" customHeight="1" x14ac:dyDescent="0.55000000000000004">
      <c r="A85" s="101" t="s">
        <v>414</v>
      </c>
      <c r="C85" s="118">
        <f>-737-103</f>
        <v>-840</v>
      </c>
      <c r="D85" s="118">
        <f>-13201-107</f>
        <v>-13308</v>
      </c>
      <c r="E85" s="118">
        <f>-2926-324</f>
        <v>-3250</v>
      </c>
      <c r="F85" s="118">
        <v>0</v>
      </c>
      <c r="G85" s="118">
        <v>-1952</v>
      </c>
      <c r="H85" s="104"/>
      <c r="I85" s="102">
        <v>0</v>
      </c>
      <c r="J85" s="102">
        <v>0</v>
      </c>
      <c r="K85" s="102">
        <v>0</v>
      </c>
      <c r="L85" s="102">
        <v>0</v>
      </c>
      <c r="M85" s="102">
        <v>0</v>
      </c>
      <c r="Y85" s="102">
        <v>-6252</v>
      </c>
    </row>
    <row r="86" spans="1:28" s="101" customFormat="1" ht="14.05" customHeight="1" thickBot="1" x14ac:dyDescent="0.6">
      <c r="A86" s="101" t="s">
        <v>381</v>
      </c>
      <c r="C86" s="127">
        <f>C23</f>
        <v>414</v>
      </c>
      <c r="D86" s="127">
        <f>D23</f>
        <v>817</v>
      </c>
      <c r="E86" s="127">
        <f>E23</f>
        <v>-155</v>
      </c>
      <c r="F86" s="127">
        <f>F23</f>
        <v>853</v>
      </c>
      <c r="G86" s="127">
        <f>G23</f>
        <v>662</v>
      </c>
      <c r="H86" s="104"/>
      <c r="I86" s="127">
        <f>I23</f>
        <v>1226.8074328328685</v>
      </c>
      <c r="J86" s="127">
        <f t="shared" ref="J86:M86" si="36">J23</f>
        <v>1486.360130360858</v>
      </c>
      <c r="K86" s="127">
        <f t="shared" si="36"/>
        <v>1753.3554954755296</v>
      </c>
      <c r="L86" s="127">
        <f t="shared" si="36"/>
        <v>2039.6024987562696</v>
      </c>
      <c r="M86" s="127">
        <f t="shared" si="36"/>
        <v>2317.666702266979</v>
      </c>
      <c r="Y86" s="127">
        <f t="shared" ref="Y86" si="37">Y23</f>
        <v>1381</v>
      </c>
    </row>
    <row r="87" spans="1:28" s="101" customFormat="1" ht="14.05" customHeight="1" x14ac:dyDescent="0.55000000000000004">
      <c r="A87" s="106" t="s">
        <v>462</v>
      </c>
      <c r="C87" s="103">
        <f t="shared" ref="C87:F87" si="38">C76+C77+C82+C83+C84+C85+C86</f>
        <v>493</v>
      </c>
      <c r="D87" s="103">
        <f t="shared" si="38"/>
        <v>-9823</v>
      </c>
      <c r="E87" s="103">
        <f t="shared" si="38"/>
        <v>2236</v>
      </c>
      <c r="F87" s="103">
        <f t="shared" si="38"/>
        <v>1597</v>
      </c>
      <c r="G87" s="103">
        <f>G76+G77+G82+G83+G84+G85+G86</f>
        <v>-5589</v>
      </c>
      <c r="H87" s="104"/>
      <c r="I87" s="103">
        <f t="shared" ref="I87:M87" si="39">I76+I77+I82+I83+I84+I85+I86</f>
        <v>-960.65593648175036</v>
      </c>
      <c r="J87" s="103">
        <f t="shared" si="39"/>
        <v>82.491156390379274</v>
      </c>
      <c r="K87" s="103">
        <f t="shared" si="39"/>
        <v>903.61945025028081</v>
      </c>
      <c r="L87" s="103">
        <f t="shared" si="39"/>
        <v>1551.6407582668862</v>
      </c>
      <c r="M87" s="103">
        <f t="shared" si="39"/>
        <v>2199.0388014287128</v>
      </c>
      <c r="W87" s="147"/>
      <c r="Y87" s="103">
        <f>19669+Y23-17184+1879</f>
        <v>5745</v>
      </c>
      <c r="Z87" s="147">
        <f>Y76+Y77+Y82+Y83+Y84+Y85+Y86-Y87</f>
        <v>0</v>
      </c>
      <c r="AA87" s="142" t="s">
        <v>546</v>
      </c>
      <c r="AB87" s="101" t="s">
        <v>547</v>
      </c>
    </row>
    <row r="88" spans="1:28" s="101" customFormat="1" ht="5.4" customHeight="1" x14ac:dyDescent="0.55000000000000004">
      <c r="A88" s="106"/>
      <c r="D88" s="102"/>
      <c r="E88" s="102"/>
      <c r="F88" s="102"/>
      <c r="G88" s="102"/>
    </row>
    <row r="89" spans="1:28" s="101" customFormat="1" ht="14.05" customHeight="1" x14ac:dyDescent="0.55000000000000004">
      <c r="A89" s="134" t="s">
        <v>463</v>
      </c>
      <c r="D89" s="102"/>
      <c r="E89" s="102"/>
      <c r="F89" s="102"/>
      <c r="G89" s="102"/>
    </row>
    <row r="90" spans="1:28" s="101" customFormat="1" ht="14.05" customHeight="1" x14ac:dyDescent="0.55000000000000004">
      <c r="A90" s="101" t="s">
        <v>445</v>
      </c>
      <c r="C90" s="102">
        <v>0</v>
      </c>
      <c r="D90" s="102">
        <v>0</v>
      </c>
      <c r="E90" s="102">
        <f>E60-D60</f>
        <v>-3300</v>
      </c>
      <c r="F90" s="102">
        <f>F56-E56</f>
        <v>-1204</v>
      </c>
      <c r="G90" s="102">
        <v>0</v>
      </c>
      <c r="I90" s="102">
        <f t="shared" ref="I90:M91" si="40">I221</f>
        <v>0</v>
      </c>
      <c r="J90" s="102">
        <f t="shared" si="40"/>
        <v>0</v>
      </c>
      <c r="K90" s="102">
        <f t="shared" si="40"/>
        <v>-1341</v>
      </c>
      <c r="L90" s="102">
        <f t="shared" si="40"/>
        <v>-2898</v>
      </c>
      <c r="M90" s="102">
        <f t="shared" si="40"/>
        <v>-150</v>
      </c>
      <c r="Y90" s="102">
        <v>-2629</v>
      </c>
    </row>
    <row r="91" spans="1:28" s="101" customFormat="1" ht="14.05" customHeight="1" x14ac:dyDescent="0.55000000000000004">
      <c r="A91" s="101" t="s">
        <v>495</v>
      </c>
      <c r="C91" s="115">
        <f>C56-B56</f>
        <v>700</v>
      </c>
      <c r="D91" s="102">
        <f>D56-C56</f>
        <v>230</v>
      </c>
      <c r="E91" s="102">
        <f>E56-D56</f>
        <v>175</v>
      </c>
      <c r="F91" s="102">
        <v>0</v>
      </c>
      <c r="G91" s="102">
        <f>G56-F56</f>
        <v>2359</v>
      </c>
      <c r="I91" s="102">
        <f t="shared" si="40"/>
        <v>0</v>
      </c>
      <c r="J91" s="102">
        <f t="shared" si="40"/>
        <v>0</v>
      </c>
      <c r="K91" s="102">
        <f t="shared" si="40"/>
        <v>0</v>
      </c>
      <c r="L91" s="102">
        <f t="shared" si="40"/>
        <v>0</v>
      </c>
      <c r="M91" s="102">
        <f t="shared" si="40"/>
        <v>0</v>
      </c>
      <c r="Y91" s="102">
        <v>660</v>
      </c>
    </row>
    <row r="92" spans="1:28" s="101" customFormat="1" ht="14.05" customHeight="1" thickBot="1" x14ac:dyDescent="0.6">
      <c r="A92" s="101" t="s">
        <v>483</v>
      </c>
      <c r="C92" s="102">
        <f>C55-B55</f>
        <v>-74</v>
      </c>
      <c r="D92" s="102">
        <f>D55-C55</f>
        <v>0</v>
      </c>
      <c r="E92" s="102">
        <f>E55-D55</f>
        <v>0</v>
      </c>
      <c r="F92" s="102">
        <v>0</v>
      </c>
      <c r="G92" s="102">
        <f>G55-F55</f>
        <v>-99</v>
      </c>
      <c r="I92" s="115">
        <v>0</v>
      </c>
      <c r="J92" s="115">
        <v>0</v>
      </c>
      <c r="K92" s="115">
        <v>0</v>
      </c>
      <c r="L92" s="115">
        <v>0</v>
      </c>
      <c r="M92" s="115">
        <v>0</v>
      </c>
      <c r="N92" s="138"/>
      <c r="Y92" s="115">
        <v>-2132</v>
      </c>
    </row>
    <row r="93" spans="1:28" s="101" customFormat="1" ht="14.05" customHeight="1" thickBot="1" x14ac:dyDescent="0.6">
      <c r="A93" s="132" t="s">
        <v>486</v>
      </c>
      <c r="C93" s="102">
        <f>C60-B60</f>
        <v>656</v>
      </c>
      <c r="D93" s="102">
        <f>D60-C60</f>
        <v>17634</v>
      </c>
      <c r="E93" s="102">
        <v>0</v>
      </c>
      <c r="F93" s="102">
        <f>F60-E60</f>
        <v>216</v>
      </c>
      <c r="G93" s="102">
        <f>G60-F60</f>
        <v>2281</v>
      </c>
      <c r="I93" s="157">
        <f t="shared" ref="I93:M94" si="41">I227</f>
        <v>1000</v>
      </c>
      <c r="J93" s="115">
        <f t="shared" si="41"/>
        <v>0</v>
      </c>
      <c r="K93" s="115">
        <f t="shared" si="41"/>
        <v>0</v>
      </c>
      <c r="L93" s="115">
        <f t="shared" si="41"/>
        <v>0</v>
      </c>
      <c r="M93" s="115">
        <f t="shared" si="41"/>
        <v>0</v>
      </c>
      <c r="Y93" s="115">
        <f>4436-1</f>
        <v>4435</v>
      </c>
    </row>
    <row r="94" spans="1:28" s="101" customFormat="1" ht="14.05" customHeight="1" x14ac:dyDescent="0.55000000000000004">
      <c r="A94" s="101" t="s">
        <v>487</v>
      </c>
      <c r="C94" s="123">
        <v>-151</v>
      </c>
      <c r="D94" s="123">
        <v>-5500</v>
      </c>
      <c r="E94" s="123">
        <v>-5149</v>
      </c>
      <c r="F94" s="123">
        <f>-1444+1400</f>
        <v>-44</v>
      </c>
      <c r="G94" s="123">
        <v>-8875</v>
      </c>
      <c r="I94" s="102">
        <f t="shared" si="41"/>
        <v>0</v>
      </c>
      <c r="J94" s="102">
        <f t="shared" si="41"/>
        <v>0</v>
      </c>
      <c r="K94" s="102">
        <f t="shared" si="41"/>
        <v>0</v>
      </c>
      <c r="L94" s="102">
        <f t="shared" si="41"/>
        <v>0</v>
      </c>
      <c r="M94" s="102">
        <f t="shared" si="41"/>
        <v>0</v>
      </c>
      <c r="O94" s="211" t="s">
        <v>449</v>
      </c>
      <c r="Y94" s="102">
        <f t="shared" ref="Y94" si="42">Y228</f>
        <v>0</v>
      </c>
    </row>
    <row r="95" spans="1:28" s="101" customFormat="1" ht="14.05" customHeight="1" thickBot="1" x14ac:dyDescent="0.6">
      <c r="A95" s="132" t="s">
        <v>484</v>
      </c>
      <c r="C95" s="101">
        <v>0</v>
      </c>
      <c r="D95" s="102">
        <v>0</v>
      </c>
      <c r="E95" s="102">
        <v>0</v>
      </c>
      <c r="F95" s="102">
        <f>F55-E55</f>
        <v>469</v>
      </c>
      <c r="G95" s="102">
        <v>0</v>
      </c>
      <c r="I95" s="118">
        <f t="shared" ref="I95:M96" si="43">I234</f>
        <v>783.5</v>
      </c>
      <c r="J95" s="118">
        <f t="shared" si="43"/>
        <v>4040</v>
      </c>
      <c r="K95" s="118">
        <f t="shared" si="43"/>
        <v>4803.5</v>
      </c>
      <c r="L95" s="118">
        <f t="shared" si="43"/>
        <v>7266.5</v>
      </c>
      <c r="M95" s="118">
        <f t="shared" si="43"/>
        <v>4223.5</v>
      </c>
      <c r="O95" s="205">
        <v>0.75</v>
      </c>
      <c r="P95" s="132"/>
      <c r="Y95" s="118">
        <v>2233</v>
      </c>
    </row>
    <row r="96" spans="1:28" s="101" customFormat="1" ht="14.05" hidden="1" customHeight="1" outlineLevel="1" x14ac:dyDescent="0.55000000000000004">
      <c r="A96" s="101" t="s">
        <v>485</v>
      </c>
      <c r="D96" s="102"/>
      <c r="E96" s="102"/>
      <c r="F96" s="102"/>
      <c r="G96" s="102"/>
      <c r="I96" s="102">
        <f t="shared" si="43"/>
        <v>0</v>
      </c>
      <c r="J96" s="102">
        <f t="shared" si="43"/>
        <v>0</v>
      </c>
      <c r="K96" s="102">
        <f t="shared" si="43"/>
        <v>0</v>
      </c>
      <c r="L96" s="102">
        <f t="shared" si="43"/>
        <v>0</v>
      </c>
      <c r="M96" s="102">
        <f t="shared" si="43"/>
        <v>0</v>
      </c>
      <c r="Y96" s="102">
        <f t="shared" ref="Y96" si="44">Y235</f>
        <v>0</v>
      </c>
    </row>
    <row r="97" spans="1:27" s="101" customFormat="1" ht="14.05" customHeight="1" collapsed="1" x14ac:dyDescent="0.55000000000000004">
      <c r="A97" s="101" t="s">
        <v>332</v>
      </c>
      <c r="C97" s="102">
        <f>C167</f>
        <v>-1300</v>
      </c>
      <c r="D97" s="102">
        <f>D167</f>
        <v>-1300</v>
      </c>
      <c r="E97" s="102">
        <f>E167</f>
        <v>-1875</v>
      </c>
      <c r="F97" s="102">
        <f>F167</f>
        <v>-2850</v>
      </c>
      <c r="G97" s="102">
        <f>G167</f>
        <v>-2724</v>
      </c>
      <c r="I97" s="123">
        <f>I167</f>
        <v>-2974.733749498846</v>
      </c>
      <c r="J97" s="123">
        <f>J167</f>
        <v>-3434.120815109261</v>
      </c>
      <c r="K97" s="123">
        <f>K167</f>
        <v>-3630.9429213962944</v>
      </c>
      <c r="L97" s="123">
        <f>L167</f>
        <v>-3772.8422353137876</v>
      </c>
      <c r="M97" s="123">
        <f>M167</f>
        <v>-3857.9127944360362</v>
      </c>
      <c r="N97" s="112"/>
      <c r="P97" s="132" t="s">
        <v>459</v>
      </c>
      <c r="Y97" s="123">
        <f>-3140-1996</f>
        <v>-5136</v>
      </c>
    </row>
    <row r="98" spans="1:27" s="101" customFormat="1" ht="14.05" customHeight="1" x14ac:dyDescent="0.55000000000000004">
      <c r="A98" s="101" t="s">
        <v>380</v>
      </c>
      <c r="C98" s="102">
        <f>C169</f>
        <v>0</v>
      </c>
      <c r="D98" s="102">
        <f>D169</f>
        <v>2991</v>
      </c>
      <c r="E98" s="102">
        <f>E169</f>
        <v>4379</v>
      </c>
      <c r="F98" s="102">
        <f>F169</f>
        <v>12190</v>
      </c>
      <c r="G98" s="102">
        <f>G169</f>
        <v>10175</v>
      </c>
      <c r="I98" s="102">
        <f>I169</f>
        <v>0</v>
      </c>
      <c r="J98" s="102">
        <f t="shared" ref="J98:M98" si="45">J169</f>
        <v>0</v>
      </c>
      <c r="K98" s="102">
        <f t="shared" si="45"/>
        <v>0</v>
      </c>
      <c r="L98" s="102">
        <f t="shared" si="45"/>
        <v>0</v>
      </c>
      <c r="M98" s="102">
        <f t="shared" si="45"/>
        <v>0</v>
      </c>
      <c r="Y98" s="102">
        <v>0</v>
      </c>
    </row>
    <row r="99" spans="1:27" s="101" customFormat="1" ht="14.05" customHeight="1" thickBot="1" x14ac:dyDescent="0.6">
      <c r="A99" s="101" t="s">
        <v>381</v>
      </c>
      <c r="C99" s="127">
        <f>-C86</f>
        <v>-414</v>
      </c>
      <c r="D99" s="127">
        <f>-D86</f>
        <v>-817</v>
      </c>
      <c r="E99" s="127">
        <f>-E86</f>
        <v>155</v>
      </c>
      <c r="F99" s="127">
        <f>-F86</f>
        <v>-853</v>
      </c>
      <c r="G99" s="127">
        <f>-G86</f>
        <v>-662</v>
      </c>
      <c r="I99" s="127">
        <f>-I86</f>
        <v>-1226.8074328328685</v>
      </c>
      <c r="J99" s="127">
        <f>-J86</f>
        <v>-1486.360130360858</v>
      </c>
      <c r="K99" s="127">
        <f>-K86</f>
        <v>-1753.3554954755296</v>
      </c>
      <c r="L99" s="127">
        <f>-L86</f>
        <v>-2039.6024987562696</v>
      </c>
      <c r="M99" s="127">
        <f>-M86</f>
        <v>-2317.666702266979</v>
      </c>
      <c r="Y99" s="127">
        <f>-Y86</f>
        <v>-1381</v>
      </c>
    </row>
    <row r="100" spans="1:27" s="101" customFormat="1" ht="14.05" customHeight="1" x14ac:dyDescent="0.55000000000000004">
      <c r="A100" s="106" t="s">
        <v>463</v>
      </c>
      <c r="C100" s="103">
        <f>SUM(C90:C99)</f>
        <v>-583</v>
      </c>
      <c r="D100" s="103">
        <f>SUM(D90:D99)</f>
        <v>13238</v>
      </c>
      <c r="E100" s="103">
        <f>SUM(E90:E99)</f>
        <v>-5615</v>
      </c>
      <c r="F100" s="103">
        <f>SUM(F90:F99)</f>
        <v>7924</v>
      </c>
      <c r="G100" s="103">
        <f>SUM(G90:G99)</f>
        <v>2455</v>
      </c>
      <c r="I100" s="103">
        <f>SUM(I90:I99)</f>
        <v>-2418.0411823317145</v>
      </c>
      <c r="J100" s="103">
        <f>SUM(J90:J99)</f>
        <v>-880.48094547011897</v>
      </c>
      <c r="K100" s="103">
        <f>SUM(K90:K99)</f>
        <v>-1921.798416871824</v>
      </c>
      <c r="L100" s="103">
        <f>SUM(L90:L99)</f>
        <v>-1443.9447340700572</v>
      </c>
      <c r="M100" s="103">
        <f>SUM(M90:M99)</f>
        <v>-2102.0794967030151</v>
      </c>
      <c r="Y100" s="103">
        <f>-2569-Y23</f>
        <v>-3950</v>
      </c>
      <c r="Z100" s="141">
        <f>SUM(Y90:Y99)-Y100</f>
        <v>0</v>
      </c>
      <c r="AA100" s="142" t="s">
        <v>546</v>
      </c>
    </row>
    <row r="101" spans="1:27" s="101" customFormat="1" ht="3.9" customHeight="1" thickBot="1" x14ac:dyDescent="0.6">
      <c r="A101" s="106"/>
      <c r="C101" s="127"/>
      <c r="D101" s="127"/>
      <c r="E101" s="127"/>
      <c r="F101" s="127"/>
      <c r="G101" s="127"/>
      <c r="I101" s="127"/>
      <c r="J101" s="127"/>
      <c r="K101" s="127"/>
      <c r="L101" s="127"/>
      <c r="M101" s="127"/>
      <c r="Y101" s="127"/>
    </row>
    <row r="102" spans="1:27" s="101" customFormat="1" ht="14.05" customHeight="1" x14ac:dyDescent="0.55000000000000004">
      <c r="A102" s="106" t="s">
        <v>464</v>
      </c>
      <c r="C102" s="103">
        <f>C104-C103</f>
        <v>-90</v>
      </c>
      <c r="D102" s="103">
        <f>D104-D103</f>
        <v>3415</v>
      </c>
      <c r="E102" s="103">
        <f>E104-E103</f>
        <v>-3379</v>
      </c>
      <c r="F102" s="103">
        <f>F104-F103</f>
        <v>9521</v>
      </c>
      <c r="G102" s="103">
        <f>G104-G103</f>
        <v>-3134</v>
      </c>
      <c r="I102" s="103">
        <f>I87+I100</f>
        <v>-3378.6971188134648</v>
      </c>
      <c r="J102" s="103">
        <f>J87+J100</f>
        <v>-797.98978907973969</v>
      </c>
      <c r="K102" s="103">
        <f>K87+K100</f>
        <v>-1018.1789666215432</v>
      </c>
      <c r="L102" s="103">
        <f>L87+L100</f>
        <v>107.69602419682906</v>
      </c>
      <c r="M102" s="103">
        <f>M87+M100</f>
        <v>96.959304725697621</v>
      </c>
      <c r="Y102" s="103">
        <f>Y104-Y103</f>
        <v>1795</v>
      </c>
      <c r="Z102" s="141">
        <f>Y87+Y100-Y102</f>
        <v>0</v>
      </c>
      <c r="AA102" s="142" t="s">
        <v>546</v>
      </c>
    </row>
    <row r="103" spans="1:27" s="101" customFormat="1" ht="14.05" customHeight="1" x14ac:dyDescent="0.55000000000000004">
      <c r="A103" s="101" t="s">
        <v>465</v>
      </c>
      <c r="C103" s="102">
        <f>B104</f>
        <v>1249</v>
      </c>
      <c r="D103" s="102">
        <f>C104</f>
        <v>1159</v>
      </c>
      <c r="E103" s="102">
        <f>D104</f>
        <v>4574</v>
      </c>
      <c r="F103" s="102">
        <f>E104</f>
        <v>1195</v>
      </c>
      <c r="G103" s="102">
        <f>F104</f>
        <v>10716</v>
      </c>
      <c r="I103" s="102">
        <f>G104</f>
        <v>7582</v>
      </c>
      <c r="J103" s="102">
        <f>I104</f>
        <v>4203.3028811865352</v>
      </c>
      <c r="K103" s="102">
        <f>J104</f>
        <v>3405.3130921067955</v>
      </c>
      <c r="L103" s="102">
        <f>K104</f>
        <v>2387.1341254852523</v>
      </c>
      <c r="M103" s="102">
        <f>L104</f>
        <v>2494.8301496820814</v>
      </c>
      <c r="Y103" s="102">
        <f>G104</f>
        <v>7582</v>
      </c>
    </row>
    <row r="104" spans="1:27" s="101" customFormat="1" ht="14.05" customHeight="1" x14ac:dyDescent="0.55000000000000004">
      <c r="A104" s="101" t="s">
        <v>466</v>
      </c>
      <c r="B104" s="102">
        <v>1249</v>
      </c>
      <c r="C104" s="102">
        <f>C40</f>
        <v>1159</v>
      </c>
      <c r="D104" s="102">
        <f>D40</f>
        <v>4574</v>
      </c>
      <c r="E104" s="102">
        <f>E40</f>
        <v>1195</v>
      </c>
      <c r="F104" s="102">
        <f>F40</f>
        <v>10716</v>
      </c>
      <c r="G104" s="102">
        <f>G40</f>
        <v>7582</v>
      </c>
      <c r="I104" s="102">
        <f>I102+I103</f>
        <v>4203.3028811865352</v>
      </c>
      <c r="J104" s="102">
        <f>J102+J103</f>
        <v>3405.3130921067955</v>
      </c>
      <c r="K104" s="102">
        <f>K102+K103</f>
        <v>2387.1341254852523</v>
      </c>
      <c r="L104" s="102">
        <f>L102+L103</f>
        <v>2494.8301496820814</v>
      </c>
      <c r="M104" s="102">
        <f>M102+M103</f>
        <v>2591.789454407779</v>
      </c>
      <c r="Y104" s="102">
        <f>Y40</f>
        <v>9377</v>
      </c>
      <c r="Z104" s="141">
        <f>Y104-Y103-Y102</f>
        <v>0</v>
      </c>
      <c r="AA104" s="142" t="s">
        <v>546</v>
      </c>
    </row>
    <row r="105" spans="1:27" s="101" customFormat="1" x14ac:dyDescent="0.55000000000000004">
      <c r="C105" s="139">
        <f>C87+C100-C102</f>
        <v>0</v>
      </c>
      <c r="D105" s="139">
        <f>D87+D100-D102</f>
        <v>0</v>
      </c>
      <c r="E105" s="139">
        <f>E87+E100-E102</f>
        <v>0</v>
      </c>
      <c r="F105" s="139">
        <f>F87+F100-F102</f>
        <v>0</v>
      </c>
      <c r="G105" s="139">
        <f>G87+G100-G102</f>
        <v>0</v>
      </c>
    </row>
    <row r="106" spans="1:27" s="101" customFormat="1" x14ac:dyDescent="0.55000000000000004"/>
    <row r="107" spans="1:27" s="101" customFormat="1" x14ac:dyDescent="0.55000000000000004">
      <c r="O107" s="98"/>
    </row>
    <row r="108" spans="1:27" s="101" customFormat="1" ht="15.9" thickBot="1" x14ac:dyDescent="0.65">
      <c r="A108" s="133" t="s">
        <v>442</v>
      </c>
      <c r="C108" s="100">
        <v>2005</v>
      </c>
      <c r="D108" s="100">
        <f>C108+1</f>
        <v>2006</v>
      </c>
      <c r="E108" s="100">
        <f t="shared" ref="E108" si="46">D108+1</f>
        <v>2007</v>
      </c>
      <c r="F108" s="100">
        <f t="shared" ref="F108" si="47">E108+1</f>
        <v>2008</v>
      </c>
      <c r="G108" s="100">
        <f t="shared" ref="G108" si="48">F108+1</f>
        <v>2009</v>
      </c>
      <c r="I108" s="100">
        <v>2010</v>
      </c>
      <c r="J108" s="100">
        <f>I108+1</f>
        <v>2011</v>
      </c>
      <c r="K108" s="100">
        <f t="shared" ref="K108" si="49">J108+1</f>
        <v>2012</v>
      </c>
      <c r="L108" s="100">
        <f t="shared" ref="L108" si="50">K108+1</f>
        <v>2013</v>
      </c>
      <c r="M108" s="100">
        <f t="shared" ref="M108" si="51">L108+1</f>
        <v>2014</v>
      </c>
      <c r="O108" s="210" t="s">
        <v>373</v>
      </c>
    </row>
    <row r="109" spans="1:27" s="101" customFormat="1" ht="7.2" customHeight="1" thickTop="1" x14ac:dyDescent="0.55000000000000004">
      <c r="O109" s="98"/>
    </row>
    <row r="110" spans="1:27" s="101" customFormat="1" x14ac:dyDescent="0.55000000000000004">
      <c r="A110" s="106" t="s">
        <v>275</v>
      </c>
      <c r="B110" s="106"/>
      <c r="C110" s="103">
        <f>C111+C112</f>
        <v>6865</v>
      </c>
      <c r="D110" s="103">
        <f>D111+D112</f>
        <v>10395</v>
      </c>
      <c r="E110" s="103">
        <f>E111+E112</f>
        <v>18651</v>
      </c>
      <c r="F110" s="103">
        <f>F111+F112</f>
        <v>14641</v>
      </c>
      <c r="G110" s="103">
        <f>G111+G112</f>
        <v>10282</v>
      </c>
      <c r="I110" s="103">
        <f>I111+I112</f>
        <v>14024.9604</v>
      </c>
      <c r="J110" s="103">
        <f>J111+J112</f>
        <v>16231.300968000001</v>
      </c>
      <c r="K110" s="103">
        <f>K111+K112</f>
        <v>17619.912617760001</v>
      </c>
      <c r="L110" s="103">
        <f>L111+L112</f>
        <v>18869.759619235203</v>
      </c>
      <c r="M110" s="103">
        <f>M111+M112</f>
        <v>19943.155614717507</v>
      </c>
      <c r="O110" s="105">
        <f>((M110/G110)^(1/5)-1)</f>
        <v>0.14167700990556376</v>
      </c>
    </row>
    <row r="111" spans="1:27" s="101" customFormat="1" x14ac:dyDescent="0.55000000000000004">
      <c r="A111" s="101" t="s">
        <v>271</v>
      </c>
      <c r="C111" s="102">
        <f>C17</f>
        <v>6246</v>
      </c>
      <c r="D111" s="102">
        <f>D17</f>
        <v>9398</v>
      </c>
      <c r="E111" s="102">
        <f>E17</f>
        <v>16465</v>
      </c>
      <c r="F111" s="102">
        <f>F17</f>
        <v>11834</v>
      </c>
      <c r="G111" s="102">
        <f>G17</f>
        <v>7560</v>
      </c>
      <c r="I111" s="102">
        <f>I17</f>
        <v>11090.806614201647</v>
      </c>
      <c r="J111" s="102">
        <f>J17</f>
        <v>12851.624232025109</v>
      </c>
      <c r="K111" s="102">
        <f>K17</f>
        <v>13761.829094809824</v>
      </c>
      <c r="L111" s="102">
        <f>L17</f>
        <v>14511.799346186948</v>
      </c>
      <c r="M111" s="102">
        <f>M17</f>
        <v>15067.871912842262</v>
      </c>
      <c r="O111" s="105">
        <f>((M111/G111)^(1/5)-1)</f>
        <v>0.14790520425702236</v>
      </c>
    </row>
    <row r="112" spans="1:27" s="101" customFormat="1" x14ac:dyDescent="0.55000000000000004">
      <c r="A112" s="101" t="s">
        <v>276</v>
      </c>
      <c r="C112" s="102">
        <f>'Exhibit 6 (PP&amp;E)'!D34</f>
        <v>619</v>
      </c>
      <c r="D112" s="102">
        <f>'Exhibit 6 (PP&amp;E)'!E34</f>
        <v>997</v>
      </c>
      <c r="E112" s="102">
        <f>'Exhibit 6 (PP&amp;E)'!F34</f>
        <v>2186</v>
      </c>
      <c r="F112" s="102">
        <f>'Exhibit 6 (PP&amp;E)'!G34</f>
        <v>2807</v>
      </c>
      <c r="G112" s="102">
        <f>'Exhibit 6 (PP&amp;E)'!H34</f>
        <v>2722</v>
      </c>
      <c r="I112" s="102">
        <f>'Exhibit 6 (PP&amp;E)'!D50</f>
        <v>2934.1537857983521</v>
      </c>
      <c r="J112" s="102">
        <f>'Exhibit 6 (PP&amp;E)'!E50</f>
        <v>3379.6767359748919</v>
      </c>
      <c r="K112" s="102">
        <f>'Exhibit 6 (PP&amp;E)'!F50</f>
        <v>3858.0835229501768</v>
      </c>
      <c r="L112" s="102">
        <f>'Exhibit 6 (PP&amp;E)'!G50</f>
        <v>4357.9602730482547</v>
      </c>
      <c r="M112" s="102">
        <f>'Exhibit 6 (PP&amp;E)'!H50</f>
        <v>4875.2837018752452</v>
      </c>
      <c r="O112" s="105">
        <f>((M112/G112)^(1/5)-1)</f>
        <v>0.12362748641107069</v>
      </c>
    </row>
    <row r="113" spans="1:25" s="101" customFormat="1" x14ac:dyDescent="0.55000000000000004">
      <c r="C113" s="131">
        <f>C112-C124-C130-C136</f>
        <v>0</v>
      </c>
      <c r="D113" s="131">
        <f>D112-D124-D130-D136</f>
        <v>-5.6843418860808015E-14</v>
      </c>
      <c r="E113" s="131">
        <f>E112-E124-E130-E136</f>
        <v>0</v>
      </c>
      <c r="F113" s="131">
        <f>F112-F124-F130-F136</f>
        <v>2.2737367544323206E-13</v>
      </c>
      <c r="G113" s="131">
        <f>G112-G124-G130-G136</f>
        <v>2.2737367544323206E-13</v>
      </c>
      <c r="H113" s="140"/>
      <c r="I113" s="131">
        <f>I112-I124-I130-I136</f>
        <v>4.2632564145606011E-13</v>
      </c>
      <c r="J113" s="131">
        <f>J112-J124-J130-J136</f>
        <v>6.0040861171728466E-13</v>
      </c>
      <c r="K113" s="131">
        <f>K112-K124-K130-K136</f>
        <v>9.2015284280932974E-13</v>
      </c>
      <c r="L113" s="131">
        <f>L112-L124-L130-L136</f>
        <v>1.2008172234345693E-12</v>
      </c>
      <c r="M113" s="131">
        <f>M112-M124-M130-M136</f>
        <v>8.8817841970012523E-13</v>
      </c>
    </row>
    <row r="114" spans="1:25" s="101" customFormat="1" ht="10.199999999999999" customHeight="1" x14ac:dyDescent="0.55000000000000004">
      <c r="C114" s="141"/>
      <c r="D114" s="141"/>
      <c r="E114" s="141"/>
      <c r="F114" s="141"/>
      <c r="G114" s="141"/>
      <c r="H114" s="142"/>
      <c r="I114" s="141"/>
      <c r="J114" s="141"/>
      <c r="K114" s="141"/>
      <c r="L114" s="141"/>
      <c r="M114" s="141"/>
    </row>
    <row r="115" spans="1:25" s="101" customFormat="1" x14ac:dyDescent="0.55000000000000004">
      <c r="A115" s="106" t="s">
        <v>415</v>
      </c>
      <c r="B115" s="106"/>
      <c r="C115" s="103">
        <f>C116+C117+C118+C119+C120</f>
        <v>1168.5324128641187</v>
      </c>
      <c r="D115" s="103">
        <f>D116+D117+D118+D119+D120</f>
        <v>1532.9382377488982</v>
      </c>
      <c r="E115" s="103">
        <f>E116+E117+E118+E119+E120</f>
        <v>5543.5045067445753</v>
      </c>
      <c r="F115" s="103">
        <f>F116+F117+F118+F119+F120</f>
        <v>4436.5556705298004</v>
      </c>
      <c r="G115" s="103">
        <f>G116+G117+G118+G119+G120</f>
        <v>-363.34844868735127</v>
      </c>
      <c r="I115" s="103">
        <f>I116+I117+I118+I119+I120</f>
        <v>-1256.2343149882699</v>
      </c>
      <c r="J115" s="103">
        <f>J116+J117+J118+J119+J120</f>
        <v>-296.14408532509606</v>
      </c>
      <c r="K115" s="103">
        <f>K116+K117+K118+K119+K120</f>
        <v>439.54569169810929</v>
      </c>
      <c r="L115" s="103">
        <f>L116+L117+L118+L119+L120</f>
        <v>995.96795866488355</v>
      </c>
      <c r="M115" s="103">
        <f>M116+M117+M118+M119+M120</f>
        <v>1554.3854567032795</v>
      </c>
      <c r="O115" s="105">
        <f>((M115/G115)^(1/5)-1)</f>
        <v>-2.3373561610238198</v>
      </c>
    </row>
    <row r="116" spans="1:25" s="101" customFormat="1" x14ac:dyDescent="0.55000000000000004">
      <c r="A116" s="101" t="s">
        <v>271</v>
      </c>
      <c r="C116" s="102">
        <f>C17</f>
        <v>6246</v>
      </c>
      <c r="D116" s="102">
        <f>D17</f>
        <v>9398</v>
      </c>
      <c r="E116" s="102">
        <f>E17</f>
        <v>16465</v>
      </c>
      <c r="F116" s="102">
        <f>F17</f>
        <v>11834</v>
      </c>
      <c r="G116" s="102">
        <f>G17</f>
        <v>7560</v>
      </c>
      <c r="I116" s="102">
        <f>I17</f>
        <v>11090.806614201647</v>
      </c>
      <c r="J116" s="102">
        <f>J17</f>
        <v>12851.624232025109</v>
      </c>
      <c r="K116" s="102">
        <f>K17</f>
        <v>13761.829094809824</v>
      </c>
      <c r="L116" s="102">
        <f>L17</f>
        <v>14511.799346186948</v>
      </c>
      <c r="M116" s="102">
        <f>M17</f>
        <v>15067.871912842262</v>
      </c>
      <c r="O116" s="105">
        <f>((M116/G116)^(1/5)-1)</f>
        <v>0.14790520425702236</v>
      </c>
    </row>
    <row r="117" spans="1:25" s="101" customFormat="1" x14ac:dyDescent="0.55000000000000004">
      <c r="A117" s="101" t="s">
        <v>285</v>
      </c>
      <c r="C117" s="102">
        <f>-C189*C116</f>
        <v>-1067.4675871358816</v>
      </c>
      <c r="D117" s="102">
        <f>-D189*D116</f>
        <v>-1776.0617622511029</v>
      </c>
      <c r="E117" s="102">
        <f>-E189*E116</f>
        <v>-4072.4954932554238</v>
      </c>
      <c r="F117" s="102">
        <f>-F189*F116</f>
        <v>-351.44432947019868</v>
      </c>
      <c r="G117" s="102">
        <f>-G189*G116</f>
        <v>-2426.3484486873508</v>
      </c>
      <c r="I117" s="102">
        <f>-I189*I116</f>
        <v>-3549.0581165445269</v>
      </c>
      <c r="J117" s="102">
        <f>-J189*J116</f>
        <v>-4112.5197542480355</v>
      </c>
      <c r="K117" s="102">
        <f>-K189*K116</f>
        <v>-4403.7853103391435</v>
      </c>
      <c r="L117" s="102">
        <f>-L189*L116</f>
        <v>-4643.7757907798232</v>
      </c>
      <c r="M117" s="102">
        <f>-M189*M116</f>
        <v>-4821.7190121095236</v>
      </c>
      <c r="O117" s="105">
        <f>((M117/G117)^(1/5)-1)</f>
        <v>0.14722801967484278</v>
      </c>
    </row>
    <row r="118" spans="1:25" s="101" customFormat="1" x14ac:dyDescent="0.55000000000000004">
      <c r="A118" s="101" t="s">
        <v>244</v>
      </c>
      <c r="C118" s="102">
        <f>'Exhibit 6 (PP&amp;E)'!D34</f>
        <v>619</v>
      </c>
      <c r="D118" s="102">
        <f>'Exhibit 6 (PP&amp;E)'!E34</f>
        <v>997</v>
      </c>
      <c r="E118" s="102">
        <f>'Exhibit 6 (PP&amp;E)'!F34</f>
        <v>2186</v>
      </c>
      <c r="F118" s="102">
        <f>'Exhibit 6 (PP&amp;E)'!G34</f>
        <v>2807</v>
      </c>
      <c r="G118" s="102">
        <f>'Exhibit 6 (PP&amp;E)'!H34</f>
        <v>2722</v>
      </c>
      <c r="I118" s="102">
        <f>'Exhibit 6 (PP&amp;E)'!D50</f>
        <v>2934.1537857983521</v>
      </c>
      <c r="J118" s="102">
        <f>'Exhibit 6 (PP&amp;E)'!E50</f>
        <v>3379.6767359748919</v>
      </c>
      <c r="K118" s="102">
        <f>'Exhibit 6 (PP&amp;E)'!F50</f>
        <v>3858.0835229501768</v>
      </c>
      <c r="L118" s="102">
        <f>'Exhibit 6 (PP&amp;E)'!G50</f>
        <v>4357.9602730482547</v>
      </c>
      <c r="M118" s="102">
        <f>'Exhibit 6 (PP&amp;E)'!H50</f>
        <v>4875.2837018752452</v>
      </c>
      <c r="O118" s="105">
        <f>((M118/G118)^(1/5)-1)</f>
        <v>0.12362748641107069</v>
      </c>
    </row>
    <row r="119" spans="1:25" s="101" customFormat="1" x14ac:dyDescent="0.55000000000000004">
      <c r="A119" s="101" t="s">
        <v>245</v>
      </c>
      <c r="C119" s="102">
        <f>-'Exhibit 6 (PP&amp;E)'!D33</f>
        <v>-3977</v>
      </c>
      <c r="D119" s="102">
        <f>-'Exhibit 6 (PP&amp;E)'!E33</f>
        <v>-4890</v>
      </c>
      <c r="E119" s="102">
        <f>-'Exhibit 6 (PP&amp;E)'!F33</f>
        <v>-7625</v>
      </c>
      <c r="F119" s="102">
        <f>-'Exhibit 6 (PP&amp;E)'!G33</f>
        <v>-10191</v>
      </c>
      <c r="G119" s="102">
        <f>-'Exhibit 6 (PP&amp;E)'!H33</f>
        <v>-9013</v>
      </c>
      <c r="I119" s="102">
        <f>-'Exhibit 6 (PP&amp;E)'!J43</f>
        <v>-10815.6</v>
      </c>
      <c r="J119" s="102">
        <f>-'Exhibit 6 (PP&amp;E)'!J44</f>
        <v>-11897.160000000002</v>
      </c>
      <c r="K119" s="102">
        <f>-'Exhibit 6 (PP&amp;E)'!J45</f>
        <v>-12492.018000000002</v>
      </c>
      <c r="L119" s="102">
        <f>-'Exhibit 6 (PP&amp;E)'!J46</f>
        <v>-12991.698720000002</v>
      </c>
      <c r="M119" s="102">
        <f>-'Exhibit 6 (PP&amp;E)'!J47</f>
        <v>-13381.449681600003</v>
      </c>
      <c r="O119" s="105">
        <f>((M119/G119)^(1/5)-1)</f>
        <v>8.2247917636720569E-2</v>
      </c>
    </row>
    <row r="120" spans="1:25" s="101" customFormat="1" x14ac:dyDescent="0.55000000000000004">
      <c r="A120" s="101" t="s">
        <v>287</v>
      </c>
      <c r="C120" s="102">
        <f>C155</f>
        <v>-652</v>
      </c>
      <c r="D120" s="102">
        <f>D155</f>
        <v>-2196</v>
      </c>
      <c r="E120" s="102">
        <f>E155</f>
        <v>-1410</v>
      </c>
      <c r="F120" s="102">
        <f>F155</f>
        <v>338</v>
      </c>
      <c r="G120" s="102">
        <f>G155</f>
        <v>794</v>
      </c>
      <c r="I120" s="102">
        <f>I155</f>
        <v>-916.53659844374033</v>
      </c>
      <c r="J120" s="102">
        <f>J155</f>
        <v>-517.76529907705935</v>
      </c>
      <c r="K120" s="102">
        <f>K155</f>
        <v>-284.56361572274545</v>
      </c>
      <c r="L120" s="102">
        <f>L155</f>
        <v>-238.31714979049502</v>
      </c>
      <c r="M120" s="102">
        <f>M155</f>
        <v>-185.60146430470013</v>
      </c>
    </row>
    <row r="121" spans="1:25" s="101" customFormat="1" x14ac:dyDescent="0.55000000000000004">
      <c r="C121" s="102"/>
      <c r="D121" s="102"/>
      <c r="E121" s="102"/>
      <c r="F121" s="102"/>
      <c r="G121" s="102"/>
    </row>
    <row r="122" spans="1:25" s="101" customFormat="1" x14ac:dyDescent="0.55000000000000004">
      <c r="A122" s="106" t="s">
        <v>344</v>
      </c>
      <c r="C122" s="103">
        <v>6996</v>
      </c>
      <c r="D122" s="103">
        <v>9710</v>
      </c>
      <c r="E122" s="103">
        <v>16896</v>
      </c>
      <c r="F122" s="103">
        <v>13887</v>
      </c>
      <c r="G122" s="103">
        <v>15898</v>
      </c>
      <c r="I122" s="103">
        <f>I123+I124+I125</f>
        <v>17762.316372570185</v>
      </c>
      <c r="J122" s="103">
        <f t="shared" ref="J122" si="52">J123+J124+J125</f>
        <v>19147.628306967581</v>
      </c>
      <c r="K122" s="103">
        <f t="shared" ref="K122" si="53">K123+K124+K125</f>
        <v>19906.847583353359</v>
      </c>
      <c r="L122" s="103">
        <f t="shared" ref="L122" si="54">L123+L124+L125</f>
        <v>20535.254457408038</v>
      </c>
      <c r="M122" s="103">
        <f t="shared" ref="M122" si="55">M123+M124+M125</f>
        <v>21021.684745094295</v>
      </c>
      <c r="N122" s="103"/>
      <c r="O122" s="105">
        <f>((M122/G122)^(1/5)-1)</f>
        <v>5.7462572991734184E-2</v>
      </c>
      <c r="T122" s="135">
        <v>2008</v>
      </c>
      <c r="U122" s="135">
        <v>2009</v>
      </c>
      <c r="V122" s="135">
        <v>2010</v>
      </c>
      <c r="W122" s="135">
        <v>2008</v>
      </c>
      <c r="X122" s="135">
        <v>2009</v>
      </c>
      <c r="Y122" s="135">
        <v>2010</v>
      </c>
    </row>
    <row r="123" spans="1:25" s="101" customFormat="1" x14ac:dyDescent="0.55000000000000004">
      <c r="A123" s="101" t="s">
        <v>341</v>
      </c>
      <c r="C123" s="102">
        <f>C122*0.08</f>
        <v>559.68000000000006</v>
      </c>
      <c r="D123" s="102">
        <f>D122*0.06</f>
        <v>582.6</v>
      </c>
      <c r="E123" s="102">
        <f>E122*0.08</f>
        <v>1351.68</v>
      </c>
      <c r="F123" s="102">
        <f>F122*0.11</f>
        <v>1527.57</v>
      </c>
      <c r="G123" s="102">
        <f>G122*0.11</f>
        <v>1748.78</v>
      </c>
      <c r="H123" s="105"/>
      <c r="I123" s="102">
        <f>G123*(1+$O123)</f>
        <v>1783.7556</v>
      </c>
      <c r="J123" s="102">
        <f>I123*(1+$O123)</f>
        <v>1819.4307120000001</v>
      </c>
      <c r="K123" s="102">
        <f>J123*(1+$O123)</f>
        <v>1855.81932624</v>
      </c>
      <c r="L123" s="102">
        <f>K123*(1+$O123)</f>
        <v>1892.9357127648</v>
      </c>
      <c r="M123" s="102">
        <f>L123*(1+$O123)</f>
        <v>1930.794427020096</v>
      </c>
      <c r="N123" s="105"/>
      <c r="O123" s="143">
        <v>0.02</v>
      </c>
      <c r="R123" s="101" t="s">
        <v>276</v>
      </c>
      <c r="T123" s="102">
        <v>2664</v>
      </c>
      <c r="U123" s="102">
        <v>2332</v>
      </c>
      <c r="V123" s="102">
        <v>2803</v>
      </c>
      <c r="W123" s="105">
        <f>T123/T126</f>
        <v>0.15256858140999943</v>
      </c>
      <c r="X123" s="105">
        <f>U123/U126</f>
        <v>0.17120622568093385</v>
      </c>
      <c r="Y123" s="105">
        <f>V123/V126</f>
        <v>0.14898479855426811</v>
      </c>
    </row>
    <row r="124" spans="1:25" s="101" customFormat="1" x14ac:dyDescent="0.55000000000000004">
      <c r="A124" s="132" t="s">
        <v>343</v>
      </c>
      <c r="C124" s="118">
        <f t="shared" ref="C124:F124" si="56">C112-C130-C136</f>
        <v>361.4</v>
      </c>
      <c r="D124" s="118">
        <f t="shared" si="56"/>
        <v>688.2</v>
      </c>
      <c r="E124" s="118">
        <f t="shared" si="56"/>
        <v>1751.6</v>
      </c>
      <c r="F124" s="118">
        <f t="shared" si="56"/>
        <v>2219.1999999999998</v>
      </c>
      <c r="G124" s="118">
        <f>G112-G130-G136</f>
        <v>2128.1999999999998</v>
      </c>
      <c r="H124" s="105"/>
      <c r="I124" s="118">
        <f>G124/G112*I112</f>
        <v>2294.0727725701881</v>
      </c>
      <c r="J124" s="118">
        <f>I124/I112*J112</f>
        <v>2642.405594967584</v>
      </c>
      <c r="K124" s="118">
        <f t="shared" ref="K124:M124" si="57">J124/J112*K112</f>
        <v>3016.4486971133592</v>
      </c>
      <c r="L124" s="118">
        <f t="shared" si="57"/>
        <v>3407.2781238432376</v>
      </c>
      <c r="M124" s="118">
        <f t="shared" si="57"/>
        <v>3811.7482638981978</v>
      </c>
      <c r="N124" s="105"/>
      <c r="O124" s="105">
        <f>((M124/G124)^(1/5)-1)</f>
        <v>0.12362748641107069</v>
      </c>
      <c r="R124" s="101" t="s">
        <v>368</v>
      </c>
      <c r="T124" s="102">
        <v>2139</v>
      </c>
      <c r="U124" s="102">
        <v>1939</v>
      </c>
      <c r="V124" s="102">
        <v>2081</v>
      </c>
      <c r="W124" s="105">
        <f>T124/T126</f>
        <v>0.12250157493843422</v>
      </c>
      <c r="X124" s="105">
        <f>U124/U126</f>
        <v>0.1423537185228691</v>
      </c>
      <c r="Y124" s="105">
        <f>V124/V126</f>
        <v>0.11060912086743914</v>
      </c>
    </row>
    <row r="125" spans="1:25" s="101" customFormat="1" x14ac:dyDescent="0.55000000000000004">
      <c r="A125" s="101" t="s">
        <v>342</v>
      </c>
      <c r="C125" s="102">
        <f>C122-C123-C124</f>
        <v>6074.92</v>
      </c>
      <c r="D125" s="102">
        <f>D122-D123-D124</f>
        <v>8439.1999999999989</v>
      </c>
      <c r="E125" s="102">
        <f>E122-E123-E124</f>
        <v>13792.72</v>
      </c>
      <c r="F125" s="102">
        <f>F122-F123-F124</f>
        <v>10140.23</v>
      </c>
      <c r="G125" s="102">
        <f>G122-G123-G124</f>
        <v>12021.02</v>
      </c>
      <c r="H125" s="105"/>
      <c r="I125" s="102">
        <f>I$7*I126</f>
        <v>13684.487999999998</v>
      </c>
      <c r="J125" s="102">
        <f t="shared" ref="J125:M125" si="58">J$7*J126</f>
        <v>14685.791999999998</v>
      </c>
      <c r="K125" s="102">
        <f t="shared" si="58"/>
        <v>15034.579559999998</v>
      </c>
      <c r="L125" s="102">
        <f t="shared" si="58"/>
        <v>15235.040620799999</v>
      </c>
      <c r="M125" s="102">
        <f t="shared" si="58"/>
        <v>15279.142054176</v>
      </c>
      <c r="N125" s="105"/>
      <c r="O125" s="105">
        <f>((M125/G125)^(1/5)-1)</f>
        <v>4.9135372266498667E-2</v>
      </c>
      <c r="R125" s="101" t="s">
        <v>370</v>
      </c>
      <c r="T125" s="109">
        <f>T126-T123-T124</f>
        <v>12658</v>
      </c>
      <c r="U125" s="109">
        <f>U126-U123-U124</f>
        <v>9350</v>
      </c>
      <c r="V125" s="109">
        <f>V126-V123-V124</f>
        <v>13930</v>
      </c>
      <c r="W125" s="144">
        <f>T125/T126</f>
        <v>0.72492984365156632</v>
      </c>
      <c r="X125" s="144">
        <f>U125/U126</f>
        <v>0.68644005579619705</v>
      </c>
      <c r="Y125" s="144">
        <f>V125/V126</f>
        <v>0.74040608057829271</v>
      </c>
    </row>
    <row r="126" spans="1:25" s="101" customFormat="1" x14ac:dyDescent="0.55000000000000004">
      <c r="A126" s="101" t="s">
        <v>345</v>
      </c>
      <c r="C126" s="145">
        <f>C125/C$7</f>
        <v>0.41663260407379465</v>
      </c>
      <c r="D126" s="145">
        <f>D125/D$7</f>
        <v>0.39830092505191611</v>
      </c>
      <c r="E126" s="145">
        <f>E125/E$7</f>
        <v>0.37920215544497288</v>
      </c>
      <c r="F126" s="145">
        <f>F125/F$7</f>
        <v>0.3328594406512605</v>
      </c>
      <c r="G126" s="145">
        <f>G125/G$7</f>
        <v>0.43219314014525062</v>
      </c>
      <c r="I126" s="146">
        <v>0.41</v>
      </c>
      <c r="J126" s="146">
        <f>I126-0.01</f>
        <v>0.39999999999999997</v>
      </c>
      <c r="K126" s="146">
        <f>J126-0.01</f>
        <v>0.38999999999999996</v>
      </c>
      <c r="L126" s="146">
        <f>K126-0.01</f>
        <v>0.37999999999999995</v>
      </c>
      <c r="M126" s="146">
        <f>L126-0.01</f>
        <v>0.36999999999999994</v>
      </c>
      <c r="N126" s="146"/>
      <c r="R126" s="101" t="s">
        <v>369</v>
      </c>
      <c r="T126" s="102">
        <v>17461</v>
      </c>
      <c r="U126" s="102">
        <v>13621</v>
      </c>
      <c r="V126" s="102">
        <v>18814</v>
      </c>
      <c r="W126" s="105">
        <f>W123+W124+W125</f>
        <v>1</v>
      </c>
      <c r="X126" s="105">
        <f>X123+X124+X125</f>
        <v>1</v>
      </c>
      <c r="Y126" s="105">
        <f>Y123+Y124+Y125</f>
        <v>1</v>
      </c>
    </row>
    <row r="127" spans="1:25" s="101" customFormat="1" x14ac:dyDescent="0.55000000000000004">
      <c r="C127" s="147">
        <f>C122-C123-C124-C125</f>
        <v>0</v>
      </c>
      <c r="D127" s="147">
        <f>D122-D123-D124-D125</f>
        <v>0</v>
      </c>
      <c r="E127" s="147">
        <f>E122-E123-E124-E125</f>
        <v>0</v>
      </c>
      <c r="F127" s="147">
        <f>F122-F123-F124-F125</f>
        <v>0</v>
      </c>
      <c r="G127" s="147">
        <f>G122-G123-G124-G125</f>
        <v>0</v>
      </c>
      <c r="I127" s="147">
        <f>I122-I123-I124-I125</f>
        <v>0</v>
      </c>
      <c r="J127" s="147">
        <f t="shared" ref="J127:M127" si="59">J122-J123-J124-J125</f>
        <v>0</v>
      </c>
      <c r="K127" s="147">
        <f t="shared" si="59"/>
        <v>0</v>
      </c>
      <c r="L127" s="147">
        <f t="shared" si="59"/>
        <v>0</v>
      </c>
      <c r="M127" s="147">
        <f t="shared" si="59"/>
        <v>0</v>
      </c>
      <c r="R127" s="101" t="s">
        <v>9</v>
      </c>
      <c r="T127" s="102">
        <v>37426</v>
      </c>
      <c r="U127" s="102">
        <v>23311</v>
      </c>
      <c r="V127" s="102">
        <v>45293</v>
      </c>
    </row>
    <row r="128" spans="1:25" s="101" customFormat="1" x14ac:dyDescent="0.55000000000000004">
      <c r="A128" s="106" t="s">
        <v>340</v>
      </c>
      <c r="C128" s="103">
        <v>694</v>
      </c>
      <c r="D128" s="103">
        <v>913</v>
      </c>
      <c r="E128" s="103">
        <v>1431</v>
      </c>
      <c r="F128" s="103">
        <v>1562</v>
      </c>
      <c r="G128" s="103">
        <v>1359</v>
      </c>
      <c r="I128" s="103">
        <f>I129+I130+I131</f>
        <v>1479.2342051032674</v>
      </c>
      <c r="J128" s="103">
        <f t="shared" ref="J128:M128" si="60">J129+J130+J131</f>
        <v>1630.4172358201295</v>
      </c>
      <c r="K128" s="103">
        <f t="shared" si="60"/>
        <v>1766.1468923279981</v>
      </c>
      <c r="L128" s="103">
        <f t="shared" si="60"/>
        <v>1902.1436028723174</v>
      </c>
      <c r="M128" s="103">
        <f t="shared" si="60"/>
        <v>2036.8793043171092</v>
      </c>
      <c r="N128" s="103"/>
      <c r="O128" s="105">
        <f>((M128/G128)^(1/5)-1)</f>
        <v>8.4299275938303664E-2</v>
      </c>
      <c r="R128" s="101" t="s">
        <v>371</v>
      </c>
      <c r="T128" s="105">
        <f>T125/T127</f>
        <v>0.33821407577619839</v>
      </c>
      <c r="U128" s="105">
        <f>U125/U127</f>
        <v>0.40109819398567198</v>
      </c>
      <c r="V128" s="105">
        <f>V125/V127</f>
        <v>0.30755304351665819</v>
      </c>
    </row>
    <row r="129" spans="1:22" s="101" customFormat="1" x14ac:dyDescent="0.55000000000000004">
      <c r="A129" s="101" t="s">
        <v>341</v>
      </c>
      <c r="C129" s="102">
        <f>C128/3</f>
        <v>231.33333333333334</v>
      </c>
      <c r="D129" s="102">
        <f>D128/3</f>
        <v>304.33333333333331</v>
      </c>
      <c r="E129" s="102">
        <f>E128/3</f>
        <v>477</v>
      </c>
      <c r="F129" s="102">
        <f>F128/3</f>
        <v>520.66666666666663</v>
      </c>
      <c r="G129" s="102">
        <f>G128/3-100</f>
        <v>353</v>
      </c>
      <c r="I129" s="102">
        <f>G129*(1+$O129)</f>
        <v>360.06</v>
      </c>
      <c r="J129" s="102">
        <f>I129*(1+$O129)</f>
        <v>367.26120000000003</v>
      </c>
      <c r="K129" s="102">
        <f>J129*(1+$O129)</f>
        <v>374.60642400000006</v>
      </c>
      <c r="L129" s="102">
        <f>K129*(1+$O129)</f>
        <v>382.09855248000008</v>
      </c>
      <c r="M129" s="102">
        <f>L129*(1+$O129)</f>
        <v>389.74052352960007</v>
      </c>
      <c r="N129" s="102"/>
      <c r="O129" s="143">
        <v>0.02</v>
      </c>
      <c r="R129" s="101" t="s">
        <v>372</v>
      </c>
      <c r="T129" s="105">
        <f>T126/T127</f>
        <v>0.46654732004488858</v>
      </c>
      <c r="U129" s="105">
        <f>U126/U127</f>
        <v>0.58431641714212179</v>
      </c>
      <c r="V129" s="105">
        <f>V126/V127</f>
        <v>0.41538427571589431</v>
      </c>
    </row>
    <row r="130" spans="1:22" s="101" customFormat="1" x14ac:dyDescent="0.55000000000000004">
      <c r="A130" s="132" t="s">
        <v>343</v>
      </c>
      <c r="C130" s="118">
        <f>'Exhibit 6 (PP&amp;E)'!D34*0.4</f>
        <v>247.60000000000002</v>
      </c>
      <c r="D130" s="118">
        <f>'Exhibit 6 (PP&amp;E)'!E34*0.4-100</f>
        <v>298.8</v>
      </c>
      <c r="E130" s="118">
        <f>'Exhibit 6 (PP&amp;E)'!F34*0.4-450</f>
        <v>424.40000000000009</v>
      </c>
      <c r="F130" s="118">
        <f>'Exhibit 6 (PP&amp;E)'!G34*0.4-550</f>
        <v>572.79999999999995</v>
      </c>
      <c r="G130" s="118">
        <f>'Exhibit 6 (PP&amp;E)'!H34*0.4-515</f>
        <v>573.79999999999995</v>
      </c>
      <c r="I130" s="118">
        <f>G130/G112*I112</f>
        <v>618.52220510326754</v>
      </c>
      <c r="J130" s="118">
        <f>I130/I112*J112</f>
        <v>712.43883582012961</v>
      </c>
      <c r="K130" s="118">
        <f t="shared" ref="K130:M130" si="61">J130/J112*K112</f>
        <v>813.28740832799826</v>
      </c>
      <c r="L130" s="118">
        <f t="shared" si="61"/>
        <v>918.66186799231753</v>
      </c>
      <c r="M130" s="118">
        <f t="shared" si="61"/>
        <v>1027.7141029155091</v>
      </c>
      <c r="N130" s="118"/>
      <c r="O130" s="105">
        <f>((M130/G130)^(1/5)-1)</f>
        <v>0.12362748641107091</v>
      </c>
    </row>
    <row r="131" spans="1:22" s="101" customFormat="1" x14ac:dyDescent="0.55000000000000004">
      <c r="A131" s="101" t="s">
        <v>342</v>
      </c>
      <c r="C131" s="102">
        <f>C128-C129-C130</f>
        <v>215.06666666666661</v>
      </c>
      <c r="D131" s="102">
        <f t="shared" ref="D131:G131" si="62">D128-D129-D130</f>
        <v>309.86666666666673</v>
      </c>
      <c r="E131" s="102">
        <f t="shared" si="62"/>
        <v>529.59999999999991</v>
      </c>
      <c r="F131" s="102">
        <f t="shared" si="62"/>
        <v>468.53333333333353</v>
      </c>
      <c r="G131" s="102">
        <f t="shared" si="62"/>
        <v>432.20000000000005</v>
      </c>
      <c r="I131" s="102">
        <f>I$7*I132</f>
        <v>500.65199999999993</v>
      </c>
      <c r="J131" s="102">
        <f t="shared" ref="J131" si="63">J$7*J132</f>
        <v>550.71719999999993</v>
      </c>
      <c r="K131" s="102">
        <f t="shared" ref="K131" si="64">K$7*K132</f>
        <v>578.25305999999989</v>
      </c>
      <c r="L131" s="102">
        <f t="shared" ref="L131" si="65">L$7*L132</f>
        <v>601.38318240000001</v>
      </c>
      <c r="M131" s="102">
        <f t="shared" ref="M131" si="66">M$7*M132</f>
        <v>619.42467787200007</v>
      </c>
      <c r="O131" s="105">
        <f>((M131/G131)^(1/5)-1)</f>
        <v>7.4634423790314042E-2</v>
      </c>
    </row>
    <row r="132" spans="1:22" s="101" customFormat="1" x14ac:dyDescent="0.55000000000000004">
      <c r="A132" s="101" t="s">
        <v>345</v>
      </c>
      <c r="C132" s="145">
        <f>C131/C$7</f>
        <v>1.4749788537594583E-2</v>
      </c>
      <c r="D132" s="145">
        <f>D131/D$7</f>
        <v>1.462463029387704E-2</v>
      </c>
      <c r="E132" s="145">
        <f>E131/E$7</f>
        <v>1.4560250735435622E-2</v>
      </c>
      <c r="F132" s="145">
        <f>F131/F$7</f>
        <v>1.537990196078432E-2</v>
      </c>
      <c r="G132" s="145">
        <f>G131/G$7</f>
        <v>1.5538937225857483E-2</v>
      </c>
      <c r="I132" s="146">
        <v>1.4999999999999999E-2</v>
      </c>
      <c r="J132" s="146">
        <f>I132</f>
        <v>1.4999999999999999E-2</v>
      </c>
      <c r="K132" s="146">
        <f t="shared" ref="K132:M132" si="67">J132</f>
        <v>1.4999999999999999E-2</v>
      </c>
      <c r="L132" s="146">
        <f t="shared" si="67"/>
        <v>1.4999999999999999E-2</v>
      </c>
      <c r="M132" s="146">
        <f t="shared" si="67"/>
        <v>1.4999999999999999E-2</v>
      </c>
      <c r="N132" s="146"/>
      <c r="O132" s="105"/>
    </row>
    <row r="133" spans="1:22" s="101" customFormat="1" x14ac:dyDescent="0.55000000000000004">
      <c r="C133" s="147">
        <f>C128-C129-C130-C131</f>
        <v>0</v>
      </c>
      <c r="D133" s="147">
        <f>D128-D129-D130-D131</f>
        <v>0</v>
      </c>
      <c r="E133" s="147">
        <f>E128-E129-E130-E131</f>
        <v>0</v>
      </c>
      <c r="F133" s="147">
        <f>F128-F129-F130-F131</f>
        <v>0</v>
      </c>
      <c r="G133" s="147">
        <f>G128-G129-G130-G131</f>
        <v>0</v>
      </c>
      <c r="I133" s="147">
        <f t="shared" ref="I133:M133" si="68">I128-I129-I130-I131</f>
        <v>0</v>
      </c>
      <c r="J133" s="147">
        <f t="shared" si="68"/>
        <v>0</v>
      </c>
      <c r="K133" s="147">
        <f t="shared" si="68"/>
        <v>0</v>
      </c>
      <c r="L133" s="147">
        <f t="shared" si="68"/>
        <v>0</v>
      </c>
      <c r="M133" s="147">
        <f t="shared" si="68"/>
        <v>0</v>
      </c>
    </row>
    <row r="134" spans="1:22" s="101" customFormat="1" x14ac:dyDescent="0.55000000000000004">
      <c r="A134" s="106" t="s">
        <v>83</v>
      </c>
      <c r="C134" s="103">
        <v>645</v>
      </c>
      <c r="D134" s="103">
        <v>1167</v>
      </c>
      <c r="E134" s="103">
        <v>1581</v>
      </c>
      <c r="F134" s="103">
        <v>3181</v>
      </c>
      <c r="G134" s="103">
        <v>2997</v>
      </c>
      <c r="I134" s="103">
        <f>I135+I136+I137</f>
        <v>3044.4428081248961</v>
      </c>
      <c r="J134" s="103">
        <f t="shared" ref="J134:M134" si="69">J135+J136+J137</f>
        <v>3084.8102251871774</v>
      </c>
      <c r="K134" s="103">
        <f t="shared" si="69"/>
        <v>3115.380429508818</v>
      </c>
      <c r="L134" s="103">
        <f t="shared" si="69"/>
        <v>3143.0147535326983</v>
      </c>
      <c r="M134" s="103">
        <f t="shared" si="69"/>
        <v>3168.5425625463376</v>
      </c>
      <c r="N134" s="103"/>
      <c r="O134" s="105">
        <f>((M134/G134)^(1/5)-1)</f>
        <v>1.1194177998682164E-2</v>
      </c>
    </row>
    <row r="135" spans="1:22" s="101" customFormat="1" x14ac:dyDescent="0.55000000000000004">
      <c r="A135" s="101" t="s">
        <v>341</v>
      </c>
      <c r="C135" s="118">
        <v>635</v>
      </c>
      <c r="D135" s="118">
        <v>1100</v>
      </c>
      <c r="E135" s="118">
        <v>1500</v>
      </c>
      <c r="F135" s="118">
        <v>3000</v>
      </c>
      <c r="G135" s="118">
        <v>2800</v>
      </c>
      <c r="I135" s="102">
        <f>G135*(1+$O135)</f>
        <v>2856</v>
      </c>
      <c r="J135" s="102">
        <f>I135*(1+$O135)</f>
        <v>2913.12</v>
      </c>
      <c r="K135" s="102">
        <f>J135*(1+$O135)</f>
        <v>2971.3824</v>
      </c>
      <c r="L135" s="102">
        <f>K135*(1+$O135)</f>
        <v>3030.8100479999998</v>
      </c>
      <c r="M135" s="102">
        <f>L135*(1+$O135)</f>
        <v>3091.4262489600001</v>
      </c>
      <c r="N135" s="102"/>
      <c r="O135" s="143">
        <v>0.02</v>
      </c>
    </row>
    <row r="136" spans="1:22" s="101" customFormat="1" x14ac:dyDescent="0.55000000000000004">
      <c r="A136" s="132" t="s">
        <v>343</v>
      </c>
      <c r="C136" s="118">
        <v>10</v>
      </c>
      <c r="D136" s="118">
        <v>10</v>
      </c>
      <c r="E136" s="118">
        <v>10</v>
      </c>
      <c r="F136" s="118">
        <v>15</v>
      </c>
      <c r="G136" s="118">
        <v>20</v>
      </c>
      <c r="I136" s="118">
        <f>G136/G112*I112</f>
        <v>21.558808124896046</v>
      </c>
      <c r="J136" s="118">
        <f>I136/I112*J112</f>
        <v>24.832305187177749</v>
      </c>
      <c r="K136" s="118">
        <f t="shared" ref="K136:M136" si="70">J136/J112*K112</f>
        <v>28.347417508818342</v>
      </c>
      <c r="L136" s="118">
        <f t="shared" si="70"/>
        <v>32.020281212698414</v>
      </c>
      <c r="M136" s="118">
        <f t="shared" si="70"/>
        <v>35.821335061537432</v>
      </c>
      <c r="N136" s="118"/>
      <c r="O136" s="105">
        <f>((M136/G136)^(1/5)-1)</f>
        <v>0.12362748641107069</v>
      </c>
    </row>
    <row r="137" spans="1:22" s="101" customFormat="1" x14ac:dyDescent="0.55000000000000004">
      <c r="A137" s="101" t="s">
        <v>342</v>
      </c>
      <c r="C137" s="102">
        <f>C134-C135-C136</f>
        <v>0</v>
      </c>
      <c r="D137" s="102">
        <f>D134-D135-D136</f>
        <v>57</v>
      </c>
      <c r="E137" s="102">
        <f>E134-E135-E136</f>
        <v>71</v>
      </c>
      <c r="F137" s="102">
        <f>F134-F135-F136</f>
        <v>166</v>
      </c>
      <c r="G137" s="102">
        <f>G134-G135-G136</f>
        <v>177</v>
      </c>
      <c r="I137" s="102">
        <f>I$7*I138</f>
        <v>166.88399999999999</v>
      </c>
      <c r="J137" s="102">
        <f t="shared" ref="J137" si="71">J$7*J138</f>
        <v>146.85791999999998</v>
      </c>
      <c r="K137" s="102">
        <f t="shared" ref="K137" si="72">K$7*K138</f>
        <v>115.650612</v>
      </c>
      <c r="L137" s="102">
        <f t="shared" ref="L137" si="73">L$7*L138</f>
        <v>80.184424320000005</v>
      </c>
      <c r="M137" s="102">
        <f t="shared" ref="M137" si="74">M$7*M138</f>
        <v>41.294978524800008</v>
      </c>
      <c r="O137" s="105">
        <f>((M137/G137)^(1/5)-1)</f>
        <v>-0.25254544015567681</v>
      </c>
    </row>
    <row r="138" spans="1:22" s="101" customFormat="1" x14ac:dyDescent="0.55000000000000004">
      <c r="A138" s="101" t="s">
        <v>345</v>
      </c>
      <c r="C138" s="145">
        <f>C137/C$7</f>
        <v>0</v>
      </c>
      <c r="D138" s="145">
        <f>D137/D$7</f>
        <v>2.6902020011327168E-3</v>
      </c>
      <c r="E138" s="145">
        <f>E137/E$7</f>
        <v>1.9519973606796251E-3</v>
      </c>
      <c r="F138" s="145">
        <f>F137/F$7</f>
        <v>5.4490546218487392E-3</v>
      </c>
      <c r="G138" s="145">
        <f>G137/G$7</f>
        <v>6.3637017329402461E-3</v>
      </c>
      <c r="I138" s="146">
        <v>5.0000000000000001E-3</v>
      </c>
      <c r="J138" s="146">
        <f>I138-0.001</f>
        <v>4.0000000000000001E-3</v>
      </c>
      <c r="K138" s="146">
        <f>J138-0.001</f>
        <v>3.0000000000000001E-3</v>
      </c>
      <c r="L138" s="146">
        <f>K138-0.001</f>
        <v>2E-3</v>
      </c>
      <c r="M138" s="146">
        <f>L138-0.001</f>
        <v>1E-3</v>
      </c>
      <c r="N138" s="146"/>
    </row>
    <row r="139" spans="1:22" s="101" customFormat="1" x14ac:dyDescent="0.55000000000000004">
      <c r="C139" s="131">
        <f>C134-C135-C136-C137</f>
        <v>0</v>
      </c>
      <c r="D139" s="131">
        <f>D134-D135-D136-D137</f>
        <v>0</v>
      </c>
      <c r="E139" s="131">
        <f>E134-E135-E136-E137</f>
        <v>0</v>
      </c>
      <c r="F139" s="131">
        <f>F134-F135-F136-F137</f>
        <v>0</v>
      </c>
      <c r="G139" s="131">
        <f>G134-G135-G136-G137</f>
        <v>0</v>
      </c>
      <c r="H139" s="140"/>
      <c r="I139" s="131">
        <f t="shared" ref="I139:M139" si="75">I134-I135-I136-I137</f>
        <v>0</v>
      </c>
      <c r="J139" s="131">
        <f t="shared" si="75"/>
        <v>-2.5579538487363607E-13</v>
      </c>
      <c r="K139" s="131">
        <f t="shared" si="75"/>
        <v>-2.9842794901924208E-13</v>
      </c>
      <c r="L139" s="131">
        <f t="shared" si="75"/>
        <v>0</v>
      </c>
      <c r="M139" s="131">
        <f t="shared" si="75"/>
        <v>1.4210854715202004E-13</v>
      </c>
    </row>
    <row r="140" spans="1:22" s="101" customFormat="1" ht="14.7" thickBot="1" x14ac:dyDescent="0.6">
      <c r="A140" s="134" t="s">
        <v>295</v>
      </c>
      <c r="B140" s="134"/>
      <c r="C140" s="100">
        <v>2005</v>
      </c>
      <c r="D140" s="100">
        <f>C140+1</f>
        <v>2006</v>
      </c>
      <c r="E140" s="100">
        <f t="shared" ref="E140" si="76">D140+1</f>
        <v>2007</v>
      </c>
      <c r="F140" s="100">
        <f t="shared" ref="F140" si="77">E140+1</f>
        <v>2008</v>
      </c>
      <c r="G140" s="100">
        <f t="shared" ref="G140" si="78">F140+1</f>
        <v>2009</v>
      </c>
      <c r="I140" s="100">
        <v>2010</v>
      </c>
      <c r="J140" s="100">
        <f>I140+1</f>
        <v>2011</v>
      </c>
      <c r="K140" s="100">
        <f t="shared" ref="K140" si="79">J140+1</f>
        <v>2012</v>
      </c>
      <c r="L140" s="100">
        <f t="shared" ref="L140" si="80">K140+1</f>
        <v>2013</v>
      </c>
      <c r="M140" s="100">
        <f t="shared" ref="M140" si="81">L140+1</f>
        <v>2014</v>
      </c>
    </row>
    <row r="141" spans="1:22" s="101" customFormat="1" ht="8.6999999999999993" customHeight="1" thickTop="1" x14ac:dyDescent="0.55000000000000004"/>
    <row r="142" spans="1:22" s="101" customFormat="1" x14ac:dyDescent="0.55000000000000004">
      <c r="A142" s="106" t="s">
        <v>290</v>
      </c>
      <c r="B142" s="106"/>
      <c r="C142" s="103">
        <f>C143/(C144/365)</f>
        <v>46.335299362183669</v>
      </c>
      <c r="D142" s="103">
        <f>D143/(D144/365)</f>
        <v>64.083443458561447</v>
      </c>
      <c r="E142" s="103">
        <f>E143/(E144/365)</f>
        <v>40.420641684766174</v>
      </c>
      <c r="F142" s="103">
        <f>F143/(F144/365)</f>
        <v>41.191898634453786</v>
      </c>
      <c r="G142" s="103">
        <f>G143/(G144/365)</f>
        <v>44.315991946501761</v>
      </c>
      <c r="I142" s="148">
        <v>45</v>
      </c>
      <c r="J142" s="148">
        <f>I142</f>
        <v>45</v>
      </c>
      <c r="K142" s="148">
        <f t="shared" ref="K142:M142" si="82">J142</f>
        <v>45</v>
      </c>
      <c r="L142" s="148">
        <f t="shared" si="82"/>
        <v>45</v>
      </c>
      <c r="M142" s="148">
        <f t="shared" si="82"/>
        <v>45</v>
      </c>
    </row>
    <row r="143" spans="1:22" s="101" customFormat="1" x14ac:dyDescent="0.55000000000000004">
      <c r="A143" s="101" t="s">
        <v>291</v>
      </c>
      <c r="C143" s="102">
        <f>C41</f>
        <v>1851</v>
      </c>
      <c r="D143" s="102">
        <f>D41</f>
        <v>3720</v>
      </c>
      <c r="E143" s="102">
        <f>E41</f>
        <v>4028</v>
      </c>
      <c r="F143" s="102">
        <f>F41</f>
        <v>3438</v>
      </c>
      <c r="G143" s="102">
        <f>G41</f>
        <v>3377</v>
      </c>
      <c r="I143" s="102">
        <f>I142*(I144/365)</f>
        <v>4114.9479452054793</v>
      </c>
      <c r="J143" s="102">
        <f>J142*(J144/365)</f>
        <v>4526.442739726027</v>
      </c>
      <c r="K143" s="102">
        <f>K142*(K144/365)</f>
        <v>4752.7648767123283</v>
      </c>
      <c r="L143" s="102">
        <f>L142*(L144/365)</f>
        <v>4942.8754717808224</v>
      </c>
      <c r="M143" s="102">
        <f>M142*(M144/365)</f>
        <v>5091.1617359342472</v>
      </c>
    </row>
    <row r="144" spans="1:22" s="101" customFormat="1" x14ac:dyDescent="0.55000000000000004">
      <c r="A144" s="101" t="s">
        <v>292</v>
      </c>
      <c r="C144" s="102">
        <f>C7</f>
        <v>14581</v>
      </c>
      <c r="D144" s="102">
        <f>D7</f>
        <v>21188</v>
      </c>
      <c r="E144" s="102">
        <f>E7</f>
        <v>36373</v>
      </c>
      <c r="F144" s="102">
        <f>F7</f>
        <v>30464</v>
      </c>
      <c r="G144" s="102">
        <f>G7</f>
        <v>27814</v>
      </c>
      <c r="I144" s="102">
        <f>I7</f>
        <v>33376.799999999996</v>
      </c>
      <c r="J144" s="102">
        <f>J7</f>
        <v>36714.479999999996</v>
      </c>
      <c r="K144" s="102">
        <f>K7</f>
        <v>38550.203999999998</v>
      </c>
      <c r="L144" s="102">
        <f>L7</f>
        <v>40092.212160000003</v>
      </c>
      <c r="M144" s="102">
        <f>M7</f>
        <v>41294.978524800004</v>
      </c>
    </row>
    <row r="145" spans="1:19" s="101" customFormat="1" ht="8.6999999999999993" customHeight="1" x14ac:dyDescent="0.55000000000000004"/>
    <row r="146" spans="1:19" s="101" customFormat="1" x14ac:dyDescent="0.55000000000000004">
      <c r="A146" s="106" t="s">
        <v>293</v>
      </c>
      <c r="B146" s="106"/>
      <c r="C146" s="103">
        <f>C147/(C148/365)</f>
        <v>72.36349342481418</v>
      </c>
      <c r="D146" s="103">
        <f>D147/(D148/365)</f>
        <v>111.98094747682801</v>
      </c>
      <c r="E146" s="103">
        <f>E147/(E148/365)</f>
        <v>88.052793560606062</v>
      </c>
      <c r="F146" s="103">
        <f>F147/(F148/365)</f>
        <v>109.94419241016779</v>
      </c>
      <c r="G146" s="103">
        <f>G147/(G148/365)</f>
        <v>77.853503585356648</v>
      </c>
      <c r="I146" s="148">
        <v>78</v>
      </c>
      <c r="J146" s="148">
        <v>78</v>
      </c>
      <c r="K146" s="148">
        <v>78</v>
      </c>
      <c r="L146" s="148">
        <v>78</v>
      </c>
      <c r="M146" s="148">
        <v>78</v>
      </c>
      <c r="O146" s="148"/>
      <c r="P146" s="148"/>
      <c r="Q146" s="148"/>
      <c r="R146" s="148"/>
      <c r="S146" s="148"/>
    </row>
    <row r="147" spans="1:19" s="101" customFormat="1" x14ac:dyDescent="0.55000000000000004">
      <c r="A147" s="101" t="s">
        <v>10</v>
      </c>
      <c r="C147" s="102">
        <f>C42</f>
        <v>1387</v>
      </c>
      <c r="D147" s="102">
        <f>D42</f>
        <v>2979</v>
      </c>
      <c r="E147" s="102">
        <f>E42</f>
        <v>4076</v>
      </c>
      <c r="F147" s="102">
        <f>F42</f>
        <v>4183</v>
      </c>
      <c r="G147" s="102">
        <f>G42</f>
        <v>3391</v>
      </c>
      <c r="I147" s="102">
        <f>I146*(I148/365)</f>
        <v>3795.7826768780124</v>
      </c>
      <c r="J147" s="102">
        <f>J146*(J148/365)</f>
        <v>4091.8219395711544</v>
      </c>
      <c r="K147" s="102">
        <f>K146*(K148/365)</f>
        <v>4254.0660589083891</v>
      </c>
      <c r="L147" s="102">
        <f>L146*(L148/365)</f>
        <v>4388.3557470625392</v>
      </c>
      <c r="M147" s="102">
        <f>M146*(M148/365)</f>
        <v>4492.3052331982326</v>
      </c>
    </row>
    <row r="148" spans="1:19" s="101" customFormat="1" x14ac:dyDescent="0.55000000000000004">
      <c r="A148" s="101" t="s">
        <v>81</v>
      </c>
      <c r="C148" s="102">
        <f>C10</f>
        <v>6996</v>
      </c>
      <c r="D148" s="102">
        <f>D10</f>
        <v>9710</v>
      </c>
      <c r="E148" s="102">
        <f>E10</f>
        <v>16896</v>
      </c>
      <c r="F148" s="102">
        <f>F10</f>
        <v>13887</v>
      </c>
      <c r="G148" s="102">
        <f>G10</f>
        <v>15898</v>
      </c>
      <c r="I148" s="102">
        <f>I10</f>
        <v>17762.316372570185</v>
      </c>
      <c r="J148" s="102">
        <f>J10</f>
        <v>19147.628306967581</v>
      </c>
      <c r="K148" s="102">
        <f>K10</f>
        <v>19906.847583353359</v>
      </c>
      <c r="L148" s="102">
        <f>L10</f>
        <v>20535.254457408038</v>
      </c>
      <c r="M148" s="102">
        <f>M10</f>
        <v>21021.684745094295</v>
      </c>
    </row>
    <row r="149" spans="1:19" s="101" customFormat="1" ht="8.6999999999999993" customHeight="1" x14ac:dyDescent="0.55000000000000004"/>
    <row r="150" spans="1:19" s="101" customFormat="1" x14ac:dyDescent="0.55000000000000004">
      <c r="A150" s="106" t="s">
        <v>294</v>
      </c>
      <c r="B150" s="106"/>
      <c r="C150" s="103">
        <f>C151/(C152/365)</f>
        <v>60.050743281875356</v>
      </c>
      <c r="D150" s="103">
        <f>D151/(D152/365)</f>
        <v>90.817713697219361</v>
      </c>
      <c r="E150" s="103">
        <f>E151/(E152/365)</f>
        <v>52.084221117424242</v>
      </c>
      <c r="F150" s="103">
        <f>F151/(F152/365)</f>
        <v>59.558579966875499</v>
      </c>
      <c r="G150" s="103">
        <f>G151/(G152/365)</f>
        <v>50.670210089319411</v>
      </c>
      <c r="I150" s="148">
        <v>50</v>
      </c>
      <c r="J150" s="148">
        <v>50</v>
      </c>
      <c r="K150" s="148">
        <v>50</v>
      </c>
      <c r="L150" s="148">
        <v>50</v>
      </c>
      <c r="M150" s="148">
        <v>50</v>
      </c>
    </row>
    <row r="151" spans="1:19" s="101" customFormat="1" x14ac:dyDescent="0.55000000000000004">
      <c r="A151" s="101" t="s">
        <v>91</v>
      </c>
      <c r="C151" s="102">
        <f>C54</f>
        <v>1151</v>
      </c>
      <c r="D151" s="102">
        <f>D54</f>
        <v>2416</v>
      </c>
      <c r="E151" s="102">
        <f>E54</f>
        <v>2411</v>
      </c>
      <c r="F151" s="102">
        <f>F54</f>
        <v>2266</v>
      </c>
      <c r="G151" s="102">
        <f>G54</f>
        <v>2207</v>
      </c>
      <c r="I151" s="102">
        <f>I150*(I152/365)</f>
        <v>2433.1940236397513</v>
      </c>
      <c r="J151" s="102">
        <f>J150*(J152/365)</f>
        <v>2622.9627817763808</v>
      </c>
      <c r="K151" s="102">
        <f>K150*(K152/365)</f>
        <v>2726.9654223771722</v>
      </c>
      <c r="L151" s="102">
        <f>L150*(L152/365)</f>
        <v>2813.0485558093201</v>
      </c>
      <c r="M151" s="102">
        <f>M150*(M152/365)</f>
        <v>2879.682841793739</v>
      </c>
    </row>
    <row r="152" spans="1:19" s="101" customFormat="1" x14ac:dyDescent="0.55000000000000004">
      <c r="A152" s="101" t="s">
        <v>81</v>
      </c>
      <c r="C152" s="102">
        <f>C10</f>
        <v>6996</v>
      </c>
      <c r="D152" s="102">
        <f>D10</f>
        <v>9710</v>
      </c>
      <c r="E152" s="102">
        <f>E10</f>
        <v>16896</v>
      </c>
      <c r="F152" s="102">
        <f>F10</f>
        <v>13887</v>
      </c>
      <c r="G152" s="102">
        <f>G10</f>
        <v>15898</v>
      </c>
      <c r="I152" s="102">
        <f>I10</f>
        <v>17762.316372570185</v>
      </c>
      <c r="J152" s="102">
        <f>J10</f>
        <v>19147.628306967581</v>
      </c>
      <c r="K152" s="102">
        <f>K10</f>
        <v>19906.847583353359</v>
      </c>
      <c r="L152" s="102">
        <f>L10</f>
        <v>20535.254457408038</v>
      </c>
      <c r="M152" s="102">
        <f>M10</f>
        <v>21021.684745094295</v>
      </c>
    </row>
    <row r="153" spans="1:19" s="101" customFormat="1" ht="8.6999999999999993" customHeight="1" x14ac:dyDescent="0.55000000000000004"/>
    <row r="154" spans="1:19" s="101" customFormat="1" x14ac:dyDescent="0.55000000000000004">
      <c r="A154" s="106" t="s">
        <v>289</v>
      </c>
      <c r="B154" s="103">
        <f>3890-2455</f>
        <v>1435</v>
      </c>
      <c r="C154" s="103">
        <f>C143+C147-C151</f>
        <v>2087</v>
      </c>
      <c r="D154" s="103">
        <f>D143+D147-D151</f>
        <v>4283</v>
      </c>
      <c r="E154" s="103">
        <f>E143+E147-E151</f>
        <v>5693</v>
      </c>
      <c r="F154" s="103">
        <f>F143+F147-F151</f>
        <v>5355</v>
      </c>
      <c r="G154" s="103">
        <f>G143+G147-G151</f>
        <v>4561</v>
      </c>
      <c r="I154" s="103">
        <f>I143+I147-I151</f>
        <v>5477.5365984437403</v>
      </c>
      <c r="J154" s="103">
        <f>J143+J147-J151</f>
        <v>5995.3018975207997</v>
      </c>
      <c r="K154" s="103">
        <f>K143+K147-K151</f>
        <v>6279.8655132435451</v>
      </c>
      <c r="L154" s="103">
        <f>L143+L147-L151</f>
        <v>6518.1826630340402</v>
      </c>
      <c r="M154" s="103">
        <f>M143+M147-M151</f>
        <v>6703.7841273387403</v>
      </c>
    </row>
    <row r="155" spans="1:19" s="101" customFormat="1" x14ac:dyDescent="0.55000000000000004">
      <c r="A155" s="106" t="s">
        <v>287</v>
      </c>
      <c r="B155" s="106"/>
      <c r="C155" s="103">
        <f>B154-C154</f>
        <v>-652</v>
      </c>
      <c r="D155" s="103">
        <f>C154-D154</f>
        <v>-2196</v>
      </c>
      <c r="E155" s="103">
        <f>D154-E154</f>
        <v>-1410</v>
      </c>
      <c r="F155" s="103">
        <f>E154-F154</f>
        <v>338</v>
      </c>
      <c r="G155" s="103">
        <f>F154-G154</f>
        <v>794</v>
      </c>
      <c r="I155" s="103">
        <f>G154-I154</f>
        <v>-916.53659844374033</v>
      </c>
      <c r="J155" s="103">
        <f>I154-J154</f>
        <v>-517.76529907705935</v>
      </c>
      <c r="K155" s="103">
        <f>J154-K154</f>
        <v>-284.56361572274545</v>
      </c>
      <c r="L155" s="103">
        <f>K154-L154</f>
        <v>-238.31714979049502</v>
      </c>
      <c r="M155" s="103">
        <f>L154-M154</f>
        <v>-185.60146430470013</v>
      </c>
    </row>
    <row r="156" spans="1:19" s="101" customFormat="1" x14ac:dyDescent="0.55000000000000004">
      <c r="A156" s="101" t="s">
        <v>296</v>
      </c>
      <c r="C156" s="149" t="s">
        <v>299</v>
      </c>
      <c r="D156" s="102">
        <f>C143-D143</f>
        <v>-1869</v>
      </c>
      <c r="E156" s="102">
        <f>D143-E143</f>
        <v>-308</v>
      </c>
      <c r="F156" s="102">
        <f>E143-F143</f>
        <v>590</v>
      </c>
      <c r="G156" s="102">
        <f>F143-G143</f>
        <v>61</v>
      </c>
      <c r="I156" s="102">
        <f>G143-I143</f>
        <v>-737.9479452054793</v>
      </c>
      <c r="J156" s="102">
        <f>I143-J143</f>
        <v>-411.49479452054766</v>
      </c>
      <c r="K156" s="102">
        <f>J143-K143</f>
        <v>-226.3221369863013</v>
      </c>
      <c r="L156" s="102">
        <f>K143-L143</f>
        <v>-190.11059506849415</v>
      </c>
      <c r="M156" s="102">
        <f>L143-M143</f>
        <v>-148.28626415342478</v>
      </c>
    </row>
    <row r="157" spans="1:19" s="101" customFormat="1" x14ac:dyDescent="0.55000000000000004">
      <c r="A157" s="101" t="s">
        <v>297</v>
      </c>
      <c r="C157" s="149" t="s">
        <v>299</v>
      </c>
      <c r="D157" s="102">
        <f>C147-D147</f>
        <v>-1592</v>
      </c>
      <c r="E157" s="102">
        <f>D147-E147</f>
        <v>-1097</v>
      </c>
      <c r="F157" s="102">
        <f>E147-F147</f>
        <v>-107</v>
      </c>
      <c r="G157" s="102">
        <f>F147-G147</f>
        <v>792</v>
      </c>
      <c r="I157" s="102">
        <f>G147-I147</f>
        <v>-404.78267687801235</v>
      </c>
      <c r="J157" s="102">
        <f>I147-J147</f>
        <v>-296.03926269314206</v>
      </c>
      <c r="K157" s="102">
        <f>J147-K147</f>
        <v>-162.24411933723468</v>
      </c>
      <c r="L157" s="102">
        <f>K147-L147</f>
        <v>-134.2896881541501</v>
      </c>
      <c r="M157" s="102">
        <f>L147-M147</f>
        <v>-103.94948613569341</v>
      </c>
    </row>
    <row r="158" spans="1:19" s="101" customFormat="1" x14ac:dyDescent="0.55000000000000004">
      <c r="A158" s="101" t="s">
        <v>298</v>
      </c>
      <c r="C158" s="149" t="s">
        <v>299</v>
      </c>
      <c r="D158" s="102">
        <f>D151-C151</f>
        <v>1265</v>
      </c>
      <c r="E158" s="102">
        <f>E151-D151</f>
        <v>-5</v>
      </c>
      <c r="F158" s="102">
        <f>F151-E151</f>
        <v>-145</v>
      </c>
      <c r="G158" s="102">
        <f>G151-F151</f>
        <v>-59</v>
      </c>
      <c r="I158" s="102">
        <f>I151-G151</f>
        <v>226.19402363975132</v>
      </c>
      <c r="J158" s="102">
        <f>J151-I151</f>
        <v>189.76875813662946</v>
      </c>
      <c r="K158" s="102">
        <f>K151-J151</f>
        <v>104.00264060079144</v>
      </c>
      <c r="L158" s="102">
        <f>L151-K151</f>
        <v>86.083133432147861</v>
      </c>
      <c r="M158" s="102">
        <f>M151-L151</f>
        <v>66.634285984418966</v>
      </c>
    </row>
    <row r="159" spans="1:19" x14ac:dyDescent="0.55000000000000004">
      <c r="A159" s="150"/>
      <c r="B159" s="150"/>
      <c r="C159" s="147"/>
      <c r="D159" s="141">
        <f t="shared" ref="D159:E159" si="83">D156+D157+D158-D155</f>
        <v>0</v>
      </c>
      <c r="E159" s="141">
        <f t="shared" si="83"/>
        <v>0</v>
      </c>
      <c r="F159" s="141">
        <f>F156+F157+F158-F155</f>
        <v>0</v>
      </c>
      <c r="G159" s="141">
        <f t="shared" ref="G159:M159" si="84">G156+G157+G158-G155</f>
        <v>0</v>
      </c>
      <c r="I159" s="131">
        <f t="shared" si="84"/>
        <v>0</v>
      </c>
      <c r="J159" s="131">
        <f t="shared" si="84"/>
        <v>-9.0949470177292824E-13</v>
      </c>
      <c r="K159" s="131">
        <f t="shared" si="84"/>
        <v>9.0949470177292824E-13</v>
      </c>
      <c r="L159" s="131">
        <f t="shared" si="84"/>
        <v>-1.3642420526593924E-12</v>
      </c>
      <c r="M159" s="131">
        <f t="shared" si="84"/>
        <v>9.0949470177292824E-13</v>
      </c>
    </row>
    <row r="160" spans="1:19" x14ac:dyDescent="0.55000000000000004">
      <c r="A160" s="93"/>
      <c r="B160" s="93"/>
      <c r="C160" s="102"/>
      <c r="D160" s="102"/>
      <c r="E160" s="102"/>
      <c r="F160" s="102"/>
      <c r="G160" s="102"/>
    </row>
    <row r="161" spans="1:13" x14ac:dyDescent="0.55000000000000004">
      <c r="A161" s="151" t="s">
        <v>330</v>
      </c>
      <c r="B161" s="152">
        <v>2004</v>
      </c>
      <c r="C161" s="152">
        <v>2005</v>
      </c>
      <c r="D161" s="152">
        <f>C161+1</f>
        <v>2006</v>
      </c>
      <c r="E161" s="152">
        <f t="shared" ref="E161:G161" si="85">D161+1</f>
        <v>2007</v>
      </c>
      <c r="F161" s="152">
        <f t="shared" si="85"/>
        <v>2008</v>
      </c>
      <c r="G161" s="152">
        <f t="shared" si="85"/>
        <v>2009</v>
      </c>
      <c r="I161" s="152">
        <v>2010</v>
      </c>
      <c r="J161" s="152">
        <f>I161+1</f>
        <v>2011</v>
      </c>
      <c r="K161" s="152">
        <f t="shared" ref="K161" si="86">J161+1</f>
        <v>2012</v>
      </c>
      <c r="L161" s="152">
        <f t="shared" ref="L161" si="87">K161+1</f>
        <v>2013</v>
      </c>
      <c r="M161" s="152">
        <f t="shared" ref="M161" si="88">L161+1</f>
        <v>2014</v>
      </c>
    </row>
    <row r="162" spans="1:13" ht="8.6999999999999993" customHeight="1" x14ac:dyDescent="0.55000000000000004">
      <c r="B162" s="151"/>
      <c r="C162" s="93"/>
      <c r="D162" s="93"/>
      <c r="E162" s="93"/>
      <c r="F162" s="93"/>
      <c r="G162" s="93"/>
    </row>
    <row r="163" spans="1:13" x14ac:dyDescent="0.55000000000000004">
      <c r="A163" s="151" t="s">
        <v>329</v>
      </c>
      <c r="B163" s="102"/>
      <c r="C163" s="102"/>
      <c r="D163" s="102"/>
      <c r="E163" s="102"/>
      <c r="F163" s="102"/>
      <c r="G163" s="102"/>
      <c r="H163" s="102"/>
    </row>
    <row r="164" spans="1:13" x14ac:dyDescent="0.55000000000000004">
      <c r="A164" s="154" t="s">
        <v>333</v>
      </c>
      <c r="B164" s="102"/>
      <c r="C164" s="102">
        <f>B172</f>
        <v>7391</v>
      </c>
      <c r="D164" s="102">
        <f>C172</f>
        <v>10317</v>
      </c>
      <c r="E164" s="102">
        <f>D172</f>
        <v>18291</v>
      </c>
      <c r="F164" s="102">
        <f>E172</f>
        <v>32030</v>
      </c>
      <c r="G164" s="102">
        <f>F172</f>
        <v>41578</v>
      </c>
      <c r="H164" s="102"/>
      <c r="I164" s="102">
        <f>G172</f>
        <v>54907</v>
      </c>
      <c r="J164" s="102">
        <f>I172</f>
        <v>58542.785693831924</v>
      </c>
      <c r="K164" s="102">
        <f>J172</f>
        <v>62740.044467854357</v>
      </c>
      <c r="L164" s="102">
        <f>K172</f>
        <v>67177.863594005379</v>
      </c>
      <c r="M164" s="102">
        <f>L172</f>
        <v>71789.115214944453</v>
      </c>
    </row>
    <row r="165" spans="1:13" x14ac:dyDescent="0.55000000000000004">
      <c r="A165" s="155" t="s">
        <v>336</v>
      </c>
      <c r="B165" s="102"/>
      <c r="C165" s="102"/>
      <c r="D165" s="102"/>
      <c r="E165" s="102"/>
      <c r="F165" s="102"/>
      <c r="G165" s="102"/>
      <c r="H165" s="102"/>
    </row>
    <row r="166" spans="1:13" x14ac:dyDescent="0.55000000000000004">
      <c r="A166" s="154" t="s">
        <v>80</v>
      </c>
      <c r="B166" s="102"/>
      <c r="C166" s="102">
        <f>C31</f>
        <v>4479</v>
      </c>
      <c r="D166" s="102">
        <f>D31</f>
        <v>6283</v>
      </c>
      <c r="E166" s="102">
        <f>E31</f>
        <v>11235</v>
      </c>
      <c r="F166" s="102">
        <f>F31</f>
        <v>9190</v>
      </c>
      <c r="G166" s="102">
        <f>G31</f>
        <v>5878</v>
      </c>
      <c r="H166" s="102"/>
      <c r="I166" s="102">
        <f>I31</f>
        <v>6610.5194433307688</v>
      </c>
      <c r="J166" s="102">
        <f>J31</f>
        <v>7631.3795891316913</v>
      </c>
      <c r="K166" s="102">
        <f>K31</f>
        <v>8068.7620475473204</v>
      </c>
      <c r="L166" s="102">
        <f>L31</f>
        <v>8384.0938562528609</v>
      </c>
      <c r="M166" s="102">
        <f>M31</f>
        <v>8573.1395431911915</v>
      </c>
    </row>
    <row r="167" spans="1:13" x14ac:dyDescent="0.55000000000000004">
      <c r="A167" s="154" t="s">
        <v>332</v>
      </c>
      <c r="B167" s="102"/>
      <c r="C167" s="102">
        <v>-1300</v>
      </c>
      <c r="D167" s="102">
        <v>-1300</v>
      </c>
      <c r="E167" s="102">
        <v>-1875</v>
      </c>
      <c r="F167" s="102">
        <v>-2850</v>
      </c>
      <c r="G167" s="102">
        <v>-2724</v>
      </c>
      <c r="H167" s="102"/>
      <c r="I167" s="156">
        <f>I177</f>
        <v>-2974.733749498846</v>
      </c>
      <c r="J167" s="156">
        <f>J177</f>
        <v>-3434.120815109261</v>
      </c>
      <c r="K167" s="156">
        <f>K177</f>
        <v>-3630.9429213962944</v>
      </c>
      <c r="L167" s="156">
        <f>L177</f>
        <v>-3772.8422353137876</v>
      </c>
      <c r="M167" s="156">
        <f>M177</f>
        <v>-3857.9127944360362</v>
      </c>
    </row>
    <row r="168" spans="1:13" ht="14.7" thickBot="1" x14ac:dyDescent="0.6">
      <c r="A168" s="154" t="s">
        <v>335</v>
      </c>
      <c r="B168" s="102"/>
      <c r="C168" s="102">
        <v>-253</v>
      </c>
      <c r="D168" s="102">
        <v>0</v>
      </c>
      <c r="E168" s="102">
        <v>0</v>
      </c>
      <c r="F168" s="102">
        <v>-8982</v>
      </c>
      <c r="G168" s="102">
        <v>0</v>
      </c>
      <c r="H168" s="102"/>
      <c r="I168" s="156">
        <f>G168</f>
        <v>0</v>
      </c>
      <c r="J168" s="156">
        <f>I168</f>
        <v>0</v>
      </c>
      <c r="K168" s="156">
        <f>J168</f>
        <v>0</v>
      </c>
      <c r="L168" s="156">
        <f>K168</f>
        <v>0</v>
      </c>
      <c r="M168" s="156">
        <f>L168</f>
        <v>0</v>
      </c>
    </row>
    <row r="169" spans="1:13" ht="14.7" thickBot="1" x14ac:dyDescent="0.6">
      <c r="A169" s="154" t="s">
        <v>410</v>
      </c>
      <c r="B169" s="102"/>
      <c r="C169" s="102">
        <v>0</v>
      </c>
      <c r="D169" s="102">
        <v>2991</v>
      </c>
      <c r="E169" s="102">
        <f>1869+2510</f>
        <v>4379</v>
      </c>
      <c r="F169" s="102">
        <v>12190</v>
      </c>
      <c r="G169" s="102">
        <v>10175</v>
      </c>
      <c r="H169" s="102"/>
      <c r="I169" s="157">
        <v>0</v>
      </c>
      <c r="J169" s="157">
        <v>0</v>
      </c>
      <c r="K169" s="157">
        <v>0</v>
      </c>
      <c r="L169" s="157">
        <v>0</v>
      </c>
      <c r="M169" s="157">
        <v>0</v>
      </c>
    </row>
    <row r="170" spans="1:13" ht="6" customHeight="1" x14ac:dyDescent="0.55000000000000004">
      <c r="A170" s="154"/>
      <c r="B170" s="102"/>
      <c r="C170" s="109"/>
      <c r="D170" s="109"/>
      <c r="E170" s="109"/>
      <c r="F170" s="109"/>
      <c r="G170" s="109"/>
      <c r="H170" s="102"/>
      <c r="I170" s="109"/>
      <c r="J170" s="109"/>
      <c r="K170" s="109"/>
      <c r="L170" s="109"/>
      <c r="M170" s="109"/>
    </row>
    <row r="171" spans="1:13" x14ac:dyDescent="0.55000000000000004">
      <c r="A171" s="154" t="s">
        <v>404</v>
      </c>
      <c r="B171" s="102"/>
      <c r="C171" s="158">
        <f>C166+C167+C168+C169</f>
        <v>2926</v>
      </c>
      <c r="D171" s="158">
        <f>D166+D167+D168+D169</f>
        <v>7974</v>
      </c>
      <c r="E171" s="158">
        <f>E166+E167+E168+E169</f>
        <v>13739</v>
      </c>
      <c r="F171" s="158">
        <f>F166+F167+F168+F169</f>
        <v>9548</v>
      </c>
      <c r="G171" s="158">
        <f>G166+G167+G168+G169</f>
        <v>13329</v>
      </c>
      <c r="H171" s="102"/>
      <c r="I171" s="158">
        <f>I166+I167+I168+I169</f>
        <v>3635.7856938319228</v>
      </c>
      <c r="J171" s="158">
        <f>J166+J167+J168+J169</f>
        <v>4197.2587740224299</v>
      </c>
      <c r="K171" s="158">
        <f>K166+K167+K168+K169</f>
        <v>4437.8191261510256</v>
      </c>
      <c r="L171" s="158">
        <f>L166+L167+L168+L169</f>
        <v>4611.2516209390733</v>
      </c>
      <c r="M171" s="158">
        <f>M166+M167+M168+M169</f>
        <v>4715.2267487551553</v>
      </c>
    </row>
    <row r="172" spans="1:13" x14ac:dyDescent="0.55000000000000004">
      <c r="A172" s="154" t="s">
        <v>334</v>
      </c>
      <c r="B172" s="159">
        <v>7391</v>
      </c>
      <c r="C172" s="102">
        <f>C68</f>
        <v>10317</v>
      </c>
      <c r="D172" s="102">
        <f>D68</f>
        <v>18291</v>
      </c>
      <c r="E172" s="102">
        <f>E68</f>
        <v>32030</v>
      </c>
      <c r="F172" s="102">
        <f>F68</f>
        <v>41578</v>
      </c>
      <c r="G172" s="102">
        <f>G68</f>
        <v>54907</v>
      </c>
      <c r="H172" s="102"/>
      <c r="I172" s="156">
        <f>I164+I171</f>
        <v>58542.785693831924</v>
      </c>
      <c r="J172" s="156">
        <f>J164+J171</f>
        <v>62740.044467854357</v>
      </c>
      <c r="K172" s="156">
        <f>K164+K171</f>
        <v>67177.863594005379</v>
      </c>
      <c r="L172" s="156">
        <f>L164+L171</f>
        <v>71789.115214944453</v>
      </c>
      <c r="M172" s="156">
        <f>M164+M171</f>
        <v>76504.341963699611</v>
      </c>
    </row>
    <row r="173" spans="1:13" x14ac:dyDescent="0.55000000000000004">
      <c r="B173" s="102"/>
      <c r="C173" s="147">
        <f>C172-C164-C166-C167-C168-C169</f>
        <v>0</v>
      </c>
      <c r="D173" s="147">
        <f>D172-D164-D166-D167-D168-D169</f>
        <v>0</v>
      </c>
      <c r="E173" s="147">
        <f>E172-E164-E166-E167-E168-E169</f>
        <v>0</v>
      </c>
      <c r="F173" s="147">
        <f>F172-F164-F166-F167-F168-F169</f>
        <v>0</v>
      </c>
      <c r="G173" s="147">
        <f>G172-G164-G166-G167-G168-G169</f>
        <v>0</v>
      </c>
      <c r="H173" s="102"/>
    </row>
    <row r="174" spans="1:13" x14ac:dyDescent="0.55000000000000004">
      <c r="A174" s="151" t="s">
        <v>382</v>
      </c>
      <c r="B174" s="102"/>
      <c r="C174" s="147"/>
      <c r="D174" s="147"/>
      <c r="E174" s="147"/>
      <c r="F174" s="147"/>
      <c r="G174" s="147"/>
      <c r="H174" s="102"/>
    </row>
    <row r="175" spans="1:13" x14ac:dyDescent="0.55000000000000004">
      <c r="A175" s="154" t="s">
        <v>379</v>
      </c>
      <c r="B175" s="102"/>
      <c r="C175" s="102">
        <f>C87</f>
        <v>493</v>
      </c>
      <c r="D175" s="102">
        <f t="shared" ref="D175:G175" si="89">D87</f>
        <v>-9823</v>
      </c>
      <c r="E175" s="102">
        <f t="shared" si="89"/>
        <v>2236</v>
      </c>
      <c r="F175" s="102">
        <f t="shared" si="89"/>
        <v>1597</v>
      </c>
      <c r="G175" s="102">
        <f t="shared" si="89"/>
        <v>-5589</v>
      </c>
      <c r="H175" s="102"/>
      <c r="I175" s="102">
        <f t="shared" ref="I175:M175" si="90">I87</f>
        <v>-960.65593648175036</v>
      </c>
      <c r="J175" s="102">
        <f t="shared" si="90"/>
        <v>82.491156390379274</v>
      </c>
      <c r="K175" s="102">
        <f t="shared" si="90"/>
        <v>903.61945025028081</v>
      </c>
      <c r="L175" s="102">
        <f t="shared" si="90"/>
        <v>1551.6407582668862</v>
      </c>
      <c r="M175" s="102">
        <f t="shared" si="90"/>
        <v>2199.0388014287128</v>
      </c>
    </row>
    <row r="176" spans="1:13" x14ac:dyDescent="0.55000000000000004">
      <c r="A176" s="154" t="s">
        <v>80</v>
      </c>
      <c r="B176" s="102"/>
      <c r="C176" s="102">
        <f>C31</f>
        <v>4479</v>
      </c>
      <c r="D176" s="102">
        <f t="shared" ref="D176:G176" si="91">D31</f>
        <v>6283</v>
      </c>
      <c r="E176" s="102">
        <f t="shared" si="91"/>
        <v>11235</v>
      </c>
      <c r="F176" s="102">
        <f t="shared" si="91"/>
        <v>9190</v>
      </c>
      <c r="G176" s="102">
        <f t="shared" si="91"/>
        <v>5878</v>
      </c>
      <c r="H176" s="102"/>
      <c r="I176" s="102">
        <f t="shared" ref="I176:M176" si="92">I31</f>
        <v>6610.5194433307688</v>
      </c>
      <c r="J176" s="102">
        <f t="shared" si="92"/>
        <v>7631.3795891316913</v>
      </c>
      <c r="K176" s="102">
        <f t="shared" si="92"/>
        <v>8068.7620475473204</v>
      </c>
      <c r="L176" s="102">
        <f t="shared" si="92"/>
        <v>8384.0938562528609</v>
      </c>
      <c r="M176" s="102">
        <f t="shared" si="92"/>
        <v>8573.1395431911915</v>
      </c>
    </row>
    <row r="177" spans="1:15" x14ac:dyDescent="0.55000000000000004">
      <c r="A177" s="154" t="s">
        <v>383</v>
      </c>
      <c r="B177" s="102"/>
      <c r="C177" s="102">
        <f>C167</f>
        <v>-1300</v>
      </c>
      <c r="D177" s="102">
        <f>D167</f>
        <v>-1300</v>
      </c>
      <c r="E177" s="102">
        <f>E167</f>
        <v>-1875</v>
      </c>
      <c r="F177" s="102">
        <f>F167</f>
        <v>-2850</v>
      </c>
      <c r="G177" s="102">
        <f>G167</f>
        <v>-2724</v>
      </c>
      <c r="H177" s="102"/>
      <c r="I177" s="102">
        <f>-I166*I178</f>
        <v>-2974.733749498846</v>
      </c>
      <c r="J177" s="102">
        <f>-J166*J178</f>
        <v>-3434.120815109261</v>
      </c>
      <c r="K177" s="102">
        <f>-K166*K178</f>
        <v>-3630.9429213962944</v>
      </c>
      <c r="L177" s="102">
        <f>-L166*L178</f>
        <v>-3772.8422353137876</v>
      </c>
      <c r="M177" s="102">
        <f>-M166*M178</f>
        <v>-3857.9127944360362</v>
      </c>
    </row>
    <row r="178" spans="1:15" x14ac:dyDescent="0.55000000000000004">
      <c r="A178" s="154" t="s">
        <v>384</v>
      </c>
      <c r="B178" s="102"/>
      <c r="C178" s="105">
        <f>-C177/C166</f>
        <v>0.2902433578923867</v>
      </c>
      <c r="D178" s="105">
        <f>-D177/D166</f>
        <v>0.20690752825083558</v>
      </c>
      <c r="E178" s="105">
        <f>-E177/E166</f>
        <v>0.16688918558077437</v>
      </c>
      <c r="F178" s="105">
        <f>-F177/F166</f>
        <v>0.31011969532100109</v>
      </c>
      <c r="G178" s="105">
        <f>-G177/G166</f>
        <v>0.4634229329703981</v>
      </c>
      <c r="H178" s="102"/>
      <c r="I178" s="160">
        <v>0.45</v>
      </c>
      <c r="J178" s="160">
        <v>0.45</v>
      </c>
      <c r="K178" s="160">
        <v>0.45</v>
      </c>
      <c r="L178" s="160">
        <v>0.45</v>
      </c>
      <c r="M178" s="160">
        <v>0.45</v>
      </c>
    </row>
    <row r="179" spans="1:15" x14ac:dyDescent="0.55000000000000004">
      <c r="B179" s="102"/>
      <c r="H179" s="102"/>
    </row>
    <row r="180" spans="1:15" x14ac:dyDescent="0.55000000000000004">
      <c r="B180" s="102"/>
      <c r="C180" s="95" t="s">
        <v>338</v>
      </c>
      <c r="D180" s="95"/>
      <c r="E180" s="95"/>
      <c r="F180" s="95"/>
      <c r="G180" s="95"/>
      <c r="I180" s="96" t="s">
        <v>339</v>
      </c>
      <c r="J180" s="97"/>
      <c r="K180" s="97"/>
      <c r="L180" s="97"/>
      <c r="M180" s="97"/>
    </row>
    <row r="181" spans="1:15" s="101" customFormat="1" ht="15.9" thickBot="1" x14ac:dyDescent="0.65">
      <c r="A181" s="133" t="s">
        <v>478</v>
      </c>
      <c r="B181" s="102"/>
      <c r="C181" s="100">
        <v>2005</v>
      </c>
      <c r="D181" s="100">
        <f>C181+1</f>
        <v>2006</v>
      </c>
      <c r="E181" s="100">
        <f t="shared" ref="E181" si="93">D181+1</f>
        <v>2007</v>
      </c>
      <c r="F181" s="100">
        <f t="shared" ref="F181" si="94">E181+1</f>
        <v>2008</v>
      </c>
      <c r="G181" s="100">
        <f t="shared" ref="G181" si="95">F181+1</f>
        <v>2009</v>
      </c>
      <c r="I181" s="152">
        <v>2010</v>
      </c>
      <c r="J181" s="152">
        <f>I181+1</f>
        <v>2011</v>
      </c>
      <c r="K181" s="152">
        <f t="shared" ref="K181" si="96">J181+1</f>
        <v>2012</v>
      </c>
      <c r="L181" s="152">
        <f t="shared" ref="L181" si="97">K181+1</f>
        <v>2013</v>
      </c>
      <c r="M181" s="152">
        <f t="shared" ref="M181" si="98">L181+1</f>
        <v>2014</v>
      </c>
      <c r="O181" s="93"/>
    </row>
    <row r="182" spans="1:15" s="101" customFormat="1" ht="4.8" customHeight="1" thickTop="1" x14ac:dyDescent="0.55000000000000004">
      <c r="B182" s="134"/>
    </row>
    <row r="183" spans="1:15" s="101" customFormat="1" ht="11.4" customHeight="1" x14ac:dyDescent="0.55000000000000004">
      <c r="A183" s="134" t="s">
        <v>468</v>
      </c>
      <c r="B183" s="134"/>
    </row>
    <row r="184" spans="1:15" s="101" customFormat="1" ht="12.55" customHeight="1" x14ac:dyDescent="0.55000000000000004">
      <c r="A184" s="101" t="s">
        <v>467</v>
      </c>
      <c r="B184" s="134"/>
      <c r="C184" s="204">
        <f>C8</f>
        <v>0.80771138110587648</v>
      </c>
      <c r="D184" s="204">
        <f>D8</f>
        <v>0.45312392839997262</v>
      </c>
      <c r="E184" s="204">
        <f t="shared" ref="E184:G184" si="99">E8</f>
        <v>0.7166792524070229</v>
      </c>
      <c r="F184" s="204">
        <f t="shared" si="99"/>
        <v>-0.16245566766557606</v>
      </c>
      <c r="G184" s="204">
        <f t="shared" si="99"/>
        <v>-8.6987920168067223E-2</v>
      </c>
      <c r="I184" s="204">
        <f t="shared" ref="I184:M184" si="100">I8</f>
        <v>0.2</v>
      </c>
      <c r="J184" s="204">
        <f t="shared" si="100"/>
        <v>0.1</v>
      </c>
      <c r="K184" s="204">
        <f t="shared" si="100"/>
        <v>0.05</v>
      </c>
      <c r="L184" s="204">
        <f t="shared" si="100"/>
        <v>0.04</v>
      </c>
      <c r="M184" s="204">
        <f t="shared" si="100"/>
        <v>0.03</v>
      </c>
    </row>
    <row r="185" spans="1:15" s="101" customFormat="1" ht="12.55" customHeight="1" x14ac:dyDescent="0.55000000000000004">
      <c r="A185" s="101" t="s">
        <v>273</v>
      </c>
      <c r="C185" s="105">
        <f>C11/C$7</f>
        <v>0.52019751731705643</v>
      </c>
      <c r="D185" s="105">
        <f>D11/D$7</f>
        <v>0.54172172928072493</v>
      </c>
      <c r="E185" s="105">
        <f>E11/E$7</f>
        <v>0.53547961399939514</v>
      </c>
      <c r="F185" s="105">
        <f>F11/F$7</f>
        <v>0.54415047268907568</v>
      </c>
      <c r="G185" s="105">
        <f>G11/G$7</f>
        <v>0.42841734378370605</v>
      </c>
      <c r="I185" s="105">
        <f>I11/I$7</f>
        <v>0.46782446571959602</v>
      </c>
      <c r="J185" s="105">
        <f>J11/J$7</f>
        <v>0.47847202774034703</v>
      </c>
      <c r="K185" s="105">
        <f>K11/K$7</f>
        <v>0.48361239324820798</v>
      </c>
      <c r="L185" s="105">
        <f>L11/L$7</f>
        <v>0.48779941661847087</v>
      </c>
      <c r="M185" s="105">
        <f>M11/M$7</f>
        <v>0.49093847494146131</v>
      </c>
    </row>
    <row r="186" spans="1:15" s="101" customFormat="1" ht="12.55" customHeight="1" x14ac:dyDescent="0.55000000000000004">
      <c r="A186" s="101" t="s">
        <v>272</v>
      </c>
      <c r="C186" s="105">
        <f>C17/C$7</f>
        <v>0.42836568136616143</v>
      </c>
      <c r="D186" s="105">
        <f>D17/D$7</f>
        <v>0.44355295450254861</v>
      </c>
      <c r="E186" s="105">
        <f>E17/E$7</f>
        <v>0.45267093723366231</v>
      </c>
      <c r="F186" s="105">
        <f>F17/F$7</f>
        <v>0.38845850840336132</v>
      </c>
      <c r="G186" s="105">
        <f>G17/G$7</f>
        <v>0.27180556554253255</v>
      </c>
      <c r="I186" s="105">
        <f>I17/I$7</f>
        <v>0.33229089110404975</v>
      </c>
      <c r="J186" s="105">
        <f>J17/J$7</f>
        <v>0.35004238741840032</v>
      </c>
      <c r="K186" s="105">
        <f>K17/K$7</f>
        <v>0.35698459844232794</v>
      </c>
      <c r="L186" s="105">
        <f>L17/L$7</f>
        <v>0.36196055454044934</v>
      </c>
      <c r="M186" s="105">
        <f>M17/M$7</f>
        <v>0.36488387816434242</v>
      </c>
    </row>
    <row r="187" spans="1:15" s="101" customFormat="1" ht="12.55" customHeight="1" x14ac:dyDescent="0.55000000000000004">
      <c r="A187" s="101" t="s">
        <v>277</v>
      </c>
      <c r="C187" s="105">
        <f>C112/C$7</f>
        <v>4.2452506686784172E-2</v>
      </c>
      <c r="D187" s="105">
        <f>D112/D$7</f>
        <v>4.705493675665471E-2</v>
      </c>
      <c r="E187" s="105">
        <f>E112/E$7</f>
        <v>6.0099524372474088E-2</v>
      </c>
      <c r="F187" s="105">
        <f>F112/F$7</f>
        <v>9.2141544117647065E-2</v>
      </c>
      <c r="G187" s="105">
        <f>G112/G$7</f>
        <v>9.7864384842165822E-2</v>
      </c>
      <c r="I187" s="105">
        <f>I112/I$7</f>
        <v>8.790997896138493E-2</v>
      </c>
      <c r="J187" s="105">
        <f>J112/J$7</f>
        <v>9.2052964824093711E-2</v>
      </c>
      <c r="K187" s="105">
        <f>K112/K$7</f>
        <v>0.10007945802180909</v>
      </c>
      <c r="L187" s="105">
        <f>L112/L$7</f>
        <v>0.10869842391476196</v>
      </c>
      <c r="M187" s="105">
        <f>M112/M$7</f>
        <v>0.11805996457771149</v>
      </c>
    </row>
    <row r="188" spans="1:15" s="101" customFormat="1" ht="12.55" customHeight="1" x14ac:dyDescent="0.55000000000000004">
      <c r="A188" s="101" t="s">
        <v>274</v>
      </c>
      <c r="C188" s="105">
        <f>C110/C$7</f>
        <v>0.47081818805294562</v>
      </c>
      <c r="D188" s="105">
        <f>D110/D$7</f>
        <v>0.49060789125920334</v>
      </c>
      <c r="E188" s="105">
        <f>E110/E$7</f>
        <v>0.51277046160613637</v>
      </c>
      <c r="F188" s="105">
        <f>F110/F$7</f>
        <v>0.4806000525210084</v>
      </c>
      <c r="G188" s="105">
        <f>G110/G$7</f>
        <v>0.36966995038469835</v>
      </c>
      <c r="I188" s="105">
        <f>I110/I$7</f>
        <v>0.42020087006543472</v>
      </c>
      <c r="J188" s="105">
        <f>J110/J$7</f>
        <v>0.44209535224249408</v>
      </c>
      <c r="K188" s="105">
        <f>K110/K$7</f>
        <v>0.45706405646413706</v>
      </c>
      <c r="L188" s="105">
        <f>L110/L$7</f>
        <v>0.47065897845521132</v>
      </c>
      <c r="M188" s="105">
        <f>M110/M$7</f>
        <v>0.48294384274205393</v>
      </c>
    </row>
    <row r="189" spans="1:15" s="101" customFormat="1" ht="12.55" customHeight="1" x14ac:dyDescent="0.55000000000000004">
      <c r="A189" s="101" t="s">
        <v>286</v>
      </c>
      <c r="C189" s="105">
        <f>C29/C27</f>
        <v>0.17090419262502105</v>
      </c>
      <c r="D189" s="105">
        <f>D29/D27</f>
        <v>0.18898294980326696</v>
      </c>
      <c r="E189" s="105">
        <f>E29/E27</f>
        <v>0.24734257474979798</v>
      </c>
      <c r="F189" s="105">
        <f>F29/F27</f>
        <v>2.9697847682119204E-2</v>
      </c>
      <c r="G189" s="105">
        <f>G29/G27</f>
        <v>0.32094556199568131</v>
      </c>
      <c r="I189" s="105">
        <f>I29/I27</f>
        <v>0.32</v>
      </c>
      <c r="J189" s="105">
        <f>J29/J27</f>
        <v>0.32</v>
      </c>
      <c r="K189" s="105">
        <f>K29/K27</f>
        <v>0.32</v>
      </c>
      <c r="L189" s="105">
        <f>L29/L27</f>
        <v>0.32</v>
      </c>
      <c r="M189" s="105">
        <f>M29/M27</f>
        <v>0.32</v>
      </c>
    </row>
    <row r="190" spans="1:15" s="101" customFormat="1" ht="12.55" customHeight="1" x14ac:dyDescent="0.55000000000000004">
      <c r="A190" s="116" t="s">
        <v>301</v>
      </c>
      <c r="C190" s="105">
        <f>C255</f>
        <v>0.32594911937377691</v>
      </c>
      <c r="D190" s="105">
        <f t="shared" ref="D190:M190" si="101">D255</f>
        <v>0.23448688839541904</v>
      </c>
      <c r="E190" s="105">
        <f t="shared" si="101"/>
        <v>0.24911489696492875</v>
      </c>
      <c r="F190" s="105">
        <f t="shared" si="101"/>
        <v>0.15282297639340875</v>
      </c>
      <c r="G190" s="105">
        <f t="shared" si="101"/>
        <v>8.3525759299974592E-2</v>
      </c>
      <c r="I190" s="105">
        <f t="shared" si="101"/>
        <v>0.10704095489920155</v>
      </c>
      <c r="J190" s="105">
        <f t="shared" si="101"/>
        <v>0.1161476831141315</v>
      </c>
      <c r="K190" s="105">
        <f t="shared" si="101"/>
        <v>0.11577728950886124</v>
      </c>
      <c r="L190" s="105">
        <f t="shared" si="101"/>
        <v>0.11390759995201673</v>
      </c>
      <c r="M190" s="105">
        <f t="shared" si="101"/>
        <v>0.11050039504890437</v>
      </c>
    </row>
    <row r="191" spans="1:15" s="101" customFormat="1" ht="12.55" customHeight="1" x14ac:dyDescent="0.55000000000000004">
      <c r="A191" s="116" t="s">
        <v>554</v>
      </c>
      <c r="C191" s="105">
        <f>C215</f>
        <v>0.1184182702474096</v>
      </c>
      <c r="D191" s="105">
        <f>D215</f>
        <v>9.3553349181932602E-2</v>
      </c>
      <c r="E191" s="105">
        <f>E215</f>
        <v>0.11614332187435111</v>
      </c>
      <c r="F191" s="105">
        <f>F215</f>
        <v>8.89191163505378E-2</v>
      </c>
      <c r="G191" s="105">
        <f>G215</f>
        <v>7.1270099037075998E-2</v>
      </c>
      <c r="I191" s="105">
        <f>I215</f>
        <v>7.1691078180070034E-2</v>
      </c>
      <c r="J191" s="105">
        <f>J215</f>
        <v>7.1097165149320046E-2</v>
      </c>
      <c r="K191" s="105">
        <f>K215</f>
        <v>7.0940396186276844E-2</v>
      </c>
      <c r="L191" s="105">
        <f>L215</f>
        <v>7.0761354827435521E-2</v>
      </c>
      <c r="M191" s="105">
        <f>M215</f>
        <v>7.0632047476416715E-2</v>
      </c>
    </row>
    <row r="192" spans="1:15" s="101" customFormat="1" ht="4.5" customHeight="1" x14ac:dyDescent="0.55000000000000004">
      <c r="C192" s="105"/>
      <c r="D192" s="105"/>
      <c r="E192" s="105"/>
      <c r="F192" s="105"/>
      <c r="G192" s="105"/>
      <c r="I192" s="105"/>
      <c r="J192" s="105"/>
      <c r="K192" s="105"/>
      <c r="L192" s="105"/>
      <c r="M192" s="105"/>
    </row>
    <row r="193" spans="1:13" s="101" customFormat="1" x14ac:dyDescent="0.55000000000000004">
      <c r="A193" s="134" t="s">
        <v>469</v>
      </c>
      <c r="C193" s="105"/>
      <c r="D193" s="105"/>
      <c r="E193" s="105"/>
      <c r="F193" s="105"/>
      <c r="G193" s="105"/>
      <c r="I193" s="105"/>
      <c r="J193" s="105"/>
      <c r="K193" s="105"/>
      <c r="L193" s="105"/>
      <c r="M193" s="105"/>
    </row>
    <row r="194" spans="1:13" s="101" customFormat="1" ht="12.55" customHeight="1" x14ac:dyDescent="0.55000000000000004">
      <c r="A194" s="101" t="s">
        <v>288</v>
      </c>
      <c r="C194" s="105">
        <f>-C119/C$7</f>
        <v>0.27275221178245662</v>
      </c>
      <c r="D194" s="105">
        <f>-D119/D$7</f>
        <v>0.2307910137813857</v>
      </c>
      <c r="E194" s="105">
        <f>-E119/E$7</f>
        <v>0.20963351936876254</v>
      </c>
      <c r="F194" s="105">
        <f>-F119/F$7</f>
        <v>0.33452599789915966</v>
      </c>
      <c r="G194" s="105">
        <f>-G119/G$7</f>
        <v>0.32404544474005897</v>
      </c>
      <c r="I194" s="105">
        <f>-I119/I$7</f>
        <v>0.32404544474005903</v>
      </c>
      <c r="J194" s="105">
        <f>-J119/J$7</f>
        <v>0.32404544474005903</v>
      </c>
      <c r="K194" s="105">
        <f>-K119/K$7</f>
        <v>0.32404544474005903</v>
      </c>
      <c r="L194" s="105">
        <f>-L119/L$7</f>
        <v>0.32404544474005897</v>
      </c>
      <c r="M194" s="105">
        <f>-M119/M$7</f>
        <v>0.32404544474005897</v>
      </c>
    </row>
    <row r="195" spans="1:13" s="101" customFormat="1" ht="12.55" customHeight="1" x14ac:dyDescent="0.55000000000000004">
      <c r="A195" s="101" t="s">
        <v>471</v>
      </c>
      <c r="C195" s="105">
        <f>C120/C$7</f>
        <v>-4.4715725944722583E-2</v>
      </c>
      <c r="D195" s="105">
        <f>D120/D$7</f>
        <v>-0.10364357183311308</v>
      </c>
      <c r="E195" s="105">
        <f>E120/E$7</f>
        <v>-3.8765018007862972E-2</v>
      </c>
      <c r="F195" s="105">
        <f>F120/F$7</f>
        <v>1.1095063025210085E-2</v>
      </c>
      <c r="G195" s="105">
        <f>G120/G$7</f>
        <v>2.8546775005392967E-2</v>
      </c>
      <c r="I195" s="105">
        <f>I120/I$7</f>
        <v>-2.7460289735497124E-2</v>
      </c>
      <c r="J195" s="105">
        <f>J120/J$7</f>
        <v>-1.4102482156278923E-2</v>
      </c>
      <c r="K195" s="105">
        <f>K120/K$7</f>
        <v>-7.3816370912783104E-3</v>
      </c>
      <c r="L195" s="105">
        <f>L120/L$7</f>
        <v>-5.9442254979450602E-3</v>
      </c>
      <c r="M195" s="105">
        <f>M120/M$7</f>
        <v>-4.4945286554207986E-3</v>
      </c>
    </row>
    <row r="196" spans="1:13" s="101" customFormat="1" ht="12.55" customHeight="1" x14ac:dyDescent="0.55000000000000004">
      <c r="A196" s="116" t="s">
        <v>472</v>
      </c>
      <c r="C196" s="102">
        <f>C142</f>
        <v>46.335299362183669</v>
      </c>
      <c r="D196" s="102">
        <f t="shared" ref="D196:G196" si="102">D142</f>
        <v>64.083443458561447</v>
      </c>
      <c r="E196" s="102">
        <f t="shared" si="102"/>
        <v>40.420641684766174</v>
      </c>
      <c r="F196" s="102">
        <f t="shared" si="102"/>
        <v>41.191898634453786</v>
      </c>
      <c r="G196" s="102">
        <f t="shared" si="102"/>
        <v>44.315991946501761</v>
      </c>
      <c r="I196" s="102">
        <f t="shared" ref="I196:M196" si="103">I142</f>
        <v>45</v>
      </c>
      <c r="J196" s="102">
        <f t="shared" si="103"/>
        <v>45</v>
      </c>
      <c r="K196" s="102">
        <f t="shared" si="103"/>
        <v>45</v>
      </c>
      <c r="L196" s="102">
        <f t="shared" si="103"/>
        <v>45</v>
      </c>
      <c r="M196" s="102">
        <f t="shared" si="103"/>
        <v>45</v>
      </c>
    </row>
    <row r="197" spans="1:13" s="101" customFormat="1" ht="12.55" customHeight="1" x14ac:dyDescent="0.55000000000000004">
      <c r="A197" s="116" t="s">
        <v>473</v>
      </c>
      <c r="C197" s="102">
        <f>C146</f>
        <v>72.36349342481418</v>
      </c>
      <c r="D197" s="102">
        <f t="shared" ref="D197:G197" si="104">D146</f>
        <v>111.98094747682801</v>
      </c>
      <c r="E197" s="102">
        <f t="shared" si="104"/>
        <v>88.052793560606062</v>
      </c>
      <c r="F197" s="102">
        <f t="shared" si="104"/>
        <v>109.94419241016779</v>
      </c>
      <c r="G197" s="102">
        <f t="shared" si="104"/>
        <v>77.853503585356648</v>
      </c>
      <c r="I197" s="102">
        <f t="shared" ref="I197:M197" si="105">I146</f>
        <v>78</v>
      </c>
      <c r="J197" s="102">
        <f t="shared" si="105"/>
        <v>78</v>
      </c>
      <c r="K197" s="102">
        <f t="shared" si="105"/>
        <v>78</v>
      </c>
      <c r="L197" s="102">
        <f t="shared" si="105"/>
        <v>78</v>
      </c>
      <c r="M197" s="102">
        <f t="shared" si="105"/>
        <v>78</v>
      </c>
    </row>
    <row r="198" spans="1:13" s="101" customFormat="1" ht="12.55" customHeight="1" x14ac:dyDescent="0.55000000000000004">
      <c r="A198" s="116" t="s">
        <v>474</v>
      </c>
      <c r="C198" s="102">
        <f>C150</f>
        <v>60.050743281875356</v>
      </c>
      <c r="D198" s="102">
        <f t="shared" ref="D198:G198" si="106">D150</f>
        <v>90.817713697219361</v>
      </c>
      <c r="E198" s="102">
        <f t="shared" si="106"/>
        <v>52.084221117424242</v>
      </c>
      <c r="F198" s="102">
        <f t="shared" si="106"/>
        <v>59.558579966875499</v>
      </c>
      <c r="G198" s="102">
        <f t="shared" si="106"/>
        <v>50.670210089319411</v>
      </c>
      <c r="I198" s="102">
        <f t="shared" ref="I198:M198" si="107">I150</f>
        <v>50</v>
      </c>
      <c r="J198" s="102">
        <f t="shared" si="107"/>
        <v>50</v>
      </c>
      <c r="K198" s="102">
        <f t="shared" si="107"/>
        <v>50</v>
      </c>
      <c r="L198" s="102">
        <f t="shared" si="107"/>
        <v>50</v>
      </c>
      <c r="M198" s="102">
        <f t="shared" si="107"/>
        <v>50</v>
      </c>
    </row>
    <row r="199" spans="1:13" s="101" customFormat="1" ht="12.55" customHeight="1" x14ac:dyDescent="0.55000000000000004">
      <c r="A199" s="116" t="s">
        <v>537</v>
      </c>
      <c r="C199" s="105">
        <f>C178</f>
        <v>0.2902433578923867</v>
      </c>
      <c r="D199" s="105">
        <f t="shared" ref="D199:G199" si="108">D178</f>
        <v>0.20690752825083558</v>
      </c>
      <c r="E199" s="105">
        <f t="shared" si="108"/>
        <v>0.16688918558077437</v>
      </c>
      <c r="F199" s="105">
        <f t="shared" si="108"/>
        <v>0.31011969532100109</v>
      </c>
      <c r="G199" s="105">
        <f t="shared" si="108"/>
        <v>0.4634229329703981</v>
      </c>
      <c r="I199" s="105">
        <f>I178</f>
        <v>0.45</v>
      </c>
      <c r="J199" s="105">
        <f>J178</f>
        <v>0.45</v>
      </c>
      <c r="K199" s="105">
        <f>K178</f>
        <v>0.45</v>
      </c>
      <c r="L199" s="105">
        <f>L178</f>
        <v>0.45</v>
      </c>
      <c r="M199" s="105">
        <f>M178</f>
        <v>0.45</v>
      </c>
    </row>
    <row r="200" spans="1:13" s="101" customFormat="1" ht="4.5" customHeight="1" x14ac:dyDescent="0.55000000000000004"/>
    <row r="201" spans="1:13" x14ac:dyDescent="0.55000000000000004">
      <c r="A201" s="151" t="s">
        <v>477</v>
      </c>
      <c r="B201" s="151"/>
      <c r="C201" s="93"/>
      <c r="D201" s="93"/>
      <c r="E201" s="93"/>
      <c r="F201" s="93"/>
      <c r="G201" s="93"/>
    </row>
    <row r="202" spans="1:13" ht="13.5" customHeight="1" x14ac:dyDescent="0.55000000000000004">
      <c r="A202" s="155" t="s">
        <v>475</v>
      </c>
      <c r="B202" s="154"/>
      <c r="C202" s="161"/>
      <c r="D202" s="161"/>
      <c r="E202" s="161"/>
      <c r="F202" s="161"/>
      <c r="G202" s="161"/>
      <c r="H202" s="162"/>
      <c r="I202" s="161"/>
      <c r="J202" s="161"/>
      <c r="K202" s="161"/>
      <c r="L202" s="161"/>
      <c r="M202" s="161"/>
    </row>
    <row r="203" spans="1:13" ht="12.55" customHeight="1" x14ac:dyDescent="0.55000000000000004">
      <c r="A203" s="93" t="s">
        <v>460</v>
      </c>
      <c r="B203" s="93"/>
      <c r="C203" s="161">
        <f>(C55+C56+C60)/((C55+C56+C60)+C68+C61)</f>
        <v>0.31677678150070787</v>
      </c>
      <c r="D203" s="161">
        <f>(D55+D56+D60)/((D55+D56+D60)+D68+D61)</f>
        <v>0.5240909501037625</v>
      </c>
      <c r="E203" s="161">
        <f>(E55+E56+E60)/((E55+E56+E60)+E68+E61)</f>
        <v>0.3671602548887144</v>
      </c>
      <c r="F203" s="161">
        <f>(F55+F56+F60)/((F55+F56+F60)+F68+F61)</f>
        <v>0.3070821707370599</v>
      </c>
      <c r="G203" s="161">
        <f>(G55+G56+G60)/((G55+G56+G60)+G68+G61)</f>
        <v>0.29296571484071482</v>
      </c>
      <c r="H203" s="162"/>
      <c r="I203" s="161">
        <f>(I55+I56+I60)/((I55+I56+I60)+I68+I61)</f>
        <v>0.2951965059083812</v>
      </c>
      <c r="J203" s="161">
        <f>(J55+J56+J60)/((J55+J56+J60)+J68+J61)</f>
        <v>0.31194628587931195</v>
      </c>
      <c r="K203" s="161">
        <f>(K55+K56+K60)/((K55+K56+K60)+K68+K61)</f>
        <v>0.32154961617796696</v>
      </c>
      <c r="L203" s="161">
        <f>(L55+L56+L60)/((L55+L56+L60)+L68+L61)</f>
        <v>0.3346674529474733</v>
      </c>
      <c r="M203" s="161">
        <f>(M55+M56+M60)/((M55+M56+M60)+M68+M61)</f>
        <v>0.34397116000385863</v>
      </c>
    </row>
    <row r="204" spans="1:13" ht="12.55" customHeight="1" x14ac:dyDescent="0.55000000000000004">
      <c r="A204" s="154" t="s">
        <v>270</v>
      </c>
      <c r="B204" s="154"/>
      <c r="C204" s="161">
        <f>(C55+C56+C60)/(C68+C61)</f>
        <v>0.46365049214298049</v>
      </c>
      <c r="D204" s="161">
        <f>(D55+D56+D60)/(D68+D61)</f>
        <v>1.1012418238695612</v>
      </c>
      <c r="E204" s="161">
        <f>(E55+E56+E60)/(E68+E61)</f>
        <v>0.58017888055395272</v>
      </c>
      <c r="F204" s="161">
        <f>(F55+F56+F60)/(F68+F61)</f>
        <v>0.44317256356890777</v>
      </c>
      <c r="G204" s="161">
        <f>(G55+G56+G60)/(G68+G61)</f>
        <v>0.41435856929443482</v>
      </c>
      <c r="H204" s="162"/>
      <c r="I204" s="161">
        <f>(I55+I56+I60)/(I68+I61)</f>
        <v>0.41883519077731468</v>
      </c>
      <c r="J204" s="161">
        <f>(J55+J56+J60)/(J68+J61)</f>
        <v>0.45337490297246624</v>
      </c>
      <c r="K204" s="161">
        <f>(K55+K56+K60)/(K68+K61)</f>
        <v>0.47394713577509578</v>
      </c>
      <c r="L204" s="161">
        <f>(L55+L56+L60)/(L68+L61)</f>
        <v>0.50300778825577575</v>
      </c>
      <c r="M204" s="161">
        <f>(M55+M56+M60)/(M68+M61)</f>
        <v>0.52432322945723209</v>
      </c>
    </row>
    <row r="205" spans="1:13" ht="13.5" customHeight="1" x14ac:dyDescent="0.55000000000000004">
      <c r="A205" s="155" t="s">
        <v>476</v>
      </c>
      <c r="B205" s="154"/>
      <c r="C205" s="161"/>
      <c r="D205" s="161"/>
      <c r="E205" s="161"/>
      <c r="F205" s="161"/>
      <c r="G205" s="161"/>
      <c r="H205" s="162"/>
      <c r="I205" s="161"/>
      <c r="J205" s="161"/>
      <c r="K205" s="161"/>
      <c r="L205" s="161"/>
      <c r="M205" s="161"/>
    </row>
    <row r="206" spans="1:13" ht="12.55" customHeight="1" x14ac:dyDescent="0.55000000000000004">
      <c r="A206" s="154" t="s">
        <v>282</v>
      </c>
      <c r="B206" s="154"/>
      <c r="C206" s="163">
        <f>C44/C58</f>
        <v>1.0773535878472915</v>
      </c>
      <c r="D206" s="163">
        <f>D44/D58</f>
        <v>1.6324983943481053</v>
      </c>
      <c r="E206" s="163">
        <f>E44/E58</f>
        <v>1.09352849120869</v>
      </c>
      <c r="F206" s="163">
        <f>F44/F58</f>
        <v>3.0084503541692555</v>
      </c>
      <c r="G206" s="163">
        <f>G44/G58</f>
        <v>2.1966359631557868</v>
      </c>
      <c r="I206" s="163">
        <f>I44/I58</f>
        <v>1.8927860572802191</v>
      </c>
      <c r="J206" s="163">
        <f>J44/J58</f>
        <v>1.6893929217676782</v>
      </c>
      <c r="K206" s="163">
        <f>K44/K58</f>
        <v>1.4699483837028791</v>
      </c>
      <c r="L206" s="163">
        <f>L44/L58</f>
        <v>1.3103534022224248</v>
      </c>
      <c r="M206" s="163">
        <f>M44/M58</f>
        <v>1.2399836699259301</v>
      </c>
    </row>
    <row r="207" spans="1:13" ht="12.55" customHeight="1" x14ac:dyDescent="0.55000000000000004">
      <c r="A207" s="154" t="s">
        <v>443</v>
      </c>
      <c r="B207" s="154"/>
      <c r="C207" s="163">
        <f>(C44-C42)/C58</f>
        <v>0.80011992804317411</v>
      </c>
      <c r="D207" s="163">
        <f>(D44-D42)/D58</f>
        <v>1.2498394348105331</v>
      </c>
      <c r="E207" s="163">
        <f>(E44-E42)/E58</f>
        <v>0.71830985915492962</v>
      </c>
      <c r="F207" s="163">
        <f>(F44-F42)/F58</f>
        <v>2.4886293028457809</v>
      </c>
      <c r="G207" s="163">
        <f>(G44-G42)/G58</f>
        <v>1.8571285542651181</v>
      </c>
      <c r="I207" s="163">
        <f>(I44-I42)/I58</f>
        <v>1.5281599757183828</v>
      </c>
      <c r="J207" s="163">
        <f>(J44-J42)/J58</f>
        <v>1.3369485537685002</v>
      </c>
      <c r="K207" s="163">
        <f>(K44-K42)/K58</f>
        <v>1.1405515739568881</v>
      </c>
      <c r="L207" s="163">
        <f>(L44-L42)/L58</f>
        <v>1.0141915404430173</v>
      </c>
      <c r="M207" s="163">
        <f>(M44-M42)/M58</f>
        <v>0.95815655824452928</v>
      </c>
    </row>
    <row r="208" spans="1:13" ht="13.5" customHeight="1" x14ac:dyDescent="0.55000000000000004">
      <c r="A208" s="155" t="s">
        <v>470</v>
      </c>
      <c r="B208" s="154"/>
      <c r="C208" s="161"/>
      <c r="D208" s="161"/>
      <c r="E208" s="161"/>
      <c r="F208" s="161"/>
      <c r="G208" s="161"/>
      <c r="H208" s="162"/>
      <c r="I208" s="161"/>
      <c r="J208" s="161"/>
      <c r="K208" s="161"/>
      <c r="L208" s="161"/>
      <c r="M208" s="161"/>
    </row>
    <row r="209" spans="1:16" ht="12.55" customHeight="1" x14ac:dyDescent="0.55000000000000004">
      <c r="A209" s="154" t="s">
        <v>306</v>
      </c>
      <c r="B209" s="154"/>
      <c r="C209" s="163">
        <f>C110/C216</f>
        <v>12.258928571428571</v>
      </c>
      <c r="D209" s="163">
        <f>D110/D216</f>
        <v>7.7690582959641254</v>
      </c>
      <c r="E209" s="163">
        <f>E110/E216</f>
        <v>7.410011918951132</v>
      </c>
      <c r="F209" s="163">
        <f>F110/F216</f>
        <v>8.2951841359773368</v>
      </c>
      <c r="G209" s="163">
        <f>G110/G216</f>
        <v>6.5994865211810012</v>
      </c>
      <c r="I209" s="163">
        <f>I110/I216</f>
        <v>7.8181049275623113</v>
      </c>
      <c r="J209" s="163">
        <f>J110/J216</f>
        <v>8.1725981290319112</v>
      </c>
      <c r="K209" s="163">
        <f>K110/K216</f>
        <v>7.8387380082782716</v>
      </c>
      <c r="L209" s="163">
        <f>L110/L216</f>
        <v>7.4903995007807396</v>
      </c>
      <c r="M209" s="163">
        <f>M110/M216</f>
        <v>7.0903273732717533</v>
      </c>
    </row>
    <row r="210" spans="1:16" ht="12.55" customHeight="1" x14ac:dyDescent="0.55000000000000004">
      <c r="A210" s="154" t="s">
        <v>458</v>
      </c>
      <c r="B210" s="154"/>
      <c r="C210" s="163">
        <f>C87/C216</f>
        <v>0.88035714285714284</v>
      </c>
      <c r="D210" s="163">
        <f>D87/D216</f>
        <v>-7.341554559043348</v>
      </c>
      <c r="E210" s="163">
        <f>E87/E216</f>
        <v>0.88835915772745333</v>
      </c>
      <c r="F210" s="163">
        <f>F87/F216</f>
        <v>0.9048158640226629</v>
      </c>
      <c r="G210" s="163">
        <f>G87/G216</f>
        <v>-3.5872913992297817</v>
      </c>
      <c r="I210" s="163">
        <f>I87/I216</f>
        <v>-0.53551016876311175</v>
      </c>
      <c r="J210" s="163">
        <f>J87/J216</f>
        <v>4.1534999055640232E-2</v>
      </c>
      <c r="K210" s="163">
        <f>K87/K216</f>
        <v>0.40200177397910819</v>
      </c>
      <c r="L210" s="163">
        <f>L87/L216</f>
        <v>0.61592778051426988</v>
      </c>
      <c r="M210" s="163">
        <f>M87/M216</f>
        <v>0.78181734675681447</v>
      </c>
    </row>
    <row r="211" spans="1:16" ht="12.55" customHeight="1" x14ac:dyDescent="0.55000000000000004">
      <c r="A211" s="154" t="s">
        <v>307</v>
      </c>
      <c r="B211" s="154"/>
      <c r="C211" s="163">
        <f>C217/C110</f>
        <v>0.78222869628550618</v>
      </c>
      <c r="D211" s="163">
        <f>D217/D110</f>
        <v>2.2351130351130353</v>
      </c>
      <c r="E211" s="163">
        <f>E217/E110</f>
        <v>1.078172752131253</v>
      </c>
      <c r="F211" s="163">
        <f>F217/F110</f>
        <v>1.3380233590601736</v>
      </c>
      <c r="G211" s="163">
        <f>G217/G110</f>
        <v>2.3469169422291385</v>
      </c>
      <c r="I211" s="163">
        <f>I217/I110</f>
        <v>1.8477414025354395</v>
      </c>
      <c r="J211" s="163">
        <f>J217/J110</f>
        <v>1.8454774548913409</v>
      </c>
      <c r="K211" s="163">
        <f>K217/K110</f>
        <v>1.8965474304519148</v>
      </c>
      <c r="L211" s="163">
        <f>L217/L110</f>
        <v>2.002436743363849</v>
      </c>
      <c r="M211" s="163">
        <f>M217/M110</f>
        <v>2.0989155782903883</v>
      </c>
    </row>
    <row r="212" spans="1:16" x14ac:dyDescent="0.55000000000000004">
      <c r="A212" s="154"/>
      <c r="B212" s="154"/>
      <c r="C212" s="154"/>
      <c r="D212" s="154"/>
      <c r="E212" s="154"/>
      <c r="F212" s="154"/>
      <c r="G212" s="154"/>
    </row>
    <row r="213" spans="1:16" ht="14.7" thickBot="1" x14ac:dyDescent="0.6">
      <c r="A213" s="151" t="s">
        <v>387</v>
      </c>
      <c r="C213" s="100">
        <v>2005</v>
      </c>
      <c r="D213" s="100">
        <f>C213+1</f>
        <v>2006</v>
      </c>
      <c r="E213" s="100">
        <f t="shared" ref="E213" si="109">D213+1</f>
        <v>2007</v>
      </c>
      <c r="F213" s="100">
        <f t="shared" ref="F213" si="110">E213+1</f>
        <v>2008</v>
      </c>
      <c r="G213" s="100">
        <f t="shared" ref="G213" si="111">F213+1</f>
        <v>2009</v>
      </c>
      <c r="H213" s="101"/>
      <c r="I213" s="152">
        <v>2010</v>
      </c>
      <c r="J213" s="152">
        <f>I213+1</f>
        <v>2011</v>
      </c>
      <c r="K213" s="152">
        <f t="shared" ref="K213" si="112">J213+1</f>
        <v>2012</v>
      </c>
      <c r="L213" s="152">
        <f t="shared" ref="L213" si="113">K213+1</f>
        <v>2013</v>
      </c>
      <c r="M213" s="152">
        <f t="shared" ref="M213" si="114">L213+1</f>
        <v>2014</v>
      </c>
      <c r="N213" s="101"/>
      <c r="P213" s="129" t="s">
        <v>446</v>
      </c>
    </row>
    <row r="214" spans="1:16" ht="14.7" thickTop="1" x14ac:dyDescent="0.55000000000000004">
      <c r="A214" s="155" t="s">
        <v>388</v>
      </c>
      <c r="B214" s="154"/>
      <c r="C214" s="164"/>
      <c r="D214" s="164"/>
      <c r="E214" s="164"/>
      <c r="F214" s="164"/>
      <c r="G214" s="164"/>
    </row>
    <row r="215" spans="1:16" x14ac:dyDescent="0.55000000000000004">
      <c r="A215" s="165" t="s">
        <v>300</v>
      </c>
      <c r="B215" s="154"/>
      <c r="C215" s="166">
        <f>C216/((B217+C217)/2)</f>
        <v>0.1184182702474096</v>
      </c>
      <c r="D215" s="166">
        <f>D216/((C217+D217)/2)</f>
        <v>9.3553349181932602E-2</v>
      </c>
      <c r="E215" s="166">
        <f>E216/((D217+E217)/2)</f>
        <v>0.11614332187435111</v>
      </c>
      <c r="F215" s="166">
        <f>F216/((E217+F217)/2)</f>
        <v>8.89191163505378E-2</v>
      </c>
      <c r="G215" s="166">
        <f>G216/((F217+G217)/2)</f>
        <v>7.1270099037075998E-2</v>
      </c>
      <c r="I215" s="166">
        <f>I216/((G217+I217)/2)</f>
        <v>7.1691078180070034E-2</v>
      </c>
      <c r="J215" s="166">
        <f>J216/((I217+J217)/2)</f>
        <v>7.1097165149320046E-2</v>
      </c>
      <c r="K215" s="166">
        <f>K216/((J217+K217)/2)</f>
        <v>7.0940396186276844E-2</v>
      </c>
      <c r="L215" s="166">
        <f>L216/((K217+L217)/2)</f>
        <v>7.0761354827435521E-2</v>
      </c>
      <c r="M215" s="166">
        <f>M216/((L217+M217)/2)</f>
        <v>7.0632047476416715E-2</v>
      </c>
    </row>
    <row r="216" spans="1:16" x14ac:dyDescent="0.55000000000000004">
      <c r="A216" s="154" t="s">
        <v>283</v>
      </c>
      <c r="B216" s="154"/>
      <c r="C216" s="159">
        <f>'Exhibit 1'!C28</f>
        <v>560</v>
      </c>
      <c r="D216" s="159">
        <f>'Exhibit 1'!D28</f>
        <v>1338</v>
      </c>
      <c r="E216" s="159">
        <f>'Exhibit 1'!E28</f>
        <v>2517</v>
      </c>
      <c r="F216" s="159">
        <f>'Exhibit 1'!F28</f>
        <v>1765</v>
      </c>
      <c r="G216" s="159">
        <f>'Exhibit 1'!G28</f>
        <v>1558</v>
      </c>
      <c r="I216" s="156">
        <f>I224+I230+I237</f>
        <v>1793.9079265303476</v>
      </c>
      <c r="J216" s="156">
        <f>J224+J230+J237</f>
        <v>1986.0637598636808</v>
      </c>
      <c r="K216" s="156">
        <f>K224+K230+K237</f>
        <v>2247.7996584593216</v>
      </c>
      <c r="L216" s="156">
        <f>L224+L230+L237</f>
        <v>2519.1926835502391</v>
      </c>
      <c r="M216" s="156">
        <f>M224+M230+M237</f>
        <v>2812.7270526177354</v>
      </c>
    </row>
    <row r="217" spans="1:16" x14ac:dyDescent="0.55000000000000004">
      <c r="A217" s="165" t="s">
        <v>284</v>
      </c>
      <c r="B217" s="167">
        <v>4088</v>
      </c>
      <c r="C217" s="167">
        <f>C55+C56+C60</f>
        <v>5370</v>
      </c>
      <c r="D217" s="167">
        <f>D55+D56+D60</f>
        <v>23234</v>
      </c>
      <c r="E217" s="167">
        <f>E55+E56+E60</f>
        <v>20109</v>
      </c>
      <c r="F217" s="167">
        <f>F55+F56+F60</f>
        <v>19590</v>
      </c>
      <c r="G217" s="167">
        <f>G55+G56+G60</f>
        <v>24131</v>
      </c>
      <c r="H217" s="125"/>
      <c r="I217" s="167">
        <f>I55+I56+I60</f>
        <v>25914.5</v>
      </c>
      <c r="J217" s="167">
        <f>J55+J56+J60</f>
        <v>29954.5</v>
      </c>
      <c r="K217" s="167">
        <f>K55+K56+K60</f>
        <v>33417</v>
      </c>
      <c r="L217" s="167">
        <f>L55+L56+L60</f>
        <v>37785.5</v>
      </c>
      <c r="M217" s="167">
        <f>M55+M56+M60</f>
        <v>41859</v>
      </c>
    </row>
    <row r="218" spans="1:16" x14ac:dyDescent="0.55000000000000004">
      <c r="A218" s="154"/>
      <c r="B218" s="159"/>
      <c r="C218" s="159"/>
      <c r="D218" s="159"/>
      <c r="E218" s="159"/>
      <c r="F218" s="159"/>
      <c r="G218" s="159"/>
      <c r="I218" s="168">
        <f>I223+I229+I236-I217</f>
        <v>0</v>
      </c>
      <c r="J218" s="168">
        <f>J223+J229+J236-J217</f>
        <v>0</v>
      </c>
      <c r="K218" s="168">
        <f>K223+K229+K236-K217</f>
        <v>0</v>
      </c>
      <c r="L218" s="168">
        <f>L223+L229+L236-L217</f>
        <v>0</v>
      </c>
      <c r="M218" s="168">
        <f>M223+M229+M236-M217</f>
        <v>0</v>
      </c>
    </row>
    <row r="219" spans="1:16" x14ac:dyDescent="0.55000000000000004">
      <c r="A219" s="155" t="s">
        <v>389</v>
      </c>
      <c r="B219" s="159"/>
      <c r="C219" s="159"/>
      <c r="D219" s="159"/>
      <c r="E219" s="159"/>
      <c r="F219" s="159"/>
      <c r="G219" s="159"/>
      <c r="I219" s="159"/>
      <c r="J219" s="159"/>
      <c r="K219" s="159"/>
      <c r="L219" s="159"/>
      <c r="M219" s="159"/>
    </row>
    <row r="220" spans="1:16" x14ac:dyDescent="0.55000000000000004">
      <c r="A220" s="165" t="s">
        <v>390</v>
      </c>
      <c r="B220" s="154"/>
      <c r="C220" s="166">
        <f>C224/((B223+C223)/2)</f>
        <v>0.1184182702474096</v>
      </c>
      <c r="D220" s="166">
        <f>D224/((C223+D223)/2)</f>
        <v>9.3553349181932602E-2</v>
      </c>
      <c r="E220" s="166">
        <f>E224/((D223+E223)/2)</f>
        <v>0.11614332187435111</v>
      </c>
      <c r="F220" s="166">
        <f>F224/((E223+F223)/2)</f>
        <v>8.89191163505378E-2</v>
      </c>
      <c r="G220" s="166">
        <f>G224/((F223+G223)/2)</f>
        <v>7.1270099037075998E-2</v>
      </c>
      <c r="I220" s="169">
        <f>G220</f>
        <v>7.1270099037075998E-2</v>
      </c>
      <c r="J220" s="169">
        <f>I220</f>
        <v>7.1270099037075998E-2</v>
      </c>
      <c r="K220" s="169">
        <f>J220</f>
        <v>7.1270099037075998E-2</v>
      </c>
      <c r="L220" s="169">
        <f>K220</f>
        <v>7.1270099037075998E-2</v>
      </c>
      <c r="M220" s="169">
        <f>L220</f>
        <v>7.1270099037075998E-2</v>
      </c>
    </row>
    <row r="221" spans="1:16" x14ac:dyDescent="0.55000000000000004">
      <c r="A221" s="154" t="s">
        <v>395</v>
      </c>
      <c r="B221" s="154"/>
      <c r="C221" s="159"/>
      <c r="D221" s="159"/>
      <c r="E221" s="159"/>
      <c r="F221" s="159"/>
      <c r="G221" s="159"/>
      <c r="I221" s="159">
        <v>0</v>
      </c>
      <c r="J221" s="159">
        <v>0</v>
      </c>
      <c r="K221" s="159">
        <f>-'Exhibit 4'!C31</f>
        <v>-1341</v>
      </c>
      <c r="L221" s="159">
        <f>-'Exhibit 4'!D31</f>
        <v>-2898</v>
      </c>
      <c r="M221" s="159">
        <f>-'Exhibit 4'!E31</f>
        <v>-150</v>
      </c>
    </row>
    <row r="222" spans="1:16" x14ac:dyDescent="0.55000000000000004">
      <c r="A222" s="154" t="s">
        <v>411</v>
      </c>
      <c r="B222" s="154"/>
      <c r="C222" s="159"/>
      <c r="D222" s="159"/>
      <c r="E222" s="159"/>
      <c r="F222" s="159"/>
      <c r="G222" s="159"/>
      <c r="I222" s="170">
        <v>0</v>
      </c>
      <c r="J222" s="170">
        <v>0</v>
      </c>
      <c r="K222" s="170">
        <v>0</v>
      </c>
      <c r="L222" s="170">
        <v>0</v>
      </c>
      <c r="M222" s="170">
        <v>0</v>
      </c>
    </row>
    <row r="223" spans="1:16" x14ac:dyDescent="0.55000000000000004">
      <c r="A223" s="165" t="s">
        <v>412</v>
      </c>
      <c r="B223" s="167">
        <v>4088</v>
      </c>
      <c r="C223" s="167">
        <f>C55+C56+C60</f>
        <v>5370</v>
      </c>
      <c r="D223" s="167">
        <f>D55+D56+D60</f>
        <v>23234</v>
      </c>
      <c r="E223" s="167">
        <f>E55+E56+E60</f>
        <v>20109</v>
      </c>
      <c r="F223" s="167">
        <f>F55+F56+F60</f>
        <v>19590</v>
      </c>
      <c r="G223" s="167">
        <f>G55+G56+G60</f>
        <v>24131</v>
      </c>
      <c r="H223" s="125"/>
      <c r="I223" s="167">
        <f>G223+I221+I222</f>
        <v>24131</v>
      </c>
      <c r="J223" s="167">
        <f>I223+J221+J222</f>
        <v>24131</v>
      </c>
      <c r="K223" s="167">
        <f>J223+K221+K222</f>
        <v>22790</v>
      </c>
      <c r="L223" s="167">
        <f>K223+L221+L222</f>
        <v>19892</v>
      </c>
      <c r="M223" s="167">
        <f>L223+M221+M222</f>
        <v>19742</v>
      </c>
    </row>
    <row r="224" spans="1:16" x14ac:dyDescent="0.55000000000000004">
      <c r="A224" s="154" t="s">
        <v>283</v>
      </c>
      <c r="B224" s="154"/>
      <c r="C224" s="159">
        <f>'Exhibit 1'!C28</f>
        <v>560</v>
      </c>
      <c r="D224" s="159">
        <f>'Exhibit 1'!D28</f>
        <v>1338</v>
      </c>
      <c r="E224" s="159">
        <f>'Exhibit 1'!E28</f>
        <v>2517</v>
      </c>
      <c r="F224" s="159">
        <f>'Exhibit 1'!F28</f>
        <v>1765</v>
      </c>
      <c r="G224" s="159">
        <f>'Exhibit 1'!G28</f>
        <v>1558</v>
      </c>
      <c r="I224" s="159">
        <f>((I223+G223)/2)*I220</f>
        <v>1719.818759863681</v>
      </c>
      <c r="J224" s="159">
        <f>((J223+I223)/2)*J220</f>
        <v>1719.818759863681</v>
      </c>
      <c r="K224" s="159">
        <f>((K223+J223)/2)*K220</f>
        <v>1672.0321584593214</v>
      </c>
      <c r="L224" s="159">
        <f>((L223+K223)/2)*L220</f>
        <v>1520.9751835502389</v>
      </c>
      <c r="M224" s="159">
        <f>((M223+L223)/2)*M220</f>
        <v>1412.3595526177351</v>
      </c>
    </row>
    <row r="225" spans="1:16" x14ac:dyDescent="0.55000000000000004">
      <c r="A225" s="154"/>
      <c r="B225" s="154"/>
      <c r="C225" s="164"/>
      <c r="D225" s="164"/>
      <c r="E225" s="164"/>
      <c r="F225" s="164"/>
      <c r="G225" s="164"/>
    </row>
    <row r="226" spans="1:16" ht="14.7" thickBot="1" x14ac:dyDescent="0.6">
      <c r="A226" s="155" t="s">
        <v>450</v>
      </c>
      <c r="B226" s="154"/>
      <c r="C226" s="164"/>
      <c r="D226" s="164"/>
      <c r="E226" s="164"/>
      <c r="F226" s="164"/>
      <c r="G226" s="164"/>
    </row>
    <row r="227" spans="1:16" ht="14.7" thickBot="1" x14ac:dyDescent="0.6">
      <c r="A227" s="154" t="s">
        <v>405</v>
      </c>
      <c r="B227" s="154"/>
      <c r="C227" s="164"/>
      <c r="D227" s="164"/>
      <c r="E227" s="164"/>
      <c r="F227" s="164"/>
      <c r="G227" s="164"/>
      <c r="I227" s="171">
        <v>1000</v>
      </c>
      <c r="J227" s="171">
        <v>0</v>
      </c>
      <c r="K227" s="171">
        <v>0</v>
      </c>
      <c r="L227" s="171">
        <v>0</v>
      </c>
      <c r="M227" s="171">
        <v>0</v>
      </c>
    </row>
    <row r="228" spans="1:16" x14ac:dyDescent="0.55000000000000004">
      <c r="A228" s="154" t="s">
        <v>406</v>
      </c>
      <c r="B228" s="154"/>
      <c r="C228" s="159"/>
      <c r="D228" s="159"/>
      <c r="E228" s="159"/>
      <c r="F228" s="159"/>
      <c r="G228" s="159"/>
      <c r="I228" s="172">
        <v>0</v>
      </c>
      <c r="J228" s="172">
        <v>0</v>
      </c>
      <c r="K228" s="172">
        <v>0</v>
      </c>
      <c r="L228" s="172">
        <v>0</v>
      </c>
      <c r="M228" s="172">
        <v>0</v>
      </c>
    </row>
    <row r="229" spans="1:16" x14ac:dyDescent="0.55000000000000004">
      <c r="A229" s="165" t="s">
        <v>407</v>
      </c>
      <c r="B229" s="165"/>
      <c r="D229" s="212" t="s">
        <v>488</v>
      </c>
      <c r="E229" s="167"/>
      <c r="F229" s="167"/>
      <c r="G229" s="167"/>
      <c r="H229" s="125"/>
      <c r="I229" s="167">
        <f>I227+I228</f>
        <v>1000</v>
      </c>
      <c r="J229" s="167">
        <f>I229+J228</f>
        <v>1000</v>
      </c>
      <c r="K229" s="167">
        <f>J229+K228</f>
        <v>1000</v>
      </c>
      <c r="L229" s="167">
        <f>K229+L228</f>
        <v>1000</v>
      </c>
      <c r="M229" s="167">
        <f>L229+M228</f>
        <v>1000</v>
      </c>
    </row>
    <row r="230" spans="1:16" x14ac:dyDescent="0.55000000000000004">
      <c r="A230" s="154" t="s">
        <v>408</v>
      </c>
      <c r="B230" s="154"/>
      <c r="C230" s="164"/>
      <c r="D230" s="164"/>
      <c r="E230" s="164"/>
      <c r="F230" s="164"/>
      <c r="G230" s="164"/>
      <c r="I230" s="173">
        <f>I229*I231*8/12</f>
        <v>46.666666666666664</v>
      </c>
      <c r="J230" s="159">
        <f>((I229+J229)/2)*J231</f>
        <v>70</v>
      </c>
      <c r="K230" s="159">
        <f>((J229+K229)/2)*K231</f>
        <v>70</v>
      </c>
      <c r="L230" s="159">
        <f>((K229+L229)/2)*L231</f>
        <v>70</v>
      </c>
      <c r="M230" s="159">
        <f>((L229+M229)/2)*M231</f>
        <v>70</v>
      </c>
    </row>
    <row r="231" spans="1:16" x14ac:dyDescent="0.55000000000000004">
      <c r="A231" s="165" t="s">
        <v>409</v>
      </c>
      <c r="C231" s="164"/>
      <c r="D231" s="164"/>
      <c r="E231" s="164"/>
      <c r="F231" s="164"/>
      <c r="G231" s="164"/>
      <c r="I231" s="174">
        <v>7.0000000000000007E-2</v>
      </c>
      <c r="J231" s="174">
        <f>I231</f>
        <v>7.0000000000000007E-2</v>
      </c>
      <c r="K231" s="174">
        <f>J231</f>
        <v>7.0000000000000007E-2</v>
      </c>
      <c r="L231" s="174">
        <f>K231</f>
        <v>7.0000000000000007E-2</v>
      </c>
      <c r="M231" s="174">
        <f>L231</f>
        <v>7.0000000000000007E-2</v>
      </c>
      <c r="P231" s="124"/>
    </row>
    <row r="232" spans="1:16" x14ac:dyDescent="0.55000000000000004">
      <c r="A232" s="154"/>
      <c r="B232" s="154"/>
      <c r="C232" s="164"/>
      <c r="D232" s="164"/>
      <c r="E232" s="164"/>
      <c r="F232" s="164"/>
      <c r="G232" s="164"/>
    </row>
    <row r="233" spans="1:16" x14ac:dyDescent="0.55000000000000004">
      <c r="A233" s="155" t="s">
        <v>452</v>
      </c>
      <c r="B233" s="154"/>
      <c r="C233" s="164"/>
      <c r="D233" s="164"/>
      <c r="E233" s="164"/>
      <c r="F233" s="164"/>
      <c r="G233" s="164"/>
    </row>
    <row r="234" spans="1:16" x14ac:dyDescent="0.55000000000000004">
      <c r="A234" s="154" t="s">
        <v>453</v>
      </c>
      <c r="B234" s="154"/>
      <c r="C234" s="164"/>
      <c r="D234" s="164"/>
      <c r="E234" s="164"/>
      <c r="F234" s="164"/>
      <c r="G234" s="164"/>
      <c r="I234" s="156">
        <f>I246</f>
        <v>783.5</v>
      </c>
      <c r="J234" s="156">
        <f>J246</f>
        <v>4040</v>
      </c>
      <c r="K234" s="156">
        <f>K246</f>
        <v>4803.5</v>
      </c>
      <c r="L234" s="156">
        <f>L246</f>
        <v>7266.5</v>
      </c>
      <c r="M234" s="156">
        <f>M246</f>
        <v>4223.5</v>
      </c>
    </row>
    <row r="235" spans="1:16" x14ac:dyDescent="0.55000000000000004">
      <c r="A235" s="154" t="s">
        <v>454</v>
      </c>
      <c r="B235" s="154"/>
      <c r="C235" s="164"/>
      <c r="D235" s="164"/>
      <c r="E235" s="164"/>
      <c r="F235" s="164"/>
      <c r="G235" s="164"/>
      <c r="I235" s="109">
        <v>0</v>
      </c>
      <c r="J235" s="109">
        <v>0</v>
      </c>
      <c r="K235" s="109">
        <v>0</v>
      </c>
      <c r="L235" s="109">
        <v>0</v>
      </c>
      <c r="M235" s="109">
        <v>0</v>
      </c>
    </row>
    <row r="236" spans="1:16" x14ac:dyDescent="0.55000000000000004">
      <c r="A236" s="165" t="s">
        <v>455</v>
      </c>
      <c r="B236" s="165"/>
      <c r="C236" s="175"/>
      <c r="D236" s="175"/>
      <c r="E236" s="175"/>
      <c r="F236" s="175"/>
      <c r="G236" s="175"/>
      <c r="H236" s="125"/>
      <c r="I236" s="126">
        <f>I234+I235</f>
        <v>783.5</v>
      </c>
      <c r="J236" s="126">
        <f>I236+J234+J235</f>
        <v>4823.5</v>
      </c>
      <c r="K236" s="126">
        <f>J236+K234+K235</f>
        <v>9627</v>
      </c>
      <c r="L236" s="126">
        <f>K236+L234+L235</f>
        <v>16893.5</v>
      </c>
      <c r="M236" s="176">
        <f>L236+M234+M235</f>
        <v>21117</v>
      </c>
    </row>
    <row r="237" spans="1:16" x14ac:dyDescent="0.55000000000000004">
      <c r="A237" s="154" t="s">
        <v>456</v>
      </c>
      <c r="B237" s="154"/>
      <c r="C237" s="164"/>
      <c r="D237" s="164"/>
      <c r="E237" s="164"/>
      <c r="F237" s="164"/>
      <c r="G237" s="164"/>
      <c r="I237" s="156">
        <f>((I236+H236)/2)*I238</f>
        <v>27.422500000000003</v>
      </c>
      <c r="J237" s="156">
        <f>((J236+I236)/2)*J238</f>
        <v>196.245</v>
      </c>
      <c r="K237" s="156">
        <f>((K236+J236)/2)*K238</f>
        <v>505.76750000000004</v>
      </c>
      <c r="L237" s="156">
        <f>((L236+K236)/2)*L238</f>
        <v>928.21750000000009</v>
      </c>
      <c r="M237" s="102">
        <f>((M236+L236)/2)*M238</f>
        <v>1330.3675000000001</v>
      </c>
    </row>
    <row r="238" spans="1:16" x14ac:dyDescent="0.55000000000000004">
      <c r="A238" s="165" t="s">
        <v>457</v>
      </c>
      <c r="B238" s="154"/>
      <c r="C238" s="164"/>
      <c r="D238" s="164"/>
      <c r="E238" s="164"/>
      <c r="F238" s="164"/>
      <c r="G238" s="164"/>
      <c r="I238" s="177">
        <f>I231+0</f>
        <v>7.0000000000000007E-2</v>
      </c>
      <c r="J238" s="177">
        <f>I238</f>
        <v>7.0000000000000007E-2</v>
      </c>
      <c r="K238" s="177">
        <f>J238</f>
        <v>7.0000000000000007E-2</v>
      </c>
      <c r="L238" s="177">
        <f>K238</f>
        <v>7.0000000000000007E-2</v>
      </c>
      <c r="M238" s="177">
        <f>L238</f>
        <v>7.0000000000000007E-2</v>
      </c>
    </row>
    <row r="239" spans="1:16" x14ac:dyDescent="0.55000000000000004">
      <c r="A239" s="154"/>
      <c r="B239" s="154"/>
      <c r="C239" s="164"/>
      <c r="D239" s="164"/>
      <c r="E239" s="164"/>
      <c r="F239" s="164"/>
      <c r="G239" s="164"/>
    </row>
    <row r="240" spans="1:16" x14ac:dyDescent="0.55000000000000004">
      <c r="A240" s="151" t="s">
        <v>396</v>
      </c>
      <c r="B240" s="154"/>
      <c r="C240" s="164"/>
      <c r="D240" s="164"/>
      <c r="E240" s="164"/>
      <c r="F240" s="164"/>
      <c r="G240" s="164"/>
    </row>
    <row r="241" spans="1:16" x14ac:dyDescent="0.55000000000000004">
      <c r="A241" s="154" t="s">
        <v>397</v>
      </c>
      <c r="B241" s="154"/>
      <c r="C241" s="159">
        <f>C10+C14+C15+C112</f>
        <v>8954</v>
      </c>
      <c r="D241" s="159">
        <f>D10+D14+D15+D112</f>
        <v>12787</v>
      </c>
      <c r="E241" s="159">
        <f>E10+E14+E15+E112</f>
        <v>22094</v>
      </c>
      <c r="F241" s="159">
        <f>F10+F14+F15+F112</f>
        <v>21437</v>
      </c>
      <c r="G241" s="159">
        <f>G10+G14+G15+G112</f>
        <v>22976</v>
      </c>
      <c r="I241" s="159">
        <f>I10+I14+I15+I112</f>
        <v>25220.147171596702</v>
      </c>
      <c r="J241" s="159">
        <f>J10+J14+J15+J112</f>
        <v>27242.53250394978</v>
      </c>
      <c r="K241" s="159">
        <f>K10+K14+K15+K112</f>
        <v>28646.458428140351</v>
      </c>
      <c r="L241" s="159">
        <f>L10+L14+L15+L112</f>
        <v>29938.373086861309</v>
      </c>
      <c r="M241" s="159">
        <f>M10+M14+M15+M112</f>
        <v>31102.390313832992</v>
      </c>
      <c r="P241" s="129" t="s">
        <v>553</v>
      </c>
    </row>
    <row r="242" spans="1:16" x14ac:dyDescent="0.55000000000000004">
      <c r="A242" s="154" t="s">
        <v>398</v>
      </c>
      <c r="B242" s="154"/>
      <c r="C242" s="159">
        <f>C241/12</f>
        <v>746.16666666666663</v>
      </c>
      <c r="D242" s="159">
        <f>D241/12</f>
        <v>1065.5833333333333</v>
      </c>
      <c r="E242" s="159">
        <f>E241/12</f>
        <v>1841.1666666666667</v>
      </c>
      <c r="F242" s="159">
        <f>F241/12</f>
        <v>1786.4166666666667</v>
      </c>
      <c r="G242" s="159">
        <f>G241/12</f>
        <v>1914.6666666666667</v>
      </c>
      <c r="I242" s="159">
        <f>I241/12</f>
        <v>2101.6789309663918</v>
      </c>
      <c r="J242" s="159">
        <f>J241/12</f>
        <v>2270.2110419958149</v>
      </c>
      <c r="K242" s="159">
        <f>K241/12</f>
        <v>2387.2048690116958</v>
      </c>
      <c r="L242" s="159">
        <f>L241/12</f>
        <v>2494.8644239051091</v>
      </c>
      <c r="M242" s="159">
        <f>M241/12</f>
        <v>2591.8658594860826</v>
      </c>
    </row>
    <row r="243" spans="1:16" x14ac:dyDescent="0.55000000000000004">
      <c r="A243" s="165" t="s">
        <v>400</v>
      </c>
      <c r="B243" s="165"/>
      <c r="C243" s="178">
        <f>C244/C242</f>
        <v>1.5532722805450079</v>
      </c>
      <c r="D243" s="178">
        <f>D244/D242</f>
        <v>4.2924845546257924</v>
      </c>
      <c r="E243" s="178">
        <f>E244/E242</f>
        <v>0.64904498958993384</v>
      </c>
      <c r="F243" s="178">
        <f>F244/F242</f>
        <v>5.9986005504501563</v>
      </c>
      <c r="G243" s="178">
        <f>G244/G242</f>
        <v>3.959958217270195</v>
      </c>
      <c r="I243" s="179">
        <v>2</v>
      </c>
      <c r="J243" s="179">
        <v>1.5</v>
      </c>
      <c r="K243" s="179">
        <v>1</v>
      </c>
      <c r="L243" s="179">
        <v>1</v>
      </c>
      <c r="M243" s="179">
        <v>1</v>
      </c>
      <c r="P243" s="129" t="s">
        <v>451</v>
      </c>
    </row>
    <row r="244" spans="1:16" x14ac:dyDescent="0.55000000000000004">
      <c r="A244" s="154" t="s">
        <v>441</v>
      </c>
      <c r="B244" s="159">
        <f>B104</f>
        <v>1249</v>
      </c>
      <c r="C244" s="159">
        <f>C40</f>
        <v>1159</v>
      </c>
      <c r="D244" s="159">
        <f>D40</f>
        <v>4574</v>
      </c>
      <c r="E244" s="159">
        <f>E40</f>
        <v>1195</v>
      </c>
      <c r="F244" s="159">
        <f>F40</f>
        <v>10716</v>
      </c>
      <c r="G244" s="159">
        <f>G40</f>
        <v>7582</v>
      </c>
      <c r="I244" s="159">
        <f>I40</f>
        <v>4203.3028811865352</v>
      </c>
      <c r="J244" s="159">
        <f>J40</f>
        <v>3405.3130921067955</v>
      </c>
      <c r="K244" s="159">
        <f>K40</f>
        <v>2387.1341254852523</v>
      </c>
      <c r="L244" s="159">
        <f>L40</f>
        <v>2494.8301496820814</v>
      </c>
      <c r="M244" s="159">
        <f>M40</f>
        <v>2591.789454407779</v>
      </c>
    </row>
    <row r="245" spans="1:16" ht="14.7" thickBot="1" x14ac:dyDescent="0.6">
      <c r="A245" s="165" t="s">
        <v>401</v>
      </c>
      <c r="B245" s="154"/>
      <c r="C245" s="159"/>
      <c r="D245" s="164"/>
      <c r="E245" s="164"/>
      <c r="F245" s="164"/>
      <c r="G245" s="164"/>
      <c r="I245" s="167">
        <f>I242*I243</f>
        <v>4203.3578619327836</v>
      </c>
      <c r="J245" s="167">
        <f>J242*J243</f>
        <v>3405.3165629937221</v>
      </c>
      <c r="K245" s="167">
        <f>K242*K243</f>
        <v>2387.2048690116958</v>
      </c>
      <c r="L245" s="167">
        <f>L242*L243</f>
        <v>2494.8644239051091</v>
      </c>
      <c r="M245" s="167">
        <f>M242*M243</f>
        <v>2591.8658594860826</v>
      </c>
    </row>
    <row r="246" spans="1:16" ht="14.7" thickBot="1" x14ac:dyDescent="0.6">
      <c r="A246" s="165" t="s">
        <v>447</v>
      </c>
      <c r="B246" s="154"/>
      <c r="C246" s="159"/>
      <c r="D246" s="164"/>
      <c r="E246" s="164"/>
      <c r="F246" s="164"/>
      <c r="G246" s="164"/>
      <c r="I246" s="171">
        <v>783.5</v>
      </c>
      <c r="J246" s="171">
        <v>4040</v>
      </c>
      <c r="K246" s="171">
        <v>4803.5</v>
      </c>
      <c r="L246" s="171">
        <v>7266.5</v>
      </c>
      <c r="M246" s="171">
        <v>4223.5</v>
      </c>
    </row>
    <row r="247" spans="1:16" x14ac:dyDescent="0.55000000000000004">
      <c r="A247" s="180"/>
      <c r="B247" s="180"/>
      <c r="C247" s="181"/>
      <c r="D247" s="181"/>
      <c r="E247" s="181"/>
      <c r="F247" s="181"/>
      <c r="G247" s="181"/>
      <c r="H247" s="182" t="s">
        <v>448</v>
      </c>
      <c r="I247" s="183">
        <f>I245-I244</f>
        <v>5.4980746248475043E-2</v>
      </c>
      <c r="J247" s="183">
        <f>J245-J244</f>
        <v>3.4708869266069087E-3</v>
      </c>
      <c r="K247" s="183">
        <f>K245-K244</f>
        <v>7.0743526443493465E-2</v>
      </c>
      <c r="L247" s="183">
        <f>L245-L244</f>
        <v>3.427422302775085E-2</v>
      </c>
      <c r="M247" s="183">
        <f>M245-M244</f>
        <v>7.6405078303650953E-2</v>
      </c>
    </row>
    <row r="248" spans="1:16" x14ac:dyDescent="0.55000000000000004">
      <c r="A248" s="154"/>
      <c r="B248" s="154"/>
      <c r="C248" s="164"/>
      <c r="D248" s="164"/>
      <c r="E248" s="164"/>
      <c r="F248" s="164"/>
      <c r="G248" s="164"/>
      <c r="H248" s="184"/>
      <c r="I248" s="126"/>
      <c r="J248" s="126"/>
      <c r="K248" s="126"/>
      <c r="L248" s="126"/>
      <c r="M248" s="126"/>
    </row>
    <row r="249" spans="1:16" x14ac:dyDescent="0.55000000000000004">
      <c r="A249" s="154" t="s">
        <v>402</v>
      </c>
      <c r="C249" s="159">
        <f>-C21</f>
        <v>123</v>
      </c>
      <c r="D249" s="159">
        <f>-D21</f>
        <v>327</v>
      </c>
      <c r="E249" s="159">
        <f>-E21</f>
        <v>295</v>
      </c>
      <c r="F249" s="159">
        <f>-F21</f>
        <v>602</v>
      </c>
      <c r="G249" s="159">
        <f>-G21</f>
        <v>381</v>
      </c>
      <c r="H249" s="184"/>
      <c r="I249" s="159">
        <f>G250*I251</f>
        <v>227.45999999999998</v>
      </c>
      <c r="J249" s="159">
        <f>I250*J251</f>
        <v>126.09908643559605</v>
      </c>
      <c r="K249" s="159">
        <f>J250*K251</f>
        <v>102.15939276320385</v>
      </c>
      <c r="L249" s="159">
        <f>K250*L251</f>
        <v>71.614023764557572</v>
      </c>
      <c r="M249" s="159">
        <f>L250*M251</f>
        <v>74.84490449046244</v>
      </c>
    </row>
    <row r="250" spans="1:16" x14ac:dyDescent="0.55000000000000004">
      <c r="A250" s="154" t="s">
        <v>399</v>
      </c>
      <c r="B250" s="159">
        <f t="shared" ref="B250:G250" si="115">B244</f>
        <v>1249</v>
      </c>
      <c r="C250" s="159">
        <f t="shared" si="115"/>
        <v>1159</v>
      </c>
      <c r="D250" s="159">
        <f t="shared" si="115"/>
        <v>4574</v>
      </c>
      <c r="E250" s="159">
        <f t="shared" si="115"/>
        <v>1195</v>
      </c>
      <c r="F250" s="159">
        <f t="shared" si="115"/>
        <v>10716</v>
      </c>
      <c r="G250" s="159">
        <f t="shared" si="115"/>
        <v>7582</v>
      </c>
      <c r="H250" s="184"/>
      <c r="I250" s="159">
        <f>I244</f>
        <v>4203.3028811865352</v>
      </c>
      <c r="J250" s="159">
        <f>J244</f>
        <v>3405.3130921067955</v>
      </c>
      <c r="K250" s="159">
        <f>K244</f>
        <v>2387.1341254852523</v>
      </c>
      <c r="L250" s="159">
        <f>L244</f>
        <v>2494.8301496820814</v>
      </c>
      <c r="M250" s="159">
        <f>M244</f>
        <v>2591.789454407779</v>
      </c>
    </row>
    <row r="251" spans="1:16" x14ac:dyDescent="0.55000000000000004">
      <c r="A251" s="165" t="s">
        <v>403</v>
      </c>
      <c r="B251" s="166"/>
      <c r="C251" s="166">
        <f>C249/((B250+C250)/2)</f>
        <v>0.10215946843853821</v>
      </c>
      <c r="D251" s="166">
        <f>D249/((C250+D250)/2)</f>
        <v>0.1140763997906855</v>
      </c>
      <c r="E251" s="166">
        <f>E249/((D250+E250)/2)</f>
        <v>0.10227075749696654</v>
      </c>
      <c r="F251" s="166">
        <f>F249/((E250+F250)/2)</f>
        <v>0.10108303249097472</v>
      </c>
      <c r="G251" s="166">
        <f>G249/((F250+G250)/2)</f>
        <v>4.164389550770576E-2</v>
      </c>
      <c r="H251" s="184"/>
      <c r="I251" s="169">
        <v>0.03</v>
      </c>
      <c r="J251" s="169">
        <f>I251</f>
        <v>0.03</v>
      </c>
      <c r="K251" s="169">
        <f>J251</f>
        <v>0.03</v>
      </c>
      <c r="L251" s="169">
        <f>K251</f>
        <v>0.03</v>
      </c>
      <c r="M251" s="169">
        <f>L251</f>
        <v>0.03</v>
      </c>
    </row>
    <row r="252" spans="1:16" x14ac:dyDescent="0.55000000000000004">
      <c r="A252" s="154"/>
      <c r="B252" s="166"/>
      <c r="C252" s="164"/>
      <c r="D252" s="164"/>
      <c r="E252" s="164"/>
      <c r="F252" s="164"/>
      <c r="G252" s="164"/>
      <c r="H252" s="184"/>
      <c r="I252" s="126"/>
      <c r="J252" s="126"/>
      <c r="K252" s="126"/>
      <c r="L252" s="126"/>
      <c r="M252" s="126"/>
    </row>
    <row r="253" spans="1:16" ht="14.7" thickBot="1" x14ac:dyDescent="0.6">
      <c r="A253" s="151" t="s">
        <v>331</v>
      </c>
      <c r="B253" s="154"/>
      <c r="C253" s="100">
        <v>2005</v>
      </c>
      <c r="D253" s="100">
        <f>C253+1</f>
        <v>2006</v>
      </c>
      <c r="E253" s="100">
        <f t="shared" ref="E253" si="116">D253+1</f>
        <v>2007</v>
      </c>
      <c r="F253" s="100">
        <f t="shared" ref="F253" si="117">E253+1</f>
        <v>2008</v>
      </c>
      <c r="G253" s="100">
        <f t="shared" ref="G253" si="118">F253+1</f>
        <v>2009</v>
      </c>
      <c r="H253" s="101"/>
      <c r="I253" s="100">
        <v>2010</v>
      </c>
      <c r="J253" s="100">
        <f>I253+1</f>
        <v>2011</v>
      </c>
      <c r="K253" s="100">
        <f t="shared" ref="K253" si="119">J253+1</f>
        <v>2012</v>
      </c>
      <c r="L253" s="100">
        <f t="shared" ref="L253" si="120">K253+1</f>
        <v>2013</v>
      </c>
      <c r="M253" s="100">
        <f t="shared" ref="M253" si="121">L253+1</f>
        <v>2014</v>
      </c>
    </row>
    <row r="254" spans="1:16" ht="9.9" customHeight="1" thickTop="1" x14ac:dyDescent="0.55000000000000004">
      <c r="A254" s="151"/>
      <c r="B254" s="154"/>
      <c r="C254" s="121"/>
      <c r="D254" s="121"/>
      <c r="E254" s="121"/>
      <c r="F254" s="121"/>
      <c r="G254" s="121"/>
      <c r="H254" s="101"/>
      <c r="I254" s="121"/>
      <c r="J254" s="121"/>
      <c r="K254" s="121"/>
      <c r="L254" s="121"/>
      <c r="M254" s="121"/>
    </row>
    <row r="255" spans="1:16" x14ac:dyDescent="0.55000000000000004">
      <c r="A255" s="165" t="s">
        <v>301</v>
      </c>
      <c r="B255" s="154"/>
      <c r="C255" s="166">
        <f>C256/((B257+C257)/2)</f>
        <v>0.32594911937377691</v>
      </c>
      <c r="D255" s="166">
        <f t="shared" ref="D255:M255" si="122">D256/((C257+D257)/2)</f>
        <v>0.23448688839541904</v>
      </c>
      <c r="E255" s="166">
        <f t="shared" si="122"/>
        <v>0.24911489696492875</v>
      </c>
      <c r="F255" s="166">
        <f t="shared" si="122"/>
        <v>0.15282297639340875</v>
      </c>
      <c r="G255" s="166">
        <f t="shared" si="122"/>
        <v>8.3525759299974592E-2</v>
      </c>
      <c r="I255" s="166">
        <f>I256/((G257+I257)/2)</f>
        <v>0.10704095489920155</v>
      </c>
      <c r="J255" s="166">
        <f t="shared" si="122"/>
        <v>0.1161476831141315</v>
      </c>
      <c r="K255" s="166">
        <f t="shared" si="122"/>
        <v>0.11577728950886124</v>
      </c>
      <c r="L255" s="166">
        <f t="shared" si="122"/>
        <v>0.11390759995201673</v>
      </c>
      <c r="M255" s="166">
        <f t="shared" si="122"/>
        <v>0.11050039504890437</v>
      </c>
      <c r="N255" s="124"/>
    </row>
    <row r="256" spans="1:16" x14ac:dyDescent="0.55000000000000004">
      <c r="A256" s="154" t="s">
        <v>271</v>
      </c>
      <c r="B256" s="154"/>
      <c r="C256" s="159">
        <f>C17</f>
        <v>6246</v>
      </c>
      <c r="D256" s="159">
        <f>D17</f>
        <v>9398</v>
      </c>
      <c r="E256" s="159">
        <f>E17</f>
        <v>16465</v>
      </c>
      <c r="F256" s="159">
        <f>F17</f>
        <v>11834</v>
      </c>
      <c r="G256" s="159">
        <f>G17</f>
        <v>7560</v>
      </c>
      <c r="H256" s="124"/>
      <c r="I256" s="159">
        <f>I17</f>
        <v>11090.806614201647</v>
      </c>
      <c r="J256" s="159">
        <f>J17</f>
        <v>12851.624232025109</v>
      </c>
      <c r="K256" s="159">
        <f>K17</f>
        <v>13761.829094809824</v>
      </c>
      <c r="L256" s="159">
        <f>L17</f>
        <v>14511.799346186948</v>
      </c>
      <c r="M256" s="159">
        <f>M17</f>
        <v>15067.871912842262</v>
      </c>
    </row>
    <row r="257" spans="1:13" x14ac:dyDescent="0.55000000000000004">
      <c r="A257" s="154" t="s">
        <v>302</v>
      </c>
      <c r="B257" s="159">
        <v>15715</v>
      </c>
      <c r="C257" s="159">
        <f>C51</f>
        <v>22610</v>
      </c>
      <c r="D257" s="159">
        <f>D51</f>
        <v>57548</v>
      </c>
      <c r="E257" s="159">
        <f>E51</f>
        <v>74640</v>
      </c>
      <c r="F257" s="159">
        <f>F51</f>
        <v>80232</v>
      </c>
      <c r="G257" s="159">
        <f>G51</f>
        <v>100790</v>
      </c>
      <c r="I257" s="159">
        <f>I51</f>
        <v>106435.47971747168</v>
      </c>
      <c r="J257" s="159">
        <f>J51</f>
        <v>114862.50724963075</v>
      </c>
      <c r="K257" s="159">
        <f>K51</f>
        <v>122866.82901638254</v>
      </c>
      <c r="L257" s="159">
        <f>L51</f>
        <v>131932.66377075377</v>
      </c>
      <c r="M257" s="159">
        <f>M51</f>
        <v>140788.02480549333</v>
      </c>
    </row>
    <row r="258" spans="1:13" x14ac:dyDescent="0.55000000000000004">
      <c r="A258" s="155" t="s">
        <v>308</v>
      </c>
      <c r="B258" s="154"/>
      <c r="C258" s="154"/>
      <c r="D258" s="154"/>
      <c r="E258" s="154"/>
      <c r="F258" s="154"/>
      <c r="G258" s="154"/>
      <c r="I258" s="185"/>
      <c r="J258" s="154"/>
      <c r="K258" s="154"/>
      <c r="L258" s="154"/>
      <c r="M258" s="154"/>
    </row>
    <row r="259" spans="1:13" x14ac:dyDescent="0.55000000000000004">
      <c r="A259" s="154" t="s">
        <v>309</v>
      </c>
      <c r="B259" s="154"/>
      <c r="C259" s="164">
        <f>C256/C7</f>
        <v>0.42836568136616143</v>
      </c>
      <c r="D259" s="164">
        <f>D256/D7</f>
        <v>0.44355295450254861</v>
      </c>
      <c r="E259" s="164">
        <f>E256/E7</f>
        <v>0.45267093723366231</v>
      </c>
      <c r="F259" s="164">
        <f>F256/F7</f>
        <v>0.38845850840336132</v>
      </c>
      <c r="G259" s="164">
        <f>G256/G7</f>
        <v>0.27180556554253255</v>
      </c>
      <c r="I259" s="164">
        <f>I256/I7</f>
        <v>0.33229089110404975</v>
      </c>
      <c r="J259" s="164">
        <f>J256/J7</f>
        <v>0.35004238741840032</v>
      </c>
      <c r="K259" s="164">
        <f>K256/K7</f>
        <v>0.35698459844232794</v>
      </c>
      <c r="L259" s="164">
        <f>L256/L7</f>
        <v>0.36196055454044934</v>
      </c>
      <c r="M259" s="164">
        <f>M256/M7</f>
        <v>0.36488387816434242</v>
      </c>
    </row>
    <row r="260" spans="1:13" x14ac:dyDescent="0.55000000000000004">
      <c r="A260" s="154" t="s">
        <v>310</v>
      </c>
      <c r="B260" s="154"/>
      <c r="C260" s="164">
        <f>C7/C257</f>
        <v>0.64489164086687312</v>
      </c>
      <c r="D260" s="164">
        <f>D7/D257</f>
        <v>0.368179606589282</v>
      </c>
      <c r="E260" s="164">
        <f>E7/E257</f>
        <v>0.48731243301178995</v>
      </c>
      <c r="F260" s="164">
        <f>F7/F257</f>
        <v>0.37969887326752416</v>
      </c>
      <c r="G260" s="164">
        <f>G7/G257</f>
        <v>0.27595991665839864</v>
      </c>
      <c r="I260" s="164">
        <f>I7/I257</f>
        <v>0.31358716180541724</v>
      </c>
      <c r="J260" s="164">
        <f>J7/J257</f>
        <v>0.31963850414834144</v>
      </c>
      <c r="K260" s="164">
        <f>K7/K257</f>
        <v>0.31375599344929683</v>
      </c>
      <c r="L260" s="164">
        <f>L7/L257</f>
        <v>0.30388389815022793</v>
      </c>
      <c r="M260" s="164">
        <f>M7/M257</f>
        <v>0.29331314635496425</v>
      </c>
    </row>
    <row r="261" spans="1:13" x14ac:dyDescent="0.55000000000000004">
      <c r="C261" s="186">
        <f>(C259*C260)-C255</f>
        <v>-4.9699672226496905E-2</v>
      </c>
      <c r="D261" s="186">
        <f t="shared" ref="D261:M261" si="123">(D259*D260)-D255</f>
        <v>-7.1179736105156988E-2</v>
      </c>
      <c r="E261" s="186">
        <f t="shared" si="123"/>
        <v>-2.8522721187865502E-2</v>
      </c>
      <c r="F261" s="186">
        <f t="shared" si="123"/>
        <v>-5.3257184414693959E-3</v>
      </c>
      <c r="G261" s="186">
        <f t="shared" si="123"/>
        <v>-8.5183180855683965E-3</v>
      </c>
      <c r="I261" s="186">
        <f t="shared" si="123"/>
        <v>-2.8387974640896319E-3</v>
      </c>
      <c r="J261" s="186">
        <f t="shared" si="123"/>
        <v>-4.2606580111998055E-3</v>
      </c>
      <c r="K261" s="186">
        <f t="shared" si="123"/>
        <v>-3.771232178490333E-3</v>
      </c>
      <c r="L261" s="186">
        <f t="shared" si="123"/>
        <v>-3.9136156616468021E-3</v>
      </c>
      <c r="M261" s="186">
        <f t="shared" si="123"/>
        <v>-3.4751566903196557E-3</v>
      </c>
    </row>
    <row r="262" spans="1:13" x14ac:dyDescent="0.55000000000000004">
      <c r="I262" s="162"/>
    </row>
    <row r="263" spans="1:13" x14ac:dyDescent="0.55000000000000004">
      <c r="A263" s="165" t="s">
        <v>303</v>
      </c>
      <c r="B263" s="154"/>
      <c r="C263" s="166">
        <f>C264/((B265+C265)/2)</f>
        <v>0.50587305172803254</v>
      </c>
      <c r="D263" s="166">
        <f t="shared" ref="D263:M263" si="124">D264/((C265+D265)/2)</f>
        <v>0.43924776286353467</v>
      </c>
      <c r="E263" s="166">
        <f t="shared" si="124"/>
        <v>0.44653325649331294</v>
      </c>
      <c r="F263" s="166">
        <f t="shared" si="124"/>
        <v>0.24970111944353873</v>
      </c>
      <c r="G263" s="166">
        <f t="shared" si="124"/>
        <v>0.12184277348810696</v>
      </c>
      <c r="I263" s="166">
        <f>I264/((G265+I265)/2)</f>
        <v>0.11653648180827145</v>
      </c>
      <c r="J263" s="166">
        <f t="shared" si="124"/>
        <v>0.12584435206464159</v>
      </c>
      <c r="K263" s="166">
        <f t="shared" si="124"/>
        <v>0.12421323846602304</v>
      </c>
      <c r="L263" s="166">
        <f t="shared" si="124"/>
        <v>0.12066310900777681</v>
      </c>
      <c r="M263" s="166">
        <f t="shared" si="124"/>
        <v>0.11562397568037573</v>
      </c>
    </row>
    <row r="264" spans="1:13" x14ac:dyDescent="0.55000000000000004">
      <c r="A264" s="154" t="s">
        <v>304</v>
      </c>
      <c r="B264" s="154"/>
      <c r="C264" s="159">
        <f>C31</f>
        <v>4479</v>
      </c>
      <c r="D264" s="159">
        <f>D31</f>
        <v>6283</v>
      </c>
      <c r="E264" s="159">
        <f>E31</f>
        <v>11235</v>
      </c>
      <c r="F264" s="159">
        <f>F31</f>
        <v>9190</v>
      </c>
      <c r="G264" s="159">
        <f>G31</f>
        <v>5878</v>
      </c>
      <c r="I264" s="159">
        <f>I31</f>
        <v>6610.5194433307688</v>
      </c>
      <c r="J264" s="159">
        <f>J31</f>
        <v>7631.3795891316913</v>
      </c>
      <c r="K264" s="159">
        <f>K31</f>
        <v>8068.7620475473204</v>
      </c>
      <c r="L264" s="159">
        <f>L31</f>
        <v>8384.0938562528609</v>
      </c>
      <c r="M264" s="159">
        <f>M31</f>
        <v>8573.1395431911915</v>
      </c>
    </row>
    <row r="265" spans="1:13" x14ac:dyDescent="0.55000000000000004">
      <c r="A265" s="154" t="s">
        <v>305</v>
      </c>
      <c r="B265" s="159">
        <f t="shared" ref="B265:G265" si="125">B172</f>
        <v>7391</v>
      </c>
      <c r="C265" s="159">
        <f t="shared" si="125"/>
        <v>10317</v>
      </c>
      <c r="D265" s="159">
        <f t="shared" si="125"/>
        <v>18291</v>
      </c>
      <c r="E265" s="159">
        <f t="shared" si="125"/>
        <v>32030</v>
      </c>
      <c r="F265" s="159">
        <f t="shared" si="125"/>
        <v>41578</v>
      </c>
      <c r="G265" s="159">
        <f t="shared" si="125"/>
        <v>54907</v>
      </c>
      <c r="I265" s="159">
        <f>I172</f>
        <v>58542.785693831924</v>
      </c>
      <c r="J265" s="159">
        <f>J172</f>
        <v>62740.044467854357</v>
      </c>
      <c r="K265" s="159">
        <f>K172</f>
        <v>67177.863594005379</v>
      </c>
      <c r="L265" s="159">
        <f>L172</f>
        <v>71789.115214944453</v>
      </c>
      <c r="M265" s="159">
        <f>M172</f>
        <v>76504.341963699611</v>
      </c>
    </row>
    <row r="266" spans="1:13" x14ac:dyDescent="0.55000000000000004">
      <c r="A266" s="155" t="s">
        <v>308</v>
      </c>
      <c r="I266" s="153"/>
      <c r="J266" s="153"/>
      <c r="K266" s="153"/>
      <c r="L266" s="153"/>
      <c r="M266" s="153"/>
    </row>
    <row r="267" spans="1:13" x14ac:dyDescent="0.55000000000000004">
      <c r="A267" s="154" t="s">
        <v>311</v>
      </c>
      <c r="C267" s="164">
        <f>C264/C7</f>
        <v>0.30718057746382277</v>
      </c>
      <c r="D267" s="164">
        <f>D264/D7</f>
        <v>0.29653577496696243</v>
      </c>
      <c r="E267" s="164">
        <f>E264/E7</f>
        <v>0.30888296263712095</v>
      </c>
      <c r="F267" s="164">
        <f>F264/F7</f>
        <v>0.30166754201680673</v>
      </c>
      <c r="G267" s="164">
        <f>G264/G7</f>
        <v>0.21133242252103257</v>
      </c>
      <c r="I267" s="164">
        <f>I264/I7</f>
        <v>0.19805731655912998</v>
      </c>
      <c r="J267" s="164">
        <f>J264/J7</f>
        <v>0.20785748808458385</v>
      </c>
      <c r="K267" s="164">
        <f>K264/K7</f>
        <v>0.20930530088887003</v>
      </c>
      <c r="L267" s="164">
        <f>L264/L7</f>
        <v>0.20912026063300321</v>
      </c>
      <c r="M267" s="164">
        <f>M264/M7</f>
        <v>0.20760731327278761</v>
      </c>
    </row>
    <row r="268" spans="1:13" x14ac:dyDescent="0.55000000000000004">
      <c r="A268" s="154" t="s">
        <v>310</v>
      </c>
      <c r="C268" s="164">
        <f>C7/C257</f>
        <v>0.64489164086687312</v>
      </c>
      <c r="D268" s="164">
        <f>D7/D257</f>
        <v>0.368179606589282</v>
      </c>
      <c r="E268" s="164">
        <f>E7/E257</f>
        <v>0.48731243301178995</v>
      </c>
      <c r="F268" s="164">
        <f>F7/F257</f>
        <v>0.37969887326752416</v>
      </c>
      <c r="G268" s="164">
        <f>G7/G257</f>
        <v>0.27595991665839864</v>
      </c>
      <c r="I268" s="164">
        <f>I7/I257</f>
        <v>0.31358716180541724</v>
      </c>
      <c r="J268" s="164">
        <f>J7/J257</f>
        <v>0.31963850414834144</v>
      </c>
      <c r="K268" s="164">
        <f>K7/K257</f>
        <v>0.31375599344929683</v>
      </c>
      <c r="L268" s="164">
        <f>L7/L257</f>
        <v>0.30388389815022793</v>
      </c>
      <c r="M268" s="164">
        <f>M7/M257</f>
        <v>0.29331314635496425</v>
      </c>
    </row>
    <row r="269" spans="1:13" x14ac:dyDescent="0.55000000000000004">
      <c r="A269" s="154" t="s">
        <v>312</v>
      </c>
      <c r="C269" s="164">
        <f>C51/C68</f>
        <v>2.1915285451197053</v>
      </c>
      <c r="D269" s="164">
        <f>D51/D68</f>
        <v>3.1462467880378329</v>
      </c>
      <c r="E269" s="164">
        <f>E51/E68</f>
        <v>2.3303153293787076</v>
      </c>
      <c r="F269" s="164">
        <f>F51/F68</f>
        <v>1.9296743470104383</v>
      </c>
      <c r="G269" s="164">
        <f>G51/G68</f>
        <v>1.8356493707541843</v>
      </c>
      <c r="I269" s="164">
        <f>I51/I68</f>
        <v>1.8180802033253047</v>
      </c>
      <c r="J269" s="164">
        <f>J51/J68</f>
        <v>1.8307686617672385</v>
      </c>
      <c r="K269" s="164">
        <f>K51/K68</f>
        <v>1.8289779168765732</v>
      </c>
      <c r="L269" s="164">
        <f>L51/L68</f>
        <v>1.8377808860818658</v>
      </c>
      <c r="M269" s="164">
        <f>M51/M68</f>
        <v>1.8402618883029613</v>
      </c>
    </row>
    <row r="270" spans="1:13" x14ac:dyDescent="0.55000000000000004">
      <c r="C270" s="186">
        <f>(C267*C268*C269)-C263</f>
        <v>-7.1735220963275337E-2</v>
      </c>
      <c r="D270" s="186">
        <f>(D267*D268*D269)-D263</f>
        <v>-9.574549398813148E-2</v>
      </c>
      <c r="E270" s="186">
        <f>(E267*E268*E269)-E263</f>
        <v>-9.5768348594468089E-2</v>
      </c>
      <c r="F270" s="186">
        <f>(F267*F268*F269)-F263</f>
        <v>-2.8670766853226559E-2</v>
      </c>
      <c r="G270" s="186">
        <f>(G267*G268*G269)-G263</f>
        <v>-1.4789028064026252E-2</v>
      </c>
      <c r="I270" s="186">
        <f>(I267*I268*I269)-I263</f>
        <v>-3.6187351553776392E-3</v>
      </c>
      <c r="J270" s="186">
        <f>(J267*J268*J269)-J263</f>
        <v>-4.2094432299542989E-3</v>
      </c>
      <c r="K270" s="186">
        <f>(K267*K268*K269)-K263</f>
        <v>-4.1028089901541942E-3</v>
      </c>
      <c r="L270" s="186">
        <f>(L267*L268*L269)-L263</f>
        <v>-3.8752947109998021E-3</v>
      </c>
      <c r="M270" s="186">
        <f>(M267*M268*M269)-M263</f>
        <v>-3.5631524233239592E-3</v>
      </c>
    </row>
    <row r="271" spans="1:13" x14ac:dyDescent="0.55000000000000004">
      <c r="B271" s="102"/>
      <c r="C271" s="102"/>
      <c r="D271" s="102"/>
      <c r="E271" s="102"/>
      <c r="F271" s="102"/>
      <c r="G271" s="102"/>
      <c r="H271" s="102"/>
    </row>
  </sheetData>
  <mergeCells count="2">
    <mergeCell ref="A3:B3"/>
    <mergeCell ref="A2:B2"/>
  </mergeCells>
  <pageMargins left="0.7" right="0.7" top="0.75" bottom="0.75" header="0.3" footer="0.3"/>
  <pageSetup orientation="portrait" horizontalDpi="4294967293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2AFB8-BB44-4BDB-82FA-1FD628B3B138}">
  <dimension ref="A1:AL99"/>
  <sheetViews>
    <sheetView showGridLines="0" topLeftCell="E1" zoomScale="84" zoomScaleNormal="84" workbookViewId="0">
      <selection activeCell="O34" sqref="O34"/>
    </sheetView>
  </sheetViews>
  <sheetFormatPr baseColWidth="10" defaultRowHeight="14.4" x14ac:dyDescent="0.55000000000000004"/>
  <cols>
    <col min="1" max="1" width="10.3671875" style="93" customWidth="1"/>
    <col min="2" max="2" width="0.7890625" style="93" customWidth="1"/>
    <col min="3" max="3" width="15.7890625" style="93" customWidth="1"/>
    <col min="4" max="4" width="0.7890625" style="93" customWidth="1"/>
    <col min="5" max="5" width="25.68359375" style="93" customWidth="1"/>
    <col min="6" max="6" width="0.7890625" style="93" customWidth="1"/>
    <col min="7" max="11" width="8.578125" style="93" customWidth="1"/>
    <col min="12" max="12" width="1.1015625" style="93" customWidth="1"/>
    <col min="13" max="17" width="8.578125" style="93" customWidth="1"/>
    <col min="18" max="18" width="0.7890625" style="93" customWidth="1"/>
    <col min="19" max="19" width="2.26171875" style="93" customWidth="1"/>
    <col min="20" max="20" width="4.15625" style="93" customWidth="1"/>
    <col min="21" max="21" width="8.578125" style="93" customWidth="1"/>
    <col min="22" max="22" width="5.62890625" style="93" customWidth="1"/>
    <col min="23" max="23" width="1.1015625" style="93" customWidth="1"/>
    <col min="24" max="24" width="8.578125" style="93" customWidth="1"/>
    <col min="25" max="25" width="5.62890625" style="93" customWidth="1"/>
    <col min="26" max="26" width="6.578125" style="93" customWidth="1"/>
    <col min="27" max="27" width="1.05078125" style="93" customWidth="1"/>
    <col min="28" max="28" width="13.26171875" style="93" bestFit="1" customWidth="1"/>
    <col min="29" max="16384" width="10.9453125" style="93"/>
  </cols>
  <sheetData>
    <row r="1" spans="1:30" ht="18.600000000000001" thickBot="1" x14ac:dyDescent="0.75">
      <c r="A1" s="90" t="s">
        <v>520</v>
      </c>
      <c r="B1" s="91"/>
      <c r="C1" s="91"/>
      <c r="D1" s="91"/>
      <c r="E1" s="91"/>
      <c r="F1" s="91"/>
      <c r="G1" s="91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</row>
    <row r="2" spans="1:30" ht="4.8" customHeight="1" x14ac:dyDescent="0.55000000000000004">
      <c r="D2" s="153"/>
      <c r="E2" s="153"/>
      <c r="F2" s="153"/>
      <c r="G2" s="153"/>
    </row>
    <row r="3" spans="1:30" x14ac:dyDescent="0.55000000000000004">
      <c r="A3" s="193" t="s">
        <v>99</v>
      </c>
      <c r="B3" s="193"/>
    </row>
    <row r="5" spans="1:30" x14ac:dyDescent="0.55000000000000004">
      <c r="G5" s="95" t="s">
        <v>338</v>
      </c>
      <c r="H5" s="95"/>
      <c r="I5" s="95"/>
      <c r="J5" s="95"/>
      <c r="K5" s="95"/>
      <c r="M5" s="96" t="s">
        <v>339</v>
      </c>
      <c r="N5" s="97"/>
      <c r="O5" s="97"/>
      <c r="P5" s="97"/>
      <c r="Q5" s="97"/>
      <c r="U5" s="95" t="s">
        <v>338</v>
      </c>
      <c r="V5" s="95"/>
      <c r="X5" s="96" t="s">
        <v>339</v>
      </c>
      <c r="Y5" s="97"/>
      <c r="AD5" s="96" t="s">
        <v>550</v>
      </c>
    </row>
    <row r="6" spans="1:30" ht="14.7" thickBot="1" x14ac:dyDescent="0.6">
      <c r="G6" s="100">
        <v>2005</v>
      </c>
      <c r="H6" s="100">
        <f>G6+1</f>
        <v>2006</v>
      </c>
      <c r="I6" s="100">
        <f t="shared" ref="I6:K6" si="0">H6+1</f>
        <v>2007</v>
      </c>
      <c r="J6" s="100">
        <f t="shared" si="0"/>
        <v>2008</v>
      </c>
      <c r="K6" s="100">
        <f t="shared" si="0"/>
        <v>2009</v>
      </c>
      <c r="L6" s="101"/>
      <c r="M6" s="100">
        <v>2010</v>
      </c>
      <c r="N6" s="100">
        <f>M6+1</f>
        <v>2011</v>
      </c>
      <c r="O6" s="100">
        <f t="shared" ref="O6:Q6" si="1">N6+1</f>
        <v>2012</v>
      </c>
      <c r="P6" s="100">
        <f t="shared" si="1"/>
        <v>2013</v>
      </c>
      <c r="Q6" s="100">
        <f t="shared" si="1"/>
        <v>2014</v>
      </c>
      <c r="U6" s="223" t="s">
        <v>506</v>
      </c>
      <c r="V6" s="223"/>
      <c r="W6" s="101"/>
      <c r="X6" s="223" t="s">
        <v>507</v>
      </c>
      <c r="Y6" s="223"/>
      <c r="AD6" s="100">
        <v>2010</v>
      </c>
    </row>
    <row r="7" spans="1:30" ht="14.7" thickTop="1" x14ac:dyDescent="0.55000000000000004"/>
    <row r="8" spans="1:30" x14ac:dyDescent="0.55000000000000004">
      <c r="A8" s="270" t="s">
        <v>489</v>
      </c>
      <c r="C8" s="276" t="s">
        <v>491</v>
      </c>
      <c r="E8" s="93" t="s">
        <v>347</v>
      </c>
      <c r="G8" s="156">
        <f>-'Exhibit 7 (Modelo)'!C84</f>
        <v>3977</v>
      </c>
      <c r="H8" s="156">
        <f>-'Exhibit 7 (Modelo)'!D84</f>
        <v>4890</v>
      </c>
      <c r="I8" s="156">
        <f>-'Exhibit 7 (Modelo)'!E84</f>
        <v>7625</v>
      </c>
      <c r="J8" s="156">
        <f>-'Exhibit 7 (Modelo)'!F84</f>
        <v>10191</v>
      </c>
      <c r="K8" s="156">
        <f>-'Exhibit 7 (Modelo)'!G84</f>
        <v>9013</v>
      </c>
      <c r="L8" s="156"/>
      <c r="M8" s="156">
        <f>-'Exhibit 7 (Modelo)'!I84</f>
        <v>10815.6</v>
      </c>
      <c r="N8" s="156">
        <f>-'Exhibit 7 (Modelo)'!J84</f>
        <v>11897.160000000002</v>
      </c>
      <c r="O8" s="156">
        <f>-'Exhibit 7 (Modelo)'!K84</f>
        <v>12492.018000000002</v>
      </c>
      <c r="P8" s="156">
        <f>-'Exhibit 7 (Modelo)'!L84</f>
        <v>12991.698720000002</v>
      </c>
      <c r="Q8" s="156">
        <f>-'Exhibit 7 (Modelo)'!M84</f>
        <v>13381.449681600003</v>
      </c>
      <c r="U8" s="156">
        <f>SUM(G8:K8)</f>
        <v>35696</v>
      </c>
      <c r="V8" s="221">
        <f>U8/U$21</f>
        <v>0.32437639147621428</v>
      </c>
      <c r="X8" s="156">
        <f>SUM(M8:Q8)</f>
        <v>61577.926401600009</v>
      </c>
      <c r="Y8" s="221">
        <f>X8/X$21</f>
        <v>0.64949650712754847</v>
      </c>
      <c r="AD8" s="156">
        <f>-'Exhibit 7 (Modelo)'!Y84</f>
        <v>12647</v>
      </c>
    </row>
    <row r="9" spans="1:30" x14ac:dyDescent="0.55000000000000004">
      <c r="A9" s="271"/>
      <c r="C9" s="276"/>
      <c r="E9" s="93" t="s">
        <v>414</v>
      </c>
      <c r="G9" s="156">
        <f>-'Exhibit 7 (Modelo)'!C85</f>
        <v>840</v>
      </c>
      <c r="H9" s="156">
        <f>-'Exhibit 7 (Modelo)'!D85</f>
        <v>13308</v>
      </c>
      <c r="I9" s="156">
        <f>-'Exhibit 7 (Modelo)'!E85</f>
        <v>3250</v>
      </c>
      <c r="J9" s="156">
        <f>-'Exhibit 7 (Modelo)'!F85</f>
        <v>0</v>
      </c>
      <c r="K9" s="156">
        <f>-'Exhibit 7 (Modelo)'!G85</f>
        <v>1952</v>
      </c>
      <c r="L9" s="156"/>
      <c r="M9" s="156">
        <f>-'Exhibit 7 (Modelo)'!I85</f>
        <v>0</v>
      </c>
      <c r="N9" s="156">
        <f>-'Exhibit 7 (Modelo)'!J85</f>
        <v>0</v>
      </c>
      <c r="O9" s="156">
        <f>-'Exhibit 7 (Modelo)'!K85</f>
        <v>0</v>
      </c>
      <c r="P9" s="156">
        <f>-'Exhibit 7 (Modelo)'!L85</f>
        <v>0</v>
      </c>
      <c r="Q9" s="156">
        <f>-'Exhibit 7 (Modelo)'!M85</f>
        <v>0</v>
      </c>
      <c r="U9" s="156">
        <f>SUM(G9:K9)</f>
        <v>19350</v>
      </c>
      <c r="V9" s="221">
        <f>U9/U$36</f>
        <v>0.17583715752646645</v>
      </c>
      <c r="X9" s="156">
        <f>SUM(M9:Q9)</f>
        <v>0</v>
      </c>
      <c r="Y9" s="221">
        <f>X9/X$36</f>
        <v>0</v>
      </c>
      <c r="AD9" s="156">
        <v>0</v>
      </c>
    </row>
    <row r="10" spans="1:30" x14ac:dyDescent="0.55000000000000004">
      <c r="A10" s="271"/>
      <c r="C10" s="276"/>
      <c r="E10" s="93" t="s">
        <v>527</v>
      </c>
      <c r="G10" s="156">
        <f>-('Exhibit 7 (Modelo)'!C82+'Exhibit 7 (Modelo)'!C83)</f>
        <v>202</v>
      </c>
      <c r="H10" s="156">
        <f>-('Exhibit 7 (Modelo)'!D82+'Exhibit 7 (Modelo)'!D83)</f>
        <v>-278</v>
      </c>
      <c r="I10" s="156">
        <f>-('Exhibit 7 (Modelo)'!E82+'Exhibit 7 (Modelo)'!E83)</f>
        <v>155</v>
      </c>
      <c r="J10" s="156">
        <f>-('Exhibit 7 (Modelo)'!F82+'Exhibit 7 (Modelo)'!F83)</f>
        <v>1062</v>
      </c>
      <c r="K10" s="156">
        <f>-('Exhibit 7 (Modelo)'!G82+'Exhibit 7 (Modelo)'!G83)</f>
        <v>3886</v>
      </c>
      <c r="L10" s="156"/>
      <c r="M10" s="156">
        <f>-('Exhibit 7 (Modelo)'!I82+'Exhibit 7 (Modelo)'!I83)</f>
        <v>916.53659844374033</v>
      </c>
      <c r="N10" s="156">
        <f>-('Exhibit 7 (Modelo)'!J82+'Exhibit 7 (Modelo)'!J83)</f>
        <v>517.76529907706026</v>
      </c>
      <c r="O10" s="156">
        <f>-('Exhibit 7 (Modelo)'!K82+'Exhibit 7 (Modelo)'!K83)</f>
        <v>284.56361572274454</v>
      </c>
      <c r="P10" s="156">
        <f>-('Exhibit 7 (Modelo)'!L82+'Exhibit 7 (Modelo)'!L83)</f>
        <v>238.31714979049639</v>
      </c>
      <c r="Q10" s="156">
        <f>-('Exhibit 7 (Modelo)'!M82+'Exhibit 7 (Modelo)'!M83)</f>
        <v>185.60146430469922</v>
      </c>
      <c r="U10" s="156">
        <f>SUM(G10:K10)</f>
        <v>5027</v>
      </c>
      <c r="V10" s="221">
        <f>U10/U$36</f>
        <v>4.5681312190467539E-2</v>
      </c>
      <c r="X10" s="156">
        <f>SUM(M10:Q10)</f>
        <v>2142.7841273387407</v>
      </c>
      <c r="Y10" s="221">
        <f>X10/X$36</f>
        <v>2.2601131404754511E-2</v>
      </c>
      <c r="AD10" s="156">
        <f>-'Exhibit 7 (Modelo)'!Y82-('Exhibit 7 (Modelo)'!Y85+'Exhibit 7 (Modelo)'!Y83)</f>
        <v>3513</v>
      </c>
    </row>
    <row r="11" spans="1:30" ht="3.6" customHeight="1" thickBot="1" x14ac:dyDescent="0.6">
      <c r="A11" s="271"/>
      <c r="C11" s="276"/>
      <c r="G11" s="219"/>
      <c r="H11" s="226"/>
      <c r="I11" s="219"/>
      <c r="J11" s="226"/>
      <c r="K11" s="219"/>
      <c r="L11" s="156"/>
      <c r="M11" s="219"/>
      <c r="N11" s="219"/>
      <c r="O11" s="219"/>
      <c r="P11" s="226"/>
      <c r="Q11" s="226"/>
      <c r="U11" s="219"/>
      <c r="V11" s="224"/>
      <c r="X11" s="219"/>
      <c r="Y11" s="224"/>
      <c r="AD11" s="219"/>
    </row>
    <row r="12" spans="1:30" ht="14.7" thickTop="1" x14ac:dyDescent="0.55000000000000004">
      <c r="A12" s="271"/>
      <c r="C12" s="276"/>
      <c r="E12" s="125" t="s">
        <v>502</v>
      </c>
      <c r="G12" s="126">
        <f>SUM(G8:G11)</f>
        <v>5019</v>
      </c>
      <c r="H12" s="126">
        <f t="shared" ref="H12:K12" si="2">SUM(H8:H11)</f>
        <v>17920</v>
      </c>
      <c r="I12" s="126">
        <f t="shared" si="2"/>
        <v>11030</v>
      </c>
      <c r="J12" s="126">
        <f t="shared" si="2"/>
        <v>11253</v>
      </c>
      <c r="K12" s="126">
        <f t="shared" si="2"/>
        <v>14851</v>
      </c>
      <c r="L12" s="126">
        <f>SUM(L8:L10)</f>
        <v>0</v>
      </c>
      <c r="M12" s="126">
        <f t="shared" ref="M12" si="3">SUM(M8:M11)</f>
        <v>11732.13659844374</v>
      </c>
      <c r="N12" s="126">
        <f t="shared" ref="N12" si="4">SUM(N8:N11)</f>
        <v>12414.925299077062</v>
      </c>
      <c r="O12" s="126">
        <f t="shared" ref="O12" si="5">SUM(O8:O11)</f>
        <v>12776.581615722745</v>
      </c>
      <c r="P12" s="126">
        <f t="shared" ref="P12" si="6">SUM(P8:P11)</f>
        <v>13230.015869790499</v>
      </c>
      <c r="Q12" s="126">
        <f t="shared" ref="Q12" si="7">SUM(Q8:Q11)</f>
        <v>13567.051145904701</v>
      </c>
      <c r="U12" s="126">
        <f t="shared" ref="U12" si="8">SUM(U8:U11)</f>
        <v>60073</v>
      </c>
      <c r="V12" s="225">
        <f>V8+V9+V10+V11</f>
        <v>0.54589486119314823</v>
      </c>
      <c r="X12" s="126">
        <f t="shared" ref="X12" si="9">SUM(X8:X11)</f>
        <v>63720.710528938747</v>
      </c>
      <c r="Y12" s="225">
        <f>Y8+Y9+Y10+Y11</f>
        <v>0.67209763853230298</v>
      </c>
      <c r="AD12" s="126">
        <f t="shared" ref="AD12" si="10">SUM(AD8:AD11)</f>
        <v>16160</v>
      </c>
    </row>
    <row r="13" spans="1:30" ht="3.9" customHeight="1" x14ac:dyDescent="0.55000000000000004">
      <c r="A13" s="271"/>
    </row>
    <row r="14" spans="1:30" x14ac:dyDescent="0.55000000000000004">
      <c r="A14" s="271"/>
      <c r="C14" s="276" t="s">
        <v>492</v>
      </c>
      <c r="E14" s="93" t="s">
        <v>494</v>
      </c>
      <c r="G14" s="156">
        <f>-('Exhibit 7 (Modelo)'!C90+'Exhibit 7 (Modelo)'!C92+'Exhibit 7 (Modelo)'!C94)</f>
        <v>225</v>
      </c>
      <c r="H14" s="173">
        <f>-('Exhibit 7 (Modelo)'!D90+'Exhibit 7 (Modelo)'!D92+'Exhibit 7 (Modelo)'!D94)</f>
        <v>5500</v>
      </c>
      <c r="I14" s="156">
        <f>-('Exhibit 7 (Modelo)'!E90+'Exhibit 7 (Modelo)'!E92+'Exhibit 7 (Modelo)'!E94)</f>
        <v>8449</v>
      </c>
      <c r="J14" s="173">
        <f>-('Exhibit 7 (Modelo)'!F90+'Exhibit 7 (Modelo)'!F92+'Exhibit 7 (Modelo)'!F94)</f>
        <v>1248</v>
      </c>
      <c r="K14" s="156">
        <f>-('Exhibit 7 (Modelo)'!G90+'Exhibit 7 (Modelo)'!G92+'Exhibit 7 (Modelo)'!G94)</f>
        <v>8974</v>
      </c>
      <c r="L14" s="156"/>
      <c r="M14" s="156">
        <f>-('Exhibit 7 (Modelo)'!I90+'Exhibit 7 (Modelo)'!I92+'Exhibit 7 (Modelo)'!I94)</f>
        <v>0</v>
      </c>
      <c r="N14" s="156">
        <f>-('Exhibit 7 (Modelo)'!J90+'Exhibit 7 (Modelo)'!J92+'Exhibit 7 (Modelo)'!J94)</f>
        <v>0</v>
      </c>
      <c r="O14" s="156">
        <f>-('Exhibit 7 (Modelo)'!K90+'Exhibit 7 (Modelo)'!K92+'Exhibit 7 (Modelo)'!K94)</f>
        <v>1341</v>
      </c>
      <c r="P14" s="173">
        <f>-('Exhibit 7 (Modelo)'!L90+'Exhibit 7 (Modelo)'!L92+'Exhibit 7 (Modelo)'!L94)</f>
        <v>2898</v>
      </c>
      <c r="Q14" s="173">
        <f>-('Exhibit 7 (Modelo)'!M90+'Exhibit 7 (Modelo)'!M92+'Exhibit 7 (Modelo)'!M94)</f>
        <v>150</v>
      </c>
      <c r="U14" s="159">
        <f>SUM(G14:K14)</f>
        <v>24396</v>
      </c>
      <c r="V14" s="221">
        <f>U14/U$36</f>
        <v>0.22169112635739924</v>
      </c>
      <c r="W14" s="154"/>
      <c r="X14" s="159">
        <f>SUM(M14:Q14)</f>
        <v>4389</v>
      </c>
      <c r="Y14" s="221">
        <f>X14/X$36</f>
        <v>4.6293214733985261E-2</v>
      </c>
      <c r="AD14" s="156">
        <f>-('Exhibit 7 (Modelo)'!Y90+'Exhibit 7 (Modelo)'!Y92)</f>
        <v>4761</v>
      </c>
    </row>
    <row r="15" spans="1:30" x14ac:dyDescent="0.55000000000000004">
      <c r="A15" s="271"/>
      <c r="C15" s="276"/>
      <c r="E15" s="93" t="s">
        <v>283</v>
      </c>
      <c r="G15" s="156">
        <f>-+'Exhibit 7 (Modelo)'!C99</f>
        <v>414</v>
      </c>
      <c r="H15" s="156">
        <f>-+'Exhibit 7 (Modelo)'!D99</f>
        <v>817</v>
      </c>
      <c r="I15" s="156">
        <f>-+'Exhibit 7 (Modelo)'!E99</f>
        <v>-155</v>
      </c>
      <c r="J15" s="156">
        <f>-+'Exhibit 7 (Modelo)'!F99</f>
        <v>853</v>
      </c>
      <c r="K15" s="156">
        <f>-+'Exhibit 7 (Modelo)'!G99</f>
        <v>662</v>
      </c>
      <c r="L15" s="156"/>
      <c r="M15" s="156">
        <f>-+'Exhibit 7 (Modelo)'!I99</f>
        <v>1226.8074328328685</v>
      </c>
      <c r="N15" s="156">
        <f>-+'Exhibit 7 (Modelo)'!J99</f>
        <v>1486.360130360858</v>
      </c>
      <c r="O15" s="156">
        <f>-+'Exhibit 7 (Modelo)'!K99</f>
        <v>1753.3554954755296</v>
      </c>
      <c r="P15" s="156">
        <f>-+'Exhibit 7 (Modelo)'!L99</f>
        <v>2039.6024987562696</v>
      </c>
      <c r="Q15" s="156">
        <f>-+'Exhibit 7 (Modelo)'!M99</f>
        <v>2317.666702266979</v>
      </c>
      <c r="U15" s="156">
        <f>SUM(G15:K15)</f>
        <v>2591</v>
      </c>
      <c r="V15" s="221">
        <f>U15/U$36</f>
        <v>2.3544913444499976E-2</v>
      </c>
      <c r="X15" s="156">
        <f>SUM(M15:Q15)</f>
        <v>8823.7922596925055</v>
      </c>
      <c r="Y15" s="221">
        <f>X15/X$36</f>
        <v>9.3069425802237912E-2</v>
      </c>
      <c r="AD15" s="156">
        <f>-'Exhibit 7 (Modelo)'!Y99</f>
        <v>1381</v>
      </c>
    </row>
    <row r="16" spans="1:30" ht="14.7" thickBot="1" x14ac:dyDescent="0.6">
      <c r="A16" s="271"/>
      <c r="C16" s="276"/>
      <c r="E16" s="93" t="s">
        <v>498</v>
      </c>
      <c r="G16" s="219">
        <f>-'Exhibit 7 (Modelo)'!C97</f>
        <v>1300</v>
      </c>
      <c r="H16" s="219">
        <f>-'Exhibit 7 (Modelo)'!D97</f>
        <v>1300</v>
      </c>
      <c r="I16" s="219">
        <f>-'Exhibit 7 (Modelo)'!E97</f>
        <v>1875</v>
      </c>
      <c r="J16" s="219">
        <f>-'Exhibit 7 (Modelo)'!F97</f>
        <v>2850</v>
      </c>
      <c r="K16" s="219">
        <f>-'Exhibit 7 (Modelo)'!G97</f>
        <v>2724</v>
      </c>
      <c r="L16" s="156"/>
      <c r="M16" s="219">
        <f>-'Exhibit 7 (Modelo)'!I97</f>
        <v>2974.733749498846</v>
      </c>
      <c r="N16" s="219">
        <f>-'Exhibit 7 (Modelo)'!J97</f>
        <v>3434.120815109261</v>
      </c>
      <c r="O16" s="219">
        <f>-'Exhibit 7 (Modelo)'!K97</f>
        <v>3630.9429213962944</v>
      </c>
      <c r="P16" s="219">
        <f>-'Exhibit 7 (Modelo)'!L97</f>
        <v>3772.8422353137876</v>
      </c>
      <c r="Q16" s="219">
        <f>-'Exhibit 7 (Modelo)'!M97</f>
        <v>3857.9127944360362</v>
      </c>
      <c r="U16" s="219">
        <f>SUM(G16:K16)</f>
        <v>10049</v>
      </c>
      <c r="V16" s="224">
        <f>U16/U$36</f>
        <v>9.1317188422917903E-2</v>
      </c>
      <c r="X16" s="219">
        <f>SUM(M16:Q16)</f>
        <v>17670.552515754225</v>
      </c>
      <c r="Y16" s="224">
        <f>X16/X$36</f>
        <v>0.186381107787645</v>
      </c>
      <c r="AD16" s="219">
        <f>-'Exhibit 7 (Modelo)'!Y97</f>
        <v>5136</v>
      </c>
    </row>
    <row r="17" spans="1:30" ht="14.7" thickTop="1" x14ac:dyDescent="0.55000000000000004">
      <c r="A17" s="271"/>
      <c r="C17" s="276"/>
      <c r="E17" s="125" t="s">
        <v>503</v>
      </c>
      <c r="G17" s="126">
        <f>SUM(G14:G16)</f>
        <v>1939</v>
      </c>
      <c r="H17" s="126">
        <f t="shared" ref="H17" si="11">SUM(H14:H16)</f>
        <v>7617</v>
      </c>
      <c r="I17" s="126">
        <f t="shared" ref="I17" si="12">SUM(I14:I16)</f>
        <v>10169</v>
      </c>
      <c r="J17" s="126">
        <f t="shared" ref="J17" si="13">SUM(J14:J16)</f>
        <v>4951</v>
      </c>
      <c r="K17" s="126">
        <f t="shared" ref="K17" si="14">SUM(K14:K16)</f>
        <v>12360</v>
      </c>
      <c r="L17" s="126"/>
      <c r="M17" s="126">
        <f t="shared" ref="M17" si="15">SUM(M14:M16)</f>
        <v>4201.5411823317145</v>
      </c>
      <c r="N17" s="126">
        <f t="shared" ref="N17" si="16">SUM(N14:N16)</f>
        <v>4920.480945470119</v>
      </c>
      <c r="O17" s="126">
        <f t="shared" ref="O17" si="17">SUM(O14:O16)</f>
        <v>6725.298416871824</v>
      </c>
      <c r="P17" s="126">
        <f t="shared" ref="P17" si="18">SUM(P14:P16)</f>
        <v>8710.4447340700572</v>
      </c>
      <c r="Q17" s="126">
        <f t="shared" ref="Q17" si="19">SUM(Q14:Q16)</f>
        <v>6325.5794967030151</v>
      </c>
      <c r="S17" s="125"/>
      <c r="U17" s="126">
        <f>SUM(U14:U16)</f>
        <v>37036</v>
      </c>
      <c r="V17" s="225">
        <f>V14+V15+V16</f>
        <v>0.33655322822481709</v>
      </c>
      <c r="X17" s="126">
        <f>SUM(X14:X16)</f>
        <v>30883.344775446731</v>
      </c>
      <c r="Y17" s="225">
        <f>Y14+Y15+Y16</f>
        <v>0.32574374832386815</v>
      </c>
      <c r="AD17" s="126">
        <f t="shared" ref="AD17" si="20">SUM(AD14:AD16)</f>
        <v>11278</v>
      </c>
    </row>
    <row r="18" spans="1:30" ht="3.9" customHeight="1" x14ac:dyDescent="0.55000000000000004">
      <c r="A18" s="272"/>
      <c r="E18" s="125"/>
      <c r="G18" s="126"/>
      <c r="H18" s="126"/>
      <c r="I18" s="126"/>
      <c r="J18" s="126"/>
      <c r="K18" s="126"/>
      <c r="L18" s="126"/>
      <c r="M18" s="126"/>
      <c r="N18" s="126"/>
      <c r="O18" s="126"/>
      <c r="P18" s="126"/>
      <c r="Q18" s="126"/>
      <c r="S18" s="125"/>
      <c r="U18" s="126"/>
      <c r="V18" s="225"/>
      <c r="X18" s="126"/>
      <c r="Y18" s="225"/>
      <c r="AD18" s="126"/>
    </row>
    <row r="19" spans="1:30" ht="15.6" x14ac:dyDescent="0.55000000000000004">
      <c r="A19" s="272"/>
      <c r="C19" s="229" t="s">
        <v>525</v>
      </c>
      <c r="E19" s="93" t="s">
        <v>523</v>
      </c>
      <c r="G19" s="156">
        <v>0</v>
      </c>
      <c r="H19" s="173">
        <f>+H43</f>
        <v>3415</v>
      </c>
      <c r="I19" s="156">
        <v>0</v>
      </c>
      <c r="J19" s="173">
        <f>+J43</f>
        <v>9521</v>
      </c>
      <c r="K19" s="156">
        <v>0</v>
      </c>
      <c r="L19" s="126"/>
      <c r="M19" s="156">
        <v>0</v>
      </c>
      <c r="N19" s="156">
        <v>0</v>
      </c>
      <c r="O19" s="156">
        <v>0</v>
      </c>
      <c r="P19" s="173">
        <f>+P43</f>
        <v>107.69602419682906</v>
      </c>
      <c r="Q19" s="173">
        <f>+Q43</f>
        <v>96.959304725697621</v>
      </c>
      <c r="S19" s="125"/>
      <c r="U19" s="156">
        <f>SUM(G19:K19)</f>
        <v>12936</v>
      </c>
      <c r="V19" s="221">
        <f>U19/U$36</f>
        <v>0.11755191058203462</v>
      </c>
      <c r="X19" s="156">
        <f>SUM(M19:Q19)</f>
        <v>204.65532892252668</v>
      </c>
      <c r="Y19" s="221">
        <f>X19/X$36</f>
        <v>2.1586131438288705E-3</v>
      </c>
      <c r="AB19" s="93" t="s">
        <v>528</v>
      </c>
      <c r="AD19" s="156">
        <f>'Exhibit 7 (Modelo)'!Y102</f>
        <v>1795</v>
      </c>
    </row>
    <row r="20" spans="1:30" ht="3.9" customHeight="1" thickBot="1" x14ac:dyDescent="0.6">
      <c r="A20" s="273"/>
      <c r="G20" s="220"/>
      <c r="H20" s="220"/>
      <c r="I20" s="220"/>
      <c r="J20" s="220"/>
      <c r="K20" s="220"/>
      <c r="M20" s="220"/>
      <c r="N20" s="220"/>
      <c r="O20" s="220"/>
      <c r="P20" s="220"/>
      <c r="Q20" s="220"/>
      <c r="U20" s="220"/>
      <c r="V20" s="220"/>
      <c r="X20" s="220"/>
      <c r="Y20" s="220"/>
      <c r="AD20" s="220"/>
    </row>
    <row r="21" spans="1:30" ht="15.9" thickTop="1" x14ac:dyDescent="0.55000000000000004">
      <c r="A21" s="273"/>
      <c r="C21" s="230" t="s">
        <v>508</v>
      </c>
      <c r="E21" s="125" t="s">
        <v>508</v>
      </c>
      <c r="G21" s="126">
        <f>G12+G17+G19</f>
        <v>6958</v>
      </c>
      <c r="H21" s="126">
        <f t="shared" ref="H21:K21" si="21">H12+H17+H19</f>
        <v>28952</v>
      </c>
      <c r="I21" s="126">
        <f t="shared" si="21"/>
        <v>21199</v>
      </c>
      <c r="J21" s="126">
        <f t="shared" si="21"/>
        <v>25725</v>
      </c>
      <c r="K21" s="126">
        <f t="shared" si="21"/>
        <v>27211</v>
      </c>
      <c r="M21" s="126">
        <f t="shared" ref="M21:Q21" si="22">M12+M17+M19</f>
        <v>15933.677780775455</v>
      </c>
      <c r="N21" s="126">
        <f t="shared" si="22"/>
        <v>17335.406244547179</v>
      </c>
      <c r="O21" s="126">
        <f t="shared" si="22"/>
        <v>19501.88003259457</v>
      </c>
      <c r="P21" s="126">
        <f t="shared" si="22"/>
        <v>22048.156628057386</v>
      </c>
      <c r="Q21" s="126">
        <f t="shared" si="22"/>
        <v>19989.589947333414</v>
      </c>
      <c r="U21" s="126">
        <f>U12+U17+U19</f>
        <v>110045</v>
      </c>
      <c r="V21" s="222">
        <f>V8+V9+V10+V14+V15+V16+V19</f>
        <v>1</v>
      </c>
      <c r="X21" s="126">
        <f>X12+X17+X19</f>
        <v>94808.710633308001</v>
      </c>
      <c r="Y21" s="222">
        <f>Y8+Y9+Y10+Y14+Y15+Y16+Y19</f>
        <v>1</v>
      </c>
      <c r="AD21" s="126">
        <f t="shared" ref="AD21" si="23">AD12+AD17+AD19</f>
        <v>29233</v>
      </c>
    </row>
    <row r="23" spans="1:30" x14ac:dyDescent="0.55000000000000004">
      <c r="A23" s="274" t="s">
        <v>490</v>
      </c>
      <c r="C23" s="276" t="s">
        <v>491</v>
      </c>
      <c r="E23" s="93" t="s">
        <v>304</v>
      </c>
      <c r="G23" s="156">
        <f>'Exhibit 7 (Modelo)'!C76</f>
        <v>4479</v>
      </c>
      <c r="H23" s="156">
        <f>'Exhibit 7 (Modelo)'!D76</f>
        <v>6283</v>
      </c>
      <c r="I23" s="156">
        <f>'Exhibit 7 (Modelo)'!E76</f>
        <v>11235</v>
      </c>
      <c r="J23" s="156">
        <f>'Exhibit 7 (Modelo)'!F76</f>
        <v>9190</v>
      </c>
      <c r="K23" s="156">
        <f>'Exhibit 7 (Modelo)'!G76</f>
        <v>5878</v>
      </c>
      <c r="M23" s="156">
        <f>'Exhibit 7 (Modelo)'!I76</f>
        <v>6610.5194433307688</v>
      </c>
      <c r="N23" s="156">
        <f>'Exhibit 7 (Modelo)'!J76</f>
        <v>7631.3795891316913</v>
      </c>
      <c r="O23" s="156">
        <f>'Exhibit 7 (Modelo)'!K76</f>
        <v>8068.7620475473204</v>
      </c>
      <c r="P23" s="156">
        <f>'Exhibit 7 (Modelo)'!L76</f>
        <v>8384.0938562528609</v>
      </c>
      <c r="Q23" s="156">
        <f>'Exhibit 7 (Modelo)'!M76</f>
        <v>8573.1395431911915</v>
      </c>
      <c r="U23" s="156">
        <f>SUM(G23:K23)</f>
        <v>37065</v>
      </c>
      <c r="V23" s="221">
        <f>U23/U$36</f>
        <v>0.33681675678131673</v>
      </c>
      <c r="X23" s="156">
        <f>SUM(M23:Q23)</f>
        <v>39267.894479453833</v>
      </c>
      <c r="Y23" s="221">
        <f>X23/X$36</f>
        <v>0.41418023952809996</v>
      </c>
      <c r="AD23" s="156">
        <f>'Exhibit 7 (Modelo)'!Y76</f>
        <v>17264</v>
      </c>
    </row>
    <row r="24" spans="1:30" x14ac:dyDescent="0.55000000000000004">
      <c r="A24" s="275"/>
      <c r="C24" s="276"/>
      <c r="E24" s="93" t="s">
        <v>500</v>
      </c>
      <c r="G24" s="156">
        <f>+'Exhibit 7 (Modelo)'!C77</f>
        <v>619</v>
      </c>
      <c r="H24" s="156">
        <f>+'Exhibit 7 (Modelo)'!D77</f>
        <v>997</v>
      </c>
      <c r="I24" s="156">
        <f>+'Exhibit 7 (Modelo)'!E77</f>
        <v>2186</v>
      </c>
      <c r="J24" s="156">
        <f>+'Exhibit 7 (Modelo)'!F77</f>
        <v>2807</v>
      </c>
      <c r="K24" s="156">
        <f>+'Exhibit 7 (Modelo)'!G77</f>
        <v>2722</v>
      </c>
      <c r="M24" s="156">
        <f>+'Exhibit 7 (Modelo)'!I77</f>
        <v>2934.1537857983521</v>
      </c>
      <c r="N24" s="156">
        <f>+'Exhibit 7 (Modelo)'!J77</f>
        <v>3379.6767359748919</v>
      </c>
      <c r="O24" s="156">
        <f>+'Exhibit 7 (Modelo)'!K77</f>
        <v>3858.0835229501768</v>
      </c>
      <c r="P24" s="156">
        <f>+'Exhibit 7 (Modelo)'!L77</f>
        <v>4357.9602730482547</v>
      </c>
      <c r="Q24" s="156">
        <f>+'Exhibit 7 (Modelo)'!M77</f>
        <v>4875.2837018752452</v>
      </c>
      <c r="U24" s="156">
        <f>SUM(G24:K24)</f>
        <v>9331</v>
      </c>
      <c r="V24" s="221">
        <f>U24/U$36</f>
        <v>8.4792584851651601E-2</v>
      </c>
      <c r="X24" s="156">
        <f>SUM(M24:Q24)</f>
        <v>19405.158019646922</v>
      </c>
      <c r="Y24" s="221">
        <f>X24/X$36</f>
        <v>0.20467695309875397</v>
      </c>
      <c r="AD24" s="156">
        <f>'Exhibit 7 (Modelo)'!Y77</f>
        <v>3260</v>
      </c>
    </row>
    <row r="25" spans="1:30" x14ac:dyDescent="0.55000000000000004">
      <c r="A25" s="275"/>
      <c r="C25" s="276"/>
      <c r="E25" s="93" t="s">
        <v>501</v>
      </c>
      <c r="G25" s="156">
        <f>+'Exhibit 7 (Modelo)'!C86</f>
        <v>414</v>
      </c>
      <c r="H25" s="156">
        <f>+'Exhibit 7 (Modelo)'!D86</f>
        <v>817</v>
      </c>
      <c r="I25" s="156">
        <f>+'Exhibit 7 (Modelo)'!E86</f>
        <v>-155</v>
      </c>
      <c r="J25" s="156">
        <f>+'Exhibit 7 (Modelo)'!F86</f>
        <v>853</v>
      </c>
      <c r="K25" s="156">
        <f>+'Exhibit 7 (Modelo)'!G86</f>
        <v>662</v>
      </c>
      <c r="M25" s="156">
        <f>+'Exhibit 7 (Modelo)'!I86</f>
        <v>1226.8074328328685</v>
      </c>
      <c r="N25" s="156">
        <f>+'Exhibit 7 (Modelo)'!J86</f>
        <v>1486.360130360858</v>
      </c>
      <c r="O25" s="156">
        <f>+'Exhibit 7 (Modelo)'!K86</f>
        <v>1753.3554954755296</v>
      </c>
      <c r="P25" s="156">
        <f>+'Exhibit 7 (Modelo)'!L86</f>
        <v>2039.6024987562696</v>
      </c>
      <c r="Q25" s="156">
        <f>+'Exhibit 7 (Modelo)'!M86</f>
        <v>2317.666702266979</v>
      </c>
      <c r="U25" s="156">
        <f>SUM(G25:K25)</f>
        <v>2591</v>
      </c>
      <c r="V25" s="221">
        <f>U25/U$36</f>
        <v>2.3544913444499976E-2</v>
      </c>
      <c r="X25" s="156">
        <f>SUM(M25:Q25)</f>
        <v>8823.7922596925055</v>
      </c>
      <c r="Y25" s="221">
        <f>X25/X$36</f>
        <v>9.3069425802237912E-2</v>
      </c>
      <c r="AD25" s="156">
        <f>AD15</f>
        <v>1381</v>
      </c>
    </row>
    <row r="26" spans="1:30" ht="3.3" customHeight="1" thickBot="1" x14ac:dyDescent="0.6">
      <c r="A26" s="275"/>
      <c r="C26" s="276"/>
      <c r="G26" s="226"/>
      <c r="H26" s="219"/>
      <c r="I26" s="226"/>
      <c r="J26" s="219"/>
      <c r="K26" s="226"/>
      <c r="M26" s="226"/>
      <c r="N26" s="226"/>
      <c r="O26" s="226"/>
      <c r="P26" s="219"/>
      <c r="Q26" s="219"/>
      <c r="U26" s="219"/>
      <c r="V26" s="224"/>
      <c r="X26" s="219"/>
      <c r="Y26" s="224"/>
      <c r="AD26" s="226"/>
    </row>
    <row r="27" spans="1:30" ht="14.7" thickTop="1" x14ac:dyDescent="0.55000000000000004">
      <c r="A27" s="275"/>
      <c r="C27" s="276"/>
      <c r="E27" s="125" t="s">
        <v>502</v>
      </c>
      <c r="G27" s="126">
        <f>SUM(G23:G26)</f>
        <v>5512</v>
      </c>
      <c r="H27" s="126">
        <f>SUM(H23:H26)</f>
        <v>8097</v>
      </c>
      <c r="I27" s="126">
        <f>SUM(I23:I26)</f>
        <v>13266</v>
      </c>
      <c r="J27" s="126">
        <f>SUM(J23:J26)</f>
        <v>12850</v>
      </c>
      <c r="K27" s="126">
        <f>SUM(K23:K26)</f>
        <v>9262</v>
      </c>
      <c r="L27" s="126"/>
      <c r="M27" s="126">
        <f>SUM(M23:M26)</f>
        <v>10771.480661961989</v>
      </c>
      <c r="N27" s="126">
        <f>SUM(N23:N26)</f>
        <v>12497.416455467441</v>
      </c>
      <c r="O27" s="126">
        <f>SUM(O23:O26)</f>
        <v>13680.201065973026</v>
      </c>
      <c r="P27" s="126">
        <f>SUM(P23:P26)</f>
        <v>14781.656628057386</v>
      </c>
      <c r="Q27" s="126">
        <f>SUM(Q23:Q26)</f>
        <v>15766.089947333416</v>
      </c>
      <c r="U27" s="126">
        <f>SUM(U23:U26)</f>
        <v>48987</v>
      </c>
      <c r="V27" s="225">
        <f>V23+V24+V25+V26</f>
        <v>0.44515425507746831</v>
      </c>
      <c r="X27" s="126">
        <f>SUM(X23:X26)</f>
        <v>67496.844758793261</v>
      </c>
      <c r="Y27" s="225">
        <f>Y23+Y24+Y25+Y26</f>
        <v>0.71192661842909177</v>
      </c>
      <c r="AD27" s="126">
        <f>SUM(AD23:AD26)</f>
        <v>21905</v>
      </c>
    </row>
    <row r="28" spans="1:30" ht="3.9" customHeight="1" thickBot="1" x14ac:dyDescent="0.6">
      <c r="A28" s="275"/>
    </row>
    <row r="29" spans="1:30" ht="14.7" thickBot="1" x14ac:dyDescent="0.6">
      <c r="A29" s="275"/>
      <c r="C29" s="276" t="s">
        <v>492</v>
      </c>
      <c r="E29" s="93" t="s">
        <v>510</v>
      </c>
      <c r="G29" s="156">
        <f>'Exhibit 7 (Modelo)'!C91+'Exhibit 7 (Modelo)'!C93</f>
        <v>1356</v>
      </c>
      <c r="H29" s="156">
        <f>'Exhibit 7 (Modelo)'!D91+'Exhibit 7 (Modelo)'!D93</f>
        <v>17864</v>
      </c>
      <c r="I29" s="156">
        <f>'Exhibit 7 (Modelo)'!E91+'Exhibit 7 (Modelo)'!E93</f>
        <v>175</v>
      </c>
      <c r="J29" s="156">
        <f>'Exhibit 7 (Modelo)'!F91+'Exhibit 7 (Modelo)'!F93</f>
        <v>216</v>
      </c>
      <c r="K29" s="156">
        <f>'Exhibit 7 (Modelo)'!G91+'Exhibit 7 (Modelo)'!G93</f>
        <v>4640</v>
      </c>
      <c r="M29" s="227">
        <f>'Exhibit 7 (Modelo)'!I91+'Exhibit 7 (Modelo)'!I93</f>
        <v>1000</v>
      </c>
      <c r="N29" s="156">
        <f>'Exhibit 7 (Modelo)'!J91+'Exhibit 7 (Modelo)'!J93</f>
        <v>0</v>
      </c>
      <c r="O29" s="156">
        <f>'Exhibit 7 (Modelo)'!K91+'Exhibit 7 (Modelo)'!K93</f>
        <v>0</v>
      </c>
      <c r="P29" s="156">
        <f>'Exhibit 7 (Modelo)'!L91+'Exhibit 7 (Modelo)'!L93</f>
        <v>0</v>
      </c>
      <c r="Q29" s="156">
        <f>'Exhibit 7 (Modelo)'!M91+'Exhibit 7 (Modelo)'!M93</f>
        <v>0</v>
      </c>
      <c r="U29" s="156">
        <f>SUM(G29:K29)</f>
        <v>24251</v>
      </c>
      <c r="V29" s="221">
        <f>U29/U$36</f>
        <v>0.22037348357490116</v>
      </c>
      <c r="X29" s="156">
        <f>SUM(M29:Q29)</f>
        <v>1000</v>
      </c>
      <c r="Y29" s="221">
        <f>X29/X$36</f>
        <v>1.0547554051944694E-2</v>
      </c>
      <c r="AD29" s="156">
        <f>('Exhibit 7 (Modelo)'!Y93+'Exhibit 7 (Modelo)'!Y95)</f>
        <v>6668</v>
      </c>
    </row>
    <row r="30" spans="1:30" x14ac:dyDescent="0.55000000000000004">
      <c r="A30" s="275"/>
      <c r="C30" s="276"/>
      <c r="E30" s="93" t="s">
        <v>496</v>
      </c>
      <c r="G30" s="173">
        <f>+'Exhibit 7 (Modelo)'!C95</f>
        <v>0</v>
      </c>
      <c r="H30" s="156">
        <f>+'Exhibit 7 (Modelo)'!D95</f>
        <v>0</v>
      </c>
      <c r="I30" s="173">
        <f>+'Exhibit 7 (Modelo)'!E95</f>
        <v>0</v>
      </c>
      <c r="J30" s="156">
        <f>+'Exhibit 7 (Modelo)'!F95</f>
        <v>469</v>
      </c>
      <c r="K30" s="173">
        <f>+'Exhibit 7 (Modelo)'!G95</f>
        <v>0</v>
      </c>
      <c r="M30" s="173">
        <f>+'Exhibit 7 (Modelo)'!I95</f>
        <v>783.5</v>
      </c>
      <c r="N30" s="173">
        <f>+'Exhibit 7 (Modelo)'!J95</f>
        <v>4040</v>
      </c>
      <c r="O30" s="173">
        <f>+'Exhibit 7 (Modelo)'!K95</f>
        <v>4803.5</v>
      </c>
      <c r="P30" s="156">
        <f>+'Exhibit 7 (Modelo)'!L95</f>
        <v>7266.5</v>
      </c>
      <c r="Q30" s="156">
        <f>+'Exhibit 7 (Modelo)'!M95</f>
        <v>4223.5</v>
      </c>
      <c r="U30" s="156">
        <f>SUM(G30:K30)</f>
        <v>469</v>
      </c>
      <c r="V30" s="221">
        <f>U30/U$36</f>
        <v>4.2618928620109953E-3</v>
      </c>
      <c r="X30" s="156">
        <f>SUM(M30:Q30)</f>
        <v>21117</v>
      </c>
      <c r="Y30" s="221">
        <f>X30/X$36</f>
        <v>0.22273269891491612</v>
      </c>
      <c r="AD30" s="173">
        <f>'Exhibit 7 (Modelo)'!Y91</f>
        <v>660</v>
      </c>
    </row>
    <row r="31" spans="1:30" ht="14.7" thickBot="1" x14ac:dyDescent="0.6">
      <c r="A31" s="275"/>
      <c r="C31" s="276"/>
      <c r="E31" s="93" t="s">
        <v>499</v>
      </c>
      <c r="G31" s="219">
        <f>'Exhibit 7 (Modelo)'!C98</f>
        <v>0</v>
      </c>
      <c r="H31" s="219">
        <f>'Exhibit 7 (Modelo)'!D98</f>
        <v>2991</v>
      </c>
      <c r="I31" s="219">
        <f>'Exhibit 7 (Modelo)'!E98</f>
        <v>4379</v>
      </c>
      <c r="J31" s="219">
        <f>'Exhibit 7 (Modelo)'!F98</f>
        <v>12190</v>
      </c>
      <c r="K31" s="219">
        <f>'Exhibit 7 (Modelo)'!G98</f>
        <v>10175</v>
      </c>
      <c r="M31" s="219">
        <f>'Exhibit 7 (Modelo)'!I98</f>
        <v>0</v>
      </c>
      <c r="N31" s="219">
        <f>'Exhibit 7 (Modelo)'!J98</f>
        <v>0</v>
      </c>
      <c r="O31" s="219">
        <f>'Exhibit 7 (Modelo)'!K98</f>
        <v>0</v>
      </c>
      <c r="P31" s="219">
        <f>'Exhibit 7 (Modelo)'!L98</f>
        <v>0</v>
      </c>
      <c r="Q31" s="219">
        <f>'Exhibit 7 (Modelo)'!M98</f>
        <v>0</v>
      </c>
      <c r="U31" s="219">
        <f>SUM(G31:K31)</f>
        <v>29735</v>
      </c>
      <c r="V31" s="224">
        <f>U31/U$36</f>
        <v>0.27020764232813849</v>
      </c>
      <c r="X31" s="219">
        <f>SUM(M31:Q31)</f>
        <v>0</v>
      </c>
      <c r="Y31" s="224">
        <f>X31/X$36</f>
        <v>0</v>
      </c>
      <c r="AD31" s="219">
        <v>0</v>
      </c>
    </row>
    <row r="32" spans="1:30" ht="14.7" thickTop="1" x14ac:dyDescent="0.55000000000000004">
      <c r="A32" s="275"/>
      <c r="C32" s="276"/>
      <c r="E32" s="125" t="s">
        <v>503</v>
      </c>
      <c r="G32" s="126">
        <f t="shared" ref="G32:Q32" si="24">SUM(G29:G31)</f>
        <v>1356</v>
      </c>
      <c r="H32" s="126">
        <f t="shared" si="24"/>
        <v>20855</v>
      </c>
      <c r="I32" s="126">
        <f t="shared" si="24"/>
        <v>4554</v>
      </c>
      <c r="J32" s="126">
        <f t="shared" si="24"/>
        <v>12875</v>
      </c>
      <c r="K32" s="126">
        <f t="shared" si="24"/>
        <v>14815</v>
      </c>
      <c r="L32" s="126">
        <f t="shared" si="24"/>
        <v>0</v>
      </c>
      <c r="M32" s="126">
        <f t="shared" si="24"/>
        <v>1783.5</v>
      </c>
      <c r="N32" s="126">
        <f t="shared" si="24"/>
        <v>4040</v>
      </c>
      <c r="O32" s="126">
        <f t="shared" si="24"/>
        <v>4803.5</v>
      </c>
      <c r="P32" s="126">
        <f t="shared" si="24"/>
        <v>7266.5</v>
      </c>
      <c r="Q32" s="126">
        <f t="shared" si="24"/>
        <v>4223.5</v>
      </c>
      <c r="U32" s="126">
        <f>SUM(U29:U31)</f>
        <v>54455</v>
      </c>
      <c r="V32" s="225">
        <f>V29+V30+V31</f>
        <v>0.49484301876505066</v>
      </c>
      <c r="X32" s="126">
        <f>SUM(X29:X31)</f>
        <v>22117</v>
      </c>
      <c r="Y32" s="225">
        <f>Y29+Y30+Y31</f>
        <v>0.23328025296686081</v>
      </c>
      <c r="AD32" s="126">
        <f t="shared" ref="AD32" si="25">SUM(AD29:AD31)</f>
        <v>7328</v>
      </c>
    </row>
    <row r="33" spans="1:38" ht="3.9" customHeight="1" x14ac:dyDescent="0.55000000000000004">
      <c r="A33" s="273"/>
      <c r="G33" s="102"/>
      <c r="H33" s="102"/>
      <c r="I33" s="102"/>
      <c r="J33" s="102"/>
      <c r="K33" s="102"/>
      <c r="L33" s="101"/>
      <c r="M33" s="102"/>
      <c r="N33" s="102"/>
      <c r="O33" s="102"/>
      <c r="P33" s="102"/>
      <c r="Q33" s="102"/>
      <c r="R33" s="101"/>
      <c r="S33" s="101"/>
      <c r="T33" s="101"/>
      <c r="U33" s="102"/>
      <c r="V33" s="101"/>
      <c r="W33" s="101"/>
      <c r="X33" s="102"/>
      <c r="Y33" s="101"/>
      <c r="AD33" s="102"/>
    </row>
    <row r="34" spans="1:38" ht="14.4" customHeight="1" x14ac:dyDescent="0.55000000000000004">
      <c r="A34" s="273"/>
      <c r="C34" s="229" t="s">
        <v>524</v>
      </c>
      <c r="E34" s="93" t="s">
        <v>526</v>
      </c>
      <c r="G34" s="118">
        <f>+G44</f>
        <v>90</v>
      </c>
      <c r="H34" s="102">
        <v>0</v>
      </c>
      <c r="I34" s="118">
        <f>+I44</f>
        <v>3379</v>
      </c>
      <c r="J34" s="102">
        <v>0</v>
      </c>
      <c r="K34" s="118">
        <f>+K44</f>
        <v>3134</v>
      </c>
      <c r="M34" s="118">
        <f>+M44</f>
        <v>3378.6971188134648</v>
      </c>
      <c r="N34" s="118">
        <f>+N44</f>
        <v>797.98978907973969</v>
      </c>
      <c r="O34" s="118">
        <f>+O44</f>
        <v>1018.1789666215432</v>
      </c>
      <c r="P34" s="102">
        <v>0</v>
      </c>
      <c r="Q34" s="102">
        <v>0</v>
      </c>
      <c r="U34" s="156">
        <f>SUM(G34:K34)</f>
        <v>6603</v>
      </c>
      <c r="V34" s="221">
        <f>U34/U$36</f>
        <v>6.0002726157481028E-2</v>
      </c>
      <c r="X34" s="156">
        <f>SUM(M34:Q34)</f>
        <v>5194.8658745147477</v>
      </c>
      <c r="Y34" s="221">
        <f>X34/X$36</f>
        <v>5.4793128604047246E-2</v>
      </c>
      <c r="AD34" s="118">
        <v>0</v>
      </c>
    </row>
    <row r="35" spans="1:38" ht="3.9" customHeight="1" thickBot="1" x14ac:dyDescent="0.6">
      <c r="A35" s="273"/>
      <c r="G35" s="219"/>
      <c r="H35" s="219"/>
      <c r="I35" s="219"/>
      <c r="J35" s="219"/>
      <c r="K35" s="219"/>
      <c r="M35" s="219"/>
      <c r="N35" s="219"/>
      <c r="O35" s="219"/>
      <c r="P35" s="219"/>
      <c r="Q35" s="219"/>
      <c r="U35" s="219"/>
      <c r="V35" s="220"/>
      <c r="X35" s="219"/>
      <c r="Y35" s="220"/>
      <c r="AD35" s="219"/>
    </row>
    <row r="36" spans="1:38" ht="14.4" customHeight="1" thickTop="1" x14ac:dyDescent="0.55000000000000004">
      <c r="A36" s="273"/>
      <c r="C36" s="230" t="s">
        <v>509</v>
      </c>
      <c r="E36" s="125" t="s">
        <v>509</v>
      </c>
      <c r="G36" s="126">
        <f>G27+G32+G34</f>
        <v>6958</v>
      </c>
      <c r="H36" s="126">
        <f>H27+H32+H34</f>
        <v>28952</v>
      </c>
      <c r="I36" s="126">
        <f t="shared" ref="I36:Q36" si="26">I27+I32+I34</f>
        <v>21199</v>
      </c>
      <c r="J36" s="126">
        <f t="shared" si="26"/>
        <v>25725</v>
      </c>
      <c r="K36" s="126">
        <f t="shared" si="26"/>
        <v>27211</v>
      </c>
      <c r="M36" s="126">
        <f t="shared" si="26"/>
        <v>15933.677780775453</v>
      </c>
      <c r="N36" s="126">
        <f t="shared" si="26"/>
        <v>17335.406244547183</v>
      </c>
      <c r="O36" s="126">
        <f t="shared" si="26"/>
        <v>19501.88003259457</v>
      </c>
      <c r="P36" s="126">
        <f t="shared" si="26"/>
        <v>22048.156628057386</v>
      </c>
      <c r="Q36" s="126">
        <f t="shared" si="26"/>
        <v>19989.589947333414</v>
      </c>
      <c r="U36" s="126">
        <f t="shared" ref="U36" si="27">U27+U32+U34</f>
        <v>110045</v>
      </c>
      <c r="V36" s="222">
        <f>V23+V24+V25+V29+V30+V31+V34</f>
        <v>0.99999999999999989</v>
      </c>
      <c r="X36" s="126">
        <f t="shared" ref="X36" si="28">X27+X32+X34</f>
        <v>94808.710633308016</v>
      </c>
      <c r="Y36" s="222">
        <f>Y23+Y24+Y25+Y29+Y30+Y31+Y34</f>
        <v>0.99999999999999989</v>
      </c>
      <c r="AD36" s="126">
        <f t="shared" ref="AD36" si="29">AD27+AD32+AD34</f>
        <v>29233</v>
      </c>
    </row>
    <row r="37" spans="1:38" x14ac:dyDescent="0.55000000000000004">
      <c r="B37" s="214"/>
      <c r="R37" s="214"/>
    </row>
    <row r="38" spans="1:38" x14ac:dyDescent="0.55000000000000004">
      <c r="A38" s="214" t="s">
        <v>512</v>
      </c>
      <c r="G38" s="217">
        <f>G21-G36</f>
        <v>0</v>
      </c>
      <c r="H38" s="217">
        <f>H21-H36</f>
        <v>0</v>
      </c>
      <c r="I38" s="217">
        <f>I21-I36</f>
        <v>0</v>
      </c>
      <c r="J38" s="217">
        <f>J21-J36</f>
        <v>0</v>
      </c>
      <c r="K38" s="217">
        <f>K21-K36</f>
        <v>0</v>
      </c>
      <c r="M38" s="217">
        <f>M21-M36</f>
        <v>0</v>
      </c>
      <c r="N38" s="217">
        <f>N21-N36</f>
        <v>0</v>
      </c>
      <c r="O38" s="217">
        <f>O21-O36</f>
        <v>0</v>
      </c>
      <c r="P38" s="217">
        <f>P21-P36</f>
        <v>0</v>
      </c>
      <c r="Q38" s="217">
        <f>Q21-Q36</f>
        <v>0</v>
      </c>
      <c r="R38" s="214"/>
      <c r="U38" s="217">
        <f>U21-U36</f>
        <v>0</v>
      </c>
      <c r="X38" s="217">
        <f>X21-X36</f>
        <v>0</v>
      </c>
      <c r="AD38" s="217">
        <f>AD21-AD36</f>
        <v>0</v>
      </c>
    </row>
    <row r="39" spans="1:38" x14ac:dyDescent="0.55000000000000004">
      <c r="A39" s="214" t="s">
        <v>497</v>
      </c>
      <c r="D39" s="214"/>
      <c r="E39" s="214"/>
      <c r="F39" s="214"/>
      <c r="G39" s="213">
        <f>'Exhibit 7 (Modelo)'!C87-(G25+G24+G23-G10-G9-G8)</f>
        <v>0</v>
      </c>
      <c r="H39" s="213">
        <f>'Exhibit 7 (Modelo)'!D87-(H25+H24+H23-H10-H9-H8)</f>
        <v>0</v>
      </c>
      <c r="I39" s="213">
        <f>'Exhibit 7 (Modelo)'!E87-(I25+I24+I23-I10-I9-I8)</f>
        <v>0</v>
      </c>
      <c r="J39" s="213">
        <f>'Exhibit 7 (Modelo)'!F87-(J25+J24+J23-J10-J9-J8)</f>
        <v>0</v>
      </c>
      <c r="K39" s="213">
        <f>'Exhibit 7 (Modelo)'!G87-(K25+K24+K23-K10-K9-K8)</f>
        <v>0</v>
      </c>
      <c r="L39" s="213"/>
      <c r="M39" s="213">
        <f>'Exhibit 7 (Modelo)'!I87-(M25+M24+M23-M10-M9-M8)</f>
        <v>2.7284841053187847E-12</v>
      </c>
      <c r="N39" s="213">
        <f>'Exhibit 7 (Modelo)'!J87-(N25+N24+N23-N10-N9-N8)</f>
        <v>4.5474735088646412E-13</v>
      </c>
      <c r="O39" s="213">
        <f>'Exhibit 7 (Modelo)'!K87-(O25+O24+O23-O10-O9-O8)</f>
        <v>2.2737367544323206E-12</v>
      </c>
      <c r="P39" s="213">
        <f>'Exhibit 7 (Modelo)'!L87-(P25+P24+P23-P10-P9-P8)</f>
        <v>0</v>
      </c>
      <c r="Q39" s="213">
        <f>'Exhibit 7 (Modelo)'!M87-(Q25+Q24+Q23-Q10-Q9-Q8)</f>
        <v>0</v>
      </c>
    </row>
    <row r="40" spans="1:38" x14ac:dyDescent="0.55000000000000004">
      <c r="A40" s="214" t="s">
        <v>511</v>
      </c>
      <c r="D40" s="214"/>
      <c r="E40" s="214"/>
      <c r="F40" s="214"/>
      <c r="G40" s="213">
        <f>'Exhibit 7 (Modelo)'!C100-(G31+G30+G29-G16-G15-G14)</f>
        <v>0</v>
      </c>
      <c r="H40" s="213">
        <f>'Exhibit 7 (Modelo)'!D100-(H31+H30+H29-H16-H15-H14)</f>
        <v>0</v>
      </c>
      <c r="I40" s="213">
        <f>'Exhibit 7 (Modelo)'!E100-(I31+I30+I29-I16-I15-I14)</f>
        <v>0</v>
      </c>
      <c r="J40" s="213">
        <f>'Exhibit 7 (Modelo)'!F100-(J31+J30+J29-J16-J15-J14)</f>
        <v>0</v>
      </c>
      <c r="K40" s="213">
        <f>'Exhibit 7 (Modelo)'!G100-(K31+K30+K29-K16-K15-K14)</f>
        <v>0</v>
      </c>
      <c r="L40" s="213"/>
      <c r="M40" s="213">
        <f>'Exhibit 7 (Modelo)'!I100-(M31+M30+M29-M16-M15-M14)</f>
        <v>0</v>
      </c>
      <c r="N40" s="213">
        <f>'Exhibit 7 (Modelo)'!J100-(N31+N30+N29-N16-N15-N14)</f>
        <v>0</v>
      </c>
      <c r="O40" s="213">
        <f>'Exhibit 7 (Modelo)'!K100-(O31+O30+O29-O16-O15-O14)</f>
        <v>0</v>
      </c>
      <c r="P40" s="213">
        <f>'Exhibit 7 (Modelo)'!L100-(P31+P30+P29-P16-P15-P14)</f>
        <v>0</v>
      </c>
      <c r="Q40" s="213">
        <f>'Exhibit 7 (Modelo)'!M100-(Q31+Q30+Q29-Q16-Q15-Q14)</f>
        <v>0</v>
      </c>
    </row>
    <row r="41" spans="1:38" x14ac:dyDescent="0.55000000000000004">
      <c r="A41" s="214" t="s">
        <v>504</v>
      </c>
      <c r="G41" s="215">
        <f>G36-G21</f>
        <v>0</v>
      </c>
      <c r="H41" s="215">
        <f>H36-H21</f>
        <v>0</v>
      </c>
      <c r="I41" s="215">
        <f>I36-I21</f>
        <v>0</v>
      </c>
      <c r="J41" s="215">
        <f>J36-J21</f>
        <v>0</v>
      </c>
      <c r="K41" s="215">
        <f>K36-K21</f>
        <v>0</v>
      </c>
      <c r="L41" s="216"/>
      <c r="M41" s="215">
        <f>M36-M21</f>
        <v>0</v>
      </c>
      <c r="N41" s="215">
        <f>N36-N21</f>
        <v>0</v>
      </c>
      <c r="O41" s="215">
        <f>O36-O21</f>
        <v>0</v>
      </c>
      <c r="P41" s="215">
        <f>P36-P21</f>
        <v>0</v>
      </c>
      <c r="Q41" s="215">
        <f>Q36-Q21</f>
        <v>0</v>
      </c>
    </row>
    <row r="42" spans="1:38" x14ac:dyDescent="0.55000000000000004">
      <c r="A42" s="214" t="s">
        <v>505</v>
      </c>
      <c r="G42" s="213">
        <f>'Exhibit 7 (Modelo)'!C102</f>
        <v>-90</v>
      </c>
      <c r="H42" s="213">
        <f>'Exhibit 7 (Modelo)'!D102</f>
        <v>3415</v>
      </c>
      <c r="I42" s="213">
        <f>'Exhibit 7 (Modelo)'!E102</f>
        <v>-3379</v>
      </c>
      <c r="J42" s="213">
        <f>'Exhibit 7 (Modelo)'!F102</f>
        <v>9521</v>
      </c>
      <c r="K42" s="213">
        <f>'Exhibit 7 (Modelo)'!G102</f>
        <v>-3134</v>
      </c>
      <c r="M42" s="213">
        <f>'Exhibit 7 (Modelo)'!I102</f>
        <v>-3378.6971188134648</v>
      </c>
      <c r="N42" s="213">
        <f>'Exhibit 7 (Modelo)'!J102</f>
        <v>-797.98978907973969</v>
      </c>
      <c r="O42" s="213">
        <f>'Exhibit 7 (Modelo)'!K102</f>
        <v>-1018.1789666215432</v>
      </c>
      <c r="P42" s="213">
        <f>'Exhibit 7 (Modelo)'!L102</f>
        <v>107.69602419682906</v>
      </c>
      <c r="Q42" s="213">
        <f>'Exhibit 7 (Modelo)'!M102</f>
        <v>96.959304725697621</v>
      </c>
    </row>
    <row r="43" spans="1:38" x14ac:dyDescent="0.55000000000000004">
      <c r="A43" s="218" t="s">
        <v>517</v>
      </c>
      <c r="H43" s="173">
        <f>H42</f>
        <v>3415</v>
      </c>
      <c r="J43" s="173">
        <f>J42</f>
        <v>9521</v>
      </c>
      <c r="P43" s="173">
        <f>P42</f>
        <v>107.69602419682906</v>
      </c>
      <c r="Q43" s="173">
        <f>Q42</f>
        <v>96.959304725697621</v>
      </c>
    </row>
    <row r="44" spans="1:38" x14ac:dyDescent="0.55000000000000004">
      <c r="A44" s="218" t="s">
        <v>518</v>
      </c>
      <c r="G44" s="173">
        <f>-G42</f>
        <v>90</v>
      </c>
      <c r="I44" s="173">
        <f>-I42</f>
        <v>3379</v>
      </c>
      <c r="K44" s="173">
        <f>-K42</f>
        <v>3134</v>
      </c>
      <c r="L44" s="129"/>
      <c r="M44" s="173">
        <f>-M42</f>
        <v>3378.6971188134648</v>
      </c>
      <c r="N44" s="173">
        <f>-N42</f>
        <v>797.98978907973969</v>
      </c>
      <c r="O44" s="173">
        <f>-O42</f>
        <v>1018.1789666215432</v>
      </c>
      <c r="AG44" s="122" t="s">
        <v>548</v>
      </c>
    </row>
    <row r="46" spans="1:38" x14ac:dyDescent="0.55000000000000004">
      <c r="J46" s="228"/>
      <c r="N46" s="233" t="s">
        <v>489</v>
      </c>
      <c r="V46" s="228" t="s">
        <v>490</v>
      </c>
      <c r="AH46" s="235" t="s">
        <v>489</v>
      </c>
      <c r="AL46" s="228" t="s">
        <v>490</v>
      </c>
    </row>
    <row r="52" spans="7:31" x14ac:dyDescent="0.55000000000000004">
      <c r="J52" s="156"/>
      <c r="N52" s="156"/>
    </row>
    <row r="53" spans="7:31" x14ac:dyDescent="0.55000000000000004">
      <c r="J53" s="156"/>
      <c r="N53" s="156"/>
    </row>
    <row r="54" spans="7:31" x14ac:dyDescent="0.55000000000000004">
      <c r="J54" s="156"/>
      <c r="N54" s="156"/>
    </row>
    <row r="55" spans="7:31" x14ac:dyDescent="0.55000000000000004">
      <c r="J55" s="156"/>
      <c r="N55" s="156"/>
    </row>
    <row r="56" spans="7:31" x14ac:dyDescent="0.55000000000000004">
      <c r="J56" s="156"/>
      <c r="N56" s="156"/>
      <c r="AC56" s="264" t="s">
        <v>268</v>
      </c>
    </row>
    <row r="57" spans="7:31" x14ac:dyDescent="0.55000000000000004">
      <c r="G57" s="122" t="s">
        <v>489</v>
      </c>
      <c r="H57" s="234" t="s">
        <v>521</v>
      </c>
      <c r="P57" s="156"/>
      <c r="AB57" s="122" t="s">
        <v>489</v>
      </c>
      <c r="AC57" s="234">
        <v>2010</v>
      </c>
    </row>
    <row r="58" spans="7:31" x14ac:dyDescent="0.55000000000000004">
      <c r="G58" s="93" t="s">
        <v>513</v>
      </c>
      <c r="H58" s="156">
        <f>(U14+U15)/1000</f>
        <v>26.986999999999998</v>
      </c>
      <c r="AB58" s="93" t="s">
        <v>513</v>
      </c>
      <c r="AC58" s="156">
        <f>(M14+M15)/1000</f>
        <v>1.2268074328328684</v>
      </c>
    </row>
    <row r="59" spans="7:31" x14ac:dyDescent="0.55000000000000004">
      <c r="G59" s="93" t="s">
        <v>332</v>
      </c>
      <c r="H59" s="156">
        <f>U16/1000</f>
        <v>10.048999999999999</v>
      </c>
      <c r="AB59" s="93" t="s">
        <v>332</v>
      </c>
      <c r="AC59" s="156">
        <f>M16/1000</f>
        <v>2.9747337494988462</v>
      </c>
    </row>
    <row r="60" spans="7:31" x14ac:dyDescent="0.55000000000000004">
      <c r="G60" s="93" t="s">
        <v>414</v>
      </c>
      <c r="H60" s="156">
        <f>U9/1000</f>
        <v>19.350000000000001</v>
      </c>
      <c r="AB60" s="93" t="s">
        <v>414</v>
      </c>
      <c r="AC60" s="156">
        <f>AP9/1000</f>
        <v>0</v>
      </c>
    </row>
    <row r="61" spans="7:31" x14ac:dyDescent="0.55000000000000004">
      <c r="G61" s="93" t="s">
        <v>493</v>
      </c>
      <c r="H61" s="156">
        <f>U10/1000</f>
        <v>5.0270000000000001</v>
      </c>
      <c r="AB61" s="93" t="s">
        <v>493</v>
      </c>
      <c r="AC61" s="156">
        <f>M10/1000</f>
        <v>0.91653659844374036</v>
      </c>
    </row>
    <row r="62" spans="7:31" x14ac:dyDescent="0.55000000000000004">
      <c r="G62" s="93" t="s">
        <v>347</v>
      </c>
      <c r="H62" s="156">
        <f>U8/1000</f>
        <v>35.695999999999998</v>
      </c>
      <c r="I62" s="156">
        <f>U19/1000</f>
        <v>12.936</v>
      </c>
      <c r="J62" s="93" t="s">
        <v>529</v>
      </c>
      <c r="AB62" s="93" t="s">
        <v>347</v>
      </c>
      <c r="AC62" s="156">
        <f>M8/1000</f>
        <v>10.8156</v>
      </c>
      <c r="AD62" s="156">
        <f>M19/1000</f>
        <v>0</v>
      </c>
      <c r="AE62" s="93" t="s">
        <v>529</v>
      </c>
    </row>
    <row r="63" spans="7:31" x14ac:dyDescent="0.55000000000000004">
      <c r="G63" s="125" t="s">
        <v>532</v>
      </c>
      <c r="H63" s="126">
        <f>SUM(H58:H62)</f>
        <v>97.109000000000009</v>
      </c>
      <c r="AB63" s="125" t="s">
        <v>532</v>
      </c>
      <c r="AC63" s="126">
        <f>SUM(AC58:AC62)</f>
        <v>15.933677780775454</v>
      </c>
    </row>
    <row r="64" spans="7:31" x14ac:dyDescent="0.55000000000000004">
      <c r="G64" s="122" t="s">
        <v>490</v>
      </c>
      <c r="AB64" s="122" t="s">
        <v>490</v>
      </c>
    </row>
    <row r="65" spans="7:38" x14ac:dyDescent="0.55000000000000004">
      <c r="G65" s="93" t="s">
        <v>516</v>
      </c>
      <c r="H65" s="173">
        <f>(U29+U30)/1000-I68</f>
        <v>18.387</v>
      </c>
      <c r="AB65" s="93" t="s">
        <v>516</v>
      </c>
      <c r="AC65" s="173">
        <f>(M29+M30)/1000</f>
        <v>1.7835000000000001</v>
      </c>
    </row>
    <row r="66" spans="7:38" x14ac:dyDescent="0.55000000000000004">
      <c r="G66" s="93" t="s">
        <v>515</v>
      </c>
      <c r="H66" s="156">
        <f>U31/1000</f>
        <v>29.734999999999999</v>
      </c>
      <c r="AB66" s="93" t="s">
        <v>519</v>
      </c>
      <c r="AC66" s="156">
        <f>-AD68</f>
        <v>3.3786971188134647</v>
      </c>
    </row>
    <row r="67" spans="7:38" x14ac:dyDescent="0.55000000000000004">
      <c r="G67" s="93" t="s">
        <v>514</v>
      </c>
      <c r="H67" s="156">
        <f>U27/1000</f>
        <v>48.987000000000002</v>
      </c>
      <c r="I67" s="231">
        <f>U34/1000</f>
        <v>6.6029999999999998</v>
      </c>
      <c r="J67" s="93" t="s">
        <v>526</v>
      </c>
      <c r="AB67" s="93" t="s">
        <v>514</v>
      </c>
      <c r="AC67" s="156">
        <f>M27/1000</f>
        <v>10.771480661961988</v>
      </c>
      <c r="AD67" s="231">
        <f>M34/1000</f>
        <v>3.3786971188134647</v>
      </c>
      <c r="AE67" s="93" t="s">
        <v>526</v>
      </c>
    </row>
    <row r="68" spans="7:38" x14ac:dyDescent="0.55000000000000004">
      <c r="G68" s="125" t="s">
        <v>532</v>
      </c>
      <c r="H68" s="126">
        <f>SUM(H65:H67)</f>
        <v>97.109000000000009</v>
      </c>
      <c r="I68" s="173">
        <f>I62-I67</f>
        <v>6.3330000000000002</v>
      </c>
      <c r="J68" s="93" t="s">
        <v>530</v>
      </c>
      <c r="AB68" s="125" t="s">
        <v>532</v>
      </c>
      <c r="AC68" s="126">
        <f>SUM(AC65:AC67)</f>
        <v>15.933677780775453</v>
      </c>
      <c r="AD68" s="173">
        <f>AD62-AD67</f>
        <v>-3.3786971188134647</v>
      </c>
      <c r="AE68" s="93" t="s">
        <v>533</v>
      </c>
    </row>
    <row r="69" spans="7:38" x14ac:dyDescent="0.55000000000000004">
      <c r="G69" s="214" t="s">
        <v>531</v>
      </c>
      <c r="H69" s="232">
        <f>H63-H68</f>
        <v>0</v>
      </c>
      <c r="AB69" s="214" t="s">
        <v>531</v>
      </c>
      <c r="AC69" s="232">
        <f>AC63-AC68</f>
        <v>0</v>
      </c>
    </row>
    <row r="70" spans="7:38" x14ac:dyDescent="0.55000000000000004">
      <c r="H70" s="156"/>
    </row>
    <row r="72" spans="7:38" x14ac:dyDescent="0.55000000000000004">
      <c r="G72" s="122" t="s">
        <v>489</v>
      </c>
      <c r="H72" s="234" t="s">
        <v>522</v>
      </c>
    </row>
    <row r="73" spans="7:38" x14ac:dyDescent="0.55000000000000004">
      <c r="G73" s="93" t="s">
        <v>513</v>
      </c>
      <c r="H73" s="156">
        <f>(X14+X15)/1000</f>
        <v>13.212792259692506</v>
      </c>
    </row>
    <row r="74" spans="7:38" x14ac:dyDescent="0.55000000000000004">
      <c r="G74" s="93" t="s">
        <v>332</v>
      </c>
      <c r="H74" s="156">
        <f>X16/1000</f>
        <v>17.670552515754224</v>
      </c>
      <c r="AG74" s="122" t="s">
        <v>549</v>
      </c>
    </row>
    <row r="75" spans="7:38" x14ac:dyDescent="0.55000000000000004">
      <c r="G75" s="93" t="s">
        <v>414</v>
      </c>
      <c r="H75" s="156">
        <f>X9/1000</f>
        <v>0</v>
      </c>
    </row>
    <row r="76" spans="7:38" x14ac:dyDescent="0.55000000000000004">
      <c r="G76" s="93" t="s">
        <v>493</v>
      </c>
      <c r="H76" s="156">
        <f>X10/1000</f>
        <v>2.1427841273387407</v>
      </c>
      <c r="AH76" s="235" t="s">
        <v>489</v>
      </c>
      <c r="AL76" s="228" t="s">
        <v>490</v>
      </c>
    </row>
    <row r="77" spans="7:38" x14ac:dyDescent="0.55000000000000004">
      <c r="G77" s="93" t="s">
        <v>347</v>
      </c>
      <c r="H77" s="156">
        <f>X8/1000</f>
        <v>61.57792640160001</v>
      </c>
      <c r="I77" s="156">
        <f>X19/1000</f>
        <v>0.20465532892252669</v>
      </c>
      <c r="J77" s="93" t="s">
        <v>529</v>
      </c>
    </row>
    <row r="78" spans="7:38" x14ac:dyDescent="0.55000000000000004">
      <c r="G78" s="125" t="s">
        <v>532</v>
      </c>
      <c r="H78" s="126">
        <f>SUM(H73:H77)</f>
        <v>94.604055304385483</v>
      </c>
    </row>
    <row r="79" spans="7:38" x14ac:dyDescent="0.55000000000000004">
      <c r="G79" s="122" t="s">
        <v>490</v>
      </c>
    </row>
    <row r="80" spans="7:38" x14ac:dyDescent="0.55000000000000004">
      <c r="G80" s="93" t="s">
        <v>516</v>
      </c>
      <c r="H80" s="156">
        <f>(X29+X30)/1000</f>
        <v>22.117000000000001</v>
      </c>
    </row>
    <row r="81" spans="7:31" x14ac:dyDescent="0.55000000000000004">
      <c r="G81" s="93" t="s">
        <v>519</v>
      </c>
      <c r="H81" s="156">
        <f>-I83</f>
        <v>4.9902105455922214</v>
      </c>
    </row>
    <row r="82" spans="7:31" x14ac:dyDescent="0.55000000000000004">
      <c r="G82" s="93" t="s">
        <v>514</v>
      </c>
      <c r="H82" s="156">
        <f>X27/1000</f>
        <v>67.496844758793259</v>
      </c>
      <c r="I82" s="231">
        <f>X34/1000</f>
        <v>5.1948658745147478</v>
      </c>
      <c r="J82" s="93" t="s">
        <v>526</v>
      </c>
    </row>
    <row r="83" spans="7:31" x14ac:dyDescent="0.55000000000000004">
      <c r="G83" s="125" t="s">
        <v>532</v>
      </c>
      <c r="H83" s="126">
        <f>SUM(H80:H82)</f>
        <v>94.604055304385483</v>
      </c>
      <c r="I83" s="156">
        <f>I77-I82</f>
        <v>-4.9902105455922214</v>
      </c>
      <c r="J83" s="93" t="s">
        <v>533</v>
      </c>
    </row>
    <row r="84" spans="7:31" x14ac:dyDescent="0.55000000000000004">
      <c r="G84" s="214" t="s">
        <v>531</v>
      </c>
      <c r="H84" s="232">
        <f>H78-H83</f>
        <v>0</v>
      </c>
    </row>
    <row r="86" spans="7:31" x14ac:dyDescent="0.55000000000000004">
      <c r="AC86" s="264" t="s">
        <v>545</v>
      </c>
    </row>
    <row r="87" spans="7:31" x14ac:dyDescent="0.55000000000000004">
      <c r="AB87" s="122" t="s">
        <v>489</v>
      </c>
      <c r="AC87" s="234">
        <v>2010</v>
      </c>
    </row>
    <row r="88" spans="7:31" x14ac:dyDescent="0.55000000000000004">
      <c r="AB88" s="93" t="s">
        <v>513</v>
      </c>
      <c r="AC88" s="156">
        <f>(AD14+AD15)/1000</f>
        <v>6.1420000000000003</v>
      </c>
    </row>
    <row r="89" spans="7:31" x14ac:dyDescent="0.55000000000000004">
      <c r="AB89" s="93" t="s">
        <v>332</v>
      </c>
      <c r="AC89" s="156">
        <f>AD16/1000</f>
        <v>5.1360000000000001</v>
      </c>
    </row>
    <row r="90" spans="7:31" x14ac:dyDescent="0.55000000000000004">
      <c r="AB90" s="93" t="s">
        <v>414</v>
      </c>
      <c r="AC90" s="156">
        <f>AD9/1000</f>
        <v>0</v>
      </c>
    </row>
    <row r="91" spans="7:31" x14ac:dyDescent="0.55000000000000004">
      <c r="AB91" s="93" t="s">
        <v>493</v>
      </c>
      <c r="AC91" s="156">
        <f>AD10/1000</f>
        <v>3.5129999999999999</v>
      </c>
    </row>
    <row r="92" spans="7:31" x14ac:dyDescent="0.55000000000000004">
      <c r="AB92" s="93" t="s">
        <v>347</v>
      </c>
      <c r="AC92" s="156">
        <f>AD8/1000</f>
        <v>12.647</v>
      </c>
      <c r="AD92" s="156">
        <f>AD19/1000</f>
        <v>1.7949999999999999</v>
      </c>
      <c r="AE92" s="93" t="s">
        <v>529</v>
      </c>
    </row>
    <row r="93" spans="7:31" x14ac:dyDescent="0.55000000000000004">
      <c r="AB93" s="125" t="s">
        <v>532</v>
      </c>
      <c r="AC93" s="126">
        <f>SUM(AC88:AC92)</f>
        <v>27.438000000000002</v>
      </c>
    </row>
    <row r="94" spans="7:31" x14ac:dyDescent="0.55000000000000004">
      <c r="AB94" s="122" t="s">
        <v>490</v>
      </c>
    </row>
    <row r="95" spans="7:31" x14ac:dyDescent="0.55000000000000004">
      <c r="AB95" s="93" t="s">
        <v>516</v>
      </c>
      <c r="AC95" s="173">
        <f>(AD29+AD30)/1000-AD98</f>
        <v>5.5330000000000004</v>
      </c>
    </row>
    <row r="96" spans="7:31" x14ac:dyDescent="0.55000000000000004">
      <c r="AB96" s="93" t="s">
        <v>515</v>
      </c>
      <c r="AC96" s="156">
        <v>0</v>
      </c>
    </row>
    <row r="97" spans="28:31" x14ac:dyDescent="0.55000000000000004">
      <c r="AB97" s="93" t="s">
        <v>514</v>
      </c>
      <c r="AC97" s="156">
        <f>AD27/1000</f>
        <v>21.905000000000001</v>
      </c>
      <c r="AD97" s="231">
        <f>AD34/1000</f>
        <v>0</v>
      </c>
      <c r="AE97" s="93" t="s">
        <v>526</v>
      </c>
    </row>
    <row r="98" spans="28:31" x14ac:dyDescent="0.55000000000000004">
      <c r="AB98" s="125" t="s">
        <v>532</v>
      </c>
      <c r="AC98" s="126">
        <f>SUM(AC95:AC97)</f>
        <v>27.438000000000002</v>
      </c>
      <c r="AD98" s="173">
        <f>AD92-AD97</f>
        <v>1.7949999999999999</v>
      </c>
      <c r="AE98" s="93" t="s">
        <v>533</v>
      </c>
    </row>
    <row r="99" spans="28:31" x14ac:dyDescent="0.55000000000000004">
      <c r="AB99" s="214" t="s">
        <v>531</v>
      </c>
      <c r="AC99" s="232">
        <f>AC93-AC98</f>
        <v>0</v>
      </c>
    </row>
  </sheetData>
  <mergeCells count="6">
    <mergeCell ref="A8:A21"/>
    <mergeCell ref="A23:A36"/>
    <mergeCell ref="C8:C12"/>
    <mergeCell ref="C14:C17"/>
    <mergeCell ref="C23:C27"/>
    <mergeCell ref="C29:C3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4"/>
  <sheetViews>
    <sheetView showGridLines="0" topLeftCell="A19" workbookViewId="0">
      <selection activeCell="A28" sqref="A28"/>
    </sheetView>
  </sheetViews>
  <sheetFormatPr baseColWidth="10" defaultColWidth="9.15625" defaultRowHeight="14.1" outlineLevelCol="1" x14ac:dyDescent="0.5"/>
  <cols>
    <col min="1" max="1" width="35.83984375" style="3" bestFit="1" customWidth="1"/>
    <col min="2" max="2" width="10.9453125" style="3" hidden="1" customWidth="1" outlineLevel="1"/>
    <col min="3" max="3" width="11.41796875" style="3" customWidth="1" collapsed="1"/>
    <col min="4" max="7" width="11.41796875" style="3" customWidth="1"/>
    <col min="8" max="8" width="10.15625" style="3" bestFit="1" customWidth="1"/>
    <col min="9" max="9" width="9.15625" style="3"/>
    <col min="10" max="10" width="10.578125" style="3" customWidth="1"/>
    <col min="11" max="12" width="9.15625" style="3"/>
    <col min="13" max="13" width="35.68359375" style="3" customWidth="1"/>
    <col min="14" max="16384" width="9.15625" style="3"/>
  </cols>
  <sheetData>
    <row r="1" spans="1:7" x14ac:dyDescent="0.5">
      <c r="A1" s="277" t="s">
        <v>12</v>
      </c>
      <c r="B1" s="277"/>
      <c r="C1" s="277"/>
      <c r="D1" s="277"/>
      <c r="E1" s="277"/>
      <c r="F1" s="277"/>
      <c r="G1" s="277"/>
    </row>
    <row r="2" spans="1:7" ht="15" x14ac:dyDescent="0.5">
      <c r="A2" s="278" t="s">
        <v>100</v>
      </c>
      <c r="B2" s="278"/>
      <c r="C2" s="278"/>
      <c r="D2" s="278"/>
      <c r="E2" s="278"/>
      <c r="F2" s="278"/>
      <c r="G2" s="278"/>
    </row>
    <row r="3" spans="1:7" x14ac:dyDescent="0.5">
      <c r="A3" s="277" t="s">
        <v>75</v>
      </c>
      <c r="B3" s="277"/>
      <c r="C3" s="277"/>
      <c r="D3" s="277"/>
      <c r="E3" s="277"/>
      <c r="F3" s="277"/>
      <c r="G3" s="277"/>
    </row>
    <row r="4" spans="1:7" x14ac:dyDescent="0.5">
      <c r="A4" s="277" t="s">
        <v>99</v>
      </c>
      <c r="B4" s="277"/>
      <c r="C4" s="277"/>
      <c r="D4" s="277"/>
      <c r="E4" s="277"/>
      <c r="F4" s="277"/>
      <c r="G4" s="277"/>
    </row>
    <row r="5" spans="1:7" x14ac:dyDescent="0.5">
      <c r="A5" s="4"/>
      <c r="B5" s="4"/>
      <c r="C5" s="4"/>
      <c r="D5" s="4"/>
      <c r="E5" s="4"/>
      <c r="F5" s="4"/>
      <c r="G5" s="4"/>
    </row>
    <row r="6" spans="1:7" x14ac:dyDescent="0.5">
      <c r="A6" s="4"/>
      <c r="B6" s="4"/>
      <c r="C6" s="279" t="s">
        <v>87</v>
      </c>
      <c r="D6" s="279"/>
      <c r="E6" s="279"/>
      <c r="F6" s="279"/>
      <c r="G6" s="279"/>
    </row>
    <row r="7" spans="1:7" x14ac:dyDescent="0.5">
      <c r="A7" s="4"/>
      <c r="B7" s="4"/>
      <c r="C7" s="16">
        <v>2005</v>
      </c>
      <c r="D7" s="16">
        <f>C7+1</f>
        <v>2006</v>
      </c>
      <c r="E7" s="16">
        <f t="shared" ref="E7:G7" si="0">D7+1</f>
        <v>2007</v>
      </c>
      <c r="F7" s="16">
        <f t="shared" si="0"/>
        <v>2008</v>
      </c>
      <c r="G7" s="16">
        <f t="shared" si="0"/>
        <v>2009</v>
      </c>
    </row>
    <row r="8" spans="1:7" x14ac:dyDescent="0.5">
      <c r="A8" s="4"/>
      <c r="B8" s="4"/>
      <c r="C8" s="4"/>
      <c r="D8" s="4"/>
      <c r="E8" s="4"/>
      <c r="F8" s="4"/>
      <c r="G8" s="4"/>
    </row>
    <row r="9" spans="1:7" x14ac:dyDescent="0.5">
      <c r="A9" s="4" t="s">
        <v>9</v>
      </c>
      <c r="B9" s="4"/>
      <c r="C9" s="4">
        <v>14581</v>
      </c>
      <c r="D9" s="4">
        <v>21188</v>
      </c>
      <c r="E9" s="4">
        <v>36373</v>
      </c>
      <c r="F9" s="4">
        <v>30464</v>
      </c>
      <c r="G9" s="4">
        <v>27814</v>
      </c>
    </row>
    <row r="10" spans="1:7" x14ac:dyDescent="0.5">
      <c r="A10" s="3" t="s">
        <v>81</v>
      </c>
      <c r="C10" s="5">
        <v>6996</v>
      </c>
      <c r="D10" s="5">
        <v>9710</v>
      </c>
      <c r="E10" s="5">
        <v>16896</v>
      </c>
      <c r="F10" s="5">
        <v>13887</v>
      </c>
      <c r="G10" s="5">
        <v>15898</v>
      </c>
    </row>
    <row r="11" spans="1:7" x14ac:dyDescent="0.5">
      <c r="C11" s="4">
        <f>C9-C10</f>
        <v>7585</v>
      </c>
      <c r="D11" s="4">
        <f t="shared" ref="D11:G11" si="1">D9-D10</f>
        <v>11478</v>
      </c>
      <c r="E11" s="4">
        <f t="shared" si="1"/>
        <v>19477</v>
      </c>
      <c r="F11" s="4">
        <f t="shared" si="1"/>
        <v>16577</v>
      </c>
      <c r="G11" s="4">
        <f t="shared" si="1"/>
        <v>11916</v>
      </c>
    </row>
    <row r="12" spans="1:7" x14ac:dyDescent="0.5">
      <c r="C12" s="4"/>
      <c r="D12" s="4"/>
      <c r="E12" s="4"/>
      <c r="F12" s="4"/>
      <c r="G12" s="4"/>
    </row>
    <row r="13" spans="1:7" x14ac:dyDescent="0.5">
      <c r="A13" s="3" t="s">
        <v>82</v>
      </c>
      <c r="C13" s="4">
        <v>694</v>
      </c>
      <c r="D13" s="4">
        <v>913</v>
      </c>
      <c r="E13" s="4">
        <v>1431</v>
      </c>
      <c r="F13" s="4">
        <v>1562</v>
      </c>
      <c r="G13" s="4">
        <v>1359</v>
      </c>
    </row>
    <row r="14" spans="1:7" x14ac:dyDescent="0.5">
      <c r="A14" s="3" t="s">
        <v>83</v>
      </c>
      <c r="C14" s="4">
        <v>645</v>
      </c>
      <c r="D14" s="4">
        <v>1167</v>
      </c>
      <c r="E14" s="4">
        <v>1581</v>
      </c>
      <c r="F14" s="4">
        <v>3181</v>
      </c>
      <c r="G14" s="4">
        <v>2997</v>
      </c>
    </row>
    <row r="15" spans="1:7" x14ac:dyDescent="0.5">
      <c r="C15" s="5"/>
      <c r="D15" s="5"/>
      <c r="E15" s="5"/>
      <c r="F15" s="5"/>
      <c r="G15" s="5"/>
    </row>
    <row r="16" spans="1:7" x14ac:dyDescent="0.5">
      <c r="C16" s="4">
        <f>C11-C13-C14</f>
        <v>6246</v>
      </c>
      <c r="D16" s="4">
        <f>D11-D13-D14</f>
        <v>9398</v>
      </c>
      <c r="E16" s="4">
        <f>E11-E13-E14</f>
        <v>16465</v>
      </c>
      <c r="F16" s="4">
        <f>F11-F13-F14</f>
        <v>11834</v>
      </c>
      <c r="G16" s="4">
        <f>G11-G13-G14</f>
        <v>7560</v>
      </c>
    </row>
    <row r="18" spans="1:7" x14ac:dyDescent="0.5">
      <c r="A18" s="3" t="s">
        <v>84</v>
      </c>
      <c r="C18" s="4">
        <v>414</v>
      </c>
      <c r="D18" s="4">
        <v>817</v>
      </c>
      <c r="E18" s="4">
        <v>-155</v>
      </c>
      <c r="F18" s="4">
        <v>853</v>
      </c>
      <c r="G18" s="4">
        <v>662</v>
      </c>
    </row>
    <row r="19" spans="1:7" x14ac:dyDescent="0.5">
      <c r="A19" s="3" t="s">
        <v>85</v>
      </c>
      <c r="C19" s="4">
        <v>107</v>
      </c>
      <c r="D19" s="4">
        <v>-194</v>
      </c>
      <c r="E19" s="4">
        <v>-533</v>
      </c>
      <c r="F19" s="4">
        <v>-1317</v>
      </c>
      <c r="G19" s="4">
        <v>1901</v>
      </c>
    </row>
    <row r="20" spans="1:7" x14ac:dyDescent="0.5">
      <c r="C20" s="5"/>
      <c r="D20" s="5"/>
      <c r="E20" s="5"/>
      <c r="F20" s="5"/>
      <c r="G20" s="5"/>
    </row>
    <row r="21" spans="1:7" x14ac:dyDescent="0.5">
      <c r="C21" s="4">
        <f>C16-C18+C19</f>
        <v>5939</v>
      </c>
      <c r="D21" s="4">
        <f t="shared" ref="D21:G21" si="2">D16-D18+D19</f>
        <v>8387</v>
      </c>
      <c r="E21" s="4">
        <f t="shared" si="2"/>
        <v>16087</v>
      </c>
      <c r="F21" s="4">
        <f t="shared" si="2"/>
        <v>9664</v>
      </c>
      <c r="G21" s="4">
        <f t="shared" si="2"/>
        <v>8799</v>
      </c>
    </row>
    <row r="23" spans="1:7" x14ac:dyDescent="0.5">
      <c r="A23" s="3" t="s">
        <v>44</v>
      </c>
      <c r="C23" s="4">
        <v>1015</v>
      </c>
      <c r="D23" s="4">
        <v>1585</v>
      </c>
      <c r="E23" s="4">
        <v>3979</v>
      </c>
      <c r="F23" s="4">
        <v>287</v>
      </c>
      <c r="G23" s="4">
        <v>2824</v>
      </c>
    </row>
    <row r="24" spans="1:7" x14ac:dyDescent="0.5">
      <c r="A24" s="3" t="s">
        <v>86</v>
      </c>
      <c r="C24" s="4">
        <v>-445</v>
      </c>
      <c r="D24" s="4">
        <v>-519</v>
      </c>
      <c r="E24" s="4">
        <v>-873</v>
      </c>
      <c r="F24" s="4">
        <v>-187</v>
      </c>
      <c r="G24" s="4">
        <v>-97</v>
      </c>
    </row>
    <row r="25" spans="1:7" ht="14.4" thickBot="1" x14ac:dyDescent="0.55000000000000004">
      <c r="A25" s="3" t="s">
        <v>80</v>
      </c>
      <c r="C25" s="6">
        <f>C21-C23+C24</f>
        <v>4479</v>
      </c>
      <c r="D25" s="6">
        <f>D21-D23+D24</f>
        <v>6283</v>
      </c>
      <c r="E25" s="6">
        <f>E21-E23+E24</f>
        <v>11235</v>
      </c>
      <c r="F25" s="6">
        <f>F21-F23+F24</f>
        <v>9190</v>
      </c>
      <c r="G25" s="6">
        <f>G21-G23+G24</f>
        <v>5878</v>
      </c>
    </row>
    <row r="26" spans="1:7" ht="14.4" thickTop="1" x14ac:dyDescent="0.5">
      <c r="C26" s="4"/>
      <c r="D26" s="4"/>
      <c r="E26" s="4"/>
      <c r="F26" s="4"/>
      <c r="G26" s="4"/>
    </row>
    <row r="27" spans="1:7" x14ac:dyDescent="0.5">
      <c r="A27" s="68" t="s">
        <v>555</v>
      </c>
      <c r="B27" s="68"/>
      <c r="C27" s="69"/>
      <c r="D27" s="69"/>
      <c r="E27" s="69"/>
      <c r="F27" s="69"/>
      <c r="G27" s="69"/>
    </row>
    <row r="28" spans="1:7" x14ac:dyDescent="0.5">
      <c r="A28" s="68" t="s">
        <v>278</v>
      </c>
      <c r="B28" s="68"/>
      <c r="C28" s="69">
        <v>560</v>
      </c>
      <c r="D28" s="69">
        <v>1338</v>
      </c>
      <c r="E28" s="69">
        <v>2517</v>
      </c>
      <c r="F28" s="69">
        <v>1765</v>
      </c>
      <c r="G28" s="69">
        <v>1558</v>
      </c>
    </row>
    <row r="29" spans="1:7" x14ac:dyDescent="0.5">
      <c r="A29" s="68" t="s">
        <v>279</v>
      </c>
      <c r="B29" s="68"/>
      <c r="C29" s="69">
        <v>-123</v>
      </c>
      <c r="D29" s="69">
        <v>-327</v>
      </c>
      <c r="E29" s="69">
        <v>-295</v>
      </c>
      <c r="F29" s="69">
        <v>-602</v>
      </c>
      <c r="G29" s="69">
        <v>-381</v>
      </c>
    </row>
    <row r="30" spans="1:7" x14ac:dyDescent="0.5">
      <c r="A30" s="68" t="s">
        <v>280</v>
      </c>
      <c r="B30" s="68"/>
      <c r="C30" s="70">
        <f>C18-C28-C29</f>
        <v>-23</v>
      </c>
      <c r="D30" s="70">
        <f>D18-D28-D29</f>
        <v>-194</v>
      </c>
      <c r="E30" s="70">
        <f>E18-E28-E29</f>
        <v>-2377</v>
      </c>
      <c r="F30" s="70">
        <f>F18-F28-F29</f>
        <v>-310</v>
      </c>
      <c r="G30" s="70">
        <f>G18-G28-G29</f>
        <v>-515</v>
      </c>
    </row>
    <row r="31" spans="1:7" x14ac:dyDescent="0.5">
      <c r="A31" s="68" t="s">
        <v>84</v>
      </c>
      <c r="B31" s="68"/>
      <c r="C31" s="69">
        <f>C28+C29+C30</f>
        <v>414</v>
      </c>
      <c r="D31" s="69">
        <f t="shared" ref="D31:G31" si="3">D28+D29+D30</f>
        <v>817</v>
      </c>
      <c r="E31" s="69">
        <f t="shared" si="3"/>
        <v>-155</v>
      </c>
      <c r="F31" s="69">
        <f t="shared" si="3"/>
        <v>853</v>
      </c>
      <c r="G31" s="69">
        <f t="shared" si="3"/>
        <v>662</v>
      </c>
    </row>
    <row r="32" spans="1:7" x14ac:dyDescent="0.5">
      <c r="D32" s="4"/>
      <c r="E32" s="4"/>
      <c r="F32" s="4"/>
      <c r="G32" s="4"/>
    </row>
    <row r="33" spans="1:7" x14ac:dyDescent="0.5">
      <c r="A33" s="1" t="s">
        <v>281</v>
      </c>
      <c r="B33" s="1"/>
      <c r="C33" s="4"/>
      <c r="D33" s="4"/>
      <c r="E33" s="4"/>
      <c r="F33" s="4"/>
      <c r="G33" s="4"/>
    </row>
    <row r="34" spans="1:7" x14ac:dyDescent="0.5">
      <c r="C34" s="4"/>
      <c r="D34" s="4"/>
      <c r="E34" s="4"/>
      <c r="F34" s="4"/>
      <c r="G34" s="4"/>
    </row>
  </sheetData>
  <mergeCells count="5">
    <mergeCell ref="A1:G1"/>
    <mergeCell ref="A2:G2"/>
    <mergeCell ref="A3:G3"/>
    <mergeCell ref="C6:G6"/>
    <mergeCell ref="A4:G4"/>
  </mergeCells>
  <pageMargins left="0.7" right="0.7" top="0.75" bottom="0.75" header="0.3" footer="0.3"/>
  <pageSetup orientation="portrait" horizont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8"/>
  <sheetViews>
    <sheetView showGridLines="0" topLeftCell="A20" zoomScale="108" workbookViewId="0">
      <selection activeCell="A44" sqref="A44"/>
    </sheetView>
  </sheetViews>
  <sheetFormatPr baseColWidth="10" defaultColWidth="9.15625" defaultRowHeight="14.1" outlineLevelCol="1" x14ac:dyDescent="0.5"/>
  <cols>
    <col min="1" max="1" width="31.26171875" style="7" customWidth="1"/>
    <col min="2" max="2" width="10.68359375" style="7" customWidth="1" outlineLevel="1"/>
    <col min="3" max="7" width="11.41796875" style="7" customWidth="1"/>
    <col min="8" max="8" width="10.15625" style="1" bestFit="1" customWidth="1"/>
    <col min="9" max="10" width="9.15625" style="1"/>
    <col min="11" max="12" width="10.578125" style="1" customWidth="1"/>
    <col min="13" max="16384" width="9.15625" style="1"/>
  </cols>
  <sheetData>
    <row r="1" spans="1:7" x14ac:dyDescent="0.5">
      <c r="A1" s="280" t="s">
        <v>13</v>
      </c>
      <c r="B1" s="280"/>
      <c r="C1" s="280"/>
      <c r="D1" s="280"/>
      <c r="E1" s="280"/>
      <c r="F1" s="280"/>
      <c r="G1" s="280"/>
    </row>
    <row r="2" spans="1:7" ht="15" x14ac:dyDescent="0.5">
      <c r="A2" s="281" t="s">
        <v>100</v>
      </c>
      <c r="B2" s="281"/>
      <c r="C2" s="281"/>
      <c r="D2" s="281"/>
      <c r="E2" s="281"/>
      <c r="F2" s="281"/>
      <c r="G2" s="281"/>
    </row>
    <row r="3" spans="1:7" x14ac:dyDescent="0.5">
      <c r="A3" s="277" t="s">
        <v>47</v>
      </c>
      <c r="B3" s="277"/>
      <c r="C3" s="277"/>
      <c r="D3" s="277"/>
      <c r="E3" s="277"/>
      <c r="F3" s="277"/>
      <c r="G3" s="277"/>
    </row>
    <row r="4" spans="1:7" x14ac:dyDescent="0.5">
      <c r="A4" s="1"/>
      <c r="B4" s="1"/>
      <c r="C4" s="280" t="s">
        <v>99</v>
      </c>
      <c r="D4" s="280"/>
      <c r="E4" s="33"/>
      <c r="F4" s="1"/>
      <c r="G4" s="1"/>
    </row>
    <row r="5" spans="1:7" x14ac:dyDescent="0.5">
      <c r="A5" s="1"/>
      <c r="B5" s="1"/>
      <c r="C5" s="279" t="s">
        <v>45</v>
      </c>
      <c r="D5" s="279"/>
      <c r="E5" s="279"/>
      <c r="F5" s="279"/>
      <c r="G5" s="279"/>
    </row>
    <row r="6" spans="1:7" x14ac:dyDescent="0.5">
      <c r="A6" s="1"/>
      <c r="B6" s="1"/>
      <c r="C6" s="16">
        <v>2005</v>
      </c>
      <c r="D6" s="16">
        <f>C6+1</f>
        <v>2006</v>
      </c>
      <c r="E6" s="16">
        <f t="shared" ref="E6:G6" si="0">D6+1</f>
        <v>2007</v>
      </c>
      <c r="F6" s="16">
        <f t="shared" si="0"/>
        <v>2008</v>
      </c>
      <c r="G6" s="16">
        <f t="shared" si="0"/>
        <v>2009</v>
      </c>
    </row>
    <row r="7" spans="1:7" x14ac:dyDescent="0.5">
      <c r="A7" s="1"/>
      <c r="B7" s="1"/>
      <c r="C7" s="16"/>
      <c r="D7" s="16"/>
      <c r="E7" s="16"/>
      <c r="F7" s="16"/>
      <c r="G7" s="16"/>
    </row>
    <row r="8" spans="1:7" x14ac:dyDescent="0.5">
      <c r="A8" s="1" t="s">
        <v>46</v>
      </c>
      <c r="B8" s="1"/>
      <c r="C8" s="4">
        <v>1159</v>
      </c>
      <c r="D8" s="4">
        <v>4574</v>
      </c>
      <c r="E8" s="4">
        <v>1195</v>
      </c>
      <c r="F8" s="4">
        <v>10716</v>
      </c>
      <c r="G8" s="4">
        <v>7582</v>
      </c>
    </row>
    <row r="9" spans="1:7" x14ac:dyDescent="0.5">
      <c r="A9" s="1" t="s">
        <v>78</v>
      </c>
      <c r="B9" s="1"/>
      <c r="C9" s="4">
        <v>1851</v>
      </c>
      <c r="D9" s="4">
        <v>3720</v>
      </c>
      <c r="E9" s="4">
        <v>4028</v>
      </c>
      <c r="F9" s="4">
        <v>3438</v>
      </c>
      <c r="G9" s="4">
        <v>3377</v>
      </c>
    </row>
    <row r="10" spans="1:7" x14ac:dyDescent="0.5">
      <c r="A10" s="1" t="s">
        <v>10</v>
      </c>
      <c r="B10" s="1"/>
      <c r="C10" s="4">
        <v>1387</v>
      </c>
      <c r="D10" s="4">
        <v>2979</v>
      </c>
      <c r="E10" s="4">
        <v>4076</v>
      </c>
      <c r="F10" s="4">
        <v>4183</v>
      </c>
      <c r="G10" s="4">
        <v>3391</v>
      </c>
    </row>
    <row r="11" spans="1:7" x14ac:dyDescent="0.5">
      <c r="A11" s="1" t="s">
        <v>101</v>
      </c>
      <c r="B11" s="1"/>
      <c r="C11" s="5">
        <v>993</v>
      </c>
      <c r="D11" s="5">
        <v>1436</v>
      </c>
      <c r="E11" s="5">
        <v>2580</v>
      </c>
      <c r="F11" s="5">
        <v>5872</v>
      </c>
      <c r="G11" s="5">
        <v>7590</v>
      </c>
    </row>
    <row r="12" spans="1:7" x14ac:dyDescent="0.5">
      <c r="A12" s="1"/>
      <c r="B12" s="1"/>
      <c r="C12" s="8">
        <f>SUM(C8:C11)</f>
        <v>5390</v>
      </c>
      <c r="D12" s="8">
        <f t="shared" ref="D12:G12" si="1">SUM(D8:D11)</f>
        <v>12709</v>
      </c>
      <c r="E12" s="8">
        <f t="shared" si="1"/>
        <v>11879</v>
      </c>
      <c r="F12" s="8">
        <f t="shared" si="1"/>
        <v>24209</v>
      </c>
      <c r="G12" s="8">
        <f t="shared" si="1"/>
        <v>21940</v>
      </c>
    </row>
    <row r="13" spans="1:7" x14ac:dyDescent="0.5">
      <c r="A13" s="1"/>
      <c r="B13" s="1"/>
      <c r="C13" s="4"/>
      <c r="D13" s="4"/>
      <c r="E13" s="4"/>
      <c r="F13" s="4"/>
      <c r="G13" s="4"/>
    </row>
    <row r="14" spans="1:7" x14ac:dyDescent="0.5">
      <c r="A14" s="1" t="s">
        <v>102</v>
      </c>
      <c r="B14" s="1"/>
      <c r="C14" s="4">
        <v>14484</v>
      </c>
      <c r="D14" s="4">
        <v>36309</v>
      </c>
      <c r="E14" s="4">
        <v>51647</v>
      </c>
      <c r="F14" s="4">
        <v>47719</v>
      </c>
      <c r="G14" s="4">
        <v>66047</v>
      </c>
    </row>
    <row r="15" spans="1:7" x14ac:dyDescent="0.5">
      <c r="A15" s="1" t="s">
        <v>11</v>
      </c>
      <c r="B15" s="1"/>
      <c r="C15" s="4">
        <v>0</v>
      </c>
      <c r="D15" s="4">
        <v>0</v>
      </c>
      <c r="E15" s="4">
        <v>0</v>
      </c>
      <c r="F15" s="4">
        <v>3328</v>
      </c>
      <c r="G15" s="4">
        <v>4118</v>
      </c>
    </row>
    <row r="16" spans="1:7" x14ac:dyDescent="0.5">
      <c r="A16" s="1" t="s">
        <v>95</v>
      </c>
      <c r="B16" s="1"/>
      <c r="C16" s="4">
        <v>2736</v>
      </c>
      <c r="D16" s="4">
        <v>8530</v>
      </c>
      <c r="E16" s="4">
        <v>11114</v>
      </c>
      <c r="F16" s="4">
        <v>4976</v>
      </c>
      <c r="G16" s="4">
        <v>8685</v>
      </c>
    </row>
    <row r="17" spans="1:13" x14ac:dyDescent="0.5">
      <c r="A17" s="1"/>
      <c r="B17" s="1"/>
      <c r="C17" s="4"/>
      <c r="D17" s="4"/>
      <c r="E17" s="4"/>
      <c r="F17" s="4"/>
      <c r="G17" s="4"/>
    </row>
    <row r="18" spans="1:13" ht="14.4" thickBot="1" x14ac:dyDescent="0.55000000000000004">
      <c r="A18" s="1"/>
      <c r="B18" s="1"/>
      <c r="C18" s="6">
        <f>C12+C14+C15+C16</f>
        <v>22610</v>
      </c>
      <c r="D18" s="6">
        <f t="shared" ref="D18:G18" si="2">D12+D14+D15+D16</f>
        <v>57548</v>
      </c>
      <c r="E18" s="6">
        <f t="shared" si="2"/>
        <v>74640</v>
      </c>
      <c r="F18" s="6">
        <f t="shared" si="2"/>
        <v>80232</v>
      </c>
      <c r="G18" s="6">
        <f t="shared" si="2"/>
        <v>100790</v>
      </c>
      <c r="M18" s="29"/>
    </row>
    <row r="19" spans="1:13" ht="14.4" thickTop="1" x14ac:dyDescent="0.5">
      <c r="A19" s="1"/>
      <c r="B19" s="1"/>
      <c r="C19" s="4"/>
      <c r="D19" s="4"/>
      <c r="E19" s="4"/>
      <c r="F19" s="4"/>
      <c r="G19" s="4"/>
    </row>
    <row r="20" spans="1:13" x14ac:dyDescent="0.5">
      <c r="A20" s="1"/>
      <c r="B20" s="1"/>
      <c r="C20" s="4"/>
      <c r="D20" s="4"/>
      <c r="E20" s="4"/>
      <c r="F20" s="4"/>
      <c r="G20" s="4"/>
    </row>
    <row r="21" spans="1:13" x14ac:dyDescent="0.5">
      <c r="A21" s="1" t="s">
        <v>91</v>
      </c>
      <c r="B21" s="1"/>
      <c r="C21" s="4">
        <v>1151</v>
      </c>
      <c r="D21" s="4">
        <v>2416</v>
      </c>
      <c r="E21" s="4">
        <v>2411</v>
      </c>
      <c r="F21" s="4">
        <v>2266</v>
      </c>
      <c r="G21" s="4">
        <v>2207</v>
      </c>
    </row>
    <row r="22" spans="1:13" x14ac:dyDescent="0.5">
      <c r="A22" s="1" t="s">
        <v>92</v>
      </c>
      <c r="B22" s="1"/>
      <c r="C22" s="4">
        <v>0</v>
      </c>
      <c r="D22" s="4">
        <v>0</v>
      </c>
      <c r="E22" s="4">
        <v>0</v>
      </c>
      <c r="F22" s="4">
        <v>469</v>
      </c>
      <c r="G22" s="4">
        <v>370</v>
      </c>
    </row>
    <row r="23" spans="1:13" x14ac:dyDescent="0.5">
      <c r="A23" s="1" t="s">
        <v>93</v>
      </c>
      <c r="B23" s="1"/>
      <c r="C23" s="4">
        <v>1482</v>
      </c>
      <c r="D23" s="4">
        <v>1712</v>
      </c>
      <c r="E23" s="4">
        <v>1887</v>
      </c>
      <c r="F23" s="4">
        <v>683</v>
      </c>
      <c r="G23" s="4">
        <v>3042</v>
      </c>
    </row>
    <row r="24" spans="1:13" x14ac:dyDescent="0.5">
      <c r="A24" s="1" t="s">
        <v>94</v>
      </c>
      <c r="B24" s="1"/>
      <c r="C24" s="5">
        <v>2370</v>
      </c>
      <c r="D24" s="5">
        <v>3657</v>
      </c>
      <c r="E24" s="5">
        <v>6565</v>
      </c>
      <c r="F24" s="5">
        <v>4629</v>
      </c>
      <c r="G24" s="5">
        <v>4369</v>
      </c>
    </row>
    <row r="25" spans="1:13" x14ac:dyDescent="0.5">
      <c r="A25" s="1"/>
      <c r="B25" s="1"/>
      <c r="C25" s="4">
        <f>SUM(C21:C24)</f>
        <v>5003</v>
      </c>
      <c r="D25" s="4">
        <f t="shared" ref="D25:G25" si="3">SUM(D21:D24)</f>
        <v>7785</v>
      </c>
      <c r="E25" s="4">
        <f t="shared" si="3"/>
        <v>10863</v>
      </c>
      <c r="F25" s="4">
        <f t="shared" si="3"/>
        <v>8047</v>
      </c>
      <c r="G25" s="4">
        <f t="shared" si="3"/>
        <v>9988</v>
      </c>
    </row>
    <row r="26" spans="1:13" x14ac:dyDescent="0.5">
      <c r="A26" s="1"/>
      <c r="B26" s="1"/>
      <c r="C26" s="4"/>
      <c r="D26" s="4"/>
      <c r="E26" s="4"/>
      <c r="F26" s="4"/>
      <c r="G26" s="4"/>
    </row>
    <row r="27" spans="1:13" x14ac:dyDescent="0.5">
      <c r="A27" s="1" t="s">
        <v>90</v>
      </c>
      <c r="B27" s="1"/>
      <c r="C27" s="4">
        <v>3888</v>
      </c>
      <c r="D27" s="4">
        <v>21522</v>
      </c>
      <c r="E27" s="4">
        <v>18222</v>
      </c>
      <c r="F27" s="4">
        <v>18438</v>
      </c>
      <c r="G27" s="4">
        <v>20719</v>
      </c>
    </row>
    <row r="28" spans="1:13" x14ac:dyDescent="0.5">
      <c r="A28" s="1" t="s">
        <v>86</v>
      </c>
      <c r="B28" s="1"/>
      <c r="C28" s="4">
        <v>1265</v>
      </c>
      <c r="D28" s="4">
        <v>2807</v>
      </c>
      <c r="E28" s="4">
        <v>2630</v>
      </c>
      <c r="F28" s="4">
        <v>2626</v>
      </c>
      <c r="G28" s="4">
        <v>3330</v>
      </c>
    </row>
    <row r="29" spans="1:13" x14ac:dyDescent="0.5">
      <c r="A29" s="1" t="s">
        <v>89</v>
      </c>
      <c r="B29" s="1"/>
      <c r="C29" s="4">
        <v>2137</v>
      </c>
      <c r="D29" s="4">
        <v>7143</v>
      </c>
      <c r="E29" s="4">
        <v>10895</v>
      </c>
      <c r="F29" s="4">
        <v>9543</v>
      </c>
      <c r="G29" s="4">
        <v>11846</v>
      </c>
    </row>
    <row r="30" spans="1:13" x14ac:dyDescent="0.5">
      <c r="A30" s="1"/>
      <c r="B30" s="1"/>
      <c r="C30" s="5"/>
      <c r="D30" s="5"/>
      <c r="E30" s="5"/>
      <c r="F30" s="5"/>
      <c r="G30" s="5"/>
    </row>
    <row r="31" spans="1:13" x14ac:dyDescent="0.5">
      <c r="A31" s="1"/>
      <c r="B31" s="1"/>
      <c r="C31" s="4">
        <f>C25+SUM(C27:C29)</f>
        <v>12293</v>
      </c>
      <c r="D31" s="4">
        <f t="shared" ref="D31:G31" si="4">D25+SUM(D27:D29)</f>
        <v>39257</v>
      </c>
      <c r="E31" s="4">
        <f t="shared" si="4"/>
        <v>42610</v>
      </c>
      <c r="F31" s="4">
        <f t="shared" si="4"/>
        <v>38654</v>
      </c>
      <c r="G31" s="4">
        <f t="shared" si="4"/>
        <v>45883</v>
      </c>
    </row>
    <row r="32" spans="1:13" x14ac:dyDescent="0.5">
      <c r="A32" s="1"/>
      <c r="B32" s="1"/>
      <c r="C32" s="4"/>
      <c r="D32" s="4"/>
      <c r="E32" s="4"/>
      <c r="F32" s="4"/>
      <c r="G32" s="4"/>
    </row>
    <row r="33" spans="1:7" x14ac:dyDescent="0.5">
      <c r="A33" s="1" t="s">
        <v>88</v>
      </c>
      <c r="B33" s="1"/>
      <c r="C33" s="4">
        <v>10317</v>
      </c>
      <c r="D33" s="4">
        <v>18291</v>
      </c>
      <c r="E33" s="4">
        <v>32030</v>
      </c>
      <c r="F33" s="4">
        <v>41578</v>
      </c>
      <c r="G33" s="4">
        <v>54907</v>
      </c>
    </row>
    <row r="34" spans="1:7" x14ac:dyDescent="0.5">
      <c r="A34" s="1"/>
      <c r="B34" s="1"/>
      <c r="C34" s="4"/>
      <c r="D34" s="4"/>
      <c r="E34" s="4"/>
      <c r="F34" s="4"/>
      <c r="G34" s="4"/>
    </row>
    <row r="35" spans="1:7" ht="14.4" thickBot="1" x14ac:dyDescent="0.55000000000000004">
      <c r="A35" s="1"/>
      <c r="B35" s="1"/>
      <c r="C35" s="6">
        <f>C31+C33</f>
        <v>22610</v>
      </c>
      <c r="D35" s="6">
        <f t="shared" ref="D35:G35" si="5">D31+D33</f>
        <v>57548</v>
      </c>
      <c r="E35" s="6">
        <f t="shared" si="5"/>
        <v>74640</v>
      </c>
      <c r="F35" s="6">
        <f t="shared" si="5"/>
        <v>80232</v>
      </c>
      <c r="G35" s="6">
        <f t="shared" si="5"/>
        <v>100790</v>
      </c>
    </row>
    <row r="36" spans="1:7" ht="14.4" thickTop="1" x14ac:dyDescent="0.5">
      <c r="A36" s="1"/>
      <c r="B36" s="1"/>
      <c r="C36" s="4"/>
      <c r="D36" s="4"/>
      <c r="E36" s="4"/>
      <c r="F36" s="4"/>
      <c r="G36" s="4"/>
    </row>
    <row r="37" spans="1:7" x14ac:dyDescent="0.5">
      <c r="A37" s="30" t="s">
        <v>219</v>
      </c>
      <c r="B37" s="30"/>
      <c r="C37" s="4"/>
      <c r="D37" s="4"/>
      <c r="E37" s="4"/>
      <c r="F37" s="4"/>
      <c r="G37" s="4"/>
    </row>
    <row r="38" spans="1:7" x14ac:dyDescent="0.5">
      <c r="A38" s="1"/>
      <c r="B38" s="1"/>
      <c r="C38" s="4"/>
      <c r="D38" s="4"/>
      <c r="E38" s="4"/>
      <c r="F38" s="4"/>
      <c r="G38" s="4"/>
    </row>
  </sheetData>
  <mergeCells count="5">
    <mergeCell ref="A1:G1"/>
    <mergeCell ref="A2:G2"/>
    <mergeCell ref="A3:G3"/>
    <mergeCell ref="C5:G5"/>
    <mergeCell ref="C4:D4"/>
  </mergeCells>
  <pageMargins left="0.7" right="0.7" top="0.75" bottom="0.75" header="0.3" footer="0.3"/>
  <pageSetup orientation="portrait" horizont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6"/>
  <sheetViews>
    <sheetView showGridLines="0" workbookViewId="0">
      <selection activeCell="C11" sqref="C11"/>
    </sheetView>
  </sheetViews>
  <sheetFormatPr baseColWidth="10" defaultColWidth="9.15625" defaultRowHeight="14.1" x14ac:dyDescent="0.5"/>
  <cols>
    <col min="1" max="1" width="36.26171875" style="1" customWidth="1"/>
    <col min="2" max="2" width="13.83984375" style="1" customWidth="1"/>
    <col min="3" max="3" width="15.83984375" style="1" customWidth="1"/>
    <col min="4" max="4" width="26.41796875" style="1" customWidth="1"/>
    <col min="5" max="16384" width="9.15625" style="1"/>
  </cols>
  <sheetData>
    <row r="1" spans="1:5" x14ac:dyDescent="0.5">
      <c r="A1" s="280" t="s">
        <v>14</v>
      </c>
      <c r="B1" s="280"/>
      <c r="C1" s="280"/>
      <c r="D1" s="280"/>
    </row>
    <row r="2" spans="1:5" ht="15" x14ac:dyDescent="0.5">
      <c r="A2" s="281" t="s">
        <v>100</v>
      </c>
      <c r="B2" s="281"/>
      <c r="C2" s="281"/>
      <c r="D2" s="281"/>
    </row>
    <row r="3" spans="1:5" x14ac:dyDescent="0.5">
      <c r="A3" s="277" t="s">
        <v>216</v>
      </c>
      <c r="B3" s="277"/>
      <c r="C3" s="277"/>
      <c r="D3" s="277"/>
    </row>
    <row r="4" spans="1:5" x14ac:dyDescent="0.5">
      <c r="A4" s="3"/>
      <c r="B4" s="3"/>
      <c r="C4" s="3"/>
      <c r="D4" s="3"/>
      <c r="E4" s="3"/>
    </row>
    <row r="5" spans="1:5" x14ac:dyDescent="0.5">
      <c r="A5" s="19"/>
      <c r="B5" s="14" t="s">
        <v>222</v>
      </c>
      <c r="C5" s="14" t="s">
        <v>224</v>
      </c>
      <c r="D5" s="14" t="s">
        <v>225</v>
      </c>
    </row>
    <row r="6" spans="1:5" x14ac:dyDescent="0.5">
      <c r="A6" s="19"/>
      <c r="B6" s="12"/>
      <c r="C6" s="12"/>
      <c r="D6" s="12"/>
    </row>
    <row r="7" spans="1:5" x14ac:dyDescent="0.5">
      <c r="A7" s="18" t="s">
        <v>226</v>
      </c>
      <c r="B7" s="9"/>
      <c r="C7" s="29">
        <v>1.3738999999999999</v>
      </c>
      <c r="D7" s="29">
        <v>1.5296000000000001</v>
      </c>
    </row>
    <row r="8" spans="1:5" x14ac:dyDescent="0.5">
      <c r="B8" s="17"/>
      <c r="C8" s="28" t="s">
        <v>231</v>
      </c>
      <c r="D8" s="28" t="s">
        <v>232</v>
      </c>
    </row>
    <row r="9" spans="1:5" x14ac:dyDescent="0.5">
      <c r="B9" s="17"/>
      <c r="C9" s="17"/>
      <c r="D9" s="17"/>
    </row>
    <row r="10" spans="1:5" x14ac:dyDescent="0.5">
      <c r="A10" s="19" t="s">
        <v>217</v>
      </c>
      <c r="B10" s="12"/>
      <c r="C10" s="12"/>
      <c r="D10" s="12"/>
    </row>
    <row r="11" spans="1:5" x14ac:dyDescent="0.5">
      <c r="A11" s="15" t="s">
        <v>233</v>
      </c>
      <c r="B11" s="34">
        <v>0.49200000000000005</v>
      </c>
      <c r="C11" s="34">
        <v>1.0997000000000001</v>
      </c>
      <c r="D11" s="34">
        <v>1.1539999999999999</v>
      </c>
    </row>
    <row r="12" spans="1:5" x14ac:dyDescent="0.5">
      <c r="A12" s="15" t="s">
        <v>234</v>
      </c>
      <c r="B12" s="34">
        <v>1.0842000000000001</v>
      </c>
      <c r="C12" s="34">
        <v>1.4712000000000001</v>
      </c>
      <c r="D12" s="34">
        <v>1.6572</v>
      </c>
    </row>
    <row r="13" spans="1:5" x14ac:dyDescent="0.5">
      <c r="A13" s="15" t="s">
        <v>235</v>
      </c>
      <c r="B13" s="34">
        <v>1.6895</v>
      </c>
      <c r="C13" s="34">
        <v>1.8246</v>
      </c>
      <c r="D13" s="34">
        <v>2.2770999999999999</v>
      </c>
    </row>
    <row r="14" spans="1:5" x14ac:dyDescent="0.5">
      <c r="A14" s="15" t="s">
        <v>236</v>
      </c>
      <c r="B14" s="34">
        <v>2.2063000000000001</v>
      </c>
      <c r="C14" s="34">
        <v>2.1375000000000002</v>
      </c>
      <c r="D14" s="34">
        <v>2.7976999999999999</v>
      </c>
    </row>
    <row r="15" spans="1:5" x14ac:dyDescent="0.5">
      <c r="A15" s="15" t="s">
        <v>237</v>
      </c>
      <c r="B15" s="34">
        <v>2.6364000000000001</v>
      </c>
      <c r="C15" s="34">
        <v>2.4188000000000001</v>
      </c>
      <c r="D15" s="34">
        <v>3.1764999999999999</v>
      </c>
    </row>
    <row r="16" spans="1:5" x14ac:dyDescent="0.5">
      <c r="A16" s="15" t="s">
        <v>238</v>
      </c>
      <c r="B16" s="34">
        <v>2.9870000000000001</v>
      </c>
      <c r="C16" s="34">
        <v>2.6686000000000001</v>
      </c>
      <c r="D16" s="34">
        <v>3.4928000000000003</v>
      </c>
    </row>
    <row r="17" spans="1:13" x14ac:dyDescent="0.5">
      <c r="A17" s="15" t="s">
        <v>239</v>
      </c>
      <c r="B17" s="34">
        <v>3.2638000000000003</v>
      </c>
      <c r="C17" s="34">
        <v>2.8854000000000002</v>
      </c>
      <c r="D17" s="34">
        <v>3.7821000000000007</v>
      </c>
    </row>
    <row r="18" spans="1:13" x14ac:dyDescent="0.5">
      <c r="A18" s="15" t="s">
        <v>240</v>
      </c>
      <c r="B18" s="34">
        <v>3.4863</v>
      </c>
      <c r="C18" s="34">
        <v>3.0710000000000002</v>
      </c>
      <c r="D18" s="34">
        <v>4.0534999999999997</v>
      </c>
    </row>
    <row r="19" spans="1:13" x14ac:dyDescent="0.5">
      <c r="E19" s="13"/>
      <c r="F19" s="11"/>
      <c r="G19" s="11"/>
      <c r="H19" s="11"/>
      <c r="I19" s="11"/>
    </row>
    <row r="20" spans="1:13" x14ac:dyDescent="0.5">
      <c r="A20" s="19" t="s">
        <v>223</v>
      </c>
      <c r="B20" s="9"/>
      <c r="C20" s="9"/>
      <c r="D20" s="9"/>
    </row>
    <row r="21" spans="1:13" x14ac:dyDescent="0.5">
      <c r="A21" s="15" t="s">
        <v>162</v>
      </c>
      <c r="B21" s="34">
        <v>3.8256999999999999</v>
      </c>
      <c r="C21" s="34">
        <v>3.0920000000000001</v>
      </c>
      <c r="D21" s="34">
        <v>3.9390000000000001</v>
      </c>
    </row>
    <row r="22" spans="1:13" x14ac:dyDescent="0.5">
      <c r="A22" s="1" t="s">
        <v>220</v>
      </c>
      <c r="B22" s="34">
        <v>4.5876000000000001</v>
      </c>
      <c r="C22" s="34">
        <v>3.8280000000000003</v>
      </c>
      <c r="D22" s="34">
        <v>4.7534000000000001</v>
      </c>
    </row>
    <row r="23" spans="1:13" x14ac:dyDescent="0.5">
      <c r="A23" s="1" t="s">
        <v>221</v>
      </c>
      <c r="B23" s="34">
        <v>5.93</v>
      </c>
      <c r="C23" s="34">
        <v>4.9690000000000003</v>
      </c>
      <c r="D23" s="34">
        <v>5.5620000000000003</v>
      </c>
    </row>
    <row r="25" spans="1:13" x14ac:dyDescent="0.5">
      <c r="A25" s="30" t="s">
        <v>96</v>
      </c>
    </row>
    <row r="26" spans="1:13" x14ac:dyDescent="0.5">
      <c r="A26" s="30" t="s">
        <v>218</v>
      </c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</row>
  </sheetData>
  <mergeCells count="3">
    <mergeCell ref="A2:D2"/>
    <mergeCell ref="A3:D3"/>
    <mergeCell ref="A1:D1"/>
  </mergeCells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1"/>
  <sheetViews>
    <sheetView showGridLines="0" zoomScale="107" workbookViewId="0">
      <selection activeCell="A16" sqref="A16"/>
    </sheetView>
  </sheetViews>
  <sheetFormatPr baseColWidth="10" defaultColWidth="9.15625" defaultRowHeight="14.1" x14ac:dyDescent="0.5"/>
  <cols>
    <col min="1" max="1" width="19.26171875" style="1" customWidth="1"/>
    <col min="2" max="2" width="12.26171875" style="1" customWidth="1"/>
    <col min="3" max="3" width="18.578125" style="1" customWidth="1"/>
    <col min="4" max="4" width="19.26171875" style="1" customWidth="1"/>
    <col min="5" max="5" width="20.68359375" style="1" customWidth="1"/>
    <col min="6" max="6" width="19.578125" style="1" customWidth="1"/>
    <col min="7" max="7" width="21.578125" style="1" customWidth="1"/>
    <col min="8" max="8" width="0.26171875" style="1" customWidth="1"/>
    <col min="9" max="9" width="9.15625" style="1"/>
    <col min="10" max="10" width="9.15625" style="1" customWidth="1"/>
    <col min="11" max="11" width="10" style="1" customWidth="1"/>
    <col min="12" max="16384" width="9.15625" style="1"/>
  </cols>
  <sheetData>
    <row r="1" spans="1:11" x14ac:dyDescent="0.5">
      <c r="A1" s="280" t="s">
        <v>15</v>
      </c>
      <c r="B1" s="280"/>
      <c r="C1" s="280"/>
      <c r="D1" s="280"/>
      <c r="E1" s="280"/>
      <c r="F1" s="280"/>
      <c r="G1" s="280"/>
      <c r="H1" s="280"/>
    </row>
    <row r="2" spans="1:11" x14ac:dyDescent="0.5">
      <c r="A2" s="282" t="s">
        <v>100</v>
      </c>
      <c r="B2" s="282"/>
      <c r="C2" s="282"/>
      <c r="D2" s="282"/>
      <c r="E2" s="282"/>
      <c r="F2" s="282"/>
      <c r="G2" s="282"/>
      <c r="H2" s="282"/>
    </row>
    <row r="3" spans="1:11" x14ac:dyDescent="0.5">
      <c r="A3" s="277" t="s">
        <v>76</v>
      </c>
      <c r="B3" s="277"/>
      <c r="C3" s="277"/>
      <c r="D3" s="277"/>
      <c r="E3" s="277"/>
      <c r="F3" s="277"/>
      <c r="G3" s="277"/>
      <c r="H3" s="277"/>
    </row>
    <row r="4" spans="1:11" x14ac:dyDescent="0.5">
      <c r="A4" s="3"/>
      <c r="B4" s="3"/>
      <c r="C4" s="3"/>
      <c r="D4" s="3"/>
      <c r="E4" s="3"/>
      <c r="F4" s="3"/>
      <c r="G4" s="3"/>
      <c r="H4" s="3"/>
      <c r="I4" s="3"/>
    </row>
    <row r="5" spans="1:11" x14ac:dyDescent="0.5">
      <c r="A5" s="283" t="s">
        <v>103</v>
      </c>
      <c r="B5" s="283" t="s">
        <v>4</v>
      </c>
      <c r="C5" s="283" t="s">
        <v>5</v>
      </c>
      <c r="D5" s="36" t="s">
        <v>104</v>
      </c>
      <c r="E5" s="283" t="s">
        <v>8</v>
      </c>
      <c r="F5" s="283" t="s">
        <v>6</v>
      </c>
      <c r="G5" s="283" t="s">
        <v>7</v>
      </c>
      <c r="H5" s="37"/>
      <c r="I5" s="3"/>
    </row>
    <row r="6" spans="1:11" ht="15.75" customHeight="1" x14ac:dyDescent="0.5">
      <c r="A6" s="283"/>
      <c r="B6" s="283"/>
      <c r="C6" s="283"/>
      <c r="D6" s="54" t="s">
        <v>227</v>
      </c>
      <c r="E6" s="283"/>
      <c r="F6" s="283"/>
      <c r="G6" s="283"/>
      <c r="H6" s="9"/>
      <c r="I6" s="3"/>
    </row>
    <row r="7" spans="1:11" ht="20.25" customHeight="1" x14ac:dyDescent="0.5">
      <c r="A7" s="42" t="s">
        <v>105</v>
      </c>
      <c r="B7" s="53">
        <v>7.75</v>
      </c>
      <c r="C7" s="42" t="s">
        <v>106</v>
      </c>
      <c r="D7" s="41">
        <v>400</v>
      </c>
      <c r="E7" s="38" t="s">
        <v>229</v>
      </c>
      <c r="F7" s="39">
        <v>99.917000000000002</v>
      </c>
      <c r="G7" s="39">
        <v>7.7619999999999996</v>
      </c>
      <c r="H7" s="9"/>
      <c r="I7" s="3"/>
      <c r="K7" s="79">
        <f>B7*D7</f>
        <v>3100</v>
      </c>
    </row>
    <row r="8" spans="1:11" x14ac:dyDescent="0.5">
      <c r="A8" s="42" t="s">
        <v>107</v>
      </c>
      <c r="B8" s="39">
        <v>6.75</v>
      </c>
      <c r="C8" s="42" t="s">
        <v>108</v>
      </c>
      <c r="D8" s="42">
        <v>292</v>
      </c>
      <c r="E8" s="38" t="s">
        <v>229</v>
      </c>
      <c r="F8" s="39">
        <v>100</v>
      </c>
      <c r="G8" s="39">
        <v>6.75</v>
      </c>
      <c r="H8" s="9"/>
      <c r="I8" s="3"/>
      <c r="K8" s="79">
        <f t="shared" ref="K8:K23" si="0">B8*D8</f>
        <v>1971</v>
      </c>
    </row>
    <row r="9" spans="1:11" x14ac:dyDescent="0.5">
      <c r="A9" s="42" t="s">
        <v>107</v>
      </c>
      <c r="B9" s="39">
        <v>6.75</v>
      </c>
      <c r="C9" s="42" t="s">
        <v>108</v>
      </c>
      <c r="D9" s="42">
        <v>649</v>
      </c>
      <c r="E9" s="38" t="s">
        <v>229</v>
      </c>
      <c r="F9" s="39">
        <v>100</v>
      </c>
      <c r="G9" s="39">
        <v>6.75</v>
      </c>
      <c r="H9" s="9"/>
      <c r="I9" s="3"/>
      <c r="K9" s="79">
        <f t="shared" si="0"/>
        <v>4380.75</v>
      </c>
    </row>
    <row r="10" spans="1:11" x14ac:dyDescent="0.5">
      <c r="A10" s="42" t="s">
        <v>109</v>
      </c>
      <c r="B10" s="39">
        <v>9</v>
      </c>
      <c r="C10" s="42" t="s">
        <v>110</v>
      </c>
      <c r="D10" s="42">
        <v>282</v>
      </c>
      <c r="E10" s="38" t="s">
        <v>229</v>
      </c>
      <c r="F10" s="39">
        <v>98.385999999999996</v>
      </c>
      <c r="G10" s="39">
        <v>9.25</v>
      </c>
      <c r="H10" s="27"/>
      <c r="I10" s="3"/>
      <c r="K10" s="79">
        <f t="shared" si="0"/>
        <v>2538</v>
      </c>
    </row>
    <row r="11" spans="1:11" x14ac:dyDescent="0.5">
      <c r="A11" s="42" t="s">
        <v>109</v>
      </c>
      <c r="B11" s="40">
        <v>9</v>
      </c>
      <c r="C11" s="42" t="s">
        <v>111</v>
      </c>
      <c r="D11" s="42">
        <v>300</v>
      </c>
      <c r="E11" s="38" t="s">
        <v>229</v>
      </c>
      <c r="F11" s="39">
        <v>98.385999999999996</v>
      </c>
      <c r="G11" s="39">
        <v>9.25</v>
      </c>
      <c r="H11" s="9"/>
      <c r="I11" s="3"/>
      <c r="K11" s="79">
        <f t="shared" si="0"/>
        <v>2700</v>
      </c>
    </row>
    <row r="12" spans="1:11" x14ac:dyDescent="0.5">
      <c r="A12" s="42" t="s">
        <v>112</v>
      </c>
      <c r="B12" s="40" t="s">
        <v>97</v>
      </c>
      <c r="C12" s="42" t="s">
        <v>113</v>
      </c>
      <c r="D12" s="42">
        <v>2316</v>
      </c>
      <c r="E12" s="38" t="s">
        <v>228</v>
      </c>
      <c r="F12" s="44" t="s">
        <v>97</v>
      </c>
      <c r="G12" s="44" t="s">
        <v>97</v>
      </c>
      <c r="H12" s="9"/>
      <c r="I12" s="3"/>
      <c r="K12" s="79"/>
    </row>
    <row r="13" spans="1:11" x14ac:dyDescent="0.5">
      <c r="A13" s="42" t="s">
        <v>114</v>
      </c>
      <c r="B13" s="40">
        <v>6.125</v>
      </c>
      <c r="C13" s="42" t="s">
        <v>115</v>
      </c>
      <c r="D13" s="42">
        <v>150</v>
      </c>
      <c r="E13" s="38" t="s">
        <v>229</v>
      </c>
      <c r="F13" s="39">
        <v>100</v>
      </c>
      <c r="G13" s="39">
        <v>6.125</v>
      </c>
      <c r="H13" s="9"/>
      <c r="I13" s="3"/>
      <c r="K13" s="79">
        <f t="shared" si="0"/>
        <v>918.75</v>
      </c>
    </row>
    <row r="14" spans="1:11" x14ac:dyDescent="0.5">
      <c r="A14" s="42" t="s">
        <v>116</v>
      </c>
      <c r="B14" s="39">
        <v>5.7</v>
      </c>
      <c r="C14" s="42" t="s">
        <v>117</v>
      </c>
      <c r="D14" s="42">
        <v>300</v>
      </c>
      <c r="E14" s="38" t="s">
        <v>229</v>
      </c>
      <c r="F14" s="39">
        <v>99.977999999999994</v>
      </c>
      <c r="G14" s="39">
        <v>5.702</v>
      </c>
      <c r="H14" s="9"/>
      <c r="I14" s="3"/>
      <c r="K14" s="79">
        <f t="shared" si="0"/>
        <v>1710</v>
      </c>
    </row>
    <row r="15" spans="1:11" x14ac:dyDescent="0.5">
      <c r="A15" s="42" t="s">
        <v>118</v>
      </c>
      <c r="B15" s="39">
        <v>6.25</v>
      </c>
      <c r="C15" s="42" t="s">
        <v>119</v>
      </c>
      <c r="D15" s="43">
        <v>1000</v>
      </c>
      <c r="E15" s="38" t="s">
        <v>229</v>
      </c>
      <c r="F15" s="39">
        <v>99.97</v>
      </c>
      <c r="G15" s="39">
        <v>6.2539999999999996</v>
      </c>
      <c r="H15" s="9"/>
      <c r="I15" s="3"/>
      <c r="K15" s="79">
        <f t="shared" si="0"/>
        <v>6250</v>
      </c>
    </row>
    <row r="16" spans="1:11" x14ac:dyDescent="0.5">
      <c r="A16" s="42" t="s">
        <v>120</v>
      </c>
      <c r="B16" s="39">
        <v>6.25</v>
      </c>
      <c r="C16" s="42" t="s">
        <v>121</v>
      </c>
      <c r="D16" s="43">
        <v>1250</v>
      </c>
      <c r="E16" s="38" t="s">
        <v>229</v>
      </c>
      <c r="F16" s="39">
        <v>99.266999999999996</v>
      </c>
      <c r="G16" s="39">
        <v>6.3470000000000004</v>
      </c>
      <c r="H16" s="9"/>
      <c r="I16" s="3"/>
      <c r="K16" s="79">
        <f t="shared" si="0"/>
        <v>7812.5</v>
      </c>
    </row>
    <row r="17" spans="1:11" x14ac:dyDescent="0.5">
      <c r="A17" s="42" t="s">
        <v>122</v>
      </c>
      <c r="B17" s="39">
        <v>5.625</v>
      </c>
      <c r="C17" s="42" t="s">
        <v>123</v>
      </c>
      <c r="D17" s="43">
        <v>1000</v>
      </c>
      <c r="E17" s="38" t="s">
        <v>229</v>
      </c>
      <c r="F17" s="39">
        <v>99.231999999999999</v>
      </c>
      <c r="G17" s="39">
        <v>5.7270000000000003</v>
      </c>
      <c r="H17" s="9"/>
      <c r="I17" s="3"/>
      <c r="K17" s="79">
        <f t="shared" si="0"/>
        <v>5625</v>
      </c>
    </row>
    <row r="18" spans="1:11" x14ac:dyDescent="0.5">
      <c r="A18" s="42" t="s">
        <v>124</v>
      </c>
      <c r="B18" s="39">
        <v>1</v>
      </c>
      <c r="C18" s="42" t="s">
        <v>125</v>
      </c>
      <c r="D18" s="41">
        <v>273</v>
      </c>
      <c r="E18" s="38" t="s">
        <v>229</v>
      </c>
      <c r="F18" s="39">
        <v>91.381</v>
      </c>
      <c r="G18" s="39">
        <v>1.5</v>
      </c>
      <c r="H18" s="9"/>
      <c r="I18" s="3"/>
      <c r="K18" s="79">
        <f t="shared" si="0"/>
        <v>273</v>
      </c>
    </row>
    <row r="19" spans="1:11" x14ac:dyDescent="0.5">
      <c r="A19" s="42" t="s">
        <v>126</v>
      </c>
      <c r="B19" s="39">
        <v>7.2</v>
      </c>
      <c r="C19" s="42" t="s">
        <v>127</v>
      </c>
      <c r="D19" s="42">
        <v>400</v>
      </c>
      <c r="E19" s="38" t="s">
        <v>229</v>
      </c>
      <c r="F19" s="39">
        <v>99.552000000000007</v>
      </c>
      <c r="G19" s="39">
        <v>7.2370000000000001</v>
      </c>
      <c r="H19" s="9"/>
      <c r="I19" s="3"/>
      <c r="K19" s="79">
        <f t="shared" si="0"/>
        <v>2880</v>
      </c>
    </row>
    <row r="20" spans="1:11" x14ac:dyDescent="0.5">
      <c r="A20" s="42" t="s">
        <v>128</v>
      </c>
      <c r="B20" s="39">
        <v>8.25</v>
      </c>
      <c r="C20" s="42" t="s">
        <v>129</v>
      </c>
      <c r="D20" s="42">
        <v>500</v>
      </c>
      <c r="E20" s="38" t="s">
        <v>229</v>
      </c>
      <c r="F20" s="39">
        <v>98.903999999999996</v>
      </c>
      <c r="G20" s="39">
        <v>8.35</v>
      </c>
      <c r="H20" s="9"/>
      <c r="I20" s="3"/>
      <c r="K20" s="79">
        <f t="shared" si="0"/>
        <v>4125</v>
      </c>
    </row>
    <row r="21" spans="1:11" x14ac:dyDescent="0.5">
      <c r="A21" s="42" t="s">
        <v>130</v>
      </c>
      <c r="B21" s="39">
        <v>6.875</v>
      </c>
      <c r="C21" s="42" t="s">
        <v>121</v>
      </c>
      <c r="D21" s="43">
        <v>2500</v>
      </c>
      <c r="E21" s="38" t="s">
        <v>229</v>
      </c>
      <c r="F21" s="39">
        <v>98.477999999999994</v>
      </c>
      <c r="G21" s="39">
        <v>6.9969999999999999</v>
      </c>
      <c r="H21" s="9"/>
      <c r="I21" s="3"/>
      <c r="K21" s="79">
        <f t="shared" si="0"/>
        <v>17187.5</v>
      </c>
    </row>
    <row r="22" spans="1:11" x14ac:dyDescent="0.5">
      <c r="A22" s="42" t="s">
        <v>131</v>
      </c>
      <c r="B22" s="39">
        <v>6.875</v>
      </c>
      <c r="C22" s="42" t="s">
        <v>132</v>
      </c>
      <c r="D22" s="43">
        <v>1000</v>
      </c>
      <c r="E22" s="38" t="s">
        <v>229</v>
      </c>
      <c r="F22" s="39">
        <v>98.563999999999993</v>
      </c>
      <c r="G22" s="39">
        <v>6.99</v>
      </c>
      <c r="H22" s="9"/>
      <c r="I22" s="3"/>
      <c r="K22" s="79">
        <f t="shared" si="0"/>
        <v>6875</v>
      </c>
    </row>
    <row r="23" spans="1:11" x14ac:dyDescent="0.5">
      <c r="A23" s="42" t="s">
        <v>133</v>
      </c>
      <c r="B23" s="39">
        <v>3.5</v>
      </c>
      <c r="C23" s="42" t="s">
        <v>125</v>
      </c>
      <c r="D23" s="42">
        <v>227</v>
      </c>
      <c r="E23" s="38" t="s">
        <v>229</v>
      </c>
      <c r="F23" s="39">
        <v>100</v>
      </c>
      <c r="G23" s="39">
        <v>3.5</v>
      </c>
      <c r="H23" s="3"/>
      <c r="I23" s="3"/>
      <c r="K23" s="79">
        <f t="shared" si="0"/>
        <v>794.5</v>
      </c>
    </row>
    <row r="24" spans="1:11" x14ac:dyDescent="0.5">
      <c r="A24" s="31" t="s">
        <v>134</v>
      </c>
      <c r="B24" s="3"/>
      <c r="C24" s="3"/>
      <c r="D24" s="3"/>
      <c r="E24" s="3"/>
      <c r="F24" s="3"/>
      <c r="G24" s="3"/>
      <c r="H24" s="3"/>
      <c r="I24" s="3"/>
    </row>
    <row r="25" spans="1:11" x14ac:dyDescent="0.5">
      <c r="A25" s="3"/>
      <c r="B25" s="18" t="s">
        <v>394</v>
      </c>
      <c r="D25" s="80">
        <f>SUM(D7:D23)-D12</f>
        <v>10523</v>
      </c>
      <c r="E25" s="3"/>
      <c r="F25" s="3"/>
      <c r="G25" s="3"/>
      <c r="H25" s="3"/>
      <c r="I25" s="3"/>
      <c r="K25" s="80">
        <f>SUM(K7:K23)</f>
        <v>69141</v>
      </c>
    </row>
    <row r="26" spans="1:11" x14ac:dyDescent="0.5">
      <c r="B26" s="21" t="s">
        <v>386</v>
      </c>
      <c r="D26" s="81">
        <f>(K25/D25)/100</f>
        <v>6.5704646963793592E-2</v>
      </c>
    </row>
    <row r="28" spans="1:11" x14ac:dyDescent="0.5">
      <c r="B28" s="21" t="s">
        <v>388</v>
      </c>
      <c r="D28" s="80">
        <f>SUM(D7:D23)</f>
        <v>12839</v>
      </c>
    </row>
    <row r="30" spans="1:11" x14ac:dyDescent="0.5">
      <c r="C30" s="75">
        <v>2012</v>
      </c>
      <c r="D30" s="75">
        <v>2013</v>
      </c>
      <c r="E30" s="75">
        <v>2014</v>
      </c>
      <c r="F30" s="75">
        <v>2015</v>
      </c>
      <c r="G30" s="75">
        <v>2016</v>
      </c>
      <c r="H30" s="75"/>
      <c r="I30" s="82" t="s">
        <v>392</v>
      </c>
      <c r="J30" s="87" t="s">
        <v>252</v>
      </c>
      <c r="K30" s="85" t="s">
        <v>393</v>
      </c>
    </row>
    <row r="31" spans="1:11" x14ac:dyDescent="0.5">
      <c r="A31" s="71" t="s">
        <v>391</v>
      </c>
      <c r="C31" s="1">
        <f>D7+D8+D9</f>
        <v>1341</v>
      </c>
      <c r="D31" s="1">
        <f>D10+D11+D12</f>
        <v>2898</v>
      </c>
      <c r="E31" s="1">
        <f>D13</f>
        <v>150</v>
      </c>
      <c r="F31" s="1">
        <f>D14</f>
        <v>300</v>
      </c>
      <c r="G31" s="1">
        <f>D15</f>
        <v>1000</v>
      </c>
      <c r="I31" s="83">
        <f>D16+D17+D18+D19+D20+D21+D22+D23</f>
        <v>7150</v>
      </c>
      <c r="J31" s="84">
        <f>C31+D31+E31+F31+G31+I31</f>
        <v>12839</v>
      </c>
      <c r="K31" s="86">
        <f>D28-J31</f>
        <v>0</v>
      </c>
    </row>
  </sheetData>
  <mergeCells count="9">
    <mergeCell ref="A1:H1"/>
    <mergeCell ref="A2:H2"/>
    <mergeCell ref="A3:H3"/>
    <mergeCell ref="A5:A6"/>
    <mergeCell ref="B5:B6"/>
    <mergeCell ref="C5:C6"/>
    <mergeCell ref="E5:E6"/>
    <mergeCell ref="F5:F6"/>
    <mergeCell ref="G5:G6"/>
  </mergeCells>
  <pageMargins left="0.7" right="0.7" top="0.75" bottom="0.75" header="0.3" footer="0.3"/>
  <pageSetup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38"/>
  <sheetViews>
    <sheetView showGridLines="0" workbookViewId="0">
      <selection activeCell="F20" sqref="F20"/>
    </sheetView>
  </sheetViews>
  <sheetFormatPr baseColWidth="10" defaultColWidth="9.15625" defaultRowHeight="14.1" x14ac:dyDescent="0.5"/>
  <cols>
    <col min="1" max="1" width="14.68359375" style="1" customWidth="1"/>
    <col min="2" max="2" width="25.26171875" style="1" customWidth="1"/>
    <col min="3" max="3" width="15.15625" style="1" customWidth="1"/>
    <col min="4" max="4" width="17.26171875" style="1" customWidth="1"/>
    <col min="5" max="5" width="19" style="1" customWidth="1"/>
    <col min="6" max="6" width="22.41796875" style="1" customWidth="1"/>
    <col min="7" max="7" width="21.41796875" style="1" customWidth="1"/>
    <col min="8" max="8" width="13.15625" style="1" customWidth="1"/>
    <col min="9" max="9" width="14.41796875" style="1" customWidth="1"/>
    <col min="10" max="16384" width="9.15625" style="1"/>
  </cols>
  <sheetData>
    <row r="1" spans="1:15" x14ac:dyDescent="0.5">
      <c r="A1" s="280" t="s">
        <v>16</v>
      </c>
      <c r="B1" s="280"/>
      <c r="C1" s="280"/>
      <c r="D1" s="280"/>
      <c r="E1" s="280"/>
      <c r="F1" s="280"/>
      <c r="G1" s="280"/>
      <c r="H1" s="280"/>
      <c r="I1" s="280"/>
      <c r="K1" s="11"/>
      <c r="L1" s="11"/>
      <c r="M1" s="11"/>
      <c r="N1" s="11"/>
      <c r="O1" s="11"/>
    </row>
    <row r="2" spans="1:15" ht="15" x14ac:dyDescent="0.5">
      <c r="A2" s="281" t="s">
        <v>100</v>
      </c>
      <c r="B2" s="281"/>
      <c r="C2" s="281"/>
      <c r="D2" s="281"/>
      <c r="E2" s="281"/>
      <c r="F2" s="281"/>
      <c r="G2" s="281"/>
      <c r="H2" s="281"/>
      <c r="I2" s="281"/>
      <c r="K2" s="11"/>
      <c r="L2" s="11"/>
      <c r="M2" s="11"/>
      <c r="N2" s="11"/>
      <c r="O2" s="11"/>
    </row>
    <row r="3" spans="1:15" x14ac:dyDescent="0.5">
      <c r="A3" s="277" t="s">
        <v>79</v>
      </c>
      <c r="B3" s="277"/>
      <c r="C3" s="277"/>
      <c r="D3" s="277"/>
      <c r="E3" s="277"/>
      <c r="F3" s="277"/>
      <c r="G3" s="277"/>
      <c r="H3" s="277"/>
      <c r="I3" s="277"/>
      <c r="K3" s="11"/>
      <c r="L3" s="11"/>
      <c r="M3" s="11"/>
      <c r="N3" s="11"/>
      <c r="O3" s="11"/>
    </row>
    <row r="4" spans="1:15" x14ac:dyDescent="0.5">
      <c r="A4" s="35"/>
      <c r="B4" s="35"/>
      <c r="C4" s="35"/>
      <c r="D4" s="35"/>
      <c r="E4" s="35"/>
      <c r="F4" s="35"/>
      <c r="G4" s="35"/>
      <c r="H4" s="35"/>
      <c r="I4" s="35"/>
      <c r="K4" s="11"/>
      <c r="L4" s="11"/>
      <c r="M4" s="11"/>
      <c r="N4" s="11"/>
      <c r="O4" s="11"/>
    </row>
    <row r="5" spans="1:15" x14ac:dyDescent="0.5">
      <c r="A5" s="45" t="s">
        <v>20</v>
      </c>
      <c r="B5" s="45" t="s">
        <v>21</v>
      </c>
      <c r="C5" s="45" t="s">
        <v>8</v>
      </c>
      <c r="D5" s="45" t="s">
        <v>54</v>
      </c>
      <c r="E5" s="45" t="s">
        <v>215</v>
      </c>
      <c r="F5" s="45" t="s">
        <v>135</v>
      </c>
      <c r="G5" s="45" t="s">
        <v>136</v>
      </c>
      <c r="H5" s="45" t="s">
        <v>22</v>
      </c>
      <c r="I5" s="45" t="s">
        <v>4</v>
      </c>
      <c r="K5" s="11"/>
      <c r="L5" s="11"/>
      <c r="M5" s="11"/>
      <c r="N5" s="11"/>
      <c r="O5" s="11"/>
    </row>
    <row r="6" spans="1:15" x14ac:dyDescent="0.5">
      <c r="A6" s="46" t="s">
        <v>29</v>
      </c>
      <c r="B6" s="47" t="s">
        <v>140</v>
      </c>
      <c r="C6" s="56" t="s">
        <v>229</v>
      </c>
      <c r="D6" s="47" t="s">
        <v>50</v>
      </c>
      <c r="E6" s="42" t="s">
        <v>139</v>
      </c>
      <c r="F6" s="52">
        <v>5.4320000000000004</v>
      </c>
      <c r="G6" s="48" t="s">
        <v>18</v>
      </c>
      <c r="H6" s="46" t="s">
        <v>28</v>
      </c>
      <c r="I6" s="52">
        <v>5.5</v>
      </c>
      <c r="J6" s="3"/>
      <c r="K6" s="9"/>
    </row>
    <row r="7" spans="1:15" x14ac:dyDescent="0.5">
      <c r="A7" s="46" t="s">
        <v>32</v>
      </c>
      <c r="B7" s="47" t="s">
        <v>151</v>
      </c>
      <c r="C7" s="57" t="s">
        <v>229</v>
      </c>
      <c r="D7" s="47" t="s">
        <v>66</v>
      </c>
      <c r="E7" s="42" t="s">
        <v>150</v>
      </c>
      <c r="F7" s="52">
        <v>5.548</v>
      </c>
      <c r="G7" s="48" t="s">
        <v>19</v>
      </c>
      <c r="H7" s="46" t="s">
        <v>142</v>
      </c>
      <c r="I7" s="52">
        <v>6.5</v>
      </c>
      <c r="J7" s="3"/>
      <c r="K7" s="9"/>
    </row>
    <row r="8" spans="1:15" x14ac:dyDescent="0.5">
      <c r="A8" s="46" t="s">
        <v>33</v>
      </c>
      <c r="B8" s="47" t="s">
        <v>34</v>
      </c>
      <c r="C8" s="57" t="s">
        <v>229</v>
      </c>
      <c r="D8" s="47" t="s">
        <v>49</v>
      </c>
      <c r="E8" s="42" t="s">
        <v>150</v>
      </c>
      <c r="F8" s="52">
        <v>5.2169999999999996</v>
      </c>
      <c r="G8" s="48" t="s">
        <v>19</v>
      </c>
      <c r="H8" s="46" t="s">
        <v>28</v>
      </c>
      <c r="I8" s="52">
        <v>6.125</v>
      </c>
      <c r="J8" s="3"/>
      <c r="K8" s="9"/>
    </row>
    <row r="9" spans="1:15" x14ac:dyDescent="0.5">
      <c r="A9" s="46" t="s">
        <v>31</v>
      </c>
      <c r="B9" s="47" t="s">
        <v>149</v>
      </c>
      <c r="C9" s="57" t="s">
        <v>229</v>
      </c>
      <c r="D9" s="47" t="s">
        <v>66</v>
      </c>
      <c r="E9" s="42" t="s">
        <v>150</v>
      </c>
      <c r="F9" s="52">
        <v>5.3529999999999998</v>
      </c>
      <c r="G9" s="48" t="s">
        <v>18</v>
      </c>
      <c r="H9" s="46" t="s">
        <v>28</v>
      </c>
      <c r="I9" s="52">
        <v>7</v>
      </c>
      <c r="J9" s="3"/>
      <c r="K9" s="9"/>
    </row>
    <row r="10" spans="1:15" x14ac:dyDescent="0.5">
      <c r="A10" s="46" t="s">
        <v>24</v>
      </c>
      <c r="B10" s="47" t="s">
        <v>152</v>
      </c>
      <c r="C10" s="57" t="s">
        <v>229</v>
      </c>
      <c r="D10" s="47" t="s">
        <v>77</v>
      </c>
      <c r="E10" s="42" t="s">
        <v>153</v>
      </c>
      <c r="F10" s="52">
        <v>4.58</v>
      </c>
      <c r="G10" s="48" t="s">
        <v>17</v>
      </c>
      <c r="H10" s="46" t="s">
        <v>25</v>
      </c>
      <c r="I10" s="52">
        <v>6.5</v>
      </c>
      <c r="J10" s="3"/>
      <c r="K10" s="9"/>
    </row>
    <row r="11" spans="1:15" x14ac:dyDescent="0.5">
      <c r="A11" s="46" t="s">
        <v>23</v>
      </c>
      <c r="B11" s="47" t="s">
        <v>154</v>
      </c>
      <c r="C11" s="57" t="s">
        <v>229</v>
      </c>
      <c r="D11" s="47" t="s">
        <v>66</v>
      </c>
      <c r="E11" s="42" t="s">
        <v>156</v>
      </c>
      <c r="F11" s="52">
        <v>4.702</v>
      </c>
      <c r="G11" s="48" t="s">
        <v>17</v>
      </c>
      <c r="H11" s="46" t="s">
        <v>155</v>
      </c>
      <c r="I11" s="52">
        <v>6.8</v>
      </c>
      <c r="J11" s="3"/>
      <c r="K11" s="9"/>
    </row>
    <row r="12" spans="1:15" x14ac:dyDescent="0.5">
      <c r="A12" s="46" t="s">
        <v>32</v>
      </c>
      <c r="B12" s="47" t="s">
        <v>151</v>
      </c>
      <c r="C12" s="57" t="s">
        <v>229</v>
      </c>
      <c r="D12" s="47" t="s">
        <v>66</v>
      </c>
      <c r="E12" s="42" t="s">
        <v>157</v>
      </c>
      <c r="F12" s="52">
        <v>6.6079999999999997</v>
      </c>
      <c r="G12" s="48" t="s">
        <v>19</v>
      </c>
      <c r="H12" s="46" t="s">
        <v>142</v>
      </c>
      <c r="I12" s="52">
        <v>5.72</v>
      </c>
      <c r="J12" s="3"/>
      <c r="K12" s="9"/>
    </row>
    <row r="13" spans="1:15" ht="15.75" customHeight="1" x14ac:dyDescent="0.5">
      <c r="A13" s="46" t="s">
        <v>26</v>
      </c>
      <c r="B13" s="47" t="s">
        <v>27</v>
      </c>
      <c r="C13" s="57" t="s">
        <v>229</v>
      </c>
      <c r="D13" s="47" t="s">
        <v>65</v>
      </c>
      <c r="E13" s="42" t="s">
        <v>158</v>
      </c>
      <c r="F13" s="52">
        <v>5.3170000000000002</v>
      </c>
      <c r="G13" s="48" t="s">
        <v>17</v>
      </c>
      <c r="H13" s="46" t="s">
        <v>28</v>
      </c>
      <c r="I13" s="52">
        <v>9.375</v>
      </c>
      <c r="J13" s="3"/>
      <c r="K13" s="3"/>
    </row>
    <row r="14" spans="1:15" x14ac:dyDescent="0.5">
      <c r="A14" s="46" t="s">
        <v>159</v>
      </c>
      <c r="B14" s="47" t="s">
        <v>100</v>
      </c>
      <c r="C14" s="57" t="s">
        <v>229</v>
      </c>
      <c r="D14" s="47" t="s">
        <v>48</v>
      </c>
      <c r="E14" s="42" t="s">
        <v>160</v>
      </c>
      <c r="F14" s="52">
        <v>5.0190000000000001</v>
      </c>
      <c r="G14" s="48" t="s">
        <v>18</v>
      </c>
      <c r="H14" s="46" t="s">
        <v>25</v>
      </c>
      <c r="I14" s="52">
        <v>5.625</v>
      </c>
    </row>
    <row r="15" spans="1:15" x14ac:dyDescent="0.5">
      <c r="C15" s="57"/>
      <c r="J15" s="3"/>
      <c r="K15" s="9"/>
    </row>
    <row r="16" spans="1:15" x14ac:dyDescent="0.5">
      <c r="A16" s="46" t="s">
        <v>33</v>
      </c>
      <c r="B16" s="47" t="s">
        <v>34</v>
      </c>
      <c r="C16" s="56" t="s">
        <v>224</v>
      </c>
      <c r="D16" s="47" t="s">
        <v>49</v>
      </c>
      <c r="E16" s="42" t="s">
        <v>137</v>
      </c>
      <c r="F16" s="52">
        <v>4.6340000000000003</v>
      </c>
      <c r="G16" s="48" t="s">
        <v>19</v>
      </c>
      <c r="H16" s="46" t="s">
        <v>28</v>
      </c>
      <c r="I16" s="52">
        <v>9.375</v>
      </c>
      <c r="J16" s="3"/>
      <c r="K16" s="9"/>
    </row>
    <row r="17" spans="1:11" x14ac:dyDescent="0.5">
      <c r="A17" s="46" t="s">
        <v>41</v>
      </c>
      <c r="B17" s="47" t="s">
        <v>27</v>
      </c>
      <c r="C17" s="58" t="s">
        <v>224</v>
      </c>
      <c r="D17" s="47" t="s">
        <v>65</v>
      </c>
      <c r="E17" s="42" t="s">
        <v>138</v>
      </c>
      <c r="F17" s="52">
        <v>4.5839999999999996</v>
      </c>
      <c r="G17" s="48" t="s">
        <v>17</v>
      </c>
      <c r="H17" s="46" t="s">
        <v>28</v>
      </c>
      <c r="I17" s="52">
        <v>4.375</v>
      </c>
      <c r="J17" s="3"/>
      <c r="K17" s="9"/>
    </row>
    <row r="18" spans="1:11" x14ac:dyDescent="0.5">
      <c r="A18" s="46" t="s">
        <v>29</v>
      </c>
      <c r="B18" s="47" t="s">
        <v>30</v>
      </c>
      <c r="C18" s="58" t="s">
        <v>224</v>
      </c>
      <c r="D18" s="47" t="s">
        <v>50</v>
      </c>
      <c r="E18" s="42" t="s">
        <v>139</v>
      </c>
      <c r="F18" s="52">
        <v>4.5220000000000002</v>
      </c>
      <c r="G18" s="48" t="s">
        <v>18</v>
      </c>
      <c r="H18" s="46" t="s">
        <v>28</v>
      </c>
      <c r="I18" s="52">
        <v>5.25</v>
      </c>
      <c r="J18" s="3"/>
      <c r="K18" s="9"/>
    </row>
    <row r="19" spans="1:11" x14ac:dyDescent="0.5">
      <c r="A19" s="46" t="s">
        <v>42</v>
      </c>
      <c r="B19" s="47" t="s">
        <v>43</v>
      </c>
      <c r="C19" s="58" t="s">
        <v>224</v>
      </c>
      <c r="D19" s="47" t="s">
        <v>53</v>
      </c>
      <c r="E19" s="42" t="s">
        <v>147</v>
      </c>
      <c r="F19" s="52">
        <v>4.58</v>
      </c>
      <c r="G19" s="48" t="s">
        <v>18</v>
      </c>
      <c r="H19" s="46" t="s">
        <v>25</v>
      </c>
      <c r="I19" s="52">
        <v>4.125</v>
      </c>
    </row>
    <row r="20" spans="1:11" x14ac:dyDescent="0.5">
      <c r="C20" s="57"/>
    </row>
    <row r="21" spans="1:11" x14ac:dyDescent="0.5">
      <c r="A21" s="46" t="s">
        <v>40</v>
      </c>
      <c r="B21" s="47" t="s">
        <v>141</v>
      </c>
      <c r="C21" s="56" t="s">
        <v>230</v>
      </c>
      <c r="D21" s="47" t="s">
        <v>65</v>
      </c>
      <c r="E21" s="42" t="s">
        <v>143</v>
      </c>
      <c r="F21" s="52">
        <v>5.3849999999999998</v>
      </c>
      <c r="G21" s="48" t="s">
        <v>19</v>
      </c>
      <c r="H21" s="46" t="s">
        <v>142</v>
      </c>
      <c r="I21" s="52">
        <v>5.375</v>
      </c>
    </row>
    <row r="22" spans="1:11" x14ac:dyDescent="0.5">
      <c r="A22" s="46" t="s">
        <v>35</v>
      </c>
      <c r="B22" s="47" t="s">
        <v>36</v>
      </c>
      <c r="C22" s="56" t="s">
        <v>230</v>
      </c>
      <c r="D22" s="47" t="s">
        <v>51</v>
      </c>
      <c r="E22" s="42" t="s">
        <v>144</v>
      </c>
      <c r="F22" s="52">
        <v>4.8689999999999998</v>
      </c>
      <c r="G22" s="48" t="s">
        <v>17</v>
      </c>
      <c r="H22" s="46" t="s">
        <v>25</v>
      </c>
      <c r="I22" s="52">
        <v>7</v>
      </c>
    </row>
    <row r="23" spans="1:11" x14ac:dyDescent="0.5">
      <c r="A23" s="46" t="s">
        <v>38</v>
      </c>
      <c r="B23" s="47" t="s">
        <v>145</v>
      </c>
      <c r="C23" s="56" t="s">
        <v>230</v>
      </c>
      <c r="D23" s="47" t="s">
        <v>66</v>
      </c>
      <c r="E23" s="42" t="s">
        <v>144</v>
      </c>
      <c r="F23" s="52">
        <v>5.0069999999999997</v>
      </c>
      <c r="G23" s="48" t="s">
        <v>18</v>
      </c>
      <c r="H23" s="46" t="s">
        <v>28</v>
      </c>
      <c r="I23" s="52">
        <v>6.625</v>
      </c>
    </row>
    <row r="24" spans="1:11" x14ac:dyDescent="0.5">
      <c r="A24" s="46" t="s">
        <v>39</v>
      </c>
      <c r="B24" s="47" t="s">
        <v>146</v>
      </c>
      <c r="C24" s="56" t="s">
        <v>230</v>
      </c>
      <c r="D24" s="47" t="s">
        <v>52</v>
      </c>
      <c r="E24" s="42" t="s">
        <v>144</v>
      </c>
      <c r="F24" s="52">
        <v>5.4210000000000003</v>
      </c>
      <c r="G24" s="48" t="s">
        <v>18</v>
      </c>
      <c r="H24" s="46" t="s">
        <v>28</v>
      </c>
      <c r="I24" s="52">
        <v>7.375</v>
      </c>
    </row>
    <row r="25" spans="1:11" x14ac:dyDescent="0.5">
      <c r="A25" s="46" t="s">
        <v>37</v>
      </c>
      <c r="B25" s="47" t="s">
        <v>27</v>
      </c>
      <c r="C25" s="56" t="s">
        <v>230</v>
      </c>
      <c r="D25" s="47" t="s">
        <v>65</v>
      </c>
      <c r="E25" s="42" t="s">
        <v>148</v>
      </c>
      <c r="F25" s="52">
        <v>5.3529999999999998</v>
      </c>
      <c r="G25" s="48" t="s">
        <v>17</v>
      </c>
      <c r="H25" s="46" t="s">
        <v>28</v>
      </c>
      <c r="I25" s="52">
        <v>6.875</v>
      </c>
    </row>
    <row r="26" spans="1:11" x14ac:dyDescent="0.5">
      <c r="A26" s="46" t="s">
        <v>29</v>
      </c>
      <c r="B26" s="47" t="s">
        <v>30</v>
      </c>
      <c r="C26" s="56" t="s">
        <v>230</v>
      </c>
      <c r="D26" s="47" t="s">
        <v>50</v>
      </c>
      <c r="E26" s="49" t="s">
        <v>161</v>
      </c>
      <c r="F26" s="52">
        <v>5.8959999999999999</v>
      </c>
      <c r="G26" s="48" t="s">
        <v>18</v>
      </c>
      <c r="H26" s="46" t="s">
        <v>28</v>
      </c>
      <c r="I26" s="52">
        <v>7.375</v>
      </c>
    </row>
    <row r="27" spans="1:11" ht="14.4" x14ac:dyDescent="0.55000000000000004">
      <c r="A27" s="50"/>
      <c r="B27" s="51"/>
      <c r="C27" s="51"/>
      <c r="D27" s="51"/>
      <c r="E27" s="51"/>
      <c r="F27" s="51"/>
      <c r="G27" s="51"/>
      <c r="H27" s="51"/>
      <c r="I27" s="51"/>
    </row>
    <row r="28" spans="1:11" x14ac:dyDescent="0.5">
      <c r="A28" s="32" t="s">
        <v>98</v>
      </c>
      <c r="B28" s="3"/>
      <c r="C28" s="3"/>
      <c r="E28" s="9"/>
      <c r="F28" s="2"/>
      <c r="G28" s="2"/>
      <c r="H28" s="9"/>
      <c r="I28" s="10"/>
    </row>
    <row r="38" spans="3:3" x14ac:dyDescent="0.5">
      <c r="C38" s="55"/>
    </row>
  </sheetData>
  <sortState xmlns:xlrd2="http://schemas.microsoft.com/office/spreadsheetml/2017/richdata2" ref="A6:I14">
    <sortCondition ref="E6:E14"/>
    <sortCondition ref="B6:B14"/>
  </sortState>
  <mergeCells count="3">
    <mergeCell ref="A1:I1"/>
    <mergeCell ref="A2:I2"/>
    <mergeCell ref="A3:I3"/>
  </mergeCells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D2E4D-F9E3-4FAF-8DD4-F947E224AA64}">
  <dimension ref="A1:L57"/>
  <sheetViews>
    <sheetView showGridLines="0" topLeftCell="A20" zoomScale="85" workbookViewId="0">
      <selection activeCell="K43" sqref="K43"/>
    </sheetView>
  </sheetViews>
  <sheetFormatPr baseColWidth="10" defaultRowHeight="14.1" x14ac:dyDescent="0.5"/>
  <cols>
    <col min="1" max="1" width="10.9453125" style="1"/>
    <col min="2" max="2" width="27.734375" style="1" customWidth="1"/>
    <col min="3" max="3" width="2.47265625" style="1" customWidth="1"/>
    <col min="4" max="8" width="10.9453125" style="1"/>
    <col min="9" max="9" width="2.15625" style="1" customWidth="1"/>
    <col min="10" max="16384" width="10.9453125" style="1"/>
  </cols>
  <sheetData>
    <row r="1" spans="1:7" x14ac:dyDescent="0.5">
      <c r="A1" s="280" t="s">
        <v>416</v>
      </c>
      <c r="B1" s="280"/>
      <c r="C1" s="280"/>
      <c r="D1" s="280"/>
      <c r="E1" s="280"/>
      <c r="F1" s="280"/>
      <c r="G1" s="280"/>
    </row>
    <row r="2" spans="1:7" ht="15" x14ac:dyDescent="0.5">
      <c r="A2" s="281" t="s">
        <v>100</v>
      </c>
      <c r="B2" s="281"/>
      <c r="C2" s="281"/>
      <c r="D2" s="281"/>
      <c r="E2" s="281"/>
      <c r="F2" s="281"/>
      <c r="G2" s="281"/>
    </row>
    <row r="3" spans="1:7" x14ac:dyDescent="0.5">
      <c r="A3" s="277" t="s">
        <v>260</v>
      </c>
      <c r="B3" s="277"/>
      <c r="C3" s="277"/>
      <c r="D3" s="277"/>
      <c r="E3" s="277"/>
      <c r="F3" s="277"/>
      <c r="G3" s="277"/>
    </row>
    <row r="4" spans="1:7" x14ac:dyDescent="0.5">
      <c r="A4" s="277" t="s">
        <v>99</v>
      </c>
      <c r="B4" s="277" t="s">
        <v>99</v>
      </c>
      <c r="C4" s="277"/>
      <c r="D4" s="277"/>
      <c r="E4" s="277"/>
      <c r="F4" s="277"/>
      <c r="G4" s="277"/>
    </row>
    <row r="7" spans="1:7" x14ac:dyDescent="0.5">
      <c r="D7" s="62" t="s">
        <v>258</v>
      </c>
      <c r="E7" s="62"/>
      <c r="F7" s="62"/>
    </row>
    <row r="8" spans="1:7" x14ac:dyDescent="0.5">
      <c r="D8" s="59"/>
      <c r="E8" s="59" t="s">
        <v>255</v>
      </c>
      <c r="F8" s="59"/>
    </row>
    <row r="9" spans="1:7" x14ac:dyDescent="0.5">
      <c r="B9" s="65" t="s">
        <v>261</v>
      </c>
      <c r="D9" s="66" t="s">
        <v>254</v>
      </c>
      <c r="E9" s="66" t="s">
        <v>256</v>
      </c>
      <c r="F9" s="66" t="s">
        <v>257</v>
      </c>
    </row>
    <row r="10" spans="1:7" ht="6.9" customHeight="1" x14ac:dyDescent="0.5">
      <c r="D10" s="4"/>
      <c r="E10" s="4"/>
      <c r="F10" s="4"/>
    </row>
    <row r="11" spans="1:7" x14ac:dyDescent="0.5">
      <c r="B11" s="1" t="s">
        <v>246</v>
      </c>
      <c r="D11" s="4">
        <v>4324</v>
      </c>
      <c r="E11" s="4">
        <v>1143</v>
      </c>
      <c r="F11" s="4">
        <f t="shared" ref="F11:F16" si="0">D11-E11</f>
        <v>3181</v>
      </c>
    </row>
    <row r="12" spans="1:7" x14ac:dyDescent="0.5">
      <c r="B12" s="1" t="s">
        <v>247</v>
      </c>
      <c r="D12" s="4">
        <v>14063</v>
      </c>
      <c r="E12" s="4">
        <v>4160</v>
      </c>
      <c r="F12" s="4">
        <f t="shared" si="0"/>
        <v>9903</v>
      </c>
    </row>
    <row r="13" spans="1:7" x14ac:dyDescent="0.5">
      <c r="B13" s="1" t="s">
        <v>248</v>
      </c>
      <c r="D13" s="4">
        <v>7499</v>
      </c>
      <c r="E13" s="4">
        <v>2380</v>
      </c>
      <c r="F13" s="4">
        <f t="shared" si="0"/>
        <v>5119</v>
      </c>
    </row>
    <row r="14" spans="1:7" x14ac:dyDescent="0.5">
      <c r="B14" s="1" t="s">
        <v>249</v>
      </c>
      <c r="D14" s="4">
        <v>6685</v>
      </c>
      <c r="E14" s="4">
        <v>2016</v>
      </c>
      <c r="F14" s="4">
        <f t="shared" si="0"/>
        <v>4669</v>
      </c>
    </row>
    <row r="15" spans="1:7" x14ac:dyDescent="0.5">
      <c r="B15" s="1" t="s">
        <v>250</v>
      </c>
      <c r="D15" s="4">
        <v>20205</v>
      </c>
      <c r="E15" s="4">
        <v>2957</v>
      </c>
      <c r="F15" s="4">
        <f t="shared" si="0"/>
        <v>17248</v>
      </c>
    </row>
    <row r="16" spans="1:7" x14ac:dyDescent="0.5">
      <c r="B16" s="1" t="s">
        <v>251</v>
      </c>
      <c r="D16" s="5">
        <v>10418</v>
      </c>
      <c r="E16" s="5">
        <v>3123</v>
      </c>
      <c r="F16" s="5">
        <f t="shared" si="0"/>
        <v>7295</v>
      </c>
    </row>
    <row r="17" spans="2:10" x14ac:dyDescent="0.5">
      <c r="B17" s="21" t="s">
        <v>253</v>
      </c>
      <c r="C17" s="21"/>
      <c r="D17" s="61">
        <f>SUM(D10:D16)</f>
        <v>63194</v>
      </c>
      <c r="E17" s="61">
        <f>SUM(E10:E16)</f>
        <v>15779</v>
      </c>
      <c r="F17" s="61">
        <f>SUM(F10:F16)</f>
        <v>47415</v>
      </c>
    </row>
    <row r="18" spans="2:10" ht="6.6" customHeight="1" x14ac:dyDescent="0.5"/>
    <row r="19" spans="2:10" x14ac:dyDescent="0.5">
      <c r="B19" s="1" t="s">
        <v>259</v>
      </c>
      <c r="D19" s="4">
        <f>284+19938-1590</f>
        <v>18632</v>
      </c>
      <c r="E19" s="4">
        <v>0</v>
      </c>
      <c r="F19" s="4">
        <f>D19-E19</f>
        <v>18632</v>
      </c>
    </row>
    <row r="20" spans="2:10" ht="6.6" customHeight="1" x14ac:dyDescent="0.5">
      <c r="D20" s="20"/>
      <c r="E20" s="20"/>
      <c r="F20" s="20"/>
    </row>
    <row r="21" spans="2:10" x14ac:dyDescent="0.5">
      <c r="B21" s="21" t="s">
        <v>252</v>
      </c>
      <c r="C21" s="21"/>
      <c r="D21" s="61">
        <f>D17+D19</f>
        <v>81826</v>
      </c>
      <c r="E21" s="61">
        <f>E17+E19</f>
        <v>15779</v>
      </c>
      <c r="F21" s="61">
        <f>F17+F19</f>
        <v>66047</v>
      </c>
    </row>
    <row r="24" spans="2:10" x14ac:dyDescent="0.5">
      <c r="E24" s="59" t="s">
        <v>264</v>
      </c>
      <c r="F24" s="59" t="s">
        <v>265</v>
      </c>
    </row>
    <row r="25" spans="2:10" x14ac:dyDescent="0.5">
      <c r="B25" s="67" t="s">
        <v>262</v>
      </c>
      <c r="D25" s="66" t="s">
        <v>254</v>
      </c>
      <c r="E25" s="66" t="s">
        <v>256</v>
      </c>
      <c r="F25" s="66" t="s">
        <v>266</v>
      </c>
      <c r="G25" s="8"/>
    </row>
    <row r="26" spans="2:10" ht="6.9" customHeight="1" x14ac:dyDescent="0.5"/>
    <row r="27" spans="2:10" x14ac:dyDescent="0.5">
      <c r="B27" s="1" t="s">
        <v>263</v>
      </c>
      <c r="D27" s="8">
        <f>D17</f>
        <v>63194</v>
      </c>
      <c r="E27" s="4">
        <v>2722</v>
      </c>
      <c r="F27" s="4">
        <f>1/(E27/D17)</f>
        <v>23.216017634092577</v>
      </c>
    </row>
    <row r="30" spans="2:10" x14ac:dyDescent="0.5">
      <c r="B30" s="67" t="s">
        <v>267</v>
      </c>
      <c r="D30" s="62" t="s">
        <v>45</v>
      </c>
      <c r="E30" s="62"/>
      <c r="F30" s="62"/>
      <c r="G30" s="62"/>
      <c r="H30" s="62"/>
      <c r="J30" s="60" t="s">
        <v>268</v>
      </c>
    </row>
    <row r="31" spans="2:10" x14ac:dyDescent="0.5">
      <c r="D31" s="63">
        <v>2005</v>
      </c>
      <c r="E31" s="63">
        <f>D31+1</f>
        <v>2006</v>
      </c>
      <c r="F31" s="63">
        <f>E31+1</f>
        <v>2007</v>
      </c>
      <c r="G31" s="63">
        <f>F31+1</f>
        <v>2008</v>
      </c>
      <c r="H31" s="63">
        <f>G31+1</f>
        <v>2009</v>
      </c>
      <c r="J31" s="64" t="s">
        <v>269</v>
      </c>
    </row>
    <row r="32" spans="2:10" ht="10.5" customHeight="1" x14ac:dyDescent="0.5"/>
    <row r="33" spans="2:12" x14ac:dyDescent="0.5">
      <c r="B33" s="1" t="s">
        <v>245</v>
      </c>
      <c r="D33" s="4">
        <v>3977</v>
      </c>
      <c r="E33" s="4">
        <f>4431+459</f>
        <v>4890</v>
      </c>
      <c r="F33" s="4">
        <f>6651+974</f>
        <v>7625</v>
      </c>
      <c r="G33" s="4">
        <f>8972+1219</f>
        <v>10191</v>
      </c>
      <c r="H33" s="4">
        <f>8096+917</f>
        <v>9013</v>
      </c>
      <c r="I33" s="4"/>
      <c r="J33" s="4">
        <f>H33*(1+K43)</f>
        <v>10815.6</v>
      </c>
      <c r="K33" s="23"/>
    </row>
    <row r="34" spans="2:12" x14ac:dyDescent="0.5">
      <c r="B34" s="1" t="s">
        <v>244</v>
      </c>
      <c r="D34" s="4">
        <v>619</v>
      </c>
      <c r="E34" s="4">
        <v>997</v>
      </c>
      <c r="F34" s="4">
        <v>2186</v>
      </c>
      <c r="G34" s="4">
        <v>2807</v>
      </c>
      <c r="H34" s="4">
        <v>2722</v>
      </c>
      <c r="I34" s="4"/>
      <c r="J34" s="4"/>
    </row>
    <row r="38" spans="2:12" x14ac:dyDescent="0.5">
      <c r="B38" s="71" t="s">
        <v>346</v>
      </c>
    </row>
    <row r="40" spans="2:12" x14ac:dyDescent="0.5">
      <c r="D40" s="62" t="s">
        <v>339</v>
      </c>
      <c r="E40" s="62"/>
      <c r="F40" s="62"/>
      <c r="G40" s="62"/>
      <c r="H40" s="62"/>
      <c r="J40" s="12" t="s">
        <v>348</v>
      </c>
      <c r="K40" s="12" t="s">
        <v>348</v>
      </c>
      <c r="L40" s="12" t="s">
        <v>265</v>
      </c>
    </row>
    <row r="41" spans="2:12" x14ac:dyDescent="0.5">
      <c r="D41" s="63">
        <v>2010</v>
      </c>
      <c r="E41" s="63">
        <f>D41+1</f>
        <v>2011</v>
      </c>
      <c r="F41" s="63">
        <f>E41+1</f>
        <v>2012</v>
      </c>
      <c r="G41" s="63">
        <f>F41+1</f>
        <v>2013</v>
      </c>
      <c r="H41" s="63">
        <f>G41+1</f>
        <v>2014</v>
      </c>
      <c r="J41" s="73" t="s">
        <v>347</v>
      </c>
      <c r="K41" s="73" t="s">
        <v>355</v>
      </c>
      <c r="L41" s="73" t="s">
        <v>349</v>
      </c>
    </row>
    <row r="42" spans="2:12" x14ac:dyDescent="0.5">
      <c r="B42" s="71" t="s">
        <v>357</v>
      </c>
    </row>
    <row r="43" spans="2:12" x14ac:dyDescent="0.5">
      <c r="B43" s="1" t="s">
        <v>350</v>
      </c>
      <c r="D43" s="8">
        <f>$J43/$L43/2</f>
        <v>212.15378579835232</v>
      </c>
      <c r="E43" s="8">
        <f>$J43/$L43</f>
        <v>424.30757159670463</v>
      </c>
      <c r="F43" s="8">
        <f>$J43/$L43</f>
        <v>424.30757159670463</v>
      </c>
      <c r="G43" s="8">
        <f>$J43/$L43</f>
        <v>424.30757159670463</v>
      </c>
      <c r="H43" s="8">
        <f>$J43/$L43</f>
        <v>424.30757159670463</v>
      </c>
      <c r="J43" s="8">
        <f>J33</f>
        <v>10815.6</v>
      </c>
      <c r="K43" s="89">
        <f>'Exhibit 7 (Modelo)'!I8</f>
        <v>0.2</v>
      </c>
      <c r="L43" s="78">
        <v>25.49</v>
      </c>
    </row>
    <row r="44" spans="2:12" x14ac:dyDescent="0.5">
      <c r="B44" s="1" t="s">
        <v>351</v>
      </c>
      <c r="E44" s="8">
        <f>$J44/$L44/2</f>
        <v>233.36916437818758</v>
      </c>
      <c r="F44" s="8">
        <f>$J44/$L44</f>
        <v>466.73832875637515</v>
      </c>
      <c r="G44" s="8">
        <f>$J44/$L44</f>
        <v>466.73832875637515</v>
      </c>
      <c r="H44" s="8">
        <f>$J44/$L44</f>
        <v>466.73832875637515</v>
      </c>
      <c r="J44" s="8">
        <f>J43*(1+K44)</f>
        <v>11897.160000000002</v>
      </c>
      <c r="K44" s="89">
        <f>'Exhibit 7 (Modelo)'!J8</f>
        <v>0.1</v>
      </c>
      <c r="L44" s="74">
        <f>L43</f>
        <v>25.49</v>
      </c>
    </row>
    <row r="45" spans="2:12" x14ac:dyDescent="0.5">
      <c r="B45" s="1" t="s">
        <v>352</v>
      </c>
      <c r="F45" s="8">
        <f>$J45/$L45/2</f>
        <v>245.03762259709694</v>
      </c>
      <c r="G45" s="8">
        <f>$J45/$L45</f>
        <v>490.07524519419388</v>
      </c>
      <c r="H45" s="8">
        <f>$J45/$L45</f>
        <v>490.07524519419388</v>
      </c>
      <c r="J45" s="8">
        <f>J44*(1+K45)</f>
        <v>12492.018000000002</v>
      </c>
      <c r="K45" s="89">
        <f>'Exhibit 7 (Modelo)'!K8</f>
        <v>0.05</v>
      </c>
      <c r="L45" s="74">
        <f>L43</f>
        <v>25.49</v>
      </c>
    </row>
    <row r="46" spans="2:12" x14ac:dyDescent="0.5">
      <c r="B46" s="1" t="s">
        <v>353</v>
      </c>
      <c r="G46" s="8">
        <f>$J46/$L46/2</f>
        <v>254.83912750098082</v>
      </c>
      <c r="H46" s="8">
        <f>$J46/$L46</f>
        <v>509.67825500196165</v>
      </c>
      <c r="J46" s="8">
        <f>J45*(1+K46)</f>
        <v>12991.698720000002</v>
      </c>
      <c r="K46" s="89">
        <f>'Exhibit 7 (Modelo)'!L8</f>
        <v>0.04</v>
      </c>
      <c r="L46" s="74">
        <f>L44</f>
        <v>25.49</v>
      </c>
    </row>
    <row r="47" spans="2:12" x14ac:dyDescent="0.5">
      <c r="B47" s="1" t="s">
        <v>354</v>
      </c>
      <c r="D47" s="20"/>
      <c r="E47" s="20"/>
      <c r="F47" s="20"/>
      <c r="G47" s="20"/>
      <c r="H47" s="5">
        <f>$J47/$L47/2</f>
        <v>262.48430132601027</v>
      </c>
      <c r="J47" s="8">
        <f>J46*(1+K47)</f>
        <v>13381.449681600003</v>
      </c>
      <c r="K47" s="89">
        <f>'Exhibit 7 (Modelo)'!M8</f>
        <v>0.03</v>
      </c>
      <c r="L47" s="74">
        <f>L45</f>
        <v>25.49</v>
      </c>
    </row>
    <row r="48" spans="2:12" x14ac:dyDescent="0.5">
      <c r="B48" s="21" t="s">
        <v>356</v>
      </c>
      <c r="D48" s="72">
        <f>SUM(D43:D47)</f>
        <v>212.15378579835232</v>
      </c>
      <c r="E48" s="72">
        <f>SUM(E43:E47)</f>
        <v>657.67673597489215</v>
      </c>
      <c r="F48" s="72">
        <f>SUM(F43:F47)</f>
        <v>1136.0835229501768</v>
      </c>
      <c r="G48" s="72">
        <f>SUM(G43:G47)</f>
        <v>1635.9602730482545</v>
      </c>
      <c r="H48" s="72">
        <f>SUM(H43:H47)</f>
        <v>2153.2837018752457</v>
      </c>
      <c r="J48" s="1" t="s">
        <v>374</v>
      </c>
    </row>
    <row r="49" spans="2:8" x14ac:dyDescent="0.5">
      <c r="B49" s="21" t="s">
        <v>364</v>
      </c>
      <c r="D49" s="77">
        <f>E27</f>
        <v>2722</v>
      </c>
      <c r="E49" s="77">
        <f>D49</f>
        <v>2722</v>
      </c>
      <c r="F49" s="77">
        <f>E49</f>
        <v>2722</v>
      </c>
      <c r="G49" s="77">
        <f>F49</f>
        <v>2722</v>
      </c>
      <c r="H49" s="77">
        <f>G49</f>
        <v>2722</v>
      </c>
    </row>
    <row r="50" spans="2:8" x14ac:dyDescent="0.5">
      <c r="B50" s="21" t="s">
        <v>367</v>
      </c>
      <c r="D50" s="72">
        <f>D48+D49</f>
        <v>2934.1537857983521</v>
      </c>
      <c r="E50" s="72">
        <f>E48+E49</f>
        <v>3379.6767359748919</v>
      </c>
      <c r="F50" s="72">
        <f>F48+F49</f>
        <v>3858.0835229501768</v>
      </c>
      <c r="G50" s="72">
        <f>G48+G49</f>
        <v>4357.9602730482547</v>
      </c>
      <c r="H50" s="72">
        <f>H48+H49</f>
        <v>4875.2837018752452</v>
      </c>
    </row>
    <row r="52" spans="2:8" x14ac:dyDescent="0.5">
      <c r="B52" s="75" t="s">
        <v>358</v>
      </c>
    </row>
    <row r="53" spans="2:8" x14ac:dyDescent="0.5">
      <c r="B53" s="1" t="s">
        <v>359</v>
      </c>
      <c r="D53" s="8">
        <f>D17</f>
        <v>63194</v>
      </c>
      <c r="E53" s="1" t="s">
        <v>365</v>
      </c>
    </row>
    <row r="54" spans="2:8" x14ac:dyDescent="0.5">
      <c r="B54" s="1" t="s">
        <v>360</v>
      </c>
      <c r="D54" s="5">
        <f>E17</f>
        <v>15779</v>
      </c>
    </row>
    <row r="55" spans="2:8" x14ac:dyDescent="0.5">
      <c r="B55" s="1" t="s">
        <v>362</v>
      </c>
      <c r="D55" s="8">
        <f>D53-D54</f>
        <v>47415</v>
      </c>
    </row>
    <row r="56" spans="2:8" x14ac:dyDescent="0.5">
      <c r="B56" s="1" t="s">
        <v>361</v>
      </c>
      <c r="D56" s="76">
        <f>D54/D53</f>
        <v>0.24969142640124062</v>
      </c>
    </row>
    <row r="57" spans="2:8" x14ac:dyDescent="0.5">
      <c r="B57" s="1" t="s">
        <v>363</v>
      </c>
      <c r="D57" s="8">
        <f>D55/E27</f>
        <v>17.419177075679649</v>
      </c>
      <c r="E57" s="1" t="s">
        <v>366</v>
      </c>
    </row>
  </sheetData>
  <mergeCells count="4">
    <mergeCell ref="A1:G1"/>
    <mergeCell ref="A2:G2"/>
    <mergeCell ref="A3:G3"/>
    <mergeCell ref="A4:G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22"/>
  <sheetViews>
    <sheetView workbookViewId="0">
      <selection activeCell="E38" sqref="E38"/>
    </sheetView>
  </sheetViews>
  <sheetFormatPr baseColWidth="10" defaultColWidth="9.15625" defaultRowHeight="14.1" x14ac:dyDescent="0.5"/>
  <cols>
    <col min="1" max="1" width="15.83984375" style="1" customWidth="1"/>
    <col min="2" max="5" width="9.15625" style="1"/>
    <col min="6" max="6" width="2.41796875" style="1" customWidth="1"/>
    <col min="7" max="7" width="9.26171875" style="1" customWidth="1"/>
    <col min="8" max="8" width="17.26171875" style="1" customWidth="1"/>
    <col min="9" max="9" width="14.83984375" style="1" customWidth="1"/>
    <col min="10" max="10" width="2.41796875" style="1" customWidth="1"/>
    <col min="11" max="13" width="9.15625" style="1"/>
    <col min="14" max="14" width="2.578125" style="1" customWidth="1"/>
    <col min="15" max="17" width="9.15625" style="1"/>
    <col min="18" max="18" width="3.26171875" style="1" customWidth="1"/>
    <col min="19" max="16384" width="9.15625" style="1"/>
  </cols>
  <sheetData>
    <row r="1" spans="1:25" x14ac:dyDescent="0.5">
      <c r="A1" s="21" t="s">
        <v>72</v>
      </c>
    </row>
    <row r="2" spans="1:25" x14ac:dyDescent="0.5">
      <c r="A2" s="21"/>
    </row>
    <row r="3" spans="1:25" x14ac:dyDescent="0.5">
      <c r="A3" s="1" t="s">
        <v>64</v>
      </c>
      <c r="B3" s="20" t="s">
        <v>58</v>
      </c>
      <c r="C3" s="20"/>
      <c r="D3" s="20"/>
      <c r="E3" s="20"/>
      <c r="G3" s="20" t="s">
        <v>60</v>
      </c>
      <c r="H3" s="20"/>
      <c r="I3" s="20"/>
      <c r="K3" s="20" t="s">
        <v>67</v>
      </c>
      <c r="L3" s="20"/>
      <c r="M3" s="20"/>
      <c r="O3" s="20" t="s">
        <v>68</v>
      </c>
      <c r="P3" s="20"/>
      <c r="Q3" s="20"/>
      <c r="S3" s="20" t="s">
        <v>74</v>
      </c>
      <c r="T3" s="20"/>
      <c r="U3" s="20"/>
    </row>
    <row r="4" spans="1:25" x14ac:dyDescent="0.5">
      <c r="B4" s="21" t="s">
        <v>3</v>
      </c>
      <c r="C4" s="21" t="s">
        <v>1</v>
      </c>
      <c r="D4" s="21" t="s">
        <v>0</v>
      </c>
      <c r="E4" s="21" t="s">
        <v>2</v>
      </c>
      <c r="G4" s="21" t="s">
        <v>241</v>
      </c>
      <c r="H4" s="21" t="s">
        <v>242</v>
      </c>
      <c r="I4" s="21" t="s">
        <v>243</v>
      </c>
      <c r="K4" s="21" t="s">
        <v>69</v>
      </c>
      <c r="L4" s="21" t="s">
        <v>70</v>
      </c>
      <c r="M4" s="21" t="s">
        <v>71</v>
      </c>
      <c r="O4" s="21" t="s">
        <v>61</v>
      </c>
      <c r="P4" s="21" t="s">
        <v>62</v>
      </c>
      <c r="Q4" s="21" t="s">
        <v>63</v>
      </c>
      <c r="R4" s="11"/>
      <c r="S4" s="21" t="s">
        <v>61</v>
      </c>
      <c r="T4" s="21" t="s">
        <v>62</v>
      </c>
      <c r="U4" s="21" t="s">
        <v>63</v>
      </c>
      <c r="V4" s="11"/>
      <c r="W4" s="11"/>
      <c r="X4" s="11"/>
      <c r="Y4" s="11"/>
    </row>
    <row r="5" spans="1:25" x14ac:dyDescent="0.5">
      <c r="A5" s="22" t="s">
        <v>163</v>
      </c>
      <c r="B5" s="23">
        <v>3.4694206874294142E-2</v>
      </c>
      <c r="C5" s="23">
        <v>7.6335877862594437E-3</v>
      </c>
      <c r="D5" s="23">
        <v>3.5223069219921799E-2</v>
      </c>
      <c r="E5" s="23">
        <v>1.1161387631975828E-2</v>
      </c>
      <c r="F5" s="23"/>
      <c r="G5" s="23">
        <v>3.3090000000000001E-2</v>
      </c>
      <c r="H5" s="23">
        <v>4.0999999999999995E-2</v>
      </c>
      <c r="I5" s="23">
        <v>4.3691100000000004E-2</v>
      </c>
      <c r="J5" s="23"/>
      <c r="K5" s="23">
        <v>3.4705E-2</v>
      </c>
      <c r="L5" s="23">
        <v>4.5602000000000004E-2</v>
      </c>
      <c r="M5" s="23">
        <v>5.0176999999999999E-2</v>
      </c>
      <c r="N5" s="23"/>
      <c r="O5" s="23">
        <v>4.2185E-2</v>
      </c>
      <c r="P5" s="23">
        <v>5.3444000000000005E-2</v>
      </c>
      <c r="Q5" s="23">
        <v>5.6399999999999999E-2</v>
      </c>
      <c r="R5" s="23"/>
      <c r="S5" s="23">
        <f>O5-G5</f>
        <v>9.0949999999999989E-3</v>
      </c>
      <c r="T5" s="23">
        <f t="shared" ref="T5:T22" si="0">P5-H5</f>
        <v>1.2444000000000011E-2</v>
      </c>
      <c r="U5" s="23">
        <f t="shared" ref="U5:U22" si="1">Q5-I5</f>
        <v>1.2708899999999995E-2</v>
      </c>
      <c r="V5" s="24"/>
      <c r="W5" s="24"/>
      <c r="X5" s="24"/>
      <c r="Y5" s="24"/>
    </row>
    <row r="6" spans="1:25" x14ac:dyDescent="0.5">
      <c r="A6" s="22" t="s">
        <v>164</v>
      </c>
      <c r="B6" s="23">
        <v>4.2435424354243523E-2</v>
      </c>
      <c r="C6" s="23">
        <v>3.7950664136623402E-3</v>
      </c>
      <c r="D6" s="23">
        <v>3.3462932588137484E-2</v>
      </c>
      <c r="E6" s="23">
        <v>2.3821489596944412E-2</v>
      </c>
      <c r="F6" s="23"/>
      <c r="G6" s="23">
        <v>3.771E-2</v>
      </c>
      <c r="H6" s="23">
        <v>4.3979999999999998E-2</v>
      </c>
      <c r="I6" s="23">
        <v>4.8472000000000001E-2</v>
      </c>
      <c r="J6" s="23"/>
      <c r="K6" s="23">
        <v>3.9949999999999999E-2</v>
      </c>
      <c r="L6" s="23">
        <v>4.8430000000000001E-2</v>
      </c>
      <c r="M6" s="23">
        <v>5.5296000000000005E-2</v>
      </c>
      <c r="N6" s="23"/>
      <c r="O6" s="23">
        <v>4.7859999999999993E-2</v>
      </c>
      <c r="P6" s="23">
        <v>5.6287000000000004E-2</v>
      </c>
      <c r="Q6" s="23">
        <v>6.0700000000000004E-2</v>
      </c>
      <c r="R6" s="23"/>
      <c r="S6" s="23">
        <f t="shared" ref="S6:S22" si="2">O6-G6</f>
        <v>1.0149999999999992E-2</v>
      </c>
      <c r="T6" s="23">
        <f t="shared" si="0"/>
        <v>1.2307000000000005E-2</v>
      </c>
      <c r="U6" s="23">
        <f t="shared" si="1"/>
        <v>1.2228000000000003E-2</v>
      </c>
      <c r="V6" s="24"/>
      <c r="W6" s="24"/>
      <c r="X6" s="24"/>
      <c r="Y6" s="24"/>
    </row>
    <row r="7" spans="1:25" x14ac:dyDescent="0.5">
      <c r="A7" s="22" t="s">
        <v>165</v>
      </c>
      <c r="B7" s="23">
        <v>2.1626297577854725E-2</v>
      </c>
      <c r="C7" s="23">
        <v>4.7393364928909332E-3</v>
      </c>
      <c r="D7" s="23">
        <v>3.5549789818781541E-2</v>
      </c>
      <c r="E7" s="23">
        <v>1.7347956131605224E-2</v>
      </c>
      <c r="F7" s="23"/>
      <c r="G7" s="23">
        <v>4.0709999999999996E-2</v>
      </c>
      <c r="H7" s="23">
        <v>4.7100000000000003E-2</v>
      </c>
      <c r="I7" s="23">
        <v>5.1364E-2</v>
      </c>
      <c r="J7" s="23"/>
      <c r="K7" s="23">
        <v>4.317E-2</v>
      </c>
      <c r="L7" s="23">
        <v>5.1750999999999998E-2</v>
      </c>
      <c r="M7" s="23">
        <v>5.7828999999999998E-2</v>
      </c>
      <c r="N7" s="23"/>
      <c r="O7" s="23">
        <v>5.1130000000000002E-2</v>
      </c>
      <c r="P7" s="23">
        <v>5.9436000000000003E-2</v>
      </c>
      <c r="Q7" s="23">
        <v>6.4199999999999993E-2</v>
      </c>
      <c r="R7" s="23"/>
      <c r="S7" s="23">
        <f t="shared" si="2"/>
        <v>1.0420000000000006E-2</v>
      </c>
      <c r="T7" s="23">
        <f t="shared" si="0"/>
        <v>1.2336E-2</v>
      </c>
      <c r="U7" s="23">
        <f t="shared" si="1"/>
        <v>1.2835999999999993E-2</v>
      </c>
      <c r="V7" s="11"/>
      <c r="W7" s="11"/>
      <c r="X7" s="11"/>
      <c r="Y7" s="11"/>
    </row>
    <row r="8" spans="1:25" x14ac:dyDescent="0.5">
      <c r="A8" s="22" t="s">
        <v>166</v>
      </c>
      <c r="B8" s="23">
        <v>4.5010247516947821E-2</v>
      </c>
      <c r="C8" s="23">
        <v>4.7348484848483974E-3</v>
      </c>
      <c r="D8" s="23">
        <v>3.2798797543325264E-2</v>
      </c>
      <c r="E8" s="23">
        <v>3.6728549924736509E-2</v>
      </c>
      <c r="F8" s="23"/>
      <c r="G8" s="23">
        <v>3.7089999999999998E-2</v>
      </c>
      <c r="H8" s="23">
        <v>4.5229999999999999E-2</v>
      </c>
      <c r="I8" s="23">
        <v>4.6276000000000005E-2</v>
      </c>
      <c r="J8" s="23"/>
      <c r="K8" s="23">
        <v>3.9740000000000004E-2</v>
      </c>
      <c r="L8" s="23">
        <v>5.0133000000000004E-2</v>
      </c>
      <c r="M8" s="23">
        <v>5.2013999999999998E-2</v>
      </c>
      <c r="N8" s="23"/>
      <c r="O8" s="23">
        <v>4.7460000000000002E-2</v>
      </c>
      <c r="P8" s="23">
        <v>5.7534999999999996E-2</v>
      </c>
      <c r="Q8" s="23">
        <v>5.91E-2</v>
      </c>
      <c r="R8" s="23"/>
      <c r="S8" s="23">
        <f t="shared" si="2"/>
        <v>1.0370000000000004E-2</v>
      </c>
      <c r="T8" s="23">
        <f t="shared" si="0"/>
        <v>1.2304999999999996E-2</v>
      </c>
      <c r="U8" s="23">
        <f t="shared" si="1"/>
        <v>1.2823999999999995E-2</v>
      </c>
      <c r="V8" s="24"/>
      <c r="W8" s="24"/>
      <c r="X8" s="24"/>
      <c r="Y8" s="24"/>
    </row>
    <row r="9" spans="1:25" x14ac:dyDescent="0.5">
      <c r="A9" s="22" t="s">
        <v>167</v>
      </c>
      <c r="B9" s="23">
        <v>4.8034934497816595E-2</v>
      </c>
      <c r="C9" s="23">
        <v>7.575757575757569E-3</v>
      </c>
      <c r="D9" s="23">
        <v>2.8714132011963489E-2</v>
      </c>
      <c r="E9" s="23">
        <v>3.3412887828162319E-2</v>
      </c>
      <c r="F9" s="23"/>
      <c r="G9" s="23">
        <v>3.9480000000000001E-2</v>
      </c>
      <c r="H9" s="23">
        <v>4.7409999999999994E-2</v>
      </c>
      <c r="I9" s="23">
        <v>4.7022000000000001E-2</v>
      </c>
      <c r="J9" s="23"/>
      <c r="K9" s="23">
        <v>4.2079999999999999E-2</v>
      </c>
      <c r="L9" s="23">
        <v>5.1824000000000002E-2</v>
      </c>
      <c r="M9" s="23">
        <v>5.4076000000000006E-2</v>
      </c>
      <c r="N9" s="23"/>
      <c r="O9" s="23">
        <v>4.8760000000000005E-2</v>
      </c>
      <c r="P9" s="23">
        <v>5.9061000000000002E-2</v>
      </c>
      <c r="Q9" s="23">
        <v>5.9400000000000001E-2</v>
      </c>
      <c r="R9" s="23"/>
      <c r="S9" s="23">
        <f t="shared" si="2"/>
        <v>9.2800000000000035E-3</v>
      </c>
      <c r="T9" s="23">
        <f t="shared" si="0"/>
        <v>1.1651000000000009E-2</v>
      </c>
      <c r="U9" s="23">
        <f t="shared" si="1"/>
        <v>1.2378E-2</v>
      </c>
      <c r="V9" s="24"/>
      <c r="W9" s="24"/>
      <c r="X9" s="24"/>
      <c r="Y9" s="24"/>
    </row>
    <row r="10" spans="1:25" x14ac:dyDescent="0.5">
      <c r="A10" s="22" t="s">
        <v>168</v>
      </c>
      <c r="B10" s="23">
        <v>5.2558676414005578E-2</v>
      </c>
      <c r="C10" s="23">
        <v>1.7013232514177634E-2</v>
      </c>
      <c r="D10" s="23">
        <v>3.1732813433786422E-2</v>
      </c>
      <c r="E10" s="23">
        <v>3.0728450814843988E-2</v>
      </c>
      <c r="F10" s="23"/>
      <c r="G10" s="23">
        <v>4.0570000000000002E-2</v>
      </c>
      <c r="H10" s="23">
        <v>4.9690000000000005E-2</v>
      </c>
      <c r="I10" s="23">
        <v>4.6443000000000005E-2</v>
      </c>
      <c r="J10" s="23"/>
      <c r="K10" s="23">
        <v>4.3459999999999999E-2</v>
      </c>
      <c r="L10" s="23">
        <v>5.4288999999999997E-2</v>
      </c>
      <c r="M10" s="23">
        <v>5.4038000000000003E-2</v>
      </c>
      <c r="N10" s="23"/>
      <c r="O10" s="23">
        <v>4.9480000000000003E-2</v>
      </c>
      <c r="P10" s="23">
        <v>6.0779E-2</v>
      </c>
      <c r="Q10" s="23">
        <v>5.8799999999999998E-2</v>
      </c>
      <c r="R10" s="23"/>
      <c r="S10" s="23">
        <f t="shared" si="2"/>
        <v>8.9100000000000013E-3</v>
      </c>
      <c r="T10" s="23">
        <f t="shared" si="0"/>
        <v>1.1088999999999995E-2</v>
      </c>
      <c r="U10" s="23">
        <f t="shared" si="1"/>
        <v>1.2356999999999993E-2</v>
      </c>
      <c r="V10" s="11"/>
      <c r="W10" s="11"/>
      <c r="X10" s="11"/>
      <c r="Y10" s="11"/>
    </row>
    <row r="11" spans="1:25" x14ac:dyDescent="0.5">
      <c r="A11" s="22" t="s">
        <v>169</v>
      </c>
      <c r="B11" s="23">
        <v>6.5275960280194223E-2</v>
      </c>
      <c r="C11" s="23">
        <v>1.9811320754717032E-2</v>
      </c>
      <c r="D11" s="23">
        <v>2.9473745544948748E-2</v>
      </c>
      <c r="E11" s="23">
        <v>3.3614268914151202E-2</v>
      </c>
      <c r="F11" s="23"/>
      <c r="G11" s="23">
        <v>4.5739999999999996E-2</v>
      </c>
      <c r="H11" s="23">
        <v>5.4629999999999998E-2</v>
      </c>
      <c r="I11" s="23">
        <v>5.0243999999999997E-2</v>
      </c>
      <c r="J11" s="23"/>
      <c r="K11" s="23">
        <v>4.8890000000000003E-2</v>
      </c>
      <c r="L11" s="23">
        <v>5.9726999999999995E-2</v>
      </c>
      <c r="M11" s="23">
        <v>5.7072000000000005E-2</v>
      </c>
      <c r="N11" s="23"/>
      <c r="O11" s="23">
        <v>5.4019999999999999E-2</v>
      </c>
      <c r="P11" s="23">
        <v>6.5964999999999996E-2</v>
      </c>
      <c r="Q11" s="23">
        <v>6.3099999999999989E-2</v>
      </c>
      <c r="R11" s="23"/>
      <c r="S11" s="23">
        <f t="shared" si="2"/>
        <v>8.2800000000000026E-3</v>
      </c>
      <c r="T11" s="23">
        <f t="shared" si="0"/>
        <v>1.1334999999999998E-2</v>
      </c>
      <c r="U11" s="23">
        <f t="shared" si="1"/>
        <v>1.2855999999999992E-2</v>
      </c>
      <c r="V11" s="24"/>
      <c r="W11" s="24"/>
      <c r="X11" s="24"/>
      <c r="Y11" s="24"/>
    </row>
    <row r="12" spans="1:25" x14ac:dyDescent="0.5">
      <c r="A12" s="22" t="s">
        <v>170</v>
      </c>
      <c r="B12" s="23">
        <v>5.7629931357018993E-2</v>
      </c>
      <c r="C12" s="23">
        <v>2.0735155513666337E-2</v>
      </c>
      <c r="D12" s="23">
        <v>2.5935849493041285E-2</v>
      </c>
      <c r="E12" s="23">
        <v>2.6425321846868632E-2</v>
      </c>
      <c r="F12" s="23"/>
      <c r="G12" s="23">
        <v>4.3289999999999995E-2</v>
      </c>
      <c r="H12" s="23">
        <v>5.0110000000000002E-2</v>
      </c>
      <c r="I12" s="23">
        <v>4.5865000000000003E-2</v>
      </c>
      <c r="J12" s="23"/>
      <c r="K12" s="23">
        <v>4.7939999999999997E-2</v>
      </c>
      <c r="L12" s="23">
        <v>5.7332999999999995E-2</v>
      </c>
      <c r="M12" s="23">
        <v>5.5125E-2</v>
      </c>
      <c r="N12" s="23"/>
      <c r="O12" s="23">
        <v>5.4720000000000005E-2</v>
      </c>
      <c r="P12" s="23">
        <v>6.4561000000000007E-2</v>
      </c>
      <c r="Q12" s="23">
        <v>6.3E-2</v>
      </c>
      <c r="R12" s="23"/>
      <c r="S12" s="23">
        <f t="shared" si="2"/>
        <v>1.143000000000001E-2</v>
      </c>
      <c r="T12" s="23">
        <f t="shared" si="0"/>
        <v>1.4451000000000006E-2</v>
      </c>
      <c r="U12" s="23">
        <f t="shared" si="1"/>
        <v>1.7134999999999997E-2</v>
      </c>
      <c r="V12" s="25"/>
      <c r="W12" s="25"/>
      <c r="X12" s="25"/>
      <c r="Y12" s="25"/>
    </row>
    <row r="13" spans="1:25" x14ac:dyDescent="0.5">
      <c r="A13" s="22" t="s">
        <v>171</v>
      </c>
      <c r="B13" s="23">
        <v>6.7931547619047628E-2</v>
      </c>
      <c r="C13" s="23">
        <v>1.9736842105263053E-2</v>
      </c>
      <c r="D13" s="23">
        <v>2.7356118904603877E-2</v>
      </c>
      <c r="E13" s="23">
        <v>2.4634334103156297E-2</v>
      </c>
      <c r="F13" s="23"/>
      <c r="G13" s="23">
        <v>4.3070000000000004E-2</v>
      </c>
      <c r="H13" s="23">
        <v>4.5080000000000002E-2</v>
      </c>
      <c r="I13" s="23">
        <v>4.0232000000000004E-2</v>
      </c>
      <c r="J13" s="23"/>
      <c r="K13" s="23">
        <v>4.8899999999999999E-2</v>
      </c>
      <c r="L13" s="23">
        <v>5.4306E-2</v>
      </c>
      <c r="M13" s="23">
        <v>5.1288E-2</v>
      </c>
      <c r="N13" s="23"/>
      <c r="O13" s="23">
        <v>5.8636999999999995E-2</v>
      </c>
      <c r="P13" s="23">
        <v>6.2172999999999999E-2</v>
      </c>
      <c r="Q13" s="23">
        <v>6.1100000000000002E-2</v>
      </c>
      <c r="R13" s="23"/>
      <c r="S13" s="23">
        <f t="shared" si="2"/>
        <v>1.5566999999999991E-2</v>
      </c>
      <c r="T13" s="23">
        <f t="shared" si="0"/>
        <v>1.7092999999999997E-2</v>
      </c>
      <c r="U13" s="23">
        <f t="shared" si="1"/>
        <v>2.0867999999999998E-2</v>
      </c>
    </row>
    <row r="14" spans="1:25" x14ac:dyDescent="0.5">
      <c r="A14" s="22" t="s">
        <v>172</v>
      </c>
      <c r="B14" s="23">
        <v>6.470244187746732E-2</v>
      </c>
      <c r="C14" s="23">
        <v>1.3011152416356753E-2</v>
      </c>
      <c r="D14" s="23">
        <v>2.111860222201134E-2</v>
      </c>
      <c r="E14" s="23">
        <v>3.0955329078959926E-2</v>
      </c>
      <c r="F14" s="23"/>
      <c r="G14" s="23">
        <v>3.8989999999999997E-2</v>
      </c>
      <c r="H14" s="23">
        <v>4.3479999999999998E-2</v>
      </c>
      <c r="I14" s="23">
        <v>3.4096000000000001E-2</v>
      </c>
      <c r="J14" s="23"/>
      <c r="K14" s="23">
        <v>4.6529999999999995E-2</v>
      </c>
      <c r="L14" s="23">
        <v>5.4848000000000001E-2</v>
      </c>
      <c r="M14" s="23">
        <v>4.8221E-2</v>
      </c>
      <c r="N14" s="23"/>
      <c r="O14" s="23">
        <v>6.0970000000000003E-2</v>
      </c>
      <c r="P14" s="23">
        <v>6.7509E-2</v>
      </c>
      <c r="Q14" s="23">
        <v>6.3399999999999998E-2</v>
      </c>
      <c r="R14" s="23"/>
      <c r="S14" s="23">
        <f t="shared" si="2"/>
        <v>2.1980000000000006E-2</v>
      </c>
      <c r="T14" s="23">
        <f t="shared" si="0"/>
        <v>2.4029000000000002E-2</v>
      </c>
      <c r="U14" s="23">
        <f t="shared" si="1"/>
        <v>2.9303999999999997E-2</v>
      </c>
    </row>
    <row r="15" spans="1:25" x14ac:dyDescent="0.5">
      <c r="A15" s="22" t="s">
        <v>173</v>
      </c>
      <c r="B15" s="23">
        <v>6.4744562468386224E-2</v>
      </c>
      <c r="C15" s="23">
        <v>1.3876040703052706E-2</v>
      </c>
      <c r="D15" s="23">
        <v>1.9441928911025697E-2</v>
      </c>
      <c r="E15" s="23">
        <v>2.863373471129238E-2</v>
      </c>
      <c r="F15" s="23"/>
      <c r="G15" s="23">
        <v>4.6210000000000001E-2</v>
      </c>
      <c r="H15" s="23">
        <v>5.1299999999999998E-2</v>
      </c>
      <c r="I15" s="23">
        <v>3.9689999999999996E-2</v>
      </c>
      <c r="J15" s="23"/>
      <c r="K15" s="23">
        <v>5.3129999999999997E-2</v>
      </c>
      <c r="L15" s="23">
        <v>6.1445999999999994E-2</v>
      </c>
      <c r="M15" s="23">
        <v>5.0688000000000004E-2</v>
      </c>
      <c r="N15" s="23"/>
      <c r="O15" s="23">
        <v>6.5290000000000001E-2</v>
      </c>
      <c r="P15" s="23">
        <v>7.2522000000000003E-2</v>
      </c>
      <c r="Q15" s="23">
        <v>6.7299999999999999E-2</v>
      </c>
      <c r="R15" s="23"/>
      <c r="S15" s="23">
        <f t="shared" si="2"/>
        <v>1.908E-2</v>
      </c>
      <c r="T15" s="23">
        <f t="shared" si="0"/>
        <v>2.1222000000000005E-2</v>
      </c>
      <c r="U15" s="23">
        <f t="shared" si="1"/>
        <v>2.7610000000000003E-2</v>
      </c>
    </row>
    <row r="16" spans="1:25" x14ac:dyDescent="0.5">
      <c r="A16" s="22" t="s">
        <v>174</v>
      </c>
      <c r="B16" s="23">
        <v>6.8468725483203707E-2</v>
      </c>
      <c r="C16" s="23">
        <v>1.3850415512465464E-2</v>
      </c>
      <c r="D16" s="23">
        <v>2.5599594164231965E-2</v>
      </c>
      <c r="E16" s="23">
        <v>2.6216522067144421E-2</v>
      </c>
      <c r="F16" s="23"/>
      <c r="G16" s="23">
        <v>4.0149999999999998E-2</v>
      </c>
      <c r="H16" s="23">
        <v>4.4490000000000002E-2</v>
      </c>
      <c r="I16" s="23">
        <v>3.8233999999999997E-2</v>
      </c>
      <c r="J16" s="23"/>
      <c r="K16" s="23">
        <v>5.1249999999999997E-2</v>
      </c>
      <c r="L16" s="23">
        <v>5.8164999999999994E-2</v>
      </c>
      <c r="M16" s="23">
        <v>5.1077000000000004E-2</v>
      </c>
      <c r="N16" s="23"/>
      <c r="O16" s="23">
        <v>6.6750000000000004E-2</v>
      </c>
      <c r="P16" s="23">
        <v>6.8612000000000006E-2</v>
      </c>
      <c r="Q16" s="23">
        <v>6.9900000000000004E-2</v>
      </c>
      <c r="R16" s="23"/>
      <c r="S16" s="23">
        <f t="shared" si="2"/>
        <v>2.6600000000000006E-2</v>
      </c>
      <c r="T16" s="23">
        <f t="shared" si="0"/>
        <v>2.4122000000000005E-2</v>
      </c>
      <c r="U16" s="23">
        <f t="shared" si="1"/>
        <v>3.1666000000000007E-2</v>
      </c>
    </row>
    <row r="17" spans="1:21" x14ac:dyDescent="0.5">
      <c r="A17" s="22" t="s">
        <v>175</v>
      </c>
      <c r="B17" s="23">
        <v>9.336027311363404E-3</v>
      </c>
      <c r="C17" s="23">
        <v>1.935483870967758E-2</v>
      </c>
      <c r="D17" s="23">
        <v>1.9641539567942123E-2</v>
      </c>
      <c r="E17" s="23">
        <v>3.3715251690458414E-2</v>
      </c>
      <c r="F17" s="23"/>
      <c r="G17" s="23">
        <v>2.9510000000000002E-2</v>
      </c>
      <c r="H17" s="23">
        <v>3.0200000000000001E-2</v>
      </c>
      <c r="I17" s="23">
        <v>2.2123E-2</v>
      </c>
      <c r="J17" s="23"/>
      <c r="K17" s="23">
        <v>4.6460000000000001E-2</v>
      </c>
      <c r="L17" s="23">
        <v>5.0605999999999998E-2</v>
      </c>
      <c r="M17" s="23">
        <v>3.7663000000000002E-2</v>
      </c>
      <c r="N17" s="23"/>
      <c r="O17" s="23">
        <v>7.6429999999999998E-2</v>
      </c>
      <c r="P17" s="23">
        <v>6.9690000000000002E-2</v>
      </c>
      <c r="Q17" s="23">
        <v>7.9500000000000001E-2</v>
      </c>
      <c r="R17" s="23"/>
      <c r="S17" s="23">
        <f t="shared" si="2"/>
        <v>4.6919999999999996E-2</v>
      </c>
      <c r="T17" s="23">
        <f t="shared" si="0"/>
        <v>3.9489999999999997E-2</v>
      </c>
      <c r="U17" s="23">
        <f t="shared" si="1"/>
        <v>5.7376999999999997E-2</v>
      </c>
    </row>
    <row r="18" spans="1:21" x14ac:dyDescent="0.5">
      <c r="A18" s="22" t="s">
        <v>176</v>
      </c>
      <c r="B18" s="23">
        <v>-2.0188148046418997E-2</v>
      </c>
      <c r="C18" s="23">
        <v>1.5596330275229331E-2</v>
      </c>
      <c r="D18" s="23">
        <v>2.0058772109286416E-2</v>
      </c>
      <c r="E18" s="23">
        <v>1.284183296378405E-2</v>
      </c>
      <c r="F18" s="23"/>
      <c r="G18" s="23">
        <v>2.9940000000000001E-2</v>
      </c>
      <c r="H18" s="23">
        <v>3.1660000000000001E-2</v>
      </c>
      <c r="I18" s="23">
        <v>2.6629E-2</v>
      </c>
      <c r="J18" s="23"/>
      <c r="K18" s="23">
        <v>4.6269999999999999E-2</v>
      </c>
      <c r="L18" s="23">
        <v>4.3192000000000001E-2</v>
      </c>
      <c r="M18" s="23">
        <v>4.1369999999999997E-2</v>
      </c>
      <c r="N18" s="23"/>
      <c r="O18" s="23">
        <v>7.6069999999999999E-2</v>
      </c>
      <c r="P18" s="23">
        <v>6.4989999999999992E-2</v>
      </c>
      <c r="Q18" s="23">
        <v>8.3900000000000002E-2</v>
      </c>
      <c r="R18" s="23"/>
      <c r="S18" s="23">
        <f t="shared" si="2"/>
        <v>4.6129999999999997E-2</v>
      </c>
      <c r="T18" s="23">
        <f t="shared" si="0"/>
        <v>3.3329999999999992E-2</v>
      </c>
      <c r="U18" s="23">
        <f t="shared" si="1"/>
        <v>5.7271000000000002E-2</v>
      </c>
    </row>
    <row r="19" spans="1:21" x14ac:dyDescent="0.5">
      <c r="A19" s="22" t="s">
        <v>177</v>
      </c>
      <c r="B19" s="23">
        <v>-1.7441465897522823E-2</v>
      </c>
      <c r="C19" s="23">
        <v>1.3686131386861256E-2</v>
      </c>
      <c r="D19" s="23">
        <v>1.4962662743247312E-2</v>
      </c>
      <c r="E19" s="23">
        <v>8.5722186376624432E-3</v>
      </c>
      <c r="F19" s="23"/>
      <c r="G19" s="23">
        <v>3.3860000000000001E-2</v>
      </c>
      <c r="H19" s="23">
        <v>3.6900000000000002E-2</v>
      </c>
      <c r="I19" s="23">
        <v>3.5325999999999996E-2</v>
      </c>
      <c r="J19" s="23"/>
      <c r="K19" s="23">
        <v>4.7370000000000002E-2</v>
      </c>
      <c r="L19" s="23">
        <v>4.6359999999999998E-2</v>
      </c>
      <c r="M19" s="23">
        <v>4.5358999999999997E-2</v>
      </c>
      <c r="N19" s="23"/>
      <c r="O19" s="23">
        <v>6.9349999999999995E-2</v>
      </c>
      <c r="P19" s="23">
        <v>6.6230999999999998E-2</v>
      </c>
      <c r="Q19" s="23">
        <v>7.5499999999999998E-2</v>
      </c>
      <c r="R19" s="23"/>
      <c r="S19" s="23">
        <f t="shared" si="2"/>
        <v>3.5489999999999994E-2</v>
      </c>
      <c r="T19" s="23">
        <f t="shared" si="0"/>
        <v>2.9330999999999996E-2</v>
      </c>
      <c r="U19" s="23">
        <f t="shared" si="1"/>
        <v>4.0174000000000001E-2</v>
      </c>
    </row>
    <row r="20" spans="1:21" x14ac:dyDescent="0.5">
      <c r="A20" s="22" t="s">
        <v>178</v>
      </c>
      <c r="B20" s="23">
        <v>-1.2615980241639346E-2</v>
      </c>
      <c r="C20" s="23">
        <v>1.91256830601092E-2</v>
      </c>
      <c r="D20" s="23">
        <v>5.5966731396328573E-3</v>
      </c>
      <c r="E20" s="23">
        <v>1.8654659070023838E-2</v>
      </c>
      <c r="F20" s="23"/>
      <c r="G20" s="23">
        <v>3.2199999999999999E-2</v>
      </c>
      <c r="H20" s="23">
        <v>3.5920000000000001E-2</v>
      </c>
      <c r="I20" s="23">
        <v>3.3052999999999999E-2</v>
      </c>
      <c r="J20" s="23"/>
      <c r="K20" s="23">
        <v>4.1059999999999999E-2</v>
      </c>
      <c r="L20" s="23">
        <v>4.6664999999999998E-2</v>
      </c>
      <c r="M20" s="23">
        <v>3.9433999999999997E-2</v>
      </c>
      <c r="N20" s="23"/>
      <c r="O20" s="23">
        <v>5.7119999999999997E-2</v>
      </c>
      <c r="P20" s="23">
        <v>5.8925999999999999E-2</v>
      </c>
      <c r="Q20" s="23">
        <v>6.1600000000000002E-2</v>
      </c>
      <c r="R20" s="23"/>
      <c r="S20" s="23">
        <f t="shared" si="2"/>
        <v>2.4919999999999998E-2</v>
      </c>
      <c r="T20" s="23">
        <f t="shared" si="0"/>
        <v>2.3005999999999999E-2</v>
      </c>
      <c r="U20" s="23">
        <f t="shared" si="1"/>
        <v>2.8547000000000003E-2</v>
      </c>
    </row>
    <row r="21" spans="1:21" x14ac:dyDescent="0.5">
      <c r="A21" s="22" t="s">
        <v>179</v>
      </c>
      <c r="B21" s="23">
        <v>4.4039483675018865E-2</v>
      </c>
      <c r="C21" s="23">
        <v>1.1754068716093968E-2</v>
      </c>
      <c r="D21" s="23">
        <v>6.8424138057376904E-3</v>
      </c>
      <c r="E21" s="23">
        <v>1.3991096574906825E-2</v>
      </c>
      <c r="F21" s="23"/>
      <c r="G21" s="23">
        <v>3.3869999999999997E-2</v>
      </c>
      <c r="H21" s="23">
        <v>4.0149999999999998E-2</v>
      </c>
      <c r="I21" s="23">
        <v>3.8367999999999999E-2</v>
      </c>
      <c r="J21" s="23"/>
      <c r="K21" s="23">
        <v>4.1779999999999998E-2</v>
      </c>
      <c r="L21" s="23">
        <v>4.9617000000000001E-2</v>
      </c>
      <c r="M21" s="23">
        <v>4.5143000000000003E-2</v>
      </c>
      <c r="N21" s="23"/>
      <c r="O21" s="23">
        <v>5.4050000000000001E-2</v>
      </c>
      <c r="P21" s="23">
        <v>5.9660999999999999E-2</v>
      </c>
      <c r="Q21" s="23">
        <v>6.3600000000000004E-2</v>
      </c>
      <c r="R21" s="23"/>
      <c r="S21" s="23">
        <f t="shared" si="2"/>
        <v>2.0180000000000003E-2</v>
      </c>
      <c r="T21" s="23">
        <f t="shared" si="0"/>
        <v>1.9511000000000001E-2</v>
      </c>
      <c r="U21" s="23">
        <f t="shared" si="1"/>
        <v>2.5232000000000004E-2</v>
      </c>
    </row>
    <row r="22" spans="1:21" x14ac:dyDescent="0.5">
      <c r="A22" s="22" t="s">
        <v>180</v>
      </c>
      <c r="B22" s="23">
        <v>8.9074216833695541E-2</v>
      </c>
      <c r="C22" s="23">
        <v>1.4453477868112019E-2</v>
      </c>
      <c r="D22" s="23">
        <v>4.7679390287260759E-3</v>
      </c>
      <c r="E22" s="23">
        <v>3.5756635957310934E-2</v>
      </c>
      <c r="F22" s="23"/>
      <c r="G22" s="23">
        <v>3.092E-2</v>
      </c>
      <c r="H22" s="23">
        <v>3.9390000000000001E-2</v>
      </c>
      <c r="I22" s="23">
        <v>3.8256999999999999E-2</v>
      </c>
      <c r="J22" s="23"/>
      <c r="K22" s="23">
        <v>3.8280000000000002E-2</v>
      </c>
      <c r="L22" s="23">
        <v>4.7534E-2</v>
      </c>
      <c r="M22" s="23">
        <v>4.5876E-2</v>
      </c>
      <c r="N22" s="23"/>
      <c r="O22" s="23">
        <v>4.9690000000000005E-2</v>
      </c>
      <c r="P22" s="23">
        <v>5.5620000000000003E-2</v>
      </c>
      <c r="Q22" s="23">
        <v>5.9299999999999999E-2</v>
      </c>
      <c r="R22" s="23"/>
      <c r="S22" s="23">
        <f t="shared" si="2"/>
        <v>1.8770000000000005E-2</v>
      </c>
      <c r="T22" s="23">
        <f t="shared" si="0"/>
        <v>1.6230000000000001E-2</v>
      </c>
      <c r="U22" s="23">
        <f t="shared" si="1"/>
        <v>2.1042999999999999E-2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56"/>
  <sheetViews>
    <sheetView workbookViewId="0">
      <selection activeCell="A5" sqref="A5:A56"/>
    </sheetView>
  </sheetViews>
  <sheetFormatPr baseColWidth="10" defaultColWidth="9.15625" defaultRowHeight="14.1" x14ac:dyDescent="0.5"/>
  <cols>
    <col min="1" max="1" width="22" style="1" customWidth="1"/>
    <col min="2" max="16384" width="9.15625" style="1"/>
  </cols>
  <sheetData>
    <row r="1" spans="1:4" x14ac:dyDescent="0.5">
      <c r="A1" s="21" t="s">
        <v>59</v>
      </c>
    </row>
    <row r="2" spans="1:4" x14ac:dyDescent="0.5">
      <c r="A2" s="21"/>
    </row>
    <row r="3" spans="1:4" x14ac:dyDescent="0.5">
      <c r="A3" s="1" t="s">
        <v>73</v>
      </c>
    </row>
    <row r="4" spans="1:4" x14ac:dyDescent="0.5">
      <c r="B4" s="1" t="s">
        <v>55</v>
      </c>
      <c r="C4" s="1" t="s">
        <v>56</v>
      </c>
      <c r="D4" s="1" t="s">
        <v>57</v>
      </c>
    </row>
    <row r="5" spans="1:4" x14ac:dyDescent="0.5">
      <c r="A5" s="26" t="s">
        <v>163</v>
      </c>
      <c r="B5" s="1">
        <v>1.1860999999999999</v>
      </c>
      <c r="C5" s="1">
        <v>1.7458</v>
      </c>
      <c r="D5" s="24">
        <v>0.43842342934806439</v>
      </c>
    </row>
    <row r="6" spans="1:4" x14ac:dyDescent="0.5">
      <c r="A6" s="26" t="s">
        <v>181</v>
      </c>
      <c r="B6" s="1">
        <v>1.2125999999999999</v>
      </c>
      <c r="C6" s="1">
        <v>1.7685999999999999</v>
      </c>
      <c r="D6" s="24">
        <v>0.4411894467484338</v>
      </c>
    </row>
    <row r="7" spans="1:4" x14ac:dyDescent="0.5">
      <c r="A7" s="26" t="s">
        <v>182</v>
      </c>
      <c r="B7" s="1">
        <v>1.194</v>
      </c>
      <c r="C7" s="1">
        <v>1.748</v>
      </c>
      <c r="D7" s="24">
        <v>0.46324176587761151</v>
      </c>
    </row>
    <row r="8" spans="1:4" x14ac:dyDescent="0.5">
      <c r="A8" s="26" t="s">
        <v>164</v>
      </c>
      <c r="B8" s="1">
        <v>1.2028000000000001</v>
      </c>
      <c r="C8" s="1">
        <v>1.7442</v>
      </c>
      <c r="D8" s="24">
        <v>0.46451133407655149</v>
      </c>
    </row>
    <row r="9" spans="1:4" x14ac:dyDescent="0.5">
      <c r="A9" s="26" t="s">
        <v>183</v>
      </c>
      <c r="B9" s="1">
        <v>1.2273000000000001</v>
      </c>
      <c r="C9" s="1">
        <v>1.768</v>
      </c>
      <c r="D9" s="24">
        <v>0.46990273013486211</v>
      </c>
    </row>
    <row r="10" spans="1:4" x14ac:dyDescent="0.5">
      <c r="A10" s="26" t="s">
        <v>184</v>
      </c>
      <c r="B10" s="1">
        <v>1.2766999999999999</v>
      </c>
      <c r="C10" s="1">
        <v>1.8687</v>
      </c>
      <c r="D10" s="24">
        <v>0.46089321104300129</v>
      </c>
    </row>
    <row r="11" spans="1:4" x14ac:dyDescent="0.5">
      <c r="A11" s="26" t="s">
        <v>165</v>
      </c>
      <c r="B11" s="1">
        <v>1.2661</v>
      </c>
      <c r="C11" s="1">
        <v>1.8434999999999999</v>
      </c>
      <c r="D11" s="24">
        <v>0.44458275908060291</v>
      </c>
    </row>
    <row r="12" spans="1:4" x14ac:dyDescent="0.5">
      <c r="A12" s="26" t="s">
        <v>185</v>
      </c>
      <c r="B12" s="1">
        <v>1.2681</v>
      </c>
      <c r="C12" s="1">
        <v>1.8443000000000001</v>
      </c>
      <c r="D12" s="24">
        <v>0.45697573458849339</v>
      </c>
    </row>
    <row r="13" spans="1:4" x14ac:dyDescent="0.5">
      <c r="A13" s="26" t="s">
        <v>186</v>
      </c>
      <c r="B13" s="1">
        <v>1.2809999999999999</v>
      </c>
      <c r="C13" s="1">
        <v>1.8940999999999999</v>
      </c>
      <c r="D13" s="24">
        <v>0.46397253282605672</v>
      </c>
    </row>
    <row r="14" spans="1:4" x14ac:dyDescent="0.5">
      <c r="A14" s="26" t="s">
        <v>166</v>
      </c>
      <c r="B14" s="1">
        <v>1.2722</v>
      </c>
      <c r="C14" s="1">
        <v>1.8838999999999999</v>
      </c>
      <c r="D14" s="24">
        <v>0.46127588910927625</v>
      </c>
    </row>
    <row r="15" spans="1:4" x14ac:dyDescent="0.5">
      <c r="A15" s="26" t="s">
        <v>187</v>
      </c>
      <c r="B15" s="1">
        <v>1.2617</v>
      </c>
      <c r="C15" s="1">
        <v>1.8765000000000001</v>
      </c>
      <c r="D15" s="24">
        <v>0.46602665672476468</v>
      </c>
    </row>
    <row r="16" spans="1:4" x14ac:dyDescent="0.5">
      <c r="A16" s="26" t="s">
        <v>188</v>
      </c>
      <c r="B16" s="1">
        <v>1.2887999999999999</v>
      </c>
      <c r="C16" s="1">
        <v>1.9125000000000001</v>
      </c>
      <c r="D16" s="24">
        <v>0.46392948271862677</v>
      </c>
    </row>
    <row r="17" spans="1:4" x14ac:dyDescent="0.5">
      <c r="A17" s="26" t="s">
        <v>167</v>
      </c>
      <c r="B17" s="1">
        <v>1.3205</v>
      </c>
      <c r="C17" s="1">
        <v>1.9629000000000001</v>
      </c>
      <c r="D17" s="24">
        <v>0.46563605885639781</v>
      </c>
    </row>
    <row r="18" spans="1:4" x14ac:dyDescent="0.5">
      <c r="A18" s="26" t="s">
        <v>189</v>
      </c>
      <c r="B18" s="1">
        <v>1.2992999999999999</v>
      </c>
      <c r="C18" s="1">
        <v>1.9587000000000001</v>
      </c>
      <c r="D18" s="24">
        <v>0.46781437125748504</v>
      </c>
    </row>
    <row r="19" spans="1:4" x14ac:dyDescent="0.5">
      <c r="A19" s="26" t="s">
        <v>190</v>
      </c>
      <c r="B19" s="1">
        <v>1.3080000000000001</v>
      </c>
      <c r="C19" s="1">
        <v>1.9589000000000001</v>
      </c>
      <c r="D19" s="24">
        <v>0.47757772577486984</v>
      </c>
    </row>
    <row r="20" spans="1:4" x14ac:dyDescent="0.5">
      <c r="A20" s="26" t="s">
        <v>168</v>
      </c>
      <c r="B20" s="1">
        <v>1.3246</v>
      </c>
      <c r="C20" s="1">
        <v>1.9474</v>
      </c>
      <c r="D20" s="24">
        <v>0.47885840157065562</v>
      </c>
    </row>
    <row r="21" spans="1:4" x14ac:dyDescent="0.5">
      <c r="A21" s="26" t="s">
        <v>191</v>
      </c>
      <c r="B21" s="1">
        <v>1.3512999999999999</v>
      </c>
      <c r="C21" s="1">
        <v>1.9879</v>
      </c>
      <c r="D21" s="24">
        <v>0.49256230913210525</v>
      </c>
    </row>
    <row r="22" spans="1:4" x14ac:dyDescent="0.5">
      <c r="A22" s="26" t="s">
        <v>192</v>
      </c>
      <c r="B22" s="1">
        <v>1.3517999999999999</v>
      </c>
      <c r="C22" s="1">
        <v>1.9842</v>
      </c>
      <c r="D22" s="24">
        <v>0.50413389796329899</v>
      </c>
    </row>
    <row r="23" spans="1:4" x14ac:dyDescent="0.5">
      <c r="A23" s="26" t="s">
        <v>169</v>
      </c>
      <c r="B23" s="1">
        <v>1.3421000000000001</v>
      </c>
      <c r="C23" s="1">
        <v>1.9866999999999999</v>
      </c>
      <c r="D23" s="24">
        <v>0.5175179837499353</v>
      </c>
    </row>
    <row r="24" spans="1:4" x14ac:dyDescent="0.5">
      <c r="A24" s="26" t="s">
        <v>193</v>
      </c>
      <c r="B24" s="1">
        <v>1.3726</v>
      </c>
      <c r="C24" s="1">
        <v>2.0354999999999999</v>
      </c>
      <c r="D24" s="24">
        <v>0.53157559004890498</v>
      </c>
    </row>
    <row r="25" spans="1:4" x14ac:dyDescent="0.5">
      <c r="A25" s="26" t="s">
        <v>194</v>
      </c>
      <c r="B25" s="1">
        <v>1.3626</v>
      </c>
      <c r="C25" s="1">
        <v>2.0110000000000001</v>
      </c>
      <c r="D25" s="24">
        <v>0.509683995922528</v>
      </c>
    </row>
    <row r="26" spans="1:4" x14ac:dyDescent="0.5">
      <c r="A26" s="26" t="s">
        <v>170</v>
      </c>
      <c r="B26" s="1">
        <v>1.391</v>
      </c>
      <c r="C26" s="1">
        <v>2.0184000000000002</v>
      </c>
      <c r="D26" s="24">
        <v>0.52567944067707506</v>
      </c>
    </row>
    <row r="27" spans="1:4" x14ac:dyDescent="0.5">
      <c r="A27" s="26" t="s">
        <v>195</v>
      </c>
      <c r="B27" s="1">
        <v>1.4233</v>
      </c>
      <c r="C27" s="1">
        <v>2.0449000000000002</v>
      </c>
      <c r="D27" s="24">
        <v>0.55595708011341527</v>
      </c>
    </row>
    <row r="28" spans="1:4" x14ac:dyDescent="0.5">
      <c r="A28" s="26" t="s">
        <v>196</v>
      </c>
      <c r="B28" s="1">
        <v>1.4682999999999999</v>
      </c>
      <c r="C28" s="1">
        <v>2.0701000000000001</v>
      </c>
      <c r="D28" s="24">
        <v>0.56596298602071426</v>
      </c>
    </row>
    <row r="29" spans="1:4" x14ac:dyDescent="0.5">
      <c r="A29" s="26" t="s">
        <v>171</v>
      </c>
      <c r="B29" s="1">
        <v>1.4559</v>
      </c>
      <c r="C29" s="1">
        <v>2.0160999999999998</v>
      </c>
      <c r="D29" s="24">
        <v>0.5601613264620211</v>
      </c>
    </row>
    <row r="30" spans="1:4" x14ac:dyDescent="0.5">
      <c r="A30" s="26" t="s">
        <v>197</v>
      </c>
      <c r="B30" s="1">
        <v>1.4728000000000001</v>
      </c>
      <c r="C30" s="1">
        <v>1.9702</v>
      </c>
      <c r="D30" s="24">
        <v>0.56465273856578202</v>
      </c>
    </row>
    <row r="31" spans="1:4" x14ac:dyDescent="0.5">
      <c r="A31" s="26" t="s">
        <v>198</v>
      </c>
      <c r="B31" s="1">
        <v>1.4759</v>
      </c>
      <c r="C31" s="1">
        <v>1.9645999999999999</v>
      </c>
      <c r="D31" s="24">
        <v>0.578368999421631</v>
      </c>
    </row>
    <row r="32" spans="1:4" x14ac:dyDescent="0.5">
      <c r="A32" s="26" t="s">
        <v>172</v>
      </c>
      <c r="B32" s="1">
        <v>1.552</v>
      </c>
      <c r="C32" s="1">
        <v>2.0015000000000001</v>
      </c>
      <c r="D32" s="24">
        <v>0.58513750731421876</v>
      </c>
    </row>
    <row r="33" spans="1:4" x14ac:dyDescent="0.5">
      <c r="A33" s="26" t="s">
        <v>199</v>
      </c>
      <c r="B33" s="1">
        <v>1.5753999999999999</v>
      </c>
      <c r="C33" s="1">
        <v>1.9816</v>
      </c>
      <c r="D33" s="24">
        <v>0.59301429164442865</v>
      </c>
    </row>
    <row r="34" spans="1:4" x14ac:dyDescent="0.5">
      <c r="A34" s="26" t="s">
        <v>200</v>
      </c>
      <c r="B34" s="1">
        <v>1.5553999999999999</v>
      </c>
      <c r="C34" s="1">
        <v>1.9650000000000001</v>
      </c>
      <c r="D34" s="24">
        <v>0.60295447693699122</v>
      </c>
    </row>
    <row r="35" spans="1:4" x14ac:dyDescent="0.5">
      <c r="A35" s="26" t="s">
        <v>173</v>
      </c>
      <c r="B35" s="1">
        <v>1.5562</v>
      </c>
      <c r="C35" s="1">
        <v>1.9663999999999999</v>
      </c>
      <c r="D35" s="24">
        <v>0.61808517213672043</v>
      </c>
    </row>
    <row r="36" spans="1:4" x14ac:dyDescent="0.5">
      <c r="A36" s="26" t="s">
        <v>201</v>
      </c>
      <c r="B36" s="1">
        <v>1.5759000000000001</v>
      </c>
      <c r="C36" s="1">
        <v>1.9887999999999999</v>
      </c>
      <c r="D36" s="24">
        <v>0.62893081761006286</v>
      </c>
    </row>
    <row r="37" spans="1:4" x14ac:dyDescent="0.5">
      <c r="A37" s="26" t="s">
        <v>202</v>
      </c>
      <c r="B37" s="1">
        <v>1.4955000000000001</v>
      </c>
      <c r="C37" s="1">
        <v>1.8865000000000001</v>
      </c>
      <c r="D37" s="24">
        <v>0.62007812984436039</v>
      </c>
    </row>
    <row r="38" spans="1:4" x14ac:dyDescent="0.5">
      <c r="A38" s="26" t="s">
        <v>174</v>
      </c>
      <c r="B38" s="1">
        <v>1.4341999999999999</v>
      </c>
      <c r="C38" s="1">
        <v>1.7972999999999999</v>
      </c>
      <c r="D38" s="24">
        <v>0.55460041040430375</v>
      </c>
    </row>
    <row r="39" spans="1:4" x14ac:dyDescent="0.5">
      <c r="A39" s="26" t="s">
        <v>203</v>
      </c>
      <c r="B39" s="1">
        <v>1.3266</v>
      </c>
      <c r="C39" s="1">
        <v>1.6861999999999999</v>
      </c>
      <c r="D39" s="24">
        <v>0.4585052728106373</v>
      </c>
    </row>
    <row r="40" spans="1:4" x14ac:dyDescent="0.5">
      <c r="A40" s="26" t="s">
        <v>204</v>
      </c>
      <c r="B40" s="1">
        <v>1.2744</v>
      </c>
      <c r="C40" s="1">
        <v>1.5327</v>
      </c>
      <c r="D40" s="24">
        <v>0.44045102184637069</v>
      </c>
    </row>
    <row r="41" spans="1:4" x14ac:dyDescent="0.5">
      <c r="A41" s="26" t="s">
        <v>175</v>
      </c>
      <c r="B41" s="1">
        <v>1.3511</v>
      </c>
      <c r="C41" s="1">
        <v>1.4854000000000001</v>
      </c>
      <c r="D41" s="24">
        <v>0.41746681138849462</v>
      </c>
    </row>
    <row r="42" spans="1:4" x14ac:dyDescent="0.5">
      <c r="A42" s="26" t="s">
        <v>205</v>
      </c>
      <c r="B42" s="1">
        <v>1.3244</v>
      </c>
      <c r="C42" s="1">
        <v>1.4461999999999999</v>
      </c>
      <c r="D42" s="24">
        <v>0.43329433684301744</v>
      </c>
    </row>
    <row r="43" spans="1:4" x14ac:dyDescent="0.5">
      <c r="A43" s="26" t="s">
        <v>206</v>
      </c>
      <c r="B43" s="1">
        <v>1.2797000000000001</v>
      </c>
      <c r="C43" s="1">
        <v>1.4421999999999999</v>
      </c>
      <c r="D43" s="24">
        <v>0.43047783039173482</v>
      </c>
    </row>
    <row r="44" spans="1:4" x14ac:dyDescent="0.5">
      <c r="A44" s="26" t="s">
        <v>176</v>
      </c>
      <c r="B44" s="1">
        <v>1.3049999999999999</v>
      </c>
      <c r="C44" s="1">
        <v>1.417</v>
      </c>
      <c r="D44" s="24">
        <v>0.43176028668883037</v>
      </c>
    </row>
    <row r="45" spans="1:4" x14ac:dyDescent="0.5">
      <c r="A45" s="26" t="s">
        <v>207</v>
      </c>
      <c r="B45" s="1">
        <v>1.3199000000000001</v>
      </c>
      <c r="C45" s="1">
        <v>1.4712000000000001</v>
      </c>
      <c r="D45" s="24">
        <v>0.45398828710219274</v>
      </c>
    </row>
    <row r="46" spans="1:4" x14ac:dyDescent="0.5">
      <c r="A46" s="26" t="s">
        <v>208</v>
      </c>
      <c r="B46" s="1">
        <v>1.3646</v>
      </c>
      <c r="C46" s="1">
        <v>1.5418000000000001</v>
      </c>
      <c r="D46" s="24">
        <v>0.48334863937358014</v>
      </c>
    </row>
    <row r="47" spans="1:4" x14ac:dyDescent="0.5">
      <c r="A47" s="26" t="s">
        <v>177</v>
      </c>
      <c r="B47" s="1">
        <v>1.4014</v>
      </c>
      <c r="C47" s="1">
        <v>1.6369</v>
      </c>
      <c r="D47" s="24">
        <v>0.51056877361380582</v>
      </c>
    </row>
    <row r="48" spans="1:4" x14ac:dyDescent="0.5">
      <c r="A48" s="26" t="s">
        <v>209</v>
      </c>
      <c r="B48" s="1">
        <v>1.4092</v>
      </c>
      <c r="C48" s="1">
        <v>1.6377999999999999</v>
      </c>
      <c r="D48" s="24">
        <v>0.51738410596026485</v>
      </c>
    </row>
    <row r="49" spans="1:4" x14ac:dyDescent="0.5">
      <c r="A49" s="26" t="s">
        <v>210</v>
      </c>
      <c r="B49" s="1">
        <v>1.4266000000000001</v>
      </c>
      <c r="C49" s="1">
        <v>1.6532</v>
      </c>
      <c r="D49" s="24">
        <v>0.54191730341949818</v>
      </c>
    </row>
    <row r="50" spans="1:4" x14ac:dyDescent="0.5">
      <c r="A50" s="26" t="s">
        <v>178</v>
      </c>
      <c r="B50" s="1">
        <v>1.4575</v>
      </c>
      <c r="C50" s="1">
        <v>1.6323000000000001</v>
      </c>
      <c r="D50" s="24">
        <v>0.54984329466102166</v>
      </c>
    </row>
    <row r="51" spans="1:4" x14ac:dyDescent="0.5">
      <c r="A51" s="26" t="s">
        <v>211</v>
      </c>
      <c r="B51" s="1">
        <v>1.4821</v>
      </c>
      <c r="C51" s="1">
        <v>1.6212</v>
      </c>
      <c r="D51" s="24">
        <v>0.57544021176199789</v>
      </c>
    </row>
    <row r="52" spans="1:4" x14ac:dyDescent="0.5">
      <c r="A52" s="26" t="s">
        <v>212</v>
      </c>
      <c r="B52" s="1">
        <v>1.4907999999999999</v>
      </c>
      <c r="C52" s="1">
        <v>1.6598999999999999</v>
      </c>
      <c r="D52" s="24">
        <v>0.57910586055130886</v>
      </c>
    </row>
    <row r="53" spans="1:4" x14ac:dyDescent="0.5">
      <c r="A53" s="26" t="s">
        <v>179</v>
      </c>
      <c r="B53" s="1">
        <v>1.4579</v>
      </c>
      <c r="C53" s="1">
        <v>1.6226</v>
      </c>
      <c r="D53" s="24">
        <v>0.57116746630111948</v>
      </c>
    </row>
    <row r="54" spans="1:4" x14ac:dyDescent="0.5">
      <c r="A54" s="26" t="s">
        <v>213</v>
      </c>
      <c r="B54" s="1">
        <v>1.4266000000000001</v>
      </c>
      <c r="C54" s="1">
        <v>1.6157999999999999</v>
      </c>
      <c r="D54" s="24">
        <v>0.56126171633832855</v>
      </c>
    </row>
    <row r="55" spans="1:4" x14ac:dyDescent="0.5">
      <c r="A55" s="26" t="s">
        <v>214</v>
      </c>
      <c r="B55" s="1">
        <v>1.3680000000000001</v>
      </c>
      <c r="C55" s="1">
        <v>1.5618000000000001</v>
      </c>
      <c r="D55" s="24">
        <v>0.54288816503800219</v>
      </c>
    </row>
    <row r="56" spans="1:4" x14ac:dyDescent="0.5">
      <c r="A56" s="26" t="s">
        <v>180</v>
      </c>
      <c r="B56" s="1">
        <v>1.357</v>
      </c>
      <c r="C56" s="1">
        <v>1.5058</v>
      </c>
      <c r="D56" s="24">
        <v>0.56006720806496779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baseColWidth="10" defaultColWidth="8.83984375"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Document_x0020_Type xmlns="ec868678-deb6-48cf-896b-119bf5e2249b">Supplemental File</Document_x0020_Type>
    <Faculty_x0020_Sponsor_x002a_ xmlns="ec868678-deb6-48cf-896b-119bf5e2249b">
      <UserInfo>
        <DisplayName>Lipson, Marc</DisplayName>
        <AccountId>124</AccountId>
        <AccountType/>
      </UserInfo>
    </Faculty_x0020_Sponsor_x002a_>
    <Subject_x0020_Area xmlns="ec868678-deb6-48cf-896b-119bf5e2249b">Finance</Subject_x0020_Area>
    <Approver_x002a_ xmlns="ec868678-deb6-48cf-896b-119bf5e2249b">
      <UserInfo>
        <DisplayName>Lipson, Marc</DisplayName>
        <AccountId>124</AccountId>
        <AccountType/>
      </UserInfo>
    </Approver_x002a_>
    <Dashboard_x002a_ xmlns="ec868678-deb6-48cf-896b-119bf5e2249b">
      <Url>http://cm3.darden.virginia.edu/CMO/WorkflowDashboard.aspx?wf=3308</Url>
      <Description>Workflow Dashboard</Description>
    </Dashboard_x002a_>
    <Metadata_x0020_Form_x0020_URL_x002a_ xmlns="ec868678-deb6-48cf-896b-119bf5e2249b">
      <Url>http://cm3.darden.virginia.edu/CMO/Editing%20Metadata/DispFormMeta.aspx?ID=3933</Url>
      <Description>View Document Metadata</Description>
    </Metadata_x0020_Form_x0020_URL_x002a_>
    <DBP_x0020_Editor_x002a_ xmlns="ec868678-deb6-48cf-896b-119bf5e2249b">
      <UserInfo>
        <DisplayName>O'Brien, Mary (Debbie)</DisplayName>
        <AccountId>17</AccountId>
        <AccountType/>
      </UserInfo>
    </DBP_x0020_Editor_x002a_>
    <Metadata_x0020_Link_x0020_ID xmlns="ec868678-deb6-48cf-896b-119bf5e2249b">{DA9A5BD7-58F9-43D8-A642-AD8F7F915614}</Metadata_x0020_Link_x0020_ID>
    <SWAT xmlns="ec868678-deb6-48cf-896b-119bf5e2249b">true</SWAT>
    <_Status xmlns="http://schemas.microsoft.com/sharepoint/v3/fields" xsi:nil="true"/>
    <Edit_x0020_Type xmlns="ec868678-deb6-48cf-896b-119bf5e2249b">SWAT/Truncated</Edit_x0020_Type>
    <Admin_x0020_Assistant xmlns="ec868678-deb6-48cf-896b-119bf5e2249b">
      <UserInfo>
        <DisplayName>Spradlin, Karen</DisplayName>
        <AccountId>242</AccountId>
        <AccountType/>
      </UserInfo>
    </Admin_x0020_Assistant>
    <Editing_x0020_Status xmlns="ec868678-deb6-48cf-896b-119bf5e2249b">Metadata Review Complete</Editing_x0020_Status>
    <_x0032_nd_x0020_Editor_x002a_ xmlns="ec868678-deb6-48cf-896b-119bf5e2249b">
      <UserInfo>
        <DisplayName/>
        <AccountId xsi:nil="true"/>
        <AccountType/>
      </UserInfo>
    </_x0032_nd_x0020_Editor_x002a_>
    <New_x0020_or_x0020_Revision_x003f_ xmlns="ec868678-deb6-48cf-896b-119bf5e2249b">Revision</New_x0020_or_x0020_Revision_x003f_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A7093D962BB241994BF196712ACDBF" ma:contentTypeVersion="121" ma:contentTypeDescription="Create a new document." ma:contentTypeScope="" ma:versionID="a784e39e569aeb71f4b3654f55866e1a">
  <xsd:schema xmlns:xsd="http://www.w3.org/2001/XMLSchema" xmlns:p="http://schemas.microsoft.com/office/2006/metadata/properties" xmlns:ns2="ec868678-deb6-48cf-896b-119bf5e2249b" xmlns:ns3="http://schemas.microsoft.com/sharepoint/v3/fields" targetNamespace="http://schemas.microsoft.com/office/2006/metadata/properties" ma:root="true" ma:fieldsID="dcc2f29ff0ae77f198204ce3131c08b2" ns2:_="" ns3:_="">
    <xsd:import namespace="ec868678-deb6-48cf-896b-119bf5e2249b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Document_x0020_Type" minOccurs="0"/>
                <xsd:element ref="ns2:Subject_x0020_Area"/>
                <xsd:element ref="ns2:New_x0020_or_x0020_Revision_x003f_"/>
                <xsd:element ref="ns2:Faculty_x0020_Sponsor_x002a_"/>
                <xsd:element ref="ns2:Approver_x002a_"/>
                <xsd:element ref="ns2:Dashboard_x002a_" minOccurs="0"/>
                <xsd:element ref="ns2:DBP_x0020_Editor_x002a_" minOccurs="0"/>
                <xsd:element ref="ns2:Metadata_x0020_Link_x0020_ID" minOccurs="0"/>
                <xsd:element ref="ns2:Metadata_x0020_Form_x0020_URL_x002a_" minOccurs="0"/>
                <xsd:element ref="ns2:SWAT" minOccurs="0"/>
                <xsd:element ref="ns2:Edit_x0020_Type" minOccurs="0"/>
                <xsd:element ref="ns2:Editing_x0020_Status" minOccurs="0"/>
                <xsd:element ref="ns2:_x0032_nd_x0020_Editor_x002a_" minOccurs="0"/>
                <xsd:element ref="ns2:Admin_x0020_Assistant" minOccurs="0"/>
                <xsd:element ref="ns3:_Statu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ec868678-deb6-48cf-896b-119bf5e2249b" elementFormDefault="qualified">
    <xsd:import namespace="http://schemas.microsoft.com/office/2006/documentManagement/types"/>
    <xsd:element name="Document_x0020_Type" ma:index="2" nillable="true" ma:displayName="Product Type" ma:format="Dropdown" ma:internalName="Document_x0020_Type">
      <xsd:simpleType>
        <xsd:restriction base="dms:Choice">
          <xsd:enumeration value="Case"/>
          <xsd:enumeration value="Teaching Note"/>
          <xsd:enumeration value="Technical Note"/>
          <xsd:enumeration value="Supplemental File"/>
          <xsd:enumeration value="Working Paper"/>
          <xsd:enumeration value="Multimedia Case"/>
          <xsd:enumeration value="Simulation"/>
          <xsd:enumeration value="Video"/>
          <xsd:enumeration value="MOD"/>
          <xsd:enumeration value="Audio"/>
          <xsd:enumeration value="Book"/>
          <xsd:enumeration value="Syllabus"/>
          <xsd:enumeration value="Exercise"/>
          <xsd:enumeration value="Forio Simulation"/>
        </xsd:restriction>
      </xsd:simpleType>
    </xsd:element>
    <xsd:element name="Subject_x0020_Area" ma:index="3" ma:displayName="Subject Area" ma:format="Dropdown" ma:internalName="Subject_x0020_Area" ma:readOnly="false">
      <xsd:simpleType>
        <xsd:restriction base="dms:Choice">
          <xsd:enumeration value="Accounting and Control"/>
          <xsd:enumeration value="Business Communications"/>
          <xsd:enumeration value="Business Policy"/>
          <xsd:enumeration value="Computer-Information Technology"/>
          <xsd:enumeration value="Entrepreneurship and Innovation"/>
          <xsd:enumeration value="Ethics"/>
          <xsd:enumeration value="Finance"/>
          <xsd:enumeration value="General"/>
          <xsd:enumeration value="Global Economies and Markets"/>
          <xsd:enumeration value="Marketing"/>
          <xsd:enumeration value="Nonprofit Organizations"/>
          <xsd:enumeration value="Operations Management"/>
          <xsd:enumeration value="Organizational Behavior and Human Resources"/>
          <xsd:enumeration value="Pedagogy and Higher Administration"/>
          <xsd:enumeration value="Personal Assessment and Career Strategy"/>
          <xsd:enumeration value="Quantitative Analysis"/>
          <xsd:enumeration value="Strategy"/>
        </xsd:restriction>
      </xsd:simpleType>
    </xsd:element>
    <xsd:element name="New_x0020_or_x0020_Revision_x003f_" ma:index="4" ma:displayName="New or Revision?" ma:format="RadioButtons" ma:internalName="New_x0020_or_x0020_Revision_x003F_" ma:readOnly="false">
      <xsd:simpleType>
        <xsd:restriction base="dms:Choice">
          <xsd:enumeration value="New"/>
          <xsd:enumeration value="Revision"/>
        </xsd:restriction>
      </xsd:simpleType>
    </xsd:element>
    <xsd:element name="Faculty_x0020_Sponsor_x002a_" ma:index="5" ma:displayName="Faculty Sponsor" ma:list="UserInfo" ma:internalName="Faculty_x0020_Sponsor_x002A_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pprover_x002a_" ma:index="6" ma:displayName="Approver" ma:list="UserInfo" ma:internalName="Approver_x002A_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ashboard_x002a_" ma:index="7" nillable="true" ma:displayName="Dashboard" ma:format="Hyperlink" ma:internalName="Dashboard_x002A_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DBP_x0020_Editor_x002a_" ma:index="8" nillable="true" ma:displayName="DBP Editor" ma:list="UserInfo" ma:internalName="DBP_x0020_Editor_x002A_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tadata_x0020_Link_x0020_ID" ma:index="9" nillable="true" ma:displayName="File Identification Number" ma:internalName="Metadata_x0020_Link_x0020_ID">
      <xsd:simpleType>
        <xsd:restriction base="dms:Text">
          <xsd:maxLength value="255"/>
        </xsd:restriction>
      </xsd:simpleType>
    </xsd:element>
    <xsd:element name="Metadata_x0020_Form_x0020_URL_x002a_" ma:index="10" nillable="true" ma:displayName="Metadata Form URL" ma:format="Hyperlink" ma:internalName="Metadata_x0020_Form_x0020_URL_x002A_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WAT" ma:index="11" nillable="true" ma:displayName="SWAT" ma:default="0" ma:internalName="SWAT">
      <xsd:simpleType>
        <xsd:restriction base="dms:Boolean"/>
      </xsd:simpleType>
    </xsd:element>
    <xsd:element name="Edit_x0020_Type" ma:index="13" nillable="true" ma:displayName="Edit Type" ma:format="Dropdown" ma:internalName="Edit_x0020_Type" ma:readOnly="false">
      <xsd:simpleType>
        <xsd:restriction base="dms:Choice">
          <xsd:enumeration value="New Editing"/>
          <xsd:enumeration value="Revised Editing"/>
          <xsd:enumeration value="SWAT/Truncated"/>
        </xsd:restriction>
      </xsd:simpleType>
    </xsd:element>
    <xsd:element name="Editing_x0020_Status" ma:index="14" nillable="true" ma:displayName="Editing Status" ma:format="Dropdown" ma:internalName="Editing_x0020_Status">
      <xsd:simpleType>
        <xsd:restriction base="dms:Choice">
          <xsd:enumeration value="Not Started"/>
          <xsd:enumeration value="First Read"/>
          <xsd:enumeration value="First Read Complete"/>
          <xsd:enumeration value="Second Read"/>
          <xsd:enumeration value="Second Read Complete"/>
          <xsd:enumeration value="Editor Review"/>
          <xsd:enumeration value="Author Review"/>
          <xsd:enumeration value="Link Sent"/>
          <xsd:enumeration value="Final Editor Review"/>
          <xsd:enumeration value="Waiting Approval"/>
          <xsd:enumeration value="Metadata Review"/>
          <xsd:enumeration value="Metadata Review Complete"/>
          <xsd:enumeration value="Editing Complete"/>
          <xsd:enumeration value="Rejected Restart Editing"/>
          <xsd:enumeration value="Truncated WF Edit"/>
        </xsd:restriction>
      </xsd:simpleType>
    </xsd:element>
    <xsd:element name="_x0032_nd_x0020_Editor_x002a_" ma:index="16" nillable="true" ma:displayName="2nd Editor" ma:description="" ma:list="UserInfo" ma:internalName="_x0032_nd_x0020_Editor_x002A_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dmin_x0020_Assistant" ma:index="17" nillable="true" ma:displayName="Admin Assistant" ma:list="UserInfo" ma:internalName="Admin_x0020_Assistant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dms="http://schemas.microsoft.com/office/2006/documentManagement/types" targetNamespace="http://schemas.microsoft.com/sharepoint/v3/fields" elementFormDefault="qualified">
    <xsd:import namespace="http://schemas.microsoft.com/office/2006/documentManagement/types"/>
    <xsd:element name="_Status" ma:index="20" nillable="true" ma:displayName="Status" ma:format="Dropdown" ma:internalName="_Status">
      <xsd:simpleType>
        <xsd:restriction base="dms:Choice">
          <xsd:enumeration value="New Upload"/>
          <xsd:enumeration value="Revised Upload"/>
          <xsd:enumeration value="SWAT Upload"/>
          <xsd:enumeration value="Ready For Edit"/>
          <xsd:enumeration value="Starting"/>
          <xsd:enumeration value="In Editing"/>
          <xsd:enumeration value="On Hold"/>
          <xsd:enumeration value="Pending Approval"/>
          <xsd:enumeration value="Approved"/>
          <xsd:enumeration value="Rejected"/>
          <xsd:enumeration value="Final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6F45E8C4-AC2B-4B52-A4C0-AF51D646A9F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BD66C5C-366B-4FF5-BDCF-1074112EB500}">
  <ds:schemaRefs>
    <ds:schemaRef ds:uri="http://purl.org/dc/elements/1.1/"/>
    <ds:schemaRef ds:uri="http://www.w3.org/XML/1998/namespace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ec868678-deb6-48cf-896b-119bf5e2249b"/>
    <ds:schemaRef ds:uri="http://schemas.microsoft.com/sharepoint/v3/fields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B69DF431-8631-4EF3-ADD1-9140935BBF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868678-deb6-48cf-896b-119bf5e2249b"/>
    <ds:schemaRef ds:uri="http://schemas.microsoft.com/sharepoint/v3/field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14</vt:i4>
      </vt:variant>
      <vt:variant>
        <vt:lpstr>Gráficos</vt:lpstr>
      </vt:variant>
      <vt:variant>
        <vt:i4>4</vt:i4>
      </vt:variant>
    </vt:vector>
  </HeadingPairs>
  <TitlesOfParts>
    <vt:vector size="18" baseType="lpstr">
      <vt:lpstr>Credit Spreads</vt:lpstr>
      <vt:lpstr>Costo Bonos</vt:lpstr>
      <vt:lpstr>Comps</vt:lpstr>
      <vt:lpstr>Exhibit 7 (Modelo)</vt:lpstr>
      <vt:lpstr>Uses - Sources</vt:lpstr>
      <vt:lpstr>Exhibit 1</vt:lpstr>
      <vt:lpstr>Exhibit 2</vt:lpstr>
      <vt:lpstr>Exhibit 3</vt:lpstr>
      <vt:lpstr>Exhibit 4</vt:lpstr>
      <vt:lpstr>Exhibit 5</vt:lpstr>
      <vt:lpstr>Exhibit 6 (PP&amp;E)</vt:lpstr>
      <vt:lpstr>Quarterly Data</vt:lpstr>
      <vt:lpstr>Monthly Data</vt:lpstr>
      <vt:lpstr>Sheet1</vt:lpstr>
      <vt:lpstr>Figure 1</vt:lpstr>
      <vt:lpstr>Figure 2</vt:lpstr>
      <vt:lpstr>Figure 3</vt:lpstr>
      <vt:lpstr>Figure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Vale SA (SPREADSHEET)</dc:title>
  <dc:creator/>
  <cp:lastModifiedBy/>
  <dcterms:created xsi:type="dcterms:W3CDTF">2006-09-16T00:00:00Z</dcterms:created>
  <dcterms:modified xsi:type="dcterms:W3CDTF">2020-07-21T21:56:38Z</dcterms:modified>
  <cp:contentStatus>In Editing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0x01010058A7093D962BB241994BF196712ACDBF</vt:lpwstr>
  </property>
  <property fmtid="{D5CDD505-2E9C-101B-9397-08002B2CF9AE}" pid="3" name="NeededFor">
    <vt:lpwstr>No</vt:lpwstr>
  </property>
  <property fmtid="{D5CDD505-2E9C-101B-9397-08002B2CF9AE}" pid="4" name="BSR">
    <vt:lpwstr>No</vt:lpwstr>
  </property>
  <property fmtid="{D5CDD505-2E9C-101B-9397-08002B2CF9AE}" pid="5" name="Fictional/Disguised">
    <vt:lpwstr>No</vt:lpwstr>
  </property>
  <property fmtid="{D5CDD505-2E9C-101B-9397-08002B2CF9AE}" pid="6" name="Sources">
    <vt:lpwstr>No</vt:lpwstr>
  </property>
  <property fmtid="{D5CDD505-2E9C-101B-9397-08002B2CF9AE}" pid="7" name="Notes0">
    <vt:lpwstr>Make sure to replace "USD" with "U.S. dollars" where needed</vt:lpwstr>
  </property>
  <property fmtid="{D5CDD505-2E9C-101B-9397-08002B2CF9AE}" pid="8" name="AuthorReviewDate">
    <vt:lpwstr>2013-09-12T04:00:00+00:00</vt:lpwstr>
  </property>
  <property fmtid="{D5CDD505-2E9C-101B-9397-08002B2CF9AE}" pid="9" name="EmailTo">
    <vt:lpwstr>newcase@moss4.darden.virginia.edu &amp;lt;newcase@moss4.darden.virginia.edu&amp;gt;</vt:lpwstr>
  </property>
  <property fmtid="{D5CDD505-2E9C-101B-9397-08002B2CF9AE}" pid="10" name="Perm_Release">
    <vt:lpwstr>No</vt:lpwstr>
  </property>
  <property fmtid="{D5CDD505-2E9C-101B-9397-08002B2CF9AE}" pid="11" name="Pages0">
    <vt:lpwstr>11</vt:lpwstr>
  </property>
  <property fmtid="{D5CDD505-2E9C-101B-9397-08002B2CF9AE}" pid="12" name="EmailSender">
    <vt:lpwstr>&lt;a href="mailto:woodse@darden.virginia.edu"&gt;woodse@darden.virginia.edu&lt;/a&gt;</vt:lpwstr>
  </property>
  <property fmtid="{D5CDD505-2E9C-101B-9397-08002B2CF9AE}" pid="13" name="EmailSubject">
    <vt:lpwstr>FW: Vale</vt:lpwstr>
  </property>
  <property fmtid="{D5CDD505-2E9C-101B-9397-08002B2CF9AE}" pid="14" name="EmailFrom">
    <vt:lpwstr>Woods, Elizabeth (Beth) &lt;woodse@darden.virginia.edu&gt;</vt:lpwstr>
  </property>
  <property fmtid="{D5CDD505-2E9C-101B-9397-08002B2CF9AE}" pid="15" name="Editor0">
    <vt:lpwstr>O'Brien, Mary (Debbie)17</vt:lpwstr>
  </property>
  <property fmtid="{D5CDD505-2E9C-101B-9397-08002B2CF9AE}" pid="16" name="ServiceLevel">
    <vt:lpwstr>External</vt:lpwstr>
  </property>
  <property fmtid="{D5CDD505-2E9C-101B-9397-08002B2CF9AE}" pid="17" name="WorkflowCreationPath">
    <vt:lpwstr>486cb3c1-c433-404d-83d7-2c91a01b85f5,4;486cb3c1-c433-404d-83d7-2c91a01b85f5,4;486cb3c1-c433-404d-83d7-2c91a01b85f5,4;486cb3c1-c433-404d-83d7-2c91a01b85f5,4;486cb3c1-c433-404d-83d7-2c91a01b85f5,4;486cb3c1-c433-404d-83d7-2c91a01b85f5,4;486cb3c1-c433-404d-83</vt:lpwstr>
  </property>
  <property fmtid="{D5CDD505-2E9C-101B-9397-08002B2CF9AE}" pid="18" name="SWAT">
    <vt:lpwstr>false</vt:lpwstr>
  </property>
  <property fmtid="{D5CDD505-2E9C-101B-9397-08002B2CF9AE}" pid="19" name="Admin Assistant">
    <vt:lpwstr>Spradlin, Karen242</vt:lpwstr>
  </property>
  <property fmtid="{D5CDD505-2E9C-101B-9397-08002B2CF9AE}" pid="20" name="Edit Type">
    <vt:lpwstr>New Editing</vt:lpwstr>
  </property>
  <property fmtid="{D5CDD505-2E9C-101B-9397-08002B2CF9AE}" pid="21" name="2nd Editor*">
    <vt:lpwstr>O'Brien, Mary (Debbie)17</vt:lpwstr>
  </property>
  <property fmtid="{D5CDD505-2E9C-101B-9397-08002B2CF9AE}" pid="22" name="Editing Status">
    <vt:lpwstr>Editing Complete</vt:lpwstr>
  </property>
</Properties>
</file>