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0-AV\UTDT\MFIN\2022 MFIN\Curso FC\FC - TRADICIONAL\7-Loans-Project Finance\Clase\"/>
    </mc:Choice>
  </mc:AlternateContent>
  <xr:revisionPtr revIDLastSave="0" documentId="13_ncr:1_{E0F27773-0107-4DBF-9880-EC331D913A31}" xr6:coauthVersionLast="47" xr6:coauthVersionMax="47" xr10:uidLastSave="{00000000-0000-0000-0000-000000000000}"/>
  <bookViews>
    <workbookView xWindow="-110" yWindow="-110" windowWidth="19420" windowHeight="10300" tabRatio="856" firstSheet="5" activeTab="5" xr2:uid="{00000000-000D-0000-FFFF-FFFF00000000}"/>
  </bookViews>
  <sheets>
    <sheet name="Loan" sheetId="26" r:id="rId1"/>
    <sheet name="Comparables (Exhibit 9)" sheetId="24" r:id="rId2"/>
    <sheet name="Income Statement" sheetId="3" state="hidden" r:id="rId3"/>
    <sheet name="Operating Data" sheetId="5" r:id="rId4"/>
    <sheet name="WACC" sheetId="23" r:id="rId5"/>
    <sheet name="Base Case (Revised)" sheetId="27" r:id="rId6"/>
    <sheet name="Sensitivity LF 80%" sheetId="36" r:id="rId7"/>
    <sheet name="Sensitivity LF 75% " sheetId="37" r:id="rId8"/>
    <sheet name="Sensitivity Fuel Up 5%" sheetId="38" r:id="rId9"/>
    <sheet name="Sensitivity Fuel Up 10%" sheetId="39" r:id="rId10"/>
    <sheet name="Sensitivity LF 80% Fuel Up 5%" sheetId="40" r:id="rId11"/>
    <sheet name="Sensitivity Interest 14%" sheetId="43" r:id="rId12"/>
    <sheet name="Sensitivity Interest 16%" sheetId="44" r:id="rId13"/>
    <sheet name="Sensitivity 65% Debt" sheetId="42" r:id="rId14"/>
    <sheet name="Sensitivity 60% Debt" sheetId="41" r:id="rId15"/>
    <sheet name="Base Scenario (Case Exhibit 6)" sheetId="4" r:id="rId16"/>
    <sheet name="Balance Sheet (Case Exhibit 6)" sheetId="2" r:id="rId17"/>
    <sheet name="Base Scenario (Control)" sheetId="25" r:id="rId18"/>
    <sheet name="Sensitivity-PLF @ 80%" sheetId="11" r:id="rId19"/>
    <sheet name="Sensitivity-PLF @ 75%" sheetId="13" state="hidden" r:id="rId20"/>
    <sheet name="PLF @ 75%" sheetId="18" r:id="rId21"/>
    <sheet name="Sensitivity-Fuel Cost Up 5%" sheetId="6" r:id="rId22"/>
    <sheet name="Sensitivity-Fuel Cost Up 10%" sheetId="8" state="hidden" r:id="rId23"/>
    <sheet name="Fuel Cost Up 10%" sheetId="15" r:id="rId24"/>
    <sheet name="PLF @ 80% &amp; Fuel Up 5%" sheetId="14" r:id="rId25"/>
    <sheet name="Sensitivity-Interest Rate @ 13%" sheetId="9" r:id="rId26"/>
    <sheet name="Interest Rate @ 14%" sheetId="19" r:id="rId27"/>
    <sheet name="Sensitivity-Interest Rate @ 14%" sheetId="10" state="hidden" r:id="rId28"/>
  </sheets>
  <definedNames>
    <definedName name="_Fill" hidden="1">#REF!</definedName>
    <definedName name="Acquiror">#REF!</definedName>
    <definedName name="_xlnm.Print_Area" localSheetId="0">Loan!#REF!</definedName>
    <definedName name="_xlnm.Print_Area" localSheetId="4">WACC!$A$1:$M$30</definedName>
    <definedName name="asset_write_up">#REF!</definedName>
    <definedName name="assets_acq">#REF!</definedName>
    <definedName name="assets_adj">#REF!</definedName>
    <definedName name="assets_targ">#REF!</definedName>
    <definedName name="assets_total">#REF!</definedName>
    <definedName name="baseyear">#REF!</definedName>
    <definedName name="book_acq">#REF!</definedName>
    <definedName name="book_new">#REF!</definedName>
    <definedName name="book_targ">#REF!</definedName>
    <definedName name="book_total">#REF!</definedName>
    <definedName name="cap_acq">#REF!</definedName>
    <definedName name="cash_acq">#REF!</definedName>
    <definedName name="cash_per">#REF!</definedName>
    <definedName name="cash_rate">#REF!</definedName>
    <definedName name="cash_targ">#REF!</definedName>
    <definedName name="cash_total">#REF!</definedName>
    <definedName name="date">#REF!</definedName>
    <definedName name="debt_acq">#REF!</definedName>
    <definedName name="debt_adj">#REF!</definedName>
    <definedName name="debt_issue">#REF!</definedName>
    <definedName name="debt_new">#REF!</definedName>
    <definedName name="debt_targ">#REF!</definedName>
    <definedName name="ebdiat_acq">#REF!</definedName>
    <definedName name="ebdiat_targ">#REF!</definedName>
    <definedName name="ebdiat_total">#REF!</definedName>
    <definedName name="ebit_acq">#REF!</definedName>
    <definedName name="ebit_targ">#REF!</definedName>
    <definedName name="ebit_total">#REF!</definedName>
    <definedName name="eps_new1">#REF!</definedName>
    <definedName name="eps_new2">#REF!</definedName>
    <definedName name="eps_new3">#REF!</definedName>
    <definedName name="eps_yr1_acq">#REF!</definedName>
    <definedName name="eps_yr1_targ">#REF!</definedName>
    <definedName name="eps_yr2_acq">#REF!</definedName>
    <definedName name="eps_yr2_targ">#REF!</definedName>
    <definedName name="eps_yr3_acq">#REF!</definedName>
    <definedName name="eps_yr3_targ">#REF!</definedName>
    <definedName name="EQUITY">#REF!</definedName>
    <definedName name="equity_acq">#REF!</definedName>
    <definedName name="equity_targ">#REF!</definedName>
    <definedName name="equity_total">#REF!</definedName>
    <definedName name="exchange">#REF!</definedName>
    <definedName name="fv_acq">#REF!</definedName>
    <definedName name="fv_targ">#REF!</definedName>
    <definedName name="fvcash_acq">#REF!</definedName>
    <definedName name="fvcash_targ">#REF!</definedName>
    <definedName name="gw_adj_1">#REF!</definedName>
    <definedName name="gw_adj_2">#REF!</definedName>
    <definedName name="gw_adj_3">#REF!</definedName>
    <definedName name="gw_new">#REF!</definedName>
    <definedName name="gw_targ">#REF!</definedName>
    <definedName name="gw_target">#REF!</definedName>
    <definedName name="gw_years">#REF!</definedName>
    <definedName name="gwtog">#REF!</definedName>
    <definedName name="int_adj_1">#REF!</definedName>
    <definedName name="int_adj_2">#REF!</definedName>
    <definedName name="int_adj_3">#REF!</definedName>
    <definedName name="ni_acq">#REF!</definedName>
    <definedName name="ni_targ">#REF!</definedName>
    <definedName name="ni_total">#REF!</definedName>
    <definedName name="pref_acq">#REF!</definedName>
    <definedName name="pref_new">#REF!</definedName>
    <definedName name="pref_targ">#REF!</definedName>
    <definedName name="price_acq">#REF!</definedName>
    <definedName name="price_merg">#REF!</definedName>
    <definedName name="price_targ">#REF!</definedName>
    <definedName name="refin_int">#REF!</definedName>
    <definedName name="refin_rate">#REF!</definedName>
    <definedName name="refin_tog">#REF!</definedName>
    <definedName name="rev_acq">#REF!</definedName>
    <definedName name="rev_targ">#REF!</definedName>
    <definedName name="rev_total">#REF!</definedName>
    <definedName name="shos_acq">#REF!</definedName>
    <definedName name="shos_targ">#REF!</definedName>
    <definedName name="syn_adj_1">#REF!</definedName>
    <definedName name="syn_adj_2">#REF!</definedName>
    <definedName name="syn_adj_3">#REF!</definedName>
    <definedName name="Target">#REF!</definedName>
    <definedName name="tax_rate">#REF!</definedName>
    <definedName name="trans_exp">#REF!</definedName>
    <definedName name="transtog">#REF!</definedName>
    <definedName name="VALUATION">#REF!</definedName>
    <definedName name="wacc">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8" i="27" l="1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U38" i="41"/>
  <c r="T38" i="41"/>
  <c r="S38" i="41"/>
  <c r="R38" i="41"/>
  <c r="Q38" i="41"/>
  <c r="P38" i="41"/>
  <c r="O38" i="41"/>
  <c r="N38" i="41"/>
  <c r="M38" i="41"/>
  <c r="L38" i="41"/>
  <c r="K38" i="41"/>
  <c r="J38" i="41"/>
  <c r="I38" i="41"/>
  <c r="H38" i="41"/>
  <c r="G38" i="41"/>
  <c r="U38" i="42"/>
  <c r="T38" i="42"/>
  <c r="S38" i="42"/>
  <c r="R38" i="42"/>
  <c r="Q38" i="42"/>
  <c r="P38" i="42"/>
  <c r="O38" i="42"/>
  <c r="N38" i="42"/>
  <c r="M38" i="42"/>
  <c r="L38" i="42"/>
  <c r="K38" i="42"/>
  <c r="J38" i="42"/>
  <c r="I38" i="42"/>
  <c r="H38" i="42"/>
  <c r="G38" i="42"/>
  <c r="U38" i="44"/>
  <c r="T38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G38" i="44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U38" i="40"/>
  <c r="T38" i="40"/>
  <c r="S38" i="40"/>
  <c r="R38" i="40"/>
  <c r="Q38" i="40"/>
  <c r="P38" i="40"/>
  <c r="O38" i="40"/>
  <c r="N38" i="40"/>
  <c r="M38" i="40"/>
  <c r="L38" i="40"/>
  <c r="K38" i="40"/>
  <c r="J38" i="40"/>
  <c r="I38" i="40"/>
  <c r="H38" i="40"/>
  <c r="G38" i="40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S42" i="39"/>
  <c r="R42" i="39"/>
  <c r="Q42" i="39"/>
  <c r="P42" i="39"/>
  <c r="O42" i="39"/>
  <c r="N42" i="39"/>
  <c r="M42" i="39"/>
  <c r="T42" i="39"/>
  <c r="U42" i="39"/>
  <c r="L42" i="39"/>
  <c r="K42" i="39"/>
  <c r="J42" i="39"/>
  <c r="I42" i="39"/>
  <c r="H42" i="39"/>
  <c r="G42" i="39"/>
  <c r="R47" i="41"/>
  <c r="Q47" i="41"/>
  <c r="P47" i="41"/>
  <c r="O47" i="41"/>
  <c r="N47" i="41"/>
  <c r="M47" i="41"/>
  <c r="L47" i="41"/>
  <c r="K47" i="41"/>
  <c r="J47" i="41"/>
  <c r="I47" i="41"/>
  <c r="H47" i="41"/>
  <c r="G47" i="41"/>
  <c r="R47" i="42"/>
  <c r="Q47" i="42"/>
  <c r="P47" i="42"/>
  <c r="O47" i="42"/>
  <c r="N47" i="42"/>
  <c r="M47" i="42"/>
  <c r="L47" i="42"/>
  <c r="K47" i="42"/>
  <c r="J47" i="42"/>
  <c r="I47" i="42"/>
  <c r="H47" i="42"/>
  <c r="G47" i="42"/>
  <c r="R47" i="44"/>
  <c r="Q47" i="44"/>
  <c r="P47" i="44"/>
  <c r="O47" i="44"/>
  <c r="N47" i="44"/>
  <c r="M47" i="44"/>
  <c r="L47" i="44"/>
  <c r="K47" i="44"/>
  <c r="J47" i="44"/>
  <c r="I47" i="44"/>
  <c r="H47" i="44"/>
  <c r="G47" i="44"/>
  <c r="R47" i="43"/>
  <c r="Q47" i="43"/>
  <c r="P47" i="43"/>
  <c r="O47" i="43"/>
  <c r="N47" i="43"/>
  <c r="M47" i="43"/>
  <c r="L47" i="43"/>
  <c r="K47" i="43"/>
  <c r="J47" i="43"/>
  <c r="I47" i="43"/>
  <c r="H47" i="43"/>
  <c r="G47" i="43"/>
  <c r="R47" i="40"/>
  <c r="Q47" i="40"/>
  <c r="P47" i="40"/>
  <c r="O47" i="40"/>
  <c r="N47" i="40"/>
  <c r="M47" i="40"/>
  <c r="L47" i="40"/>
  <c r="K47" i="40"/>
  <c r="J47" i="40"/>
  <c r="I47" i="40"/>
  <c r="H47" i="40"/>
  <c r="G47" i="40"/>
  <c r="R47" i="39"/>
  <c r="Q47" i="39"/>
  <c r="P47" i="39"/>
  <c r="O47" i="39"/>
  <c r="N47" i="39"/>
  <c r="M47" i="39"/>
  <c r="L47" i="39"/>
  <c r="K47" i="39"/>
  <c r="J47" i="39"/>
  <c r="I47" i="39"/>
  <c r="H47" i="39"/>
  <c r="G47" i="39"/>
  <c r="R47" i="38"/>
  <c r="Q47" i="38"/>
  <c r="P47" i="38"/>
  <c r="O47" i="38"/>
  <c r="N47" i="38"/>
  <c r="M47" i="38"/>
  <c r="L47" i="38"/>
  <c r="K47" i="38"/>
  <c r="J47" i="38"/>
  <c r="I47" i="38"/>
  <c r="H47" i="38"/>
  <c r="G47" i="38"/>
  <c r="R47" i="37"/>
  <c r="Q47" i="37"/>
  <c r="P47" i="37"/>
  <c r="O47" i="37"/>
  <c r="N47" i="37"/>
  <c r="M47" i="37"/>
  <c r="L47" i="37"/>
  <c r="K47" i="37"/>
  <c r="J47" i="37"/>
  <c r="I47" i="37"/>
  <c r="H47" i="37"/>
  <c r="G47" i="37"/>
  <c r="R47" i="36"/>
  <c r="Q47" i="36"/>
  <c r="P47" i="36"/>
  <c r="O47" i="36"/>
  <c r="N47" i="36"/>
  <c r="M47" i="36"/>
  <c r="L47" i="36"/>
  <c r="K47" i="36"/>
  <c r="J47" i="36"/>
  <c r="I47" i="36"/>
  <c r="H47" i="36"/>
  <c r="G47" i="36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K24" i="23" l="1"/>
  <c r="J24" i="23"/>
  <c r="I24" i="23"/>
  <c r="V17" i="24"/>
  <c r="T17" i="24"/>
  <c r="R17" i="24"/>
  <c r="P17" i="24"/>
  <c r="F175" i="44" l="1"/>
  <c r="T174" i="44"/>
  <c r="P174" i="44"/>
  <c r="L174" i="44"/>
  <c r="K174" i="44"/>
  <c r="H174" i="44"/>
  <c r="U173" i="44"/>
  <c r="T173" i="44"/>
  <c r="S173" i="44"/>
  <c r="R173" i="44"/>
  <c r="Q173" i="44"/>
  <c r="P173" i="44"/>
  <c r="O173" i="44"/>
  <c r="N173" i="44"/>
  <c r="M173" i="44"/>
  <c r="L173" i="44"/>
  <c r="K173" i="44"/>
  <c r="J173" i="44"/>
  <c r="I173" i="44"/>
  <c r="H173" i="44"/>
  <c r="G173" i="44"/>
  <c r="P172" i="44"/>
  <c r="U156" i="44"/>
  <c r="T156" i="44"/>
  <c r="F153" i="44"/>
  <c r="D153" i="44"/>
  <c r="R152" i="44"/>
  <c r="P152" i="44"/>
  <c r="N152" i="44"/>
  <c r="J152" i="44"/>
  <c r="H152" i="44"/>
  <c r="G141" i="44"/>
  <c r="C141" i="44"/>
  <c r="F133" i="44"/>
  <c r="D131" i="44"/>
  <c r="F128" i="44"/>
  <c r="E127" i="44"/>
  <c r="D127" i="44"/>
  <c r="U111" i="44"/>
  <c r="T111" i="44"/>
  <c r="S111" i="44"/>
  <c r="R111" i="44"/>
  <c r="Q111" i="44"/>
  <c r="F90" i="44"/>
  <c r="U89" i="44"/>
  <c r="U174" i="44" s="1"/>
  <c r="T89" i="44"/>
  <c r="S89" i="44"/>
  <c r="R89" i="44"/>
  <c r="R174" i="44" s="1"/>
  <c r="Q89" i="44"/>
  <c r="Q174" i="44" s="1"/>
  <c r="P89" i="44"/>
  <c r="O89" i="44"/>
  <c r="O174" i="44" s="1"/>
  <c r="N89" i="44"/>
  <c r="N174" i="44" s="1"/>
  <c r="M89" i="44"/>
  <c r="M174" i="44" s="1"/>
  <c r="L89" i="44"/>
  <c r="K89" i="44"/>
  <c r="J89" i="44"/>
  <c r="J174" i="44" s="1"/>
  <c r="I89" i="44"/>
  <c r="I174" i="44" s="1"/>
  <c r="H89" i="44"/>
  <c r="G89" i="44"/>
  <c r="G174" i="44" s="1"/>
  <c r="Q87" i="44"/>
  <c r="P87" i="44"/>
  <c r="P111" i="44" s="1"/>
  <c r="F82" i="44"/>
  <c r="E82" i="44"/>
  <c r="D82" i="44"/>
  <c r="U81" i="44"/>
  <c r="T81" i="44"/>
  <c r="S81" i="44"/>
  <c r="S156" i="44" s="1"/>
  <c r="R81" i="44"/>
  <c r="R156" i="44" s="1"/>
  <c r="Q81" i="44"/>
  <c r="Q156" i="44" s="1"/>
  <c r="P81" i="44"/>
  <c r="P156" i="44" s="1"/>
  <c r="O81" i="44"/>
  <c r="O156" i="44" s="1"/>
  <c r="N81" i="44"/>
  <c r="N156" i="44" s="1"/>
  <c r="M81" i="44"/>
  <c r="L81" i="44"/>
  <c r="K81" i="44"/>
  <c r="J81" i="44"/>
  <c r="I81" i="44"/>
  <c r="H81" i="44"/>
  <c r="G81" i="44"/>
  <c r="F81" i="44"/>
  <c r="E81" i="44"/>
  <c r="D81" i="44"/>
  <c r="F80" i="44"/>
  <c r="E80" i="44"/>
  <c r="D80" i="44"/>
  <c r="U79" i="44"/>
  <c r="T79" i="44"/>
  <c r="S79" i="44"/>
  <c r="R79" i="44"/>
  <c r="Q79" i="44"/>
  <c r="P79" i="44"/>
  <c r="O79" i="44"/>
  <c r="N79" i="44"/>
  <c r="M79" i="44"/>
  <c r="L79" i="44"/>
  <c r="K79" i="44"/>
  <c r="J79" i="44"/>
  <c r="I79" i="44"/>
  <c r="H79" i="44"/>
  <c r="G79" i="44"/>
  <c r="F79" i="44"/>
  <c r="E79" i="44"/>
  <c r="E153" i="44" s="1"/>
  <c r="D79" i="44"/>
  <c r="U78" i="44"/>
  <c r="U152" i="44" s="1"/>
  <c r="T78" i="44"/>
  <c r="T152" i="44" s="1"/>
  <c r="S78" i="44"/>
  <c r="S152" i="44" s="1"/>
  <c r="R78" i="44"/>
  <c r="Q78" i="44"/>
  <c r="Q152" i="44" s="1"/>
  <c r="P78" i="44"/>
  <c r="O78" i="44"/>
  <c r="O152" i="44" s="1"/>
  <c r="N78" i="44"/>
  <c r="M78" i="44"/>
  <c r="M152" i="44" s="1"/>
  <c r="L78" i="44"/>
  <c r="L152" i="44" s="1"/>
  <c r="K78" i="44"/>
  <c r="K152" i="44" s="1"/>
  <c r="J78" i="44"/>
  <c r="I78" i="44"/>
  <c r="I152" i="44" s="1"/>
  <c r="H78" i="44"/>
  <c r="G78" i="44"/>
  <c r="G152" i="44" s="1"/>
  <c r="F78" i="44"/>
  <c r="E78" i="44"/>
  <c r="D78" i="44"/>
  <c r="D67" i="44"/>
  <c r="F66" i="44"/>
  <c r="D66" i="44"/>
  <c r="E66" i="44" s="1"/>
  <c r="E67" i="44" s="1"/>
  <c r="D60" i="44"/>
  <c r="E60" i="44" s="1"/>
  <c r="F60" i="44" s="1"/>
  <c r="G60" i="44" s="1"/>
  <c r="N25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T23" i="44"/>
  <c r="T25" i="44" s="1"/>
  <c r="S23" i="44"/>
  <c r="S25" i="44" s="1"/>
  <c r="R23" i="44"/>
  <c r="R25" i="44" s="1"/>
  <c r="O23" i="44"/>
  <c r="O25" i="44" s="1"/>
  <c r="N23" i="44"/>
  <c r="L23" i="44"/>
  <c r="L25" i="44" s="1"/>
  <c r="K23" i="44"/>
  <c r="K25" i="44" s="1"/>
  <c r="J23" i="44"/>
  <c r="J25" i="44" s="1"/>
  <c r="G23" i="44"/>
  <c r="G25" i="44" s="1"/>
  <c r="F21" i="44"/>
  <c r="F26" i="44" s="1"/>
  <c r="F31" i="44" s="1"/>
  <c r="E21" i="44"/>
  <c r="E26" i="44" s="1"/>
  <c r="E31" i="44" s="1"/>
  <c r="E35" i="44" s="1"/>
  <c r="D21" i="44"/>
  <c r="D26" i="44" s="1"/>
  <c r="D31" i="44" s="1"/>
  <c r="D35" i="44" s="1"/>
  <c r="C21" i="44"/>
  <c r="C26" i="44" s="1"/>
  <c r="C31" i="44" s="1"/>
  <c r="C35" i="44" s="1"/>
  <c r="C37" i="44" s="1"/>
  <c r="H19" i="44"/>
  <c r="I19" i="44" s="1"/>
  <c r="J19" i="44" s="1"/>
  <c r="K19" i="44" s="1"/>
  <c r="L19" i="44" s="1"/>
  <c r="M19" i="44" s="1"/>
  <c r="N19" i="44" s="1"/>
  <c r="O19" i="44" s="1"/>
  <c r="P19" i="44" s="1"/>
  <c r="Q19" i="44" s="1"/>
  <c r="R19" i="44" s="1"/>
  <c r="S19" i="44" s="1"/>
  <c r="T19" i="44" s="1"/>
  <c r="U19" i="44" s="1"/>
  <c r="G19" i="44"/>
  <c r="P18" i="44"/>
  <c r="P21" i="44" s="1"/>
  <c r="O18" i="44"/>
  <c r="O21" i="44" s="1"/>
  <c r="H18" i="44"/>
  <c r="H21" i="44" s="1"/>
  <c r="G18" i="44"/>
  <c r="G21" i="44" s="1"/>
  <c r="T16" i="44"/>
  <c r="T18" i="44" s="1"/>
  <c r="T21" i="44" s="1"/>
  <c r="R16" i="44"/>
  <c r="R18" i="44" s="1"/>
  <c r="R21" i="44" s="1"/>
  <c r="P16" i="44"/>
  <c r="O16" i="44"/>
  <c r="N16" i="44"/>
  <c r="N18" i="44" s="1"/>
  <c r="N21" i="44" s="1"/>
  <c r="L16" i="44"/>
  <c r="L18" i="44" s="1"/>
  <c r="L21" i="44" s="1"/>
  <c r="J16" i="44"/>
  <c r="J18" i="44" s="1"/>
  <c r="J21" i="44" s="1"/>
  <c r="H16" i="44"/>
  <c r="G16" i="44"/>
  <c r="U15" i="44"/>
  <c r="U16" i="44" s="1"/>
  <c r="U18" i="44" s="1"/>
  <c r="U21" i="44" s="1"/>
  <c r="T15" i="44"/>
  <c r="S15" i="44"/>
  <c r="S16" i="44" s="1"/>
  <c r="S18" i="44" s="1"/>
  <c r="R15" i="44"/>
  <c r="Q15" i="44"/>
  <c r="Q16" i="44" s="1"/>
  <c r="Q18" i="44" s="1"/>
  <c r="Q21" i="44" s="1"/>
  <c r="P15" i="44"/>
  <c r="O15" i="44"/>
  <c r="N15" i="44"/>
  <c r="M15" i="44"/>
  <c r="M16" i="44" s="1"/>
  <c r="M18" i="44" s="1"/>
  <c r="M21" i="44" s="1"/>
  <c r="L15" i="44"/>
  <c r="K15" i="44"/>
  <c r="K16" i="44" s="1"/>
  <c r="K18" i="44" s="1"/>
  <c r="K21" i="44" s="1"/>
  <c r="J15" i="44"/>
  <c r="I15" i="44"/>
  <c r="I16" i="44" s="1"/>
  <c r="I18" i="44" s="1"/>
  <c r="I21" i="44" s="1"/>
  <c r="H15" i="44"/>
  <c r="G15" i="44"/>
  <c r="R8" i="44"/>
  <c r="C7" i="44"/>
  <c r="Q23" i="44" s="1"/>
  <c r="Q25" i="44" s="1"/>
  <c r="R4" i="44"/>
  <c r="W172" i="44" s="1"/>
  <c r="Q4" i="44"/>
  <c r="N4" i="44" s="1"/>
  <c r="O4" i="44"/>
  <c r="E110" i="44" s="1"/>
  <c r="S174" i="43"/>
  <c r="K174" i="43"/>
  <c r="U173" i="43"/>
  <c r="T173" i="43"/>
  <c r="S173" i="43"/>
  <c r="R173" i="43"/>
  <c r="Q173" i="43"/>
  <c r="P173" i="43"/>
  <c r="O173" i="43"/>
  <c r="N173" i="43"/>
  <c r="M173" i="43"/>
  <c r="L173" i="43"/>
  <c r="K173" i="43"/>
  <c r="J173" i="43"/>
  <c r="I173" i="43"/>
  <c r="H173" i="43"/>
  <c r="G173" i="43"/>
  <c r="T156" i="43"/>
  <c r="C141" i="43"/>
  <c r="G141" i="43" s="1"/>
  <c r="F133" i="43"/>
  <c r="F175" i="43" s="1"/>
  <c r="D131" i="43"/>
  <c r="F128" i="43"/>
  <c r="E127" i="43"/>
  <c r="D127" i="43"/>
  <c r="U111" i="43"/>
  <c r="T111" i="43"/>
  <c r="S111" i="43"/>
  <c r="R111" i="43"/>
  <c r="F90" i="43"/>
  <c r="U89" i="43"/>
  <c r="T89" i="43"/>
  <c r="S89" i="43"/>
  <c r="R89" i="43"/>
  <c r="R174" i="43" s="1"/>
  <c r="Q89" i="43"/>
  <c r="Q174" i="43" s="1"/>
  <c r="P89" i="43"/>
  <c r="P174" i="43" s="1"/>
  <c r="O89" i="43"/>
  <c r="O174" i="43" s="1"/>
  <c r="N89" i="43"/>
  <c r="N174" i="43" s="1"/>
  <c r="M89" i="43"/>
  <c r="M174" i="43" s="1"/>
  <c r="L89" i="43"/>
  <c r="L174" i="43" s="1"/>
  <c r="K89" i="43"/>
  <c r="J89" i="43"/>
  <c r="J174" i="43" s="1"/>
  <c r="I89" i="43"/>
  <c r="I174" i="43" s="1"/>
  <c r="H89" i="43"/>
  <c r="H174" i="43" s="1"/>
  <c r="G89" i="43"/>
  <c r="G174" i="43" s="1"/>
  <c r="Q87" i="43"/>
  <c r="Q111" i="43" s="1"/>
  <c r="P87" i="43"/>
  <c r="P111" i="43" s="1"/>
  <c r="F82" i="43"/>
  <c r="E82" i="43"/>
  <c r="D82" i="43"/>
  <c r="U81" i="43"/>
  <c r="U156" i="43" s="1"/>
  <c r="T81" i="43"/>
  <c r="S81" i="43"/>
  <c r="S156" i="43" s="1"/>
  <c r="R81" i="43"/>
  <c r="R156" i="43" s="1"/>
  <c r="Q81" i="43"/>
  <c r="Q156" i="43" s="1"/>
  <c r="P81" i="43"/>
  <c r="P156" i="43" s="1"/>
  <c r="O81" i="43"/>
  <c r="O156" i="43" s="1"/>
  <c r="N81" i="43"/>
  <c r="N156" i="43" s="1"/>
  <c r="M81" i="43"/>
  <c r="L81" i="43"/>
  <c r="K81" i="43"/>
  <c r="J81" i="43"/>
  <c r="I81" i="43"/>
  <c r="H81" i="43"/>
  <c r="G81" i="43"/>
  <c r="F81" i="43"/>
  <c r="E81" i="43"/>
  <c r="D81" i="43"/>
  <c r="F80" i="43"/>
  <c r="E80" i="43"/>
  <c r="D80" i="43"/>
  <c r="U79" i="43"/>
  <c r="T79" i="43"/>
  <c r="S79" i="43"/>
  <c r="R79" i="43"/>
  <c r="Q79" i="43"/>
  <c r="P79" i="43"/>
  <c r="O79" i="43"/>
  <c r="N79" i="43"/>
  <c r="M79" i="43"/>
  <c r="L79" i="43"/>
  <c r="K79" i="43"/>
  <c r="J79" i="43"/>
  <c r="I79" i="43"/>
  <c r="H79" i="43"/>
  <c r="G79" i="43"/>
  <c r="F79" i="43"/>
  <c r="F153" i="43" s="1"/>
  <c r="E79" i="43"/>
  <c r="E153" i="43" s="1"/>
  <c r="D79" i="43"/>
  <c r="D153" i="43" s="1"/>
  <c r="U78" i="43"/>
  <c r="U152" i="43" s="1"/>
  <c r="T78" i="43"/>
  <c r="T152" i="43" s="1"/>
  <c r="S78" i="43"/>
  <c r="S152" i="43" s="1"/>
  <c r="R78" i="43"/>
  <c r="R152" i="43" s="1"/>
  <c r="Q78" i="43"/>
  <c r="Q152" i="43" s="1"/>
  <c r="P78" i="43"/>
  <c r="P152" i="43" s="1"/>
  <c r="O78" i="43"/>
  <c r="O152" i="43" s="1"/>
  <c r="N78" i="43"/>
  <c r="N152" i="43" s="1"/>
  <c r="M78" i="43"/>
  <c r="M152" i="43" s="1"/>
  <c r="L78" i="43"/>
  <c r="L152" i="43" s="1"/>
  <c r="K78" i="43"/>
  <c r="K152" i="43" s="1"/>
  <c r="J78" i="43"/>
  <c r="J152" i="43" s="1"/>
  <c r="I78" i="43"/>
  <c r="I152" i="43" s="1"/>
  <c r="H78" i="43"/>
  <c r="H152" i="43" s="1"/>
  <c r="G78" i="43"/>
  <c r="G152" i="43" s="1"/>
  <c r="F78" i="43"/>
  <c r="E78" i="43"/>
  <c r="D78" i="43"/>
  <c r="E66" i="43"/>
  <c r="E67" i="43" s="1"/>
  <c r="D66" i="43"/>
  <c r="D67" i="43" s="1"/>
  <c r="D60" i="43"/>
  <c r="E60" i="43" s="1"/>
  <c r="F60" i="43" s="1"/>
  <c r="G60" i="43" s="1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Q23" i="43"/>
  <c r="Q25" i="43" s="1"/>
  <c r="I23" i="43"/>
  <c r="I25" i="43" s="1"/>
  <c r="F21" i="43"/>
  <c r="F26" i="43" s="1"/>
  <c r="F31" i="43" s="1"/>
  <c r="E21" i="43"/>
  <c r="E26" i="43" s="1"/>
  <c r="E31" i="43" s="1"/>
  <c r="E35" i="43" s="1"/>
  <c r="D21" i="43"/>
  <c r="D26" i="43" s="1"/>
  <c r="D31" i="43" s="1"/>
  <c r="D35" i="43" s="1"/>
  <c r="C21" i="43"/>
  <c r="C26" i="43" s="1"/>
  <c r="C31" i="43" s="1"/>
  <c r="C35" i="43" s="1"/>
  <c r="C37" i="43" s="1"/>
  <c r="G19" i="43"/>
  <c r="H19" i="43" s="1"/>
  <c r="I19" i="43" s="1"/>
  <c r="J19" i="43" s="1"/>
  <c r="K19" i="43" s="1"/>
  <c r="L19" i="43" s="1"/>
  <c r="M19" i="43" s="1"/>
  <c r="N19" i="43" s="1"/>
  <c r="O19" i="43" s="1"/>
  <c r="P19" i="43" s="1"/>
  <c r="Q19" i="43" s="1"/>
  <c r="R19" i="43" s="1"/>
  <c r="S19" i="43" s="1"/>
  <c r="T19" i="43" s="1"/>
  <c r="U19" i="43" s="1"/>
  <c r="Q16" i="43"/>
  <c r="Q18" i="43" s="1"/>
  <c r="I16" i="43"/>
  <c r="I18" i="43" s="1"/>
  <c r="U15" i="43"/>
  <c r="U16" i="43" s="1"/>
  <c r="U18" i="43" s="1"/>
  <c r="T15" i="43"/>
  <c r="T16" i="43" s="1"/>
  <c r="T18" i="43" s="1"/>
  <c r="S15" i="43"/>
  <c r="S16" i="43" s="1"/>
  <c r="S18" i="43" s="1"/>
  <c r="R15" i="43"/>
  <c r="R16" i="43" s="1"/>
  <c r="R18" i="43" s="1"/>
  <c r="Q15" i="43"/>
  <c r="P15" i="43"/>
  <c r="P16" i="43" s="1"/>
  <c r="P18" i="43" s="1"/>
  <c r="P21" i="43" s="1"/>
  <c r="O15" i="43"/>
  <c r="O16" i="43" s="1"/>
  <c r="O18" i="43" s="1"/>
  <c r="N15" i="43"/>
  <c r="N16" i="43" s="1"/>
  <c r="N18" i="43" s="1"/>
  <c r="M15" i="43"/>
  <c r="M16" i="43" s="1"/>
  <c r="M18" i="43" s="1"/>
  <c r="L15" i="43"/>
  <c r="L16" i="43" s="1"/>
  <c r="L18" i="43" s="1"/>
  <c r="L21" i="43" s="1"/>
  <c r="K15" i="43"/>
  <c r="K16" i="43" s="1"/>
  <c r="K18" i="43" s="1"/>
  <c r="J15" i="43"/>
  <c r="J16" i="43" s="1"/>
  <c r="J18" i="43" s="1"/>
  <c r="I15" i="43"/>
  <c r="H15" i="43"/>
  <c r="H16" i="43" s="1"/>
  <c r="H18" i="43" s="1"/>
  <c r="H21" i="43" s="1"/>
  <c r="G15" i="43"/>
  <c r="G16" i="43" s="1"/>
  <c r="G18" i="43" s="1"/>
  <c r="G21" i="43" s="1"/>
  <c r="R8" i="43"/>
  <c r="C7" i="43"/>
  <c r="P23" i="43" s="1"/>
  <c r="P25" i="43" s="1"/>
  <c r="R4" i="43"/>
  <c r="W172" i="43" s="1"/>
  <c r="T174" i="42"/>
  <c r="L174" i="42"/>
  <c r="U173" i="42"/>
  <c r="T173" i="42"/>
  <c r="S173" i="42"/>
  <c r="R173" i="42"/>
  <c r="Q173" i="42"/>
  <c r="P173" i="42"/>
  <c r="O173" i="42"/>
  <c r="N173" i="42"/>
  <c r="M173" i="42"/>
  <c r="L173" i="42"/>
  <c r="K173" i="42"/>
  <c r="J173" i="42"/>
  <c r="I173" i="42"/>
  <c r="H173" i="42"/>
  <c r="G173" i="42"/>
  <c r="U156" i="42"/>
  <c r="F153" i="42"/>
  <c r="P152" i="42"/>
  <c r="H152" i="42"/>
  <c r="C141" i="42"/>
  <c r="G141" i="42" s="1"/>
  <c r="D131" i="42"/>
  <c r="F128" i="42"/>
  <c r="E127" i="42"/>
  <c r="D127" i="42"/>
  <c r="U111" i="42"/>
  <c r="T111" i="42"/>
  <c r="S111" i="42"/>
  <c r="R111" i="42"/>
  <c r="F90" i="42"/>
  <c r="F133" i="42" s="1"/>
  <c r="U89" i="42"/>
  <c r="T89" i="42"/>
  <c r="S89" i="42"/>
  <c r="S174" i="42" s="1"/>
  <c r="R89" i="42"/>
  <c r="Q89" i="42"/>
  <c r="Q174" i="42" s="1"/>
  <c r="P89" i="42"/>
  <c r="P174" i="42" s="1"/>
  <c r="O89" i="42"/>
  <c r="O174" i="42" s="1"/>
  <c r="N89" i="42"/>
  <c r="N174" i="42" s="1"/>
  <c r="M89" i="42"/>
  <c r="M174" i="42" s="1"/>
  <c r="L89" i="42"/>
  <c r="K89" i="42"/>
  <c r="K174" i="42" s="1"/>
  <c r="J89" i="42"/>
  <c r="J174" i="42" s="1"/>
  <c r="I89" i="42"/>
  <c r="I174" i="42" s="1"/>
  <c r="H89" i="42"/>
  <c r="H174" i="42" s="1"/>
  <c r="G89" i="42"/>
  <c r="G174" i="42" s="1"/>
  <c r="Q87" i="42"/>
  <c r="Q111" i="42" s="1"/>
  <c r="P87" i="42"/>
  <c r="P111" i="42" s="1"/>
  <c r="F82" i="42"/>
  <c r="E82" i="42"/>
  <c r="D82" i="42"/>
  <c r="U81" i="42"/>
  <c r="T81" i="42"/>
  <c r="T156" i="42" s="1"/>
  <c r="S81" i="42"/>
  <c r="S156" i="42" s="1"/>
  <c r="R81" i="42"/>
  <c r="R156" i="42" s="1"/>
  <c r="Q81" i="42"/>
  <c r="Q156" i="42" s="1"/>
  <c r="P81" i="42"/>
  <c r="P156" i="42" s="1"/>
  <c r="O81" i="42"/>
  <c r="O156" i="42" s="1"/>
  <c r="N81" i="42"/>
  <c r="N156" i="42" s="1"/>
  <c r="M81" i="42"/>
  <c r="L81" i="42"/>
  <c r="K81" i="42"/>
  <c r="J81" i="42"/>
  <c r="I81" i="42"/>
  <c r="H81" i="42"/>
  <c r="G81" i="42"/>
  <c r="F81" i="42"/>
  <c r="E81" i="42"/>
  <c r="D81" i="42"/>
  <c r="F80" i="42"/>
  <c r="E80" i="42"/>
  <c r="D80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E153" i="42" s="1"/>
  <c r="D79" i="42"/>
  <c r="D153" i="42" s="1"/>
  <c r="U78" i="42"/>
  <c r="U152" i="42" s="1"/>
  <c r="T78" i="42"/>
  <c r="T152" i="42" s="1"/>
  <c r="S78" i="42"/>
  <c r="S152" i="42" s="1"/>
  <c r="R78" i="42"/>
  <c r="R152" i="42" s="1"/>
  <c r="Q78" i="42"/>
  <c r="Q152" i="42" s="1"/>
  <c r="P78" i="42"/>
  <c r="O78" i="42"/>
  <c r="O152" i="42" s="1"/>
  <c r="N78" i="42"/>
  <c r="N152" i="42" s="1"/>
  <c r="M78" i="42"/>
  <c r="M152" i="42" s="1"/>
  <c r="L78" i="42"/>
  <c r="L152" i="42" s="1"/>
  <c r="K78" i="42"/>
  <c r="K152" i="42" s="1"/>
  <c r="J78" i="42"/>
  <c r="J152" i="42" s="1"/>
  <c r="I78" i="42"/>
  <c r="I152" i="42" s="1"/>
  <c r="H78" i="42"/>
  <c r="G78" i="42"/>
  <c r="G152" i="42" s="1"/>
  <c r="F78" i="42"/>
  <c r="E78" i="42"/>
  <c r="D78" i="42"/>
  <c r="D67" i="42"/>
  <c r="D66" i="42"/>
  <c r="E66" i="42" s="1"/>
  <c r="F60" i="42"/>
  <c r="G60" i="42" s="1"/>
  <c r="D60" i="42"/>
  <c r="E60" i="42" s="1"/>
  <c r="N25" i="42"/>
  <c r="U24" i="42"/>
  <c r="T24" i="42"/>
  <c r="S24" i="42"/>
  <c r="R24" i="42"/>
  <c r="Q24" i="42"/>
  <c r="P24" i="42"/>
  <c r="O24" i="42"/>
  <c r="N24" i="42"/>
  <c r="M24" i="42"/>
  <c r="L24" i="42"/>
  <c r="K24" i="42"/>
  <c r="J24" i="42"/>
  <c r="I24" i="42"/>
  <c r="H24" i="42"/>
  <c r="G24" i="42"/>
  <c r="T23" i="42"/>
  <c r="T25" i="42" s="1"/>
  <c r="R23" i="42"/>
  <c r="R25" i="42" s="1"/>
  <c r="N23" i="42"/>
  <c r="L23" i="42"/>
  <c r="L25" i="42" s="1"/>
  <c r="J23" i="42"/>
  <c r="J25" i="42" s="1"/>
  <c r="F21" i="42"/>
  <c r="F26" i="42" s="1"/>
  <c r="F31" i="42" s="1"/>
  <c r="E21" i="42"/>
  <c r="E26" i="42" s="1"/>
  <c r="E31" i="42" s="1"/>
  <c r="E35" i="42" s="1"/>
  <c r="D21" i="42"/>
  <c r="D26" i="42" s="1"/>
  <c r="D31" i="42" s="1"/>
  <c r="D35" i="42" s="1"/>
  <c r="D77" i="42" s="1"/>
  <c r="C21" i="42"/>
  <c r="C26" i="42" s="1"/>
  <c r="C31" i="42" s="1"/>
  <c r="C35" i="42" s="1"/>
  <c r="C37" i="42" s="1"/>
  <c r="H19" i="42"/>
  <c r="I19" i="42" s="1"/>
  <c r="J19" i="42" s="1"/>
  <c r="K19" i="42" s="1"/>
  <c r="L19" i="42" s="1"/>
  <c r="M19" i="42" s="1"/>
  <c r="N19" i="42" s="1"/>
  <c r="O19" i="42" s="1"/>
  <c r="P19" i="42" s="1"/>
  <c r="Q19" i="42" s="1"/>
  <c r="R19" i="42" s="1"/>
  <c r="S19" i="42" s="1"/>
  <c r="T19" i="42" s="1"/>
  <c r="U19" i="42" s="1"/>
  <c r="G19" i="42"/>
  <c r="U18" i="42"/>
  <c r="T16" i="42"/>
  <c r="T18" i="42" s="1"/>
  <c r="R16" i="42"/>
  <c r="R18" i="42" s="1"/>
  <c r="P16" i="42"/>
  <c r="P18" i="42" s="1"/>
  <c r="N16" i="42"/>
  <c r="N18" i="42" s="1"/>
  <c r="L16" i="42"/>
  <c r="L18" i="42" s="1"/>
  <c r="L21" i="42" s="1"/>
  <c r="J16" i="42"/>
  <c r="J18" i="42" s="1"/>
  <c r="H16" i="42"/>
  <c r="H18" i="42" s="1"/>
  <c r="H21" i="42" s="1"/>
  <c r="U15" i="42"/>
  <c r="U16" i="42" s="1"/>
  <c r="T15" i="42"/>
  <c r="S15" i="42"/>
  <c r="S16" i="42" s="1"/>
  <c r="S18" i="42" s="1"/>
  <c r="R15" i="42"/>
  <c r="Q15" i="42"/>
  <c r="Q16" i="42" s="1"/>
  <c r="Q18" i="42" s="1"/>
  <c r="P15" i="42"/>
  <c r="O15" i="42"/>
  <c r="O16" i="42" s="1"/>
  <c r="O18" i="42" s="1"/>
  <c r="N15" i="42"/>
  <c r="M15" i="42"/>
  <c r="M16" i="42" s="1"/>
  <c r="M18" i="42" s="1"/>
  <c r="M21" i="42" s="1"/>
  <c r="L15" i="42"/>
  <c r="K15" i="42"/>
  <c r="K16" i="42" s="1"/>
  <c r="K18" i="42" s="1"/>
  <c r="J15" i="42"/>
  <c r="I15" i="42"/>
  <c r="I16" i="42" s="1"/>
  <c r="I18" i="42" s="1"/>
  <c r="H15" i="42"/>
  <c r="G15" i="42"/>
  <c r="G16" i="42" s="1"/>
  <c r="G18" i="42" s="1"/>
  <c r="G21" i="42" s="1"/>
  <c r="R8" i="42"/>
  <c r="C7" i="42"/>
  <c r="S23" i="42" s="1"/>
  <c r="S25" i="42" s="1"/>
  <c r="R4" i="42"/>
  <c r="W172" i="42" s="1"/>
  <c r="Q4" i="42"/>
  <c r="N4" i="42" s="1"/>
  <c r="O4" i="42"/>
  <c r="F175" i="41"/>
  <c r="P174" i="41"/>
  <c r="O174" i="41"/>
  <c r="H174" i="41"/>
  <c r="U173" i="41"/>
  <c r="T173" i="41"/>
  <c r="S173" i="41"/>
  <c r="R173" i="41"/>
  <c r="Q173" i="41"/>
  <c r="P173" i="41"/>
  <c r="O173" i="41"/>
  <c r="N173" i="41"/>
  <c r="M173" i="41"/>
  <c r="L173" i="41"/>
  <c r="K173" i="41"/>
  <c r="J173" i="41"/>
  <c r="I173" i="41"/>
  <c r="H173" i="41"/>
  <c r="G173" i="41"/>
  <c r="P172" i="41"/>
  <c r="Q156" i="41"/>
  <c r="P156" i="41"/>
  <c r="O156" i="41"/>
  <c r="T152" i="41"/>
  <c r="S152" i="41"/>
  <c r="R152" i="41"/>
  <c r="K152" i="41"/>
  <c r="J152" i="41"/>
  <c r="C141" i="41"/>
  <c r="G141" i="41" s="1"/>
  <c r="D131" i="41"/>
  <c r="F128" i="41"/>
  <c r="E127" i="41"/>
  <c r="D127" i="41"/>
  <c r="U111" i="41"/>
  <c r="T111" i="41"/>
  <c r="S111" i="41"/>
  <c r="R111" i="41"/>
  <c r="F90" i="41"/>
  <c r="F133" i="41" s="1"/>
  <c r="U89" i="41"/>
  <c r="U174" i="41" s="1"/>
  <c r="T89" i="41"/>
  <c r="S89" i="41"/>
  <c r="S174" i="41" s="1"/>
  <c r="R89" i="41"/>
  <c r="Q89" i="41"/>
  <c r="Q174" i="41" s="1"/>
  <c r="P89" i="41"/>
  <c r="O89" i="41"/>
  <c r="N89" i="41"/>
  <c r="N174" i="41" s="1"/>
  <c r="M89" i="41"/>
  <c r="M174" i="41" s="1"/>
  <c r="L89" i="41"/>
  <c r="L174" i="41" s="1"/>
  <c r="K89" i="41"/>
  <c r="K174" i="41" s="1"/>
  <c r="J89" i="41"/>
  <c r="J174" i="41" s="1"/>
  <c r="I89" i="41"/>
  <c r="I174" i="41" s="1"/>
  <c r="H89" i="41"/>
  <c r="G89" i="41"/>
  <c r="G174" i="41" s="1"/>
  <c r="Q87" i="41"/>
  <c r="P87" i="41"/>
  <c r="P111" i="41" s="1"/>
  <c r="F82" i="41"/>
  <c r="E82" i="41"/>
  <c r="D82" i="41"/>
  <c r="U81" i="41"/>
  <c r="U156" i="41" s="1"/>
  <c r="T81" i="41"/>
  <c r="T156" i="41" s="1"/>
  <c r="S81" i="41"/>
  <c r="S156" i="41" s="1"/>
  <c r="R81" i="41"/>
  <c r="R156" i="41" s="1"/>
  <c r="Q81" i="41"/>
  <c r="P81" i="41"/>
  <c r="O81" i="41"/>
  <c r="N81" i="41"/>
  <c r="N156" i="41" s="1"/>
  <c r="M81" i="41"/>
  <c r="L81" i="41"/>
  <c r="K81" i="41"/>
  <c r="J81" i="41"/>
  <c r="I81" i="41"/>
  <c r="H81" i="41"/>
  <c r="G81" i="41"/>
  <c r="F81" i="41"/>
  <c r="E81" i="41"/>
  <c r="D81" i="41"/>
  <c r="F80" i="41"/>
  <c r="E80" i="41"/>
  <c r="D80" i="41"/>
  <c r="U79" i="41"/>
  <c r="T79" i="41"/>
  <c r="S79" i="41"/>
  <c r="R79" i="41"/>
  <c r="Q79" i="41"/>
  <c r="P79" i="41"/>
  <c r="O79" i="41"/>
  <c r="N79" i="41"/>
  <c r="M79" i="41"/>
  <c r="L79" i="41"/>
  <c r="K79" i="41"/>
  <c r="J79" i="41"/>
  <c r="I79" i="41"/>
  <c r="H79" i="41"/>
  <c r="G79" i="41"/>
  <c r="F79" i="41"/>
  <c r="F153" i="41" s="1"/>
  <c r="E79" i="41"/>
  <c r="E153" i="41" s="1"/>
  <c r="D79" i="41"/>
  <c r="D153" i="41" s="1"/>
  <c r="F154" i="41" s="1"/>
  <c r="U78" i="41"/>
  <c r="U152" i="41" s="1"/>
  <c r="T78" i="41"/>
  <c r="S78" i="41"/>
  <c r="R78" i="41"/>
  <c r="Q78" i="41"/>
  <c r="Q152" i="41" s="1"/>
  <c r="P78" i="41"/>
  <c r="P152" i="41" s="1"/>
  <c r="O78" i="41"/>
  <c r="O152" i="41" s="1"/>
  <c r="N78" i="41"/>
  <c r="N152" i="41" s="1"/>
  <c r="M78" i="41"/>
  <c r="M152" i="41" s="1"/>
  <c r="L78" i="41"/>
  <c r="L152" i="41" s="1"/>
  <c r="K78" i="41"/>
  <c r="J78" i="41"/>
  <c r="I78" i="41"/>
  <c r="I152" i="41" s="1"/>
  <c r="H78" i="41"/>
  <c r="H152" i="41" s="1"/>
  <c r="G78" i="41"/>
  <c r="G152" i="41" s="1"/>
  <c r="F78" i="41"/>
  <c r="E78" i="41"/>
  <c r="D78" i="41"/>
  <c r="E67" i="41"/>
  <c r="D67" i="41"/>
  <c r="F66" i="41"/>
  <c r="F67" i="41" s="1"/>
  <c r="E66" i="41"/>
  <c r="D66" i="41"/>
  <c r="E60" i="41"/>
  <c r="F60" i="41" s="1"/>
  <c r="G60" i="41" s="1"/>
  <c r="D60" i="41"/>
  <c r="U24" i="41"/>
  <c r="T24" i="41"/>
  <c r="S24" i="41"/>
  <c r="R24" i="41"/>
  <c r="Q24" i="41"/>
  <c r="P24" i="41"/>
  <c r="O24" i="41"/>
  <c r="N24" i="41"/>
  <c r="M24" i="41"/>
  <c r="L24" i="41"/>
  <c r="K24" i="41"/>
  <c r="J24" i="41"/>
  <c r="I24" i="41"/>
  <c r="H24" i="41"/>
  <c r="G24" i="41"/>
  <c r="R23" i="41"/>
  <c r="R25" i="41" s="1"/>
  <c r="J23" i="41"/>
  <c r="J25" i="41" s="1"/>
  <c r="I21" i="41"/>
  <c r="I105" i="41" s="1"/>
  <c r="F21" i="41"/>
  <c r="F26" i="41" s="1"/>
  <c r="F31" i="41" s="1"/>
  <c r="E21" i="41"/>
  <c r="E26" i="41" s="1"/>
  <c r="E31" i="41" s="1"/>
  <c r="E35" i="41" s="1"/>
  <c r="D21" i="41"/>
  <c r="D26" i="41" s="1"/>
  <c r="D31" i="41" s="1"/>
  <c r="D35" i="41" s="1"/>
  <c r="C21" i="41"/>
  <c r="C26" i="41" s="1"/>
  <c r="C31" i="41" s="1"/>
  <c r="C35" i="41" s="1"/>
  <c r="C37" i="41" s="1"/>
  <c r="T19" i="41"/>
  <c r="U19" i="41" s="1"/>
  <c r="L19" i="41"/>
  <c r="M19" i="41" s="1"/>
  <c r="N19" i="41" s="1"/>
  <c r="O19" i="41" s="1"/>
  <c r="P19" i="41" s="1"/>
  <c r="Q19" i="41" s="1"/>
  <c r="R19" i="41" s="1"/>
  <c r="S19" i="41" s="1"/>
  <c r="G19" i="41"/>
  <c r="H19" i="41" s="1"/>
  <c r="I19" i="41" s="1"/>
  <c r="J19" i="41" s="1"/>
  <c r="K19" i="41" s="1"/>
  <c r="N18" i="41"/>
  <c r="N21" i="41" s="1"/>
  <c r="U16" i="41"/>
  <c r="U18" i="41" s="1"/>
  <c r="U21" i="41" s="1"/>
  <c r="R16" i="41"/>
  <c r="R18" i="41" s="1"/>
  <c r="N16" i="41"/>
  <c r="M16" i="41"/>
  <c r="M18" i="41" s="1"/>
  <c r="M21" i="41" s="1"/>
  <c r="J16" i="41"/>
  <c r="J18" i="41" s="1"/>
  <c r="J21" i="41" s="1"/>
  <c r="U15" i="41"/>
  <c r="T15" i="41"/>
  <c r="T16" i="41" s="1"/>
  <c r="T18" i="41" s="1"/>
  <c r="T21" i="41" s="1"/>
  <c r="S15" i="41"/>
  <c r="S16" i="41" s="1"/>
  <c r="S18" i="41" s="1"/>
  <c r="S21" i="41" s="1"/>
  <c r="R15" i="41"/>
  <c r="Q15" i="41"/>
  <c r="Q16" i="41" s="1"/>
  <c r="Q18" i="41" s="1"/>
  <c r="Q21" i="41" s="1"/>
  <c r="P15" i="41"/>
  <c r="P16" i="41" s="1"/>
  <c r="P18" i="41" s="1"/>
  <c r="P21" i="41" s="1"/>
  <c r="O15" i="41"/>
  <c r="O16" i="41" s="1"/>
  <c r="O18" i="41" s="1"/>
  <c r="O21" i="41" s="1"/>
  <c r="N15" i="41"/>
  <c r="M15" i="41"/>
  <c r="L15" i="41"/>
  <c r="L16" i="41" s="1"/>
  <c r="L18" i="41" s="1"/>
  <c r="L21" i="41" s="1"/>
  <c r="K15" i="41"/>
  <c r="K16" i="41" s="1"/>
  <c r="K18" i="41" s="1"/>
  <c r="K21" i="41" s="1"/>
  <c r="J15" i="41"/>
  <c r="I15" i="41"/>
  <c r="I16" i="41" s="1"/>
  <c r="I18" i="41" s="1"/>
  <c r="H15" i="41"/>
  <c r="H16" i="41" s="1"/>
  <c r="H18" i="41" s="1"/>
  <c r="H21" i="41" s="1"/>
  <c r="G15" i="41"/>
  <c r="G16" i="41" s="1"/>
  <c r="G18" i="41" s="1"/>
  <c r="G21" i="41" s="1"/>
  <c r="R8" i="41"/>
  <c r="C7" i="41"/>
  <c r="Q23" i="41" s="1"/>
  <c r="Q25" i="41" s="1"/>
  <c r="R4" i="41"/>
  <c r="W172" i="41" s="1"/>
  <c r="U174" i="40"/>
  <c r="M174" i="40"/>
  <c r="H174" i="40"/>
  <c r="U173" i="40"/>
  <c r="T173" i="40"/>
  <c r="S173" i="40"/>
  <c r="R173" i="40"/>
  <c r="Q173" i="40"/>
  <c r="P173" i="40"/>
  <c r="O173" i="40"/>
  <c r="N173" i="40"/>
  <c r="M173" i="40"/>
  <c r="L173" i="40"/>
  <c r="K173" i="40"/>
  <c r="J173" i="40"/>
  <c r="I173" i="40"/>
  <c r="H173" i="40"/>
  <c r="G173" i="40"/>
  <c r="U156" i="40"/>
  <c r="N156" i="40"/>
  <c r="T152" i="40"/>
  <c r="R152" i="40"/>
  <c r="P152" i="40"/>
  <c r="L152" i="40"/>
  <c r="J152" i="40"/>
  <c r="C141" i="40"/>
  <c r="G141" i="40" s="1"/>
  <c r="D131" i="40"/>
  <c r="F128" i="40"/>
  <c r="E127" i="40"/>
  <c r="D127" i="40"/>
  <c r="U111" i="40"/>
  <c r="T111" i="40"/>
  <c r="S111" i="40"/>
  <c r="R111" i="40"/>
  <c r="F90" i="40"/>
  <c r="F133" i="40" s="1"/>
  <c r="U89" i="40"/>
  <c r="T89" i="40"/>
  <c r="T174" i="40" s="1"/>
  <c r="S89" i="40"/>
  <c r="R89" i="40"/>
  <c r="Q89" i="40"/>
  <c r="Q174" i="40" s="1"/>
  <c r="P89" i="40"/>
  <c r="P174" i="40" s="1"/>
  <c r="O89" i="40"/>
  <c r="O174" i="40" s="1"/>
  <c r="N89" i="40"/>
  <c r="N174" i="40" s="1"/>
  <c r="M89" i="40"/>
  <c r="L89" i="40"/>
  <c r="L174" i="40" s="1"/>
  <c r="K89" i="40"/>
  <c r="K174" i="40" s="1"/>
  <c r="J89" i="40"/>
  <c r="J174" i="40" s="1"/>
  <c r="I89" i="40"/>
  <c r="I174" i="40" s="1"/>
  <c r="H89" i="40"/>
  <c r="G89" i="40"/>
  <c r="G174" i="40" s="1"/>
  <c r="Q87" i="40"/>
  <c r="P87" i="40"/>
  <c r="F82" i="40"/>
  <c r="E82" i="40"/>
  <c r="D82" i="40"/>
  <c r="U81" i="40"/>
  <c r="T81" i="40"/>
  <c r="T156" i="40" s="1"/>
  <c r="S81" i="40"/>
  <c r="S156" i="40" s="1"/>
  <c r="R81" i="40"/>
  <c r="R156" i="40" s="1"/>
  <c r="Q81" i="40"/>
  <c r="Q156" i="40" s="1"/>
  <c r="P81" i="40"/>
  <c r="P156" i="40" s="1"/>
  <c r="O81" i="40"/>
  <c r="O156" i="40" s="1"/>
  <c r="N81" i="40"/>
  <c r="M81" i="40"/>
  <c r="L81" i="40"/>
  <c r="K81" i="40"/>
  <c r="J81" i="40"/>
  <c r="I81" i="40"/>
  <c r="H81" i="40"/>
  <c r="G81" i="40"/>
  <c r="F81" i="40"/>
  <c r="E81" i="40"/>
  <c r="D81" i="40"/>
  <c r="F80" i="40"/>
  <c r="E80" i="40"/>
  <c r="D80" i="40"/>
  <c r="U79" i="40"/>
  <c r="T79" i="40"/>
  <c r="S79" i="40"/>
  <c r="R79" i="40"/>
  <c r="Q79" i="40"/>
  <c r="P79" i="40"/>
  <c r="O79" i="40"/>
  <c r="N79" i="40"/>
  <c r="M79" i="40"/>
  <c r="L79" i="40"/>
  <c r="K79" i="40"/>
  <c r="J79" i="40"/>
  <c r="I79" i="40"/>
  <c r="H79" i="40"/>
  <c r="G79" i="40"/>
  <c r="F79" i="40"/>
  <c r="F153" i="40" s="1"/>
  <c r="E79" i="40"/>
  <c r="E153" i="40" s="1"/>
  <c r="D79" i="40"/>
  <c r="D153" i="40" s="1"/>
  <c r="U78" i="40"/>
  <c r="U152" i="40" s="1"/>
  <c r="T78" i="40"/>
  <c r="S78" i="40"/>
  <c r="S152" i="40" s="1"/>
  <c r="R78" i="40"/>
  <c r="Q78" i="40"/>
  <c r="Q152" i="40" s="1"/>
  <c r="P78" i="40"/>
  <c r="O78" i="40"/>
  <c r="O152" i="40" s="1"/>
  <c r="N78" i="40"/>
  <c r="N152" i="40" s="1"/>
  <c r="M78" i="40"/>
  <c r="M152" i="40" s="1"/>
  <c r="L78" i="40"/>
  <c r="K78" i="40"/>
  <c r="K152" i="40" s="1"/>
  <c r="J78" i="40"/>
  <c r="I78" i="40"/>
  <c r="I152" i="40" s="1"/>
  <c r="H78" i="40"/>
  <c r="H152" i="40" s="1"/>
  <c r="G78" i="40"/>
  <c r="G152" i="40" s="1"/>
  <c r="F78" i="40"/>
  <c r="E78" i="40"/>
  <c r="D78" i="40"/>
  <c r="D67" i="40"/>
  <c r="E66" i="40"/>
  <c r="E67" i="40" s="1"/>
  <c r="D66" i="40"/>
  <c r="D60" i="40"/>
  <c r="E60" i="40" s="1"/>
  <c r="F60" i="40" s="1"/>
  <c r="G60" i="40" s="1"/>
  <c r="E31" i="40"/>
  <c r="E35" i="40" s="1"/>
  <c r="F26" i="40"/>
  <c r="F31" i="40" s="1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O23" i="40"/>
  <c r="O25" i="40" s="1"/>
  <c r="G23" i="40"/>
  <c r="G25" i="40" s="1"/>
  <c r="F21" i="40"/>
  <c r="E21" i="40"/>
  <c r="E26" i="40" s="1"/>
  <c r="D21" i="40"/>
  <c r="D26" i="40" s="1"/>
  <c r="D31" i="40" s="1"/>
  <c r="D35" i="40" s="1"/>
  <c r="C21" i="40"/>
  <c r="C26" i="40" s="1"/>
  <c r="C31" i="40" s="1"/>
  <c r="C35" i="40" s="1"/>
  <c r="C37" i="40" s="1"/>
  <c r="G19" i="40"/>
  <c r="H19" i="40" s="1"/>
  <c r="I19" i="40" s="1"/>
  <c r="J19" i="40" s="1"/>
  <c r="K19" i="40" s="1"/>
  <c r="L19" i="40" s="1"/>
  <c r="M19" i="40" s="1"/>
  <c r="N19" i="40" s="1"/>
  <c r="Q18" i="40"/>
  <c r="P18" i="40"/>
  <c r="I18" i="40"/>
  <c r="H18" i="40"/>
  <c r="T16" i="40"/>
  <c r="T18" i="40" s="1"/>
  <c r="Q16" i="40"/>
  <c r="P16" i="40"/>
  <c r="O16" i="40"/>
  <c r="O18" i="40" s="1"/>
  <c r="L16" i="40"/>
  <c r="L18" i="40" s="1"/>
  <c r="I16" i="40"/>
  <c r="H16" i="40"/>
  <c r="G16" i="40"/>
  <c r="G18" i="40" s="1"/>
  <c r="G21" i="40" s="1"/>
  <c r="U15" i="40"/>
  <c r="U16" i="40" s="1"/>
  <c r="U18" i="40" s="1"/>
  <c r="T15" i="40"/>
  <c r="S15" i="40"/>
  <c r="S16" i="40" s="1"/>
  <c r="S18" i="40" s="1"/>
  <c r="R15" i="40"/>
  <c r="R16" i="40" s="1"/>
  <c r="R18" i="40" s="1"/>
  <c r="Q15" i="40"/>
  <c r="P15" i="40"/>
  <c r="O15" i="40"/>
  <c r="N15" i="40"/>
  <c r="N16" i="40" s="1"/>
  <c r="N18" i="40" s="1"/>
  <c r="M15" i="40"/>
  <c r="M16" i="40" s="1"/>
  <c r="M18" i="40" s="1"/>
  <c r="L15" i="40"/>
  <c r="K15" i="40"/>
  <c r="K16" i="40" s="1"/>
  <c r="K18" i="40" s="1"/>
  <c r="J15" i="40"/>
  <c r="J16" i="40" s="1"/>
  <c r="J18" i="40" s="1"/>
  <c r="I15" i="40"/>
  <c r="H15" i="40"/>
  <c r="G15" i="40"/>
  <c r="R8" i="40"/>
  <c r="C7" i="40"/>
  <c r="T23" i="40" s="1"/>
  <c r="T25" i="40" s="1"/>
  <c r="R4" i="40"/>
  <c r="R6" i="40" s="1"/>
  <c r="Q6" i="40" s="1"/>
  <c r="R174" i="39"/>
  <c r="J174" i="39"/>
  <c r="U173" i="39"/>
  <c r="T173" i="39"/>
  <c r="S173" i="39"/>
  <c r="R173" i="39"/>
  <c r="Q173" i="39"/>
  <c r="P173" i="39"/>
  <c r="O173" i="39"/>
  <c r="N173" i="39"/>
  <c r="M173" i="39"/>
  <c r="L173" i="39"/>
  <c r="K173" i="39"/>
  <c r="J173" i="39"/>
  <c r="I173" i="39"/>
  <c r="H173" i="39"/>
  <c r="G173" i="39"/>
  <c r="S156" i="39"/>
  <c r="G141" i="39"/>
  <c r="C141" i="39"/>
  <c r="D131" i="39"/>
  <c r="F128" i="39"/>
  <c r="E127" i="39"/>
  <c r="D127" i="39"/>
  <c r="U111" i="39"/>
  <c r="T111" i="39"/>
  <c r="S111" i="39"/>
  <c r="R111" i="39"/>
  <c r="Q111" i="39"/>
  <c r="F90" i="39"/>
  <c r="F133" i="39" s="1"/>
  <c r="U89" i="39"/>
  <c r="T89" i="39"/>
  <c r="S89" i="39"/>
  <c r="S174" i="39" s="1"/>
  <c r="R89" i="39"/>
  <c r="Q89" i="39"/>
  <c r="Q174" i="39" s="1"/>
  <c r="P89" i="39"/>
  <c r="P174" i="39" s="1"/>
  <c r="O89" i="39"/>
  <c r="O174" i="39" s="1"/>
  <c r="N89" i="39"/>
  <c r="N174" i="39" s="1"/>
  <c r="M89" i="39"/>
  <c r="M174" i="39" s="1"/>
  <c r="L89" i="39"/>
  <c r="L174" i="39" s="1"/>
  <c r="K89" i="39"/>
  <c r="K174" i="39" s="1"/>
  <c r="J89" i="39"/>
  <c r="I89" i="39"/>
  <c r="I174" i="39" s="1"/>
  <c r="H89" i="39"/>
  <c r="H174" i="39" s="1"/>
  <c r="G89" i="39"/>
  <c r="G174" i="39" s="1"/>
  <c r="Q87" i="39"/>
  <c r="P87" i="39"/>
  <c r="P111" i="39" s="1"/>
  <c r="F82" i="39"/>
  <c r="E82" i="39"/>
  <c r="D82" i="39"/>
  <c r="U81" i="39"/>
  <c r="U156" i="39" s="1"/>
  <c r="T81" i="39"/>
  <c r="T156" i="39" s="1"/>
  <c r="S81" i="39"/>
  <c r="R81" i="39"/>
  <c r="R156" i="39" s="1"/>
  <c r="Q81" i="39"/>
  <c r="Q156" i="39" s="1"/>
  <c r="P81" i="39"/>
  <c r="P156" i="39" s="1"/>
  <c r="O81" i="39"/>
  <c r="O156" i="39" s="1"/>
  <c r="N81" i="39"/>
  <c r="N156" i="39" s="1"/>
  <c r="M81" i="39"/>
  <c r="L81" i="39"/>
  <c r="K81" i="39"/>
  <c r="J81" i="39"/>
  <c r="I81" i="39"/>
  <c r="H81" i="39"/>
  <c r="G81" i="39"/>
  <c r="F81" i="39"/>
  <c r="E81" i="39"/>
  <c r="D81" i="39"/>
  <c r="F80" i="39"/>
  <c r="E80" i="39"/>
  <c r="D80" i="39"/>
  <c r="U79" i="39"/>
  <c r="T79" i="39"/>
  <c r="S79" i="39"/>
  <c r="R79" i="39"/>
  <c r="Q79" i="39"/>
  <c r="P79" i="39"/>
  <c r="O79" i="39"/>
  <c r="N79" i="39"/>
  <c r="M79" i="39"/>
  <c r="L79" i="39"/>
  <c r="K79" i="39"/>
  <c r="J79" i="39"/>
  <c r="I79" i="39"/>
  <c r="H79" i="39"/>
  <c r="G79" i="39"/>
  <c r="F79" i="39"/>
  <c r="F153" i="39" s="1"/>
  <c r="E79" i="39"/>
  <c r="E153" i="39" s="1"/>
  <c r="D79" i="39"/>
  <c r="D153" i="39" s="1"/>
  <c r="U78" i="39"/>
  <c r="U152" i="39" s="1"/>
  <c r="T78" i="39"/>
  <c r="T152" i="39" s="1"/>
  <c r="S78" i="39"/>
  <c r="S152" i="39" s="1"/>
  <c r="R78" i="39"/>
  <c r="R152" i="39" s="1"/>
  <c r="Q78" i="39"/>
  <c r="Q152" i="39" s="1"/>
  <c r="P78" i="39"/>
  <c r="P152" i="39" s="1"/>
  <c r="O78" i="39"/>
  <c r="O152" i="39" s="1"/>
  <c r="N78" i="39"/>
  <c r="N152" i="39" s="1"/>
  <c r="M78" i="39"/>
  <c r="M152" i="39" s="1"/>
  <c r="L78" i="39"/>
  <c r="L152" i="39" s="1"/>
  <c r="K78" i="39"/>
  <c r="K152" i="39" s="1"/>
  <c r="J78" i="39"/>
  <c r="J152" i="39" s="1"/>
  <c r="I78" i="39"/>
  <c r="I152" i="39" s="1"/>
  <c r="H78" i="39"/>
  <c r="H152" i="39" s="1"/>
  <c r="G78" i="39"/>
  <c r="G152" i="39" s="1"/>
  <c r="F78" i="39"/>
  <c r="E78" i="39"/>
  <c r="D78" i="39"/>
  <c r="E66" i="39"/>
  <c r="D66" i="39"/>
  <c r="D67" i="39" s="1"/>
  <c r="E60" i="39"/>
  <c r="F60" i="39" s="1"/>
  <c r="G60" i="39" s="1"/>
  <c r="D60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Q23" i="39"/>
  <c r="Q25" i="39" s="1"/>
  <c r="O23" i="39"/>
  <c r="O25" i="39" s="1"/>
  <c r="N23" i="39"/>
  <c r="N25" i="39" s="1"/>
  <c r="I23" i="39"/>
  <c r="I25" i="39" s="1"/>
  <c r="G23" i="39"/>
  <c r="G25" i="39" s="1"/>
  <c r="F21" i="39"/>
  <c r="F26" i="39" s="1"/>
  <c r="F31" i="39" s="1"/>
  <c r="E21" i="39"/>
  <c r="E26" i="39" s="1"/>
  <c r="E31" i="39" s="1"/>
  <c r="E35" i="39" s="1"/>
  <c r="D21" i="39"/>
  <c r="D26" i="39" s="1"/>
  <c r="D31" i="39" s="1"/>
  <c r="D35" i="39" s="1"/>
  <c r="C21" i="39"/>
  <c r="C26" i="39" s="1"/>
  <c r="C31" i="39" s="1"/>
  <c r="C35" i="39" s="1"/>
  <c r="C37" i="39" s="1"/>
  <c r="H19" i="39"/>
  <c r="I19" i="39" s="1"/>
  <c r="J19" i="39" s="1"/>
  <c r="K19" i="39" s="1"/>
  <c r="L19" i="39" s="1"/>
  <c r="M19" i="39" s="1"/>
  <c r="N19" i="39" s="1"/>
  <c r="O19" i="39" s="1"/>
  <c r="P19" i="39" s="1"/>
  <c r="Q19" i="39" s="1"/>
  <c r="R19" i="39" s="1"/>
  <c r="S19" i="39" s="1"/>
  <c r="T19" i="39" s="1"/>
  <c r="U19" i="39" s="1"/>
  <c r="G19" i="39"/>
  <c r="J18" i="39"/>
  <c r="S16" i="39"/>
  <c r="S18" i="39" s="1"/>
  <c r="Q16" i="39"/>
  <c r="Q18" i="39" s="1"/>
  <c r="O16" i="39"/>
  <c r="O18" i="39" s="1"/>
  <c r="K16" i="39"/>
  <c r="K18" i="39" s="1"/>
  <c r="I16" i="39"/>
  <c r="I18" i="39" s="1"/>
  <c r="I21" i="39" s="1"/>
  <c r="G16" i="39"/>
  <c r="G18" i="39" s="1"/>
  <c r="G21" i="39" s="1"/>
  <c r="U15" i="39"/>
  <c r="U16" i="39" s="1"/>
  <c r="U18" i="39" s="1"/>
  <c r="T15" i="39"/>
  <c r="T16" i="39" s="1"/>
  <c r="T18" i="39" s="1"/>
  <c r="S15" i="39"/>
  <c r="R15" i="39"/>
  <c r="R16" i="39" s="1"/>
  <c r="R18" i="39" s="1"/>
  <c r="Q15" i="39"/>
  <c r="P15" i="39"/>
  <c r="P16" i="39" s="1"/>
  <c r="P18" i="39" s="1"/>
  <c r="P21" i="39" s="1"/>
  <c r="O15" i="39"/>
  <c r="N15" i="39"/>
  <c r="N16" i="39" s="1"/>
  <c r="N18" i="39" s="1"/>
  <c r="M15" i="39"/>
  <c r="M16" i="39" s="1"/>
  <c r="M18" i="39" s="1"/>
  <c r="L15" i="39"/>
  <c r="L16" i="39" s="1"/>
  <c r="L18" i="39" s="1"/>
  <c r="K15" i="39"/>
  <c r="J15" i="39"/>
  <c r="J16" i="39" s="1"/>
  <c r="I15" i="39"/>
  <c r="H15" i="39"/>
  <c r="H16" i="39" s="1"/>
  <c r="H18" i="39" s="1"/>
  <c r="H21" i="39" s="1"/>
  <c r="G15" i="39"/>
  <c r="R8" i="39"/>
  <c r="C7" i="39"/>
  <c r="P23" i="39" s="1"/>
  <c r="P25" i="39" s="1"/>
  <c r="R4" i="39"/>
  <c r="W172" i="39" s="1"/>
  <c r="S174" i="38"/>
  <c r="O174" i="38"/>
  <c r="N174" i="38"/>
  <c r="K174" i="38"/>
  <c r="G174" i="38"/>
  <c r="U173" i="38"/>
  <c r="T173" i="38"/>
  <c r="S173" i="38"/>
  <c r="R173" i="38"/>
  <c r="Q173" i="38"/>
  <c r="P173" i="38"/>
  <c r="O173" i="38"/>
  <c r="N173" i="38"/>
  <c r="M173" i="38"/>
  <c r="L173" i="38"/>
  <c r="K173" i="38"/>
  <c r="J173" i="38"/>
  <c r="I173" i="38"/>
  <c r="H173" i="38"/>
  <c r="G173" i="38"/>
  <c r="P172" i="38"/>
  <c r="T156" i="38"/>
  <c r="P156" i="38"/>
  <c r="O156" i="38"/>
  <c r="S152" i="38"/>
  <c r="R152" i="38"/>
  <c r="K152" i="38"/>
  <c r="J152" i="38"/>
  <c r="C141" i="38"/>
  <c r="G141" i="38" s="1"/>
  <c r="F133" i="38"/>
  <c r="D131" i="38"/>
  <c r="F128" i="38"/>
  <c r="E127" i="38"/>
  <c r="D127" i="38"/>
  <c r="U111" i="38"/>
  <c r="T111" i="38"/>
  <c r="S111" i="38"/>
  <c r="R111" i="38"/>
  <c r="F90" i="38"/>
  <c r="U89" i="38"/>
  <c r="U174" i="38" s="1"/>
  <c r="T89" i="38"/>
  <c r="S89" i="38"/>
  <c r="R89" i="38"/>
  <c r="R174" i="38" s="1"/>
  <c r="Q89" i="38"/>
  <c r="Q174" i="38" s="1"/>
  <c r="P89" i="38"/>
  <c r="P174" i="38" s="1"/>
  <c r="O89" i="38"/>
  <c r="N89" i="38"/>
  <c r="M89" i="38"/>
  <c r="M174" i="38" s="1"/>
  <c r="L89" i="38"/>
  <c r="L174" i="38" s="1"/>
  <c r="K89" i="38"/>
  <c r="J89" i="38"/>
  <c r="J174" i="38" s="1"/>
  <c r="I89" i="38"/>
  <c r="I174" i="38" s="1"/>
  <c r="H89" i="38"/>
  <c r="H174" i="38" s="1"/>
  <c r="G89" i="38"/>
  <c r="Q87" i="38"/>
  <c r="P87" i="38"/>
  <c r="P111" i="38" s="1"/>
  <c r="F82" i="38"/>
  <c r="E82" i="38"/>
  <c r="D82" i="38"/>
  <c r="U81" i="38"/>
  <c r="U156" i="38" s="1"/>
  <c r="T81" i="38"/>
  <c r="S81" i="38"/>
  <c r="S156" i="38" s="1"/>
  <c r="R81" i="38"/>
  <c r="R156" i="38" s="1"/>
  <c r="Q81" i="38"/>
  <c r="Q156" i="38" s="1"/>
  <c r="P81" i="38"/>
  <c r="O81" i="38"/>
  <c r="N81" i="38"/>
  <c r="N156" i="38" s="1"/>
  <c r="M81" i="38"/>
  <c r="L81" i="38"/>
  <c r="K81" i="38"/>
  <c r="J81" i="38"/>
  <c r="I81" i="38"/>
  <c r="H81" i="38"/>
  <c r="G81" i="38"/>
  <c r="F81" i="38"/>
  <c r="E81" i="38"/>
  <c r="D81" i="38"/>
  <c r="F80" i="38"/>
  <c r="E80" i="38"/>
  <c r="D80" i="38"/>
  <c r="U79" i="38"/>
  <c r="T79" i="38"/>
  <c r="S79" i="38"/>
  <c r="R79" i="38"/>
  <c r="Q79" i="38"/>
  <c r="P79" i="38"/>
  <c r="O79" i="38"/>
  <c r="N79" i="38"/>
  <c r="M79" i="38"/>
  <c r="L79" i="38"/>
  <c r="K79" i="38"/>
  <c r="J79" i="38"/>
  <c r="I79" i="38"/>
  <c r="H79" i="38"/>
  <c r="G79" i="38"/>
  <c r="F79" i="38"/>
  <c r="F153" i="38" s="1"/>
  <c r="E79" i="38"/>
  <c r="E153" i="38" s="1"/>
  <c r="D79" i="38"/>
  <c r="D153" i="38" s="1"/>
  <c r="U78" i="38"/>
  <c r="U152" i="38" s="1"/>
  <c r="T78" i="38"/>
  <c r="T152" i="38" s="1"/>
  <c r="S78" i="38"/>
  <c r="R78" i="38"/>
  <c r="Q78" i="38"/>
  <c r="Q152" i="38" s="1"/>
  <c r="P78" i="38"/>
  <c r="P152" i="38" s="1"/>
  <c r="O78" i="38"/>
  <c r="O152" i="38" s="1"/>
  <c r="N78" i="38"/>
  <c r="N152" i="38" s="1"/>
  <c r="M78" i="38"/>
  <c r="M152" i="38" s="1"/>
  <c r="L78" i="38"/>
  <c r="L152" i="38" s="1"/>
  <c r="K78" i="38"/>
  <c r="J78" i="38"/>
  <c r="I78" i="38"/>
  <c r="I152" i="38" s="1"/>
  <c r="H78" i="38"/>
  <c r="H152" i="38" s="1"/>
  <c r="G78" i="38"/>
  <c r="G152" i="38" s="1"/>
  <c r="F78" i="38"/>
  <c r="E78" i="38"/>
  <c r="D78" i="38"/>
  <c r="D67" i="38"/>
  <c r="F66" i="38"/>
  <c r="E66" i="38"/>
  <c r="E67" i="38" s="1"/>
  <c r="D66" i="38"/>
  <c r="D60" i="38"/>
  <c r="E60" i="38" s="1"/>
  <c r="F60" i="38" s="1"/>
  <c r="G60" i="38" s="1"/>
  <c r="F26" i="38"/>
  <c r="F31" i="38" s="1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S23" i="38"/>
  <c r="S25" i="38" s="1"/>
  <c r="K23" i="38"/>
  <c r="K25" i="38" s="1"/>
  <c r="F21" i="38"/>
  <c r="E21" i="38"/>
  <c r="E26" i="38" s="1"/>
  <c r="E31" i="38" s="1"/>
  <c r="E35" i="38" s="1"/>
  <c r="D21" i="38"/>
  <c r="D26" i="38" s="1"/>
  <c r="D31" i="38" s="1"/>
  <c r="D35" i="38" s="1"/>
  <c r="C21" i="38"/>
  <c r="C26" i="38" s="1"/>
  <c r="C31" i="38" s="1"/>
  <c r="C35" i="38" s="1"/>
  <c r="C37" i="38" s="1"/>
  <c r="G19" i="38"/>
  <c r="H19" i="38" s="1"/>
  <c r="I19" i="38" s="1"/>
  <c r="J19" i="38" s="1"/>
  <c r="K19" i="38" s="1"/>
  <c r="L19" i="38" s="1"/>
  <c r="M19" i="38" s="1"/>
  <c r="N19" i="38" s="1"/>
  <c r="O19" i="38" s="1"/>
  <c r="P19" i="38" s="1"/>
  <c r="Q19" i="38" s="1"/>
  <c r="R19" i="38" s="1"/>
  <c r="S19" i="38" s="1"/>
  <c r="T19" i="38" s="1"/>
  <c r="U19" i="38" s="1"/>
  <c r="I18" i="38"/>
  <c r="I21" i="38" s="1"/>
  <c r="U16" i="38"/>
  <c r="U18" i="38" s="1"/>
  <c r="U21" i="38" s="1"/>
  <c r="S16" i="38"/>
  <c r="S18" i="38" s="1"/>
  <c r="S21" i="38" s="1"/>
  <c r="P16" i="38"/>
  <c r="P18" i="38" s="1"/>
  <c r="M16" i="38"/>
  <c r="M18" i="38" s="1"/>
  <c r="K16" i="38"/>
  <c r="K18" i="38" s="1"/>
  <c r="I16" i="38"/>
  <c r="H16" i="38"/>
  <c r="H18" i="38" s="1"/>
  <c r="H21" i="38" s="1"/>
  <c r="U15" i="38"/>
  <c r="T15" i="38"/>
  <c r="T16" i="38" s="1"/>
  <c r="T18" i="38" s="1"/>
  <c r="T21" i="38" s="1"/>
  <c r="S15" i="38"/>
  <c r="R15" i="38"/>
  <c r="R16" i="38" s="1"/>
  <c r="R18" i="38" s="1"/>
  <c r="Q15" i="38"/>
  <c r="Q16" i="38" s="1"/>
  <c r="Q18" i="38" s="1"/>
  <c r="P15" i="38"/>
  <c r="O15" i="38"/>
  <c r="O16" i="38" s="1"/>
  <c r="O18" i="38" s="1"/>
  <c r="N15" i="38"/>
  <c r="N16" i="38" s="1"/>
  <c r="N18" i="38" s="1"/>
  <c r="N21" i="38" s="1"/>
  <c r="M15" i="38"/>
  <c r="L15" i="38"/>
  <c r="L16" i="38" s="1"/>
  <c r="L18" i="38" s="1"/>
  <c r="L21" i="38" s="1"/>
  <c r="K15" i="38"/>
  <c r="J15" i="38"/>
  <c r="J16" i="38" s="1"/>
  <c r="J18" i="38" s="1"/>
  <c r="I15" i="38"/>
  <c r="H15" i="38"/>
  <c r="G15" i="38"/>
  <c r="G16" i="38" s="1"/>
  <c r="G18" i="38" s="1"/>
  <c r="G21" i="38" s="1"/>
  <c r="R8" i="38"/>
  <c r="C7" i="38"/>
  <c r="H23" i="38" s="1"/>
  <c r="H25" i="38" s="1"/>
  <c r="R4" i="38"/>
  <c r="W172" i="38" s="1"/>
  <c r="S174" i="37"/>
  <c r="K174" i="37"/>
  <c r="U173" i="37"/>
  <c r="T173" i="37"/>
  <c r="S173" i="37"/>
  <c r="R173" i="37"/>
  <c r="Q173" i="37"/>
  <c r="P173" i="37"/>
  <c r="O173" i="37"/>
  <c r="N173" i="37"/>
  <c r="M173" i="37"/>
  <c r="L173" i="37"/>
  <c r="K173" i="37"/>
  <c r="J173" i="37"/>
  <c r="I173" i="37"/>
  <c r="H173" i="37"/>
  <c r="G173" i="37"/>
  <c r="T156" i="37"/>
  <c r="E153" i="37"/>
  <c r="G152" i="37"/>
  <c r="C141" i="37"/>
  <c r="G141" i="37" s="1"/>
  <c r="F133" i="37"/>
  <c r="F175" i="37" s="1"/>
  <c r="D131" i="37"/>
  <c r="F128" i="37"/>
  <c r="E127" i="37"/>
  <c r="D127" i="37"/>
  <c r="U111" i="37"/>
  <c r="T111" i="37"/>
  <c r="S111" i="37"/>
  <c r="R111" i="37"/>
  <c r="F90" i="37"/>
  <c r="U89" i="37"/>
  <c r="T89" i="37"/>
  <c r="S89" i="37"/>
  <c r="R89" i="37"/>
  <c r="R174" i="37" s="1"/>
  <c r="Q89" i="37"/>
  <c r="Q174" i="37" s="1"/>
  <c r="P89" i="37"/>
  <c r="P174" i="37" s="1"/>
  <c r="O89" i="37"/>
  <c r="O174" i="37" s="1"/>
  <c r="N89" i="37"/>
  <c r="N174" i="37" s="1"/>
  <c r="M89" i="37"/>
  <c r="M174" i="37" s="1"/>
  <c r="L89" i="37"/>
  <c r="L174" i="37" s="1"/>
  <c r="K89" i="37"/>
  <c r="J89" i="37"/>
  <c r="J174" i="37" s="1"/>
  <c r="I89" i="37"/>
  <c r="I174" i="37" s="1"/>
  <c r="H89" i="37"/>
  <c r="H174" i="37" s="1"/>
  <c r="G89" i="37"/>
  <c r="G174" i="37" s="1"/>
  <c r="Q87" i="37"/>
  <c r="Q111" i="37" s="1"/>
  <c r="P87" i="37"/>
  <c r="P111" i="37" s="1"/>
  <c r="F82" i="37"/>
  <c r="E82" i="37"/>
  <c r="D82" i="37"/>
  <c r="U81" i="37"/>
  <c r="U156" i="37" s="1"/>
  <c r="T81" i="37"/>
  <c r="S81" i="37"/>
  <c r="S156" i="37" s="1"/>
  <c r="R81" i="37"/>
  <c r="R156" i="37" s="1"/>
  <c r="Q81" i="37"/>
  <c r="Q156" i="37" s="1"/>
  <c r="P81" i="37"/>
  <c r="P156" i="37" s="1"/>
  <c r="O81" i="37"/>
  <c r="O156" i="37" s="1"/>
  <c r="N81" i="37"/>
  <c r="N156" i="37" s="1"/>
  <c r="M81" i="37"/>
  <c r="L81" i="37"/>
  <c r="K81" i="37"/>
  <c r="J81" i="37"/>
  <c r="I81" i="37"/>
  <c r="H81" i="37"/>
  <c r="G81" i="37"/>
  <c r="F81" i="37"/>
  <c r="E81" i="37"/>
  <c r="D81" i="37"/>
  <c r="F80" i="37"/>
  <c r="E80" i="37"/>
  <c r="D80" i="37"/>
  <c r="U79" i="37"/>
  <c r="T79" i="37"/>
  <c r="S79" i="37"/>
  <c r="R79" i="37"/>
  <c r="Q79" i="37"/>
  <c r="P79" i="37"/>
  <c r="O79" i="37"/>
  <c r="N79" i="37"/>
  <c r="M79" i="37"/>
  <c r="L79" i="37"/>
  <c r="K79" i="37"/>
  <c r="J79" i="37"/>
  <c r="I79" i="37"/>
  <c r="H79" i="37"/>
  <c r="G79" i="37"/>
  <c r="F79" i="37"/>
  <c r="F153" i="37" s="1"/>
  <c r="E79" i="37"/>
  <c r="D79" i="37"/>
  <c r="D153" i="37" s="1"/>
  <c r="U78" i="37"/>
  <c r="U152" i="37" s="1"/>
  <c r="T78" i="37"/>
  <c r="T152" i="37" s="1"/>
  <c r="S78" i="37"/>
  <c r="S152" i="37" s="1"/>
  <c r="R78" i="37"/>
  <c r="R152" i="37" s="1"/>
  <c r="Q78" i="37"/>
  <c r="Q152" i="37" s="1"/>
  <c r="P78" i="37"/>
  <c r="P152" i="37" s="1"/>
  <c r="O78" i="37"/>
  <c r="O152" i="37" s="1"/>
  <c r="N78" i="37"/>
  <c r="N152" i="37" s="1"/>
  <c r="M78" i="37"/>
  <c r="M152" i="37" s="1"/>
  <c r="L78" i="37"/>
  <c r="L152" i="37" s="1"/>
  <c r="K78" i="37"/>
  <c r="K152" i="37" s="1"/>
  <c r="J78" i="37"/>
  <c r="J152" i="37" s="1"/>
  <c r="I78" i="37"/>
  <c r="I152" i="37" s="1"/>
  <c r="H78" i="37"/>
  <c r="H152" i="37" s="1"/>
  <c r="G78" i="37"/>
  <c r="F78" i="37"/>
  <c r="E78" i="37"/>
  <c r="D78" i="37"/>
  <c r="E66" i="37"/>
  <c r="D66" i="37"/>
  <c r="D67" i="37" s="1"/>
  <c r="D60" i="37"/>
  <c r="E60" i="37" s="1"/>
  <c r="F60" i="37" s="1"/>
  <c r="G60" i="37" s="1"/>
  <c r="D35" i="37"/>
  <c r="U24" i="37"/>
  <c r="T24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Q23" i="37"/>
  <c r="I23" i="37"/>
  <c r="F21" i="37"/>
  <c r="F26" i="37" s="1"/>
  <c r="F31" i="37" s="1"/>
  <c r="E21" i="37"/>
  <c r="E26" i="37" s="1"/>
  <c r="E31" i="37" s="1"/>
  <c r="E35" i="37" s="1"/>
  <c r="D21" i="37"/>
  <c r="D26" i="37" s="1"/>
  <c r="D31" i="37" s="1"/>
  <c r="C21" i="37"/>
  <c r="C26" i="37" s="1"/>
  <c r="C31" i="37" s="1"/>
  <c r="C35" i="37" s="1"/>
  <c r="C37" i="37" s="1"/>
  <c r="G19" i="37"/>
  <c r="H19" i="37" s="1"/>
  <c r="I19" i="37" s="1"/>
  <c r="J19" i="37" s="1"/>
  <c r="K19" i="37" s="1"/>
  <c r="L19" i="37" s="1"/>
  <c r="M19" i="37" s="1"/>
  <c r="N19" i="37" s="1"/>
  <c r="O19" i="37" s="1"/>
  <c r="P19" i="37" s="1"/>
  <c r="Q19" i="37" s="1"/>
  <c r="R19" i="37" s="1"/>
  <c r="S19" i="37" s="1"/>
  <c r="T19" i="37" s="1"/>
  <c r="U19" i="37" s="1"/>
  <c r="U15" i="37"/>
  <c r="U16" i="37" s="1"/>
  <c r="U18" i="37" s="1"/>
  <c r="T15" i="37"/>
  <c r="T16" i="37" s="1"/>
  <c r="T18" i="37" s="1"/>
  <c r="S15" i="37"/>
  <c r="S16" i="37" s="1"/>
  <c r="S18" i="37" s="1"/>
  <c r="R15" i="37"/>
  <c r="R16" i="37" s="1"/>
  <c r="R18" i="37" s="1"/>
  <c r="Q15" i="37"/>
  <c r="Q16" i="37" s="1"/>
  <c r="Q18" i="37" s="1"/>
  <c r="P15" i="37"/>
  <c r="P16" i="37" s="1"/>
  <c r="P18" i="37" s="1"/>
  <c r="O15" i="37"/>
  <c r="O16" i="37" s="1"/>
  <c r="O18" i="37" s="1"/>
  <c r="N15" i="37"/>
  <c r="N16" i="37" s="1"/>
  <c r="N18" i="37" s="1"/>
  <c r="M15" i="37"/>
  <c r="M16" i="37" s="1"/>
  <c r="M18" i="37" s="1"/>
  <c r="L15" i="37"/>
  <c r="L16" i="37" s="1"/>
  <c r="L18" i="37" s="1"/>
  <c r="K15" i="37"/>
  <c r="K16" i="37" s="1"/>
  <c r="K18" i="37" s="1"/>
  <c r="J15" i="37"/>
  <c r="J16" i="37" s="1"/>
  <c r="J18" i="37" s="1"/>
  <c r="J21" i="37" s="1"/>
  <c r="I15" i="37"/>
  <c r="I16" i="37" s="1"/>
  <c r="I18" i="37" s="1"/>
  <c r="H15" i="37"/>
  <c r="H16" i="37" s="1"/>
  <c r="H18" i="37" s="1"/>
  <c r="H21" i="37" s="1"/>
  <c r="G15" i="37"/>
  <c r="G16" i="37" s="1"/>
  <c r="G18" i="37" s="1"/>
  <c r="G21" i="37" s="1"/>
  <c r="R8" i="37"/>
  <c r="C7" i="37"/>
  <c r="P23" i="37" s="1"/>
  <c r="R4" i="37"/>
  <c r="W172" i="37" s="1"/>
  <c r="S174" i="36"/>
  <c r="K174" i="36"/>
  <c r="U173" i="36"/>
  <c r="T173" i="36"/>
  <c r="S173" i="36"/>
  <c r="R173" i="36"/>
  <c r="Q173" i="36"/>
  <c r="P173" i="36"/>
  <c r="O173" i="36"/>
  <c r="N173" i="36"/>
  <c r="M173" i="36"/>
  <c r="L173" i="36"/>
  <c r="K173" i="36"/>
  <c r="J173" i="36"/>
  <c r="I173" i="36"/>
  <c r="H173" i="36"/>
  <c r="G173" i="36"/>
  <c r="T156" i="36"/>
  <c r="S156" i="36"/>
  <c r="E153" i="36"/>
  <c r="D153" i="36"/>
  <c r="N152" i="36"/>
  <c r="G152" i="36"/>
  <c r="G141" i="36"/>
  <c r="C141" i="36"/>
  <c r="F133" i="36"/>
  <c r="D131" i="36"/>
  <c r="F128" i="36"/>
  <c r="E127" i="36"/>
  <c r="D127" i="36"/>
  <c r="U111" i="36"/>
  <c r="T111" i="36"/>
  <c r="S111" i="36"/>
  <c r="R111" i="36"/>
  <c r="Q111" i="36"/>
  <c r="F90" i="36"/>
  <c r="U89" i="36"/>
  <c r="T89" i="36"/>
  <c r="S89" i="36"/>
  <c r="R89" i="36"/>
  <c r="R174" i="36" s="1"/>
  <c r="Q89" i="36"/>
  <c r="P89" i="36"/>
  <c r="P174" i="36" s="1"/>
  <c r="O89" i="36"/>
  <c r="O174" i="36" s="1"/>
  <c r="N89" i="36"/>
  <c r="N174" i="36" s="1"/>
  <c r="M89" i="36"/>
  <c r="M174" i="36" s="1"/>
  <c r="L89" i="36"/>
  <c r="L174" i="36" s="1"/>
  <c r="K89" i="36"/>
  <c r="J89" i="36"/>
  <c r="J174" i="36" s="1"/>
  <c r="I89" i="36"/>
  <c r="I174" i="36" s="1"/>
  <c r="H89" i="36"/>
  <c r="H174" i="36" s="1"/>
  <c r="G89" i="36"/>
  <c r="G174" i="36" s="1"/>
  <c r="Q87" i="36"/>
  <c r="P87" i="36"/>
  <c r="P111" i="36" s="1"/>
  <c r="F82" i="36"/>
  <c r="E82" i="36"/>
  <c r="D82" i="36"/>
  <c r="U81" i="36"/>
  <c r="U156" i="36" s="1"/>
  <c r="T81" i="36"/>
  <c r="S81" i="36"/>
  <c r="R81" i="36"/>
  <c r="R156" i="36" s="1"/>
  <c r="Q81" i="36"/>
  <c r="Q156" i="36" s="1"/>
  <c r="P81" i="36"/>
  <c r="P156" i="36" s="1"/>
  <c r="O81" i="36"/>
  <c r="O156" i="36" s="1"/>
  <c r="N81" i="36"/>
  <c r="N156" i="36" s="1"/>
  <c r="M81" i="36"/>
  <c r="L81" i="36"/>
  <c r="K81" i="36"/>
  <c r="J81" i="36"/>
  <c r="I81" i="36"/>
  <c r="H81" i="36"/>
  <c r="G81" i="36"/>
  <c r="F81" i="36"/>
  <c r="E81" i="36"/>
  <c r="D81" i="36"/>
  <c r="F80" i="36"/>
  <c r="E80" i="36"/>
  <c r="D80" i="36"/>
  <c r="U79" i="36"/>
  <c r="T79" i="36"/>
  <c r="S79" i="36"/>
  <c r="R79" i="36"/>
  <c r="Q79" i="36"/>
  <c r="P79" i="36"/>
  <c r="O79" i="36"/>
  <c r="N79" i="36"/>
  <c r="M79" i="36"/>
  <c r="L79" i="36"/>
  <c r="K79" i="36"/>
  <c r="J79" i="36"/>
  <c r="I79" i="36"/>
  <c r="H79" i="36"/>
  <c r="G79" i="36"/>
  <c r="F79" i="36"/>
  <c r="F153" i="36" s="1"/>
  <c r="E79" i="36"/>
  <c r="D79" i="36"/>
  <c r="U78" i="36"/>
  <c r="U152" i="36" s="1"/>
  <c r="T78" i="36"/>
  <c r="T152" i="36" s="1"/>
  <c r="S78" i="36"/>
  <c r="S152" i="36" s="1"/>
  <c r="R78" i="36"/>
  <c r="R152" i="36" s="1"/>
  <c r="Q78" i="36"/>
  <c r="Q152" i="36" s="1"/>
  <c r="P78" i="36"/>
  <c r="P152" i="36" s="1"/>
  <c r="O78" i="36"/>
  <c r="O152" i="36" s="1"/>
  <c r="N78" i="36"/>
  <c r="M78" i="36"/>
  <c r="M152" i="36" s="1"/>
  <c r="L78" i="36"/>
  <c r="L152" i="36" s="1"/>
  <c r="K78" i="36"/>
  <c r="K152" i="36" s="1"/>
  <c r="J78" i="36"/>
  <c r="J152" i="36" s="1"/>
  <c r="I78" i="36"/>
  <c r="I152" i="36" s="1"/>
  <c r="H78" i="36"/>
  <c r="H152" i="36" s="1"/>
  <c r="G78" i="36"/>
  <c r="F78" i="36"/>
  <c r="E78" i="36"/>
  <c r="D78" i="36"/>
  <c r="D66" i="36"/>
  <c r="E60" i="36"/>
  <c r="F60" i="36" s="1"/>
  <c r="G60" i="36" s="1"/>
  <c r="D60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U23" i="36"/>
  <c r="U25" i="36" s="1"/>
  <c r="P23" i="36"/>
  <c r="K23" i="36"/>
  <c r="K25" i="36" s="1"/>
  <c r="I23" i="36"/>
  <c r="I25" i="36" s="1"/>
  <c r="F21" i="36"/>
  <c r="F26" i="36" s="1"/>
  <c r="F31" i="36" s="1"/>
  <c r="E21" i="36"/>
  <c r="E26" i="36" s="1"/>
  <c r="E31" i="36" s="1"/>
  <c r="E35" i="36" s="1"/>
  <c r="E77" i="36" s="1"/>
  <c r="D21" i="36"/>
  <c r="D26" i="36" s="1"/>
  <c r="D31" i="36" s="1"/>
  <c r="D35" i="36" s="1"/>
  <c r="C21" i="36"/>
  <c r="C26" i="36" s="1"/>
  <c r="C31" i="36" s="1"/>
  <c r="C35" i="36" s="1"/>
  <c r="C37" i="36" s="1"/>
  <c r="G19" i="36"/>
  <c r="H19" i="36" s="1"/>
  <c r="I19" i="36" s="1"/>
  <c r="J19" i="36" s="1"/>
  <c r="K19" i="36" s="1"/>
  <c r="L19" i="36" s="1"/>
  <c r="M19" i="36" s="1"/>
  <c r="N19" i="36" s="1"/>
  <c r="O19" i="36" s="1"/>
  <c r="P19" i="36" s="1"/>
  <c r="Q19" i="36" s="1"/>
  <c r="R19" i="36" s="1"/>
  <c r="S19" i="36" s="1"/>
  <c r="T19" i="36" s="1"/>
  <c r="U19" i="36" s="1"/>
  <c r="U16" i="36"/>
  <c r="U18" i="36" s="1"/>
  <c r="Q16" i="36"/>
  <c r="Q18" i="36" s="1"/>
  <c r="M16" i="36"/>
  <c r="M18" i="36" s="1"/>
  <c r="U15" i="36"/>
  <c r="T15" i="36"/>
  <c r="T16" i="36" s="1"/>
  <c r="T18" i="36" s="1"/>
  <c r="S15" i="36"/>
  <c r="S16" i="36" s="1"/>
  <c r="S18" i="36" s="1"/>
  <c r="R15" i="36"/>
  <c r="R16" i="36" s="1"/>
  <c r="R18" i="36" s="1"/>
  <c r="Q15" i="36"/>
  <c r="P15" i="36"/>
  <c r="P16" i="36" s="1"/>
  <c r="P18" i="36" s="1"/>
  <c r="O15" i="36"/>
  <c r="O16" i="36" s="1"/>
  <c r="O18" i="36" s="1"/>
  <c r="N15" i="36"/>
  <c r="N16" i="36" s="1"/>
  <c r="N18" i="36" s="1"/>
  <c r="M15" i="36"/>
  <c r="L15" i="36"/>
  <c r="L16" i="36" s="1"/>
  <c r="L18" i="36" s="1"/>
  <c r="K15" i="36"/>
  <c r="K16" i="36" s="1"/>
  <c r="K18" i="36" s="1"/>
  <c r="J15" i="36"/>
  <c r="J16" i="36" s="1"/>
  <c r="J18" i="36" s="1"/>
  <c r="I15" i="36"/>
  <c r="I16" i="36" s="1"/>
  <c r="I18" i="36" s="1"/>
  <c r="I21" i="36" s="1"/>
  <c r="H15" i="36"/>
  <c r="H16" i="36" s="1"/>
  <c r="H18" i="36" s="1"/>
  <c r="H21" i="36" s="1"/>
  <c r="G15" i="36"/>
  <c r="G16" i="36" s="1"/>
  <c r="G18" i="36" s="1"/>
  <c r="G21" i="36" s="1"/>
  <c r="R8" i="36"/>
  <c r="C7" i="36"/>
  <c r="L23" i="36" s="1"/>
  <c r="L25" i="36" s="1"/>
  <c r="Q5" i="36"/>
  <c r="R4" i="36"/>
  <c r="W172" i="36" s="1"/>
  <c r="Q4" i="36"/>
  <c r="O4" i="36" s="1"/>
  <c r="P4" i="36"/>
  <c r="W177" i="27"/>
  <c r="W172" i="27"/>
  <c r="W171" i="27"/>
  <c r="R8" i="27"/>
  <c r="R4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90" i="27"/>
  <c r="U111" i="27"/>
  <c r="T111" i="27"/>
  <c r="S111" i="27"/>
  <c r="R111" i="27"/>
  <c r="R6" i="27"/>
  <c r="Q4" i="27"/>
  <c r="P4" i="27" s="1"/>
  <c r="B46" i="26"/>
  <c r="B24" i="26"/>
  <c r="B9" i="26"/>
  <c r="F46" i="26"/>
  <c r="E46" i="26"/>
  <c r="D46" i="26"/>
  <c r="O44" i="26"/>
  <c r="N44" i="26"/>
  <c r="M44" i="26"/>
  <c r="L44" i="26"/>
  <c r="K44" i="26"/>
  <c r="J44" i="26"/>
  <c r="I44" i="26"/>
  <c r="H44" i="26"/>
  <c r="G44" i="26"/>
  <c r="F44" i="26"/>
  <c r="F43" i="26"/>
  <c r="E45" i="26" s="1"/>
  <c r="E43" i="26"/>
  <c r="D43" i="26"/>
  <c r="D21" i="26"/>
  <c r="G48" i="26"/>
  <c r="H48" i="26" s="1"/>
  <c r="I48" i="26" s="1"/>
  <c r="D45" i="26"/>
  <c r="D41" i="26"/>
  <c r="E41" i="26" s="1"/>
  <c r="F41" i="26" s="1"/>
  <c r="G41" i="26" s="1"/>
  <c r="H41" i="26" s="1"/>
  <c r="I41" i="26" s="1"/>
  <c r="J41" i="26" s="1"/>
  <c r="K41" i="26" s="1"/>
  <c r="L41" i="26" s="1"/>
  <c r="M41" i="26" s="1"/>
  <c r="N41" i="26" s="1"/>
  <c r="O41" i="26" s="1"/>
  <c r="P41" i="26" s="1"/>
  <c r="G26" i="26"/>
  <c r="H26" i="26" s="1"/>
  <c r="I26" i="26" s="1"/>
  <c r="J26" i="26" s="1"/>
  <c r="G13" i="5"/>
  <c r="G6" i="5"/>
  <c r="G12" i="5"/>
  <c r="G7" i="5"/>
  <c r="U173" i="27"/>
  <c r="T173" i="27"/>
  <c r="S173" i="27"/>
  <c r="R173" i="27"/>
  <c r="Q173" i="27"/>
  <c r="P173" i="27"/>
  <c r="O173" i="27"/>
  <c r="N173" i="27"/>
  <c r="M173" i="27"/>
  <c r="L173" i="27"/>
  <c r="K173" i="27"/>
  <c r="J173" i="27"/>
  <c r="I173" i="27"/>
  <c r="H173" i="27"/>
  <c r="G173" i="27"/>
  <c r="D131" i="27"/>
  <c r="F133" i="27"/>
  <c r="F175" i="27" s="1"/>
  <c r="H89" i="27"/>
  <c r="F60" i="27"/>
  <c r="G60" i="27"/>
  <c r="U89" i="27"/>
  <c r="U174" i="27" s="1"/>
  <c r="T89" i="27"/>
  <c r="T174" i="27" s="1"/>
  <c r="S89" i="27"/>
  <c r="S174" i="27" s="1"/>
  <c r="R89" i="27"/>
  <c r="R174" i="27" s="1"/>
  <c r="Q89" i="27"/>
  <c r="Q174" i="27" s="1"/>
  <c r="P89" i="27"/>
  <c r="P174" i="27" s="1"/>
  <c r="O89" i="27"/>
  <c r="O174" i="27" s="1"/>
  <c r="N89" i="27"/>
  <c r="N174" i="27" s="1"/>
  <c r="M89" i="27"/>
  <c r="M174" i="27" s="1"/>
  <c r="L89" i="27"/>
  <c r="L174" i="27" s="1"/>
  <c r="K89" i="27"/>
  <c r="K174" i="27" s="1"/>
  <c r="J89" i="27"/>
  <c r="J174" i="27" s="1"/>
  <c r="I89" i="27"/>
  <c r="G89" i="27"/>
  <c r="G174" i="27" s="1"/>
  <c r="E31" i="27"/>
  <c r="F82" i="27"/>
  <c r="F128" i="27"/>
  <c r="Q87" i="27"/>
  <c r="Q111" i="27" s="1"/>
  <c r="P87" i="27"/>
  <c r="P172" i="27" s="1"/>
  <c r="I174" i="27"/>
  <c r="C141" i="27"/>
  <c r="G141" i="27" s="1"/>
  <c r="E127" i="27"/>
  <c r="D127" i="27"/>
  <c r="E82" i="27"/>
  <c r="D82" i="27"/>
  <c r="U81" i="27"/>
  <c r="U156" i="27" s="1"/>
  <c r="T81" i="27"/>
  <c r="T156" i="27" s="1"/>
  <c r="S81" i="27"/>
  <c r="S156" i="27" s="1"/>
  <c r="R81" i="27"/>
  <c r="R156" i="27" s="1"/>
  <c r="Q81" i="27"/>
  <c r="Q156" i="27" s="1"/>
  <c r="P81" i="27"/>
  <c r="P156" i="27" s="1"/>
  <c r="O81" i="27"/>
  <c r="O156" i="27" s="1"/>
  <c r="N81" i="27"/>
  <c r="N156" i="27" s="1"/>
  <c r="M81" i="27"/>
  <c r="L81" i="27"/>
  <c r="K81" i="27"/>
  <c r="J81" i="27"/>
  <c r="I81" i="27"/>
  <c r="H81" i="27"/>
  <c r="G81" i="27"/>
  <c r="F81" i="27"/>
  <c r="E81" i="27"/>
  <c r="D81" i="27"/>
  <c r="F80" i="27"/>
  <c r="E80" i="27"/>
  <c r="D80" i="27"/>
  <c r="U79" i="27"/>
  <c r="T79" i="27"/>
  <c r="S79" i="27"/>
  <c r="R79" i="27"/>
  <c r="Q79" i="27"/>
  <c r="P79" i="27"/>
  <c r="O79" i="27"/>
  <c r="N79" i="27"/>
  <c r="M79" i="27"/>
  <c r="L79" i="27"/>
  <c r="K79" i="27"/>
  <c r="J79" i="27"/>
  <c r="I79" i="27"/>
  <c r="H79" i="27"/>
  <c r="G79" i="27"/>
  <c r="F79" i="27"/>
  <c r="F153" i="27" s="1"/>
  <c r="E79" i="27"/>
  <c r="E153" i="27" s="1"/>
  <c r="D79" i="27"/>
  <c r="D153" i="27" s="1"/>
  <c r="U78" i="27"/>
  <c r="U152" i="27" s="1"/>
  <c r="T78" i="27"/>
  <c r="T152" i="27" s="1"/>
  <c r="S78" i="27"/>
  <c r="S152" i="27" s="1"/>
  <c r="R78" i="27"/>
  <c r="R152" i="27" s="1"/>
  <c r="Q78" i="27"/>
  <c r="Q152" i="27" s="1"/>
  <c r="P78" i="27"/>
  <c r="P152" i="27" s="1"/>
  <c r="O78" i="27"/>
  <c r="O152" i="27" s="1"/>
  <c r="N78" i="27"/>
  <c r="N152" i="27" s="1"/>
  <c r="M78" i="27"/>
  <c r="M152" i="27" s="1"/>
  <c r="L78" i="27"/>
  <c r="L152" i="27" s="1"/>
  <c r="K78" i="27"/>
  <c r="K152" i="27" s="1"/>
  <c r="J78" i="27"/>
  <c r="J152" i="27" s="1"/>
  <c r="I78" i="27"/>
  <c r="I152" i="27" s="1"/>
  <c r="H78" i="27"/>
  <c r="H152" i="27" s="1"/>
  <c r="G78" i="27"/>
  <c r="G152" i="27" s="1"/>
  <c r="F78" i="27"/>
  <c r="E78" i="27"/>
  <c r="D78" i="27"/>
  <c r="D66" i="27"/>
  <c r="D67" i="27" s="1"/>
  <c r="D60" i="27"/>
  <c r="E60" i="27" s="1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1" i="27"/>
  <c r="F26" i="27" s="1"/>
  <c r="F31" i="27" s="1"/>
  <c r="E21" i="27"/>
  <c r="E26" i="27" s="1"/>
  <c r="D21" i="27"/>
  <c r="D26" i="27" s="1"/>
  <c r="D31" i="27" s="1"/>
  <c r="C21" i="27"/>
  <c r="C26" i="27" s="1"/>
  <c r="C31" i="27" s="1"/>
  <c r="U15" i="27"/>
  <c r="U16" i="27" s="1"/>
  <c r="U18" i="27" s="1"/>
  <c r="T15" i="27"/>
  <c r="T16" i="27" s="1"/>
  <c r="T18" i="27" s="1"/>
  <c r="S15" i="27"/>
  <c r="S16" i="27" s="1"/>
  <c r="S18" i="27" s="1"/>
  <c r="R15" i="27"/>
  <c r="R16" i="27" s="1"/>
  <c r="R18" i="27" s="1"/>
  <c r="Q15" i="27"/>
  <c r="Q16" i="27" s="1"/>
  <c r="Q18" i="27" s="1"/>
  <c r="P15" i="27"/>
  <c r="P16" i="27" s="1"/>
  <c r="P18" i="27" s="1"/>
  <c r="O15" i="27"/>
  <c r="O16" i="27" s="1"/>
  <c r="O18" i="27" s="1"/>
  <c r="N15" i="27"/>
  <c r="N16" i="27" s="1"/>
  <c r="N18" i="27" s="1"/>
  <c r="M15" i="27"/>
  <c r="M16" i="27" s="1"/>
  <c r="M18" i="27" s="1"/>
  <c r="L15" i="27"/>
  <c r="L16" i="27" s="1"/>
  <c r="L18" i="27" s="1"/>
  <c r="K15" i="27"/>
  <c r="K16" i="27" s="1"/>
  <c r="K18" i="27" s="1"/>
  <c r="J15" i="27"/>
  <c r="J16" i="27" s="1"/>
  <c r="J18" i="27" s="1"/>
  <c r="I15" i="27"/>
  <c r="I16" i="27" s="1"/>
  <c r="I18" i="27" s="1"/>
  <c r="H15" i="27"/>
  <c r="H16" i="27" s="1"/>
  <c r="H18" i="27" s="1"/>
  <c r="G15" i="27"/>
  <c r="G16" i="27" s="1"/>
  <c r="G18" i="27" s="1"/>
  <c r="U154" i="25"/>
  <c r="T154" i="25"/>
  <c r="S154" i="25"/>
  <c r="R154" i="25"/>
  <c r="Q154" i="25"/>
  <c r="P154" i="25"/>
  <c r="O154" i="25"/>
  <c r="N154" i="25"/>
  <c r="M154" i="25"/>
  <c r="L154" i="25"/>
  <c r="K154" i="25"/>
  <c r="J154" i="25"/>
  <c r="I154" i="25"/>
  <c r="H154" i="25"/>
  <c r="G154" i="25"/>
  <c r="U153" i="25"/>
  <c r="T153" i="25"/>
  <c r="S153" i="25"/>
  <c r="R153" i="25"/>
  <c r="Q153" i="25"/>
  <c r="P153" i="25"/>
  <c r="O153" i="25"/>
  <c r="N153" i="25"/>
  <c r="M153" i="25"/>
  <c r="L153" i="25"/>
  <c r="K153" i="25"/>
  <c r="J153" i="25"/>
  <c r="I153" i="25"/>
  <c r="H153" i="25"/>
  <c r="G153" i="25"/>
  <c r="P152" i="25"/>
  <c r="O152" i="25"/>
  <c r="N152" i="25"/>
  <c r="M152" i="25"/>
  <c r="L152" i="25"/>
  <c r="K152" i="25"/>
  <c r="J152" i="25"/>
  <c r="I152" i="25"/>
  <c r="H152" i="25"/>
  <c r="G152" i="25"/>
  <c r="F151" i="25"/>
  <c r="E151" i="25"/>
  <c r="D151" i="25"/>
  <c r="T45" i="4"/>
  <c r="C121" i="25"/>
  <c r="G121" i="25" s="1"/>
  <c r="AH21" i="24"/>
  <c r="AH12" i="24"/>
  <c r="AH10" i="24"/>
  <c r="Z10" i="24" s="1"/>
  <c r="AH8" i="24"/>
  <c r="Z6" i="24"/>
  <c r="D37" i="42" l="1"/>
  <c r="T105" i="44"/>
  <c r="T26" i="44"/>
  <c r="G105" i="44"/>
  <c r="G26" i="44"/>
  <c r="E77" i="44"/>
  <c r="E37" i="44"/>
  <c r="D77" i="44"/>
  <c r="D37" i="44"/>
  <c r="J105" i="44"/>
  <c r="J26" i="44"/>
  <c r="H105" i="44"/>
  <c r="F127" i="44"/>
  <c r="F33" i="44" s="1"/>
  <c r="F35" i="44"/>
  <c r="D86" i="44"/>
  <c r="D110" i="44"/>
  <c r="I105" i="44"/>
  <c r="Q26" i="44"/>
  <c r="Q105" i="44"/>
  <c r="L105" i="44"/>
  <c r="L26" i="44"/>
  <c r="O105" i="44"/>
  <c r="O26" i="44"/>
  <c r="H60" i="44"/>
  <c r="H29" i="44" s="1"/>
  <c r="G29" i="44"/>
  <c r="P105" i="44"/>
  <c r="K105" i="44"/>
  <c r="K26" i="44"/>
  <c r="S21" i="44"/>
  <c r="N26" i="44"/>
  <c r="N105" i="44"/>
  <c r="M105" i="44"/>
  <c r="U105" i="44"/>
  <c r="R105" i="44"/>
  <c r="R26" i="44"/>
  <c r="F67" i="44"/>
  <c r="G66" i="44"/>
  <c r="P4" i="44"/>
  <c r="M23" i="44"/>
  <c r="M25" i="44" s="1"/>
  <c r="M26" i="44" s="1"/>
  <c r="U23" i="44"/>
  <c r="U25" i="44" s="1"/>
  <c r="U26" i="44" s="1"/>
  <c r="E86" i="44"/>
  <c r="R6" i="44"/>
  <c r="Q6" i="44" s="1"/>
  <c r="H23" i="44"/>
  <c r="H25" i="44" s="1"/>
  <c r="H26" i="44" s="1"/>
  <c r="P23" i="44"/>
  <c r="P25" i="44" s="1"/>
  <c r="P26" i="44" s="1"/>
  <c r="Q5" i="44"/>
  <c r="I23" i="44"/>
  <c r="I25" i="44" s="1"/>
  <c r="I26" i="44" s="1"/>
  <c r="F154" i="44"/>
  <c r="S174" i="44"/>
  <c r="J21" i="43"/>
  <c r="R21" i="43"/>
  <c r="D77" i="43"/>
  <c r="D37" i="43"/>
  <c r="K21" i="43"/>
  <c r="S21" i="43"/>
  <c r="E77" i="43"/>
  <c r="E37" i="43"/>
  <c r="L105" i="43"/>
  <c r="T21" i="43"/>
  <c r="F127" i="43"/>
  <c r="F33" i="43" s="1"/>
  <c r="F35" i="43" s="1"/>
  <c r="U21" i="43"/>
  <c r="M21" i="43"/>
  <c r="N21" i="43"/>
  <c r="I21" i="43"/>
  <c r="H60" i="43"/>
  <c r="G29" i="43"/>
  <c r="G105" i="43"/>
  <c r="O21" i="43"/>
  <c r="Q21" i="43"/>
  <c r="H105" i="43"/>
  <c r="H26" i="43"/>
  <c r="P105" i="43"/>
  <c r="P26" i="43"/>
  <c r="J23" i="43"/>
  <c r="J25" i="43" s="1"/>
  <c r="R23" i="43"/>
  <c r="R25" i="43" s="1"/>
  <c r="F66" i="43"/>
  <c r="K23" i="43"/>
  <c r="K25" i="43" s="1"/>
  <c r="S23" i="43"/>
  <c r="S25" i="43" s="1"/>
  <c r="L23" i="43"/>
  <c r="L25" i="43" s="1"/>
  <c r="L26" i="43" s="1"/>
  <c r="T23" i="43"/>
  <c r="T25" i="43" s="1"/>
  <c r="M23" i="43"/>
  <c r="M25" i="43" s="1"/>
  <c r="U23" i="43"/>
  <c r="U25" i="43" s="1"/>
  <c r="Q4" i="43"/>
  <c r="N23" i="43"/>
  <c r="N25" i="43" s="1"/>
  <c r="R6" i="43"/>
  <c r="Q6" i="43" s="1"/>
  <c r="G23" i="43"/>
  <c r="G25" i="43" s="1"/>
  <c r="G26" i="43" s="1"/>
  <c r="O23" i="43"/>
  <c r="O25" i="43" s="1"/>
  <c r="H23" i="43"/>
  <c r="H25" i="43" s="1"/>
  <c r="F154" i="43"/>
  <c r="T174" i="43"/>
  <c r="U174" i="43"/>
  <c r="P172" i="43"/>
  <c r="S21" i="42"/>
  <c r="M105" i="42"/>
  <c r="M26" i="42"/>
  <c r="P21" i="42"/>
  <c r="R21" i="42"/>
  <c r="D151" i="42"/>
  <c r="D158" i="42" s="1"/>
  <c r="D83" i="42"/>
  <c r="E67" i="42"/>
  <c r="F66" i="42"/>
  <c r="L105" i="42"/>
  <c r="L26" i="42"/>
  <c r="T21" i="42"/>
  <c r="E77" i="42"/>
  <c r="E37" i="42"/>
  <c r="H60" i="42"/>
  <c r="G29" i="42"/>
  <c r="F127" i="42"/>
  <c r="F33" i="42" s="1"/>
  <c r="F35" i="42"/>
  <c r="E86" i="42"/>
  <c r="E110" i="42"/>
  <c r="H105" i="42"/>
  <c r="U21" i="42"/>
  <c r="K21" i="42"/>
  <c r="D86" i="42"/>
  <c r="D110" i="42"/>
  <c r="G105" i="42"/>
  <c r="O21" i="42"/>
  <c r="J21" i="42"/>
  <c r="I21" i="42"/>
  <c r="Q21" i="42"/>
  <c r="N21" i="42"/>
  <c r="F175" i="42"/>
  <c r="P4" i="42"/>
  <c r="M23" i="42"/>
  <c r="M25" i="42" s="1"/>
  <c r="U23" i="42"/>
  <c r="U25" i="42" s="1"/>
  <c r="R6" i="42"/>
  <c r="Q6" i="42" s="1"/>
  <c r="G23" i="42"/>
  <c r="G25" i="42" s="1"/>
  <c r="G26" i="42" s="1"/>
  <c r="O23" i="42"/>
  <c r="O25" i="42" s="1"/>
  <c r="H23" i="42"/>
  <c r="H25" i="42" s="1"/>
  <c r="H26" i="42" s="1"/>
  <c r="P23" i="42"/>
  <c r="P25" i="42" s="1"/>
  <c r="Q5" i="42"/>
  <c r="I23" i="42"/>
  <c r="I25" i="42" s="1"/>
  <c r="Q23" i="42"/>
  <c r="Q25" i="42" s="1"/>
  <c r="F154" i="42"/>
  <c r="K23" i="42"/>
  <c r="K25" i="42" s="1"/>
  <c r="U174" i="42"/>
  <c r="P172" i="42"/>
  <c r="R174" i="42"/>
  <c r="Q4" i="41"/>
  <c r="N4" i="41" s="1"/>
  <c r="K105" i="41"/>
  <c r="Q105" i="41"/>
  <c r="Q26" i="41"/>
  <c r="E77" i="41"/>
  <c r="E37" i="41"/>
  <c r="S105" i="41"/>
  <c r="I68" i="41"/>
  <c r="J105" i="41"/>
  <c r="J26" i="41"/>
  <c r="T105" i="41"/>
  <c r="G105" i="41"/>
  <c r="G26" i="41"/>
  <c r="O105" i="41"/>
  <c r="M105" i="41"/>
  <c r="N105" i="41"/>
  <c r="H105" i="41"/>
  <c r="P105" i="41"/>
  <c r="R21" i="41"/>
  <c r="U105" i="41"/>
  <c r="D77" i="41"/>
  <c r="D37" i="41"/>
  <c r="L105" i="41"/>
  <c r="L26" i="41"/>
  <c r="F127" i="41"/>
  <c r="F33" i="41" s="1"/>
  <c r="F35" i="41" s="1"/>
  <c r="G29" i="41"/>
  <c r="H60" i="41"/>
  <c r="K23" i="41"/>
  <c r="K25" i="41" s="1"/>
  <c r="K26" i="41" s="1"/>
  <c r="S23" i="41"/>
  <c r="S25" i="41" s="1"/>
  <c r="S26" i="41" s="1"/>
  <c r="L23" i="41"/>
  <c r="L25" i="41" s="1"/>
  <c r="T23" i="41"/>
  <c r="T25" i="41" s="1"/>
  <c r="T26" i="41" s="1"/>
  <c r="M23" i="41"/>
  <c r="M25" i="41" s="1"/>
  <c r="M26" i="41" s="1"/>
  <c r="U23" i="41"/>
  <c r="U25" i="41" s="1"/>
  <c r="U26" i="41" s="1"/>
  <c r="G66" i="41"/>
  <c r="N23" i="41"/>
  <c r="N25" i="41" s="1"/>
  <c r="N26" i="41" s="1"/>
  <c r="R6" i="41"/>
  <c r="Q6" i="41" s="1"/>
  <c r="G23" i="41"/>
  <c r="G25" i="41" s="1"/>
  <c r="O23" i="41"/>
  <c r="O25" i="41" s="1"/>
  <c r="O26" i="41" s="1"/>
  <c r="H23" i="41"/>
  <c r="H25" i="41" s="1"/>
  <c r="H26" i="41" s="1"/>
  <c r="P23" i="41"/>
  <c r="P25" i="41" s="1"/>
  <c r="P26" i="41" s="1"/>
  <c r="I23" i="41"/>
  <c r="I25" i="41" s="1"/>
  <c r="I26" i="41" s="1"/>
  <c r="Q111" i="41"/>
  <c r="T174" i="41"/>
  <c r="R174" i="41"/>
  <c r="O6" i="40"/>
  <c r="E92" i="40" s="1"/>
  <c r="E187" i="40" s="1"/>
  <c r="N6" i="40"/>
  <c r="D92" i="40" s="1"/>
  <c r="Q7" i="40"/>
  <c r="P6" i="40"/>
  <c r="F92" i="40" s="1"/>
  <c r="F187" i="40" s="1"/>
  <c r="O19" i="40"/>
  <c r="P19" i="40" s="1"/>
  <c r="Q19" i="40" s="1"/>
  <c r="R19" i="40" s="1"/>
  <c r="S19" i="40" s="1"/>
  <c r="T19" i="40" s="1"/>
  <c r="U19" i="40" s="1"/>
  <c r="U21" i="40" s="1"/>
  <c r="N21" i="40"/>
  <c r="J21" i="40"/>
  <c r="L21" i="40"/>
  <c r="K21" i="40"/>
  <c r="E77" i="40"/>
  <c r="E37" i="40"/>
  <c r="H60" i="40"/>
  <c r="H29" i="40" s="1"/>
  <c r="G29" i="40"/>
  <c r="W172" i="40"/>
  <c r="Q4" i="40"/>
  <c r="M21" i="40"/>
  <c r="F127" i="40"/>
  <c r="F33" i="40" s="1"/>
  <c r="F35" i="40" s="1"/>
  <c r="G105" i="40"/>
  <c r="G26" i="40"/>
  <c r="H21" i="40"/>
  <c r="D77" i="40"/>
  <c r="D37" i="40"/>
  <c r="I21" i="40"/>
  <c r="H23" i="40"/>
  <c r="H25" i="40" s="1"/>
  <c r="M23" i="40"/>
  <c r="M25" i="40" s="1"/>
  <c r="U23" i="40"/>
  <c r="U25" i="40" s="1"/>
  <c r="F66" i="40"/>
  <c r="P23" i="40"/>
  <c r="P25" i="40" s="1"/>
  <c r="N23" i="40"/>
  <c r="N25" i="40" s="1"/>
  <c r="F154" i="40"/>
  <c r="I23" i="40"/>
  <c r="I25" i="40" s="1"/>
  <c r="Q23" i="40"/>
  <c r="Q25" i="40" s="1"/>
  <c r="S174" i="40"/>
  <c r="J23" i="40"/>
  <c r="J25" i="40" s="1"/>
  <c r="R23" i="40"/>
  <c r="R25" i="40" s="1"/>
  <c r="P111" i="40"/>
  <c r="P172" i="40"/>
  <c r="K23" i="40"/>
  <c r="K25" i="40" s="1"/>
  <c r="S23" i="40"/>
  <c r="S25" i="40" s="1"/>
  <c r="L23" i="40"/>
  <c r="L25" i="40" s="1"/>
  <c r="Q111" i="40"/>
  <c r="F175" i="40"/>
  <c r="R174" i="40"/>
  <c r="P25" i="37"/>
  <c r="I25" i="37"/>
  <c r="H105" i="39"/>
  <c r="P105" i="39"/>
  <c r="P26" i="39"/>
  <c r="D37" i="39"/>
  <c r="D77" i="39"/>
  <c r="R21" i="39"/>
  <c r="K21" i="39"/>
  <c r="O21" i="39"/>
  <c r="Q21" i="39"/>
  <c r="E37" i="39"/>
  <c r="E77" i="39"/>
  <c r="M21" i="39"/>
  <c r="U21" i="39"/>
  <c r="F127" i="39"/>
  <c r="F33" i="39" s="1"/>
  <c r="F35" i="39" s="1"/>
  <c r="H60" i="39"/>
  <c r="G29" i="39"/>
  <c r="E67" i="39"/>
  <c r="F66" i="39"/>
  <c r="S21" i="39"/>
  <c r="L21" i="39"/>
  <c r="T21" i="39"/>
  <c r="J21" i="39"/>
  <c r="N21" i="39"/>
  <c r="G105" i="39"/>
  <c r="G26" i="39"/>
  <c r="F154" i="39"/>
  <c r="I105" i="39"/>
  <c r="I26" i="39"/>
  <c r="J23" i="39"/>
  <c r="J25" i="39" s="1"/>
  <c r="R23" i="39"/>
  <c r="R25" i="39" s="1"/>
  <c r="K23" i="39"/>
  <c r="K25" i="39" s="1"/>
  <c r="S23" i="39"/>
  <c r="S25" i="39" s="1"/>
  <c r="L23" i="39"/>
  <c r="L25" i="39" s="1"/>
  <c r="T23" i="39"/>
  <c r="T25" i="39" s="1"/>
  <c r="M23" i="39"/>
  <c r="M25" i="39" s="1"/>
  <c r="U23" i="39"/>
  <c r="U25" i="39" s="1"/>
  <c r="Q4" i="39"/>
  <c r="F175" i="39"/>
  <c r="R6" i="39"/>
  <c r="Q6" i="39" s="1"/>
  <c r="H23" i="39"/>
  <c r="H25" i="39" s="1"/>
  <c r="H26" i="39" s="1"/>
  <c r="T174" i="39"/>
  <c r="U174" i="39"/>
  <c r="P172" i="39"/>
  <c r="N105" i="38"/>
  <c r="O21" i="38"/>
  <c r="T105" i="38"/>
  <c r="I105" i="38"/>
  <c r="G105" i="38"/>
  <c r="K21" i="38"/>
  <c r="D77" i="38"/>
  <c r="D37" i="38"/>
  <c r="S105" i="38"/>
  <c r="S26" i="38"/>
  <c r="L105" i="38"/>
  <c r="U105" i="38"/>
  <c r="H60" i="38"/>
  <c r="G29" i="38"/>
  <c r="H105" i="38"/>
  <c r="H26" i="38"/>
  <c r="Q21" i="38"/>
  <c r="M21" i="38"/>
  <c r="E77" i="38"/>
  <c r="E37" i="38"/>
  <c r="J21" i="38"/>
  <c r="R21" i="38"/>
  <c r="P21" i="38"/>
  <c r="I23" i="38"/>
  <c r="I25" i="38" s="1"/>
  <c r="I26" i="38" s="1"/>
  <c r="Q23" i="38"/>
  <c r="Q25" i="38" s="1"/>
  <c r="P23" i="38"/>
  <c r="P25" i="38" s="1"/>
  <c r="J23" i="38"/>
  <c r="J25" i="38" s="1"/>
  <c r="R23" i="38"/>
  <c r="R25" i="38" s="1"/>
  <c r="F127" i="38"/>
  <c r="F33" i="38" s="1"/>
  <c r="F35" i="38" s="1"/>
  <c r="L23" i="38"/>
  <c r="L25" i="38" s="1"/>
  <c r="L26" i="38" s="1"/>
  <c r="T23" i="38"/>
  <c r="T25" i="38" s="1"/>
  <c r="T26" i="38" s="1"/>
  <c r="F67" i="38"/>
  <c r="G66" i="38"/>
  <c r="U23" i="38"/>
  <c r="U25" i="38" s="1"/>
  <c r="U26" i="38" s="1"/>
  <c r="Q4" i="38"/>
  <c r="N23" i="38"/>
  <c r="N25" i="38" s="1"/>
  <c r="N26" i="38" s="1"/>
  <c r="M23" i="38"/>
  <c r="M25" i="38" s="1"/>
  <c r="R6" i="38"/>
  <c r="Q6" i="38" s="1"/>
  <c r="G23" i="38"/>
  <c r="G25" i="38" s="1"/>
  <c r="G26" i="38" s="1"/>
  <c r="O23" i="38"/>
  <c r="O25" i="38" s="1"/>
  <c r="F154" i="38"/>
  <c r="F175" i="38"/>
  <c r="Q111" i="38"/>
  <c r="T174" i="38"/>
  <c r="Q25" i="37"/>
  <c r="H105" i="37"/>
  <c r="P21" i="37"/>
  <c r="R21" i="37"/>
  <c r="K21" i="37"/>
  <c r="S21" i="37"/>
  <c r="L21" i="37"/>
  <c r="T21" i="37"/>
  <c r="H60" i="37"/>
  <c r="G29" i="37"/>
  <c r="E67" i="37"/>
  <c r="F66" i="37"/>
  <c r="M21" i="37"/>
  <c r="U21" i="37"/>
  <c r="N21" i="37"/>
  <c r="I21" i="37"/>
  <c r="G105" i="37"/>
  <c r="O21" i="37"/>
  <c r="Q21" i="37"/>
  <c r="E77" i="37"/>
  <c r="E37" i="37"/>
  <c r="J105" i="37"/>
  <c r="F127" i="37"/>
  <c r="F33" i="37" s="1"/>
  <c r="F35" i="37" s="1"/>
  <c r="D77" i="37"/>
  <c r="D37" i="37"/>
  <c r="J23" i="37"/>
  <c r="J25" i="37" s="1"/>
  <c r="J26" i="37" s="1"/>
  <c r="R23" i="37"/>
  <c r="R25" i="37" s="1"/>
  <c r="F154" i="37"/>
  <c r="K23" i="37"/>
  <c r="K25" i="37" s="1"/>
  <c r="S23" i="37"/>
  <c r="S25" i="37" s="1"/>
  <c r="L23" i="37"/>
  <c r="L25" i="37" s="1"/>
  <c r="T23" i="37"/>
  <c r="T25" i="37" s="1"/>
  <c r="M23" i="37"/>
  <c r="M25" i="37" s="1"/>
  <c r="U23" i="37"/>
  <c r="U25" i="37" s="1"/>
  <c r="Q4" i="37"/>
  <c r="N23" i="37"/>
  <c r="N25" i="37" s="1"/>
  <c r="R6" i="37"/>
  <c r="Q6" i="37" s="1"/>
  <c r="G23" i="37"/>
  <c r="G25" i="37" s="1"/>
  <c r="G26" i="37" s="1"/>
  <c r="O23" i="37"/>
  <c r="O25" i="37" s="1"/>
  <c r="H23" i="37"/>
  <c r="H25" i="37" s="1"/>
  <c r="H26" i="37" s="1"/>
  <c r="T174" i="37"/>
  <c r="U174" i="37"/>
  <c r="P172" i="37"/>
  <c r="P25" i="36"/>
  <c r="H60" i="36"/>
  <c r="G29" i="36"/>
  <c r="J21" i="36"/>
  <c r="R21" i="36"/>
  <c r="Q21" i="36"/>
  <c r="F127" i="36"/>
  <c r="F33" i="36" s="1"/>
  <c r="F35" i="36" s="1"/>
  <c r="I105" i="36"/>
  <c r="I26" i="36"/>
  <c r="O21" i="36"/>
  <c r="S21" i="36"/>
  <c r="G105" i="36"/>
  <c r="K21" i="36"/>
  <c r="L21" i="36"/>
  <c r="T21" i="36"/>
  <c r="U21" i="36"/>
  <c r="H105" i="36"/>
  <c r="E86" i="36"/>
  <c r="E110" i="36"/>
  <c r="P21" i="36"/>
  <c r="M21" i="36"/>
  <c r="D77" i="36"/>
  <c r="D37" i="36"/>
  <c r="N21" i="36"/>
  <c r="D67" i="36"/>
  <c r="E66" i="36"/>
  <c r="F175" i="36"/>
  <c r="F86" i="36"/>
  <c r="F110" i="36"/>
  <c r="E116" i="36" s="1"/>
  <c r="E117" i="36" s="1"/>
  <c r="R6" i="36"/>
  <c r="Q6" i="36" s="1"/>
  <c r="R23" i="36"/>
  <c r="R25" i="36" s="1"/>
  <c r="J23" i="36"/>
  <c r="J25" i="36" s="1"/>
  <c r="O23" i="36"/>
  <c r="O25" i="36" s="1"/>
  <c r="G23" i="36"/>
  <c r="G25" i="36" s="1"/>
  <c r="G26" i="36" s="1"/>
  <c r="N23" i="36"/>
  <c r="N25" i="36" s="1"/>
  <c r="E83" i="36"/>
  <c r="E151" i="36"/>
  <c r="E158" i="36" s="1"/>
  <c r="M23" i="36"/>
  <c r="M25" i="36" s="1"/>
  <c r="E37" i="36"/>
  <c r="Q174" i="36"/>
  <c r="Q23" i="36"/>
  <c r="Q25" i="36" s="1"/>
  <c r="N4" i="36"/>
  <c r="S23" i="36"/>
  <c r="S25" i="36" s="1"/>
  <c r="H23" i="36"/>
  <c r="H25" i="36" s="1"/>
  <c r="H26" i="36" s="1"/>
  <c r="T23" i="36"/>
  <c r="T25" i="36" s="1"/>
  <c r="F154" i="36"/>
  <c r="T174" i="36"/>
  <c r="U174" i="36"/>
  <c r="P172" i="36"/>
  <c r="U21" i="27"/>
  <c r="U105" i="27" s="1"/>
  <c r="F110" i="27"/>
  <c r="E116" i="27" s="1"/>
  <c r="E117" i="27" s="1"/>
  <c r="F86" i="27"/>
  <c r="F171" i="27" s="1"/>
  <c r="N4" i="27"/>
  <c r="O4" i="27"/>
  <c r="G21" i="27"/>
  <c r="P111" i="27"/>
  <c r="D49" i="26"/>
  <c r="J48" i="26"/>
  <c r="D52" i="26"/>
  <c r="D53" i="26" s="1"/>
  <c r="E52" i="26" s="1"/>
  <c r="E53" i="26" s="1"/>
  <c r="F52" i="26" s="1"/>
  <c r="F53" i="26" s="1"/>
  <c r="G52" i="26" s="1"/>
  <c r="G53" i="26" s="1"/>
  <c r="H52" i="26" s="1"/>
  <c r="K26" i="26"/>
  <c r="H60" i="27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H174" i="27"/>
  <c r="E35" i="27"/>
  <c r="E77" i="27" s="1"/>
  <c r="E66" i="27"/>
  <c r="F66" i="27" s="1"/>
  <c r="G29" i="27"/>
  <c r="H21" i="27"/>
  <c r="H105" i="27" s="1"/>
  <c r="C35" i="27"/>
  <c r="C37" i="27" s="1"/>
  <c r="D35" i="27"/>
  <c r="D77" i="27" s="1"/>
  <c r="F127" i="27"/>
  <c r="F33" i="27" s="1"/>
  <c r="G105" i="27"/>
  <c r="F154" i="27"/>
  <c r="AD14" i="24"/>
  <c r="AB14" i="24" s="1"/>
  <c r="AB6" i="24"/>
  <c r="L6" i="24"/>
  <c r="R6" i="24" s="1"/>
  <c r="AD8" i="24"/>
  <c r="Z8" i="24" s="1"/>
  <c r="AB10" i="24"/>
  <c r="AD12" i="24"/>
  <c r="Z12" i="24" s="1"/>
  <c r="AF21" i="24"/>
  <c r="Z21" i="24" s="1"/>
  <c r="AD21" i="24"/>
  <c r="F21" i="26"/>
  <c r="E21" i="26"/>
  <c r="D19" i="26"/>
  <c r="E19" i="26" s="1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P8" i="26"/>
  <c r="O8" i="26"/>
  <c r="N8" i="26"/>
  <c r="M8" i="26"/>
  <c r="L8" i="26"/>
  <c r="K8" i="26"/>
  <c r="J8" i="26"/>
  <c r="I8" i="26"/>
  <c r="H8" i="26"/>
  <c r="G8" i="26"/>
  <c r="F7" i="26"/>
  <c r="E7" i="26"/>
  <c r="D7" i="26"/>
  <c r="D5" i="26"/>
  <c r="E5" i="26" s="1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4" i="26"/>
  <c r="E4" i="26" s="1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E71" i="25"/>
  <c r="F116" i="25"/>
  <c r="G112" i="25" s="1"/>
  <c r="E116" i="25"/>
  <c r="D116" i="25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U26" i="2"/>
  <c r="F108" i="25"/>
  <c r="E108" i="25"/>
  <c r="D108" i="25"/>
  <c r="U92" i="25"/>
  <c r="T92" i="25"/>
  <c r="S92" i="25"/>
  <c r="R92" i="25"/>
  <c r="Q92" i="25"/>
  <c r="P92" i="25"/>
  <c r="O92" i="25"/>
  <c r="N92" i="25"/>
  <c r="M92" i="25"/>
  <c r="L92" i="25"/>
  <c r="K92" i="25"/>
  <c r="J92" i="25"/>
  <c r="I92" i="25"/>
  <c r="H92" i="25"/>
  <c r="G92" i="25"/>
  <c r="F92" i="25"/>
  <c r="E92" i="25"/>
  <c r="D92" i="25"/>
  <c r="U82" i="25"/>
  <c r="U136" i="25" s="1"/>
  <c r="T82" i="25"/>
  <c r="T136" i="25" s="1"/>
  <c r="S82" i="25"/>
  <c r="S136" i="25" s="1"/>
  <c r="R82" i="25"/>
  <c r="R136" i="25" s="1"/>
  <c r="Q82" i="25"/>
  <c r="Q136" i="25" s="1"/>
  <c r="P82" i="25"/>
  <c r="P136" i="25" s="1"/>
  <c r="O82" i="25"/>
  <c r="O136" i="25" s="1"/>
  <c r="N82" i="25"/>
  <c r="N136" i="25" s="1"/>
  <c r="M82" i="25"/>
  <c r="L82" i="25"/>
  <c r="K82" i="25"/>
  <c r="J82" i="25"/>
  <c r="I82" i="25"/>
  <c r="H82" i="25"/>
  <c r="G82" i="25"/>
  <c r="F82" i="25"/>
  <c r="E82" i="25"/>
  <c r="D82" i="25"/>
  <c r="F81" i="25"/>
  <c r="E81" i="25"/>
  <c r="D81" i="25"/>
  <c r="D80" i="25"/>
  <c r="D133" i="25" s="1"/>
  <c r="E80" i="25"/>
  <c r="E133" i="25" s="1"/>
  <c r="F80" i="25"/>
  <c r="F133" i="25" s="1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D67" i="25"/>
  <c r="E67" i="25" s="1"/>
  <c r="U79" i="25"/>
  <c r="U132" i="25" s="1"/>
  <c r="T79" i="25"/>
  <c r="T132" i="25" s="1"/>
  <c r="S79" i="25"/>
  <c r="S132" i="25" s="1"/>
  <c r="R79" i="25"/>
  <c r="R132" i="25" s="1"/>
  <c r="Q79" i="25"/>
  <c r="Q132" i="25" s="1"/>
  <c r="P79" i="25"/>
  <c r="P132" i="25" s="1"/>
  <c r="O79" i="25"/>
  <c r="O132" i="25" s="1"/>
  <c r="N79" i="25"/>
  <c r="N132" i="25" s="1"/>
  <c r="M79" i="25"/>
  <c r="M132" i="25" s="1"/>
  <c r="L79" i="25"/>
  <c r="L132" i="25" s="1"/>
  <c r="K79" i="25"/>
  <c r="K132" i="25" s="1"/>
  <c r="J79" i="25"/>
  <c r="J132" i="25" s="1"/>
  <c r="I79" i="25"/>
  <c r="I132" i="25" s="1"/>
  <c r="H79" i="25"/>
  <c r="H132" i="25" s="1"/>
  <c r="G79" i="25"/>
  <c r="G132" i="25" s="1"/>
  <c r="F79" i="25"/>
  <c r="E79" i="25"/>
  <c r="D79" i="25"/>
  <c r="F57" i="25"/>
  <c r="E57" i="25"/>
  <c r="D57" i="25"/>
  <c r="D61" i="25"/>
  <c r="E61" i="25" s="1"/>
  <c r="F61" i="25" s="1"/>
  <c r="G61" i="25" s="1"/>
  <c r="H61" i="25" s="1"/>
  <c r="I61" i="25" s="1"/>
  <c r="J61" i="25" s="1"/>
  <c r="K61" i="25" s="1"/>
  <c r="L61" i="25" s="1"/>
  <c r="M61" i="25" s="1"/>
  <c r="N61" i="25" s="1"/>
  <c r="O61" i="25" s="1"/>
  <c r="P61" i="25" s="1"/>
  <c r="Q61" i="25" s="1"/>
  <c r="R61" i="25" s="1"/>
  <c r="S61" i="25" s="1"/>
  <c r="T61" i="25" s="1"/>
  <c r="U61" i="25" s="1"/>
  <c r="C124" i="25" s="1"/>
  <c r="F83" i="25"/>
  <c r="E83" i="25"/>
  <c r="D83" i="25"/>
  <c r="F98" i="25"/>
  <c r="C21" i="25"/>
  <c r="C26" i="25" s="1"/>
  <c r="C32" i="25" s="1"/>
  <c r="C36" i="25" s="1"/>
  <c r="C38" i="25" s="1"/>
  <c r="D21" i="25"/>
  <c r="D26" i="25" s="1"/>
  <c r="D32" i="25" s="1"/>
  <c r="D36" i="25" s="1"/>
  <c r="D38" i="25" s="1"/>
  <c r="E21" i="25"/>
  <c r="E26" i="25" s="1"/>
  <c r="E32" i="25" s="1"/>
  <c r="E36" i="25" s="1"/>
  <c r="E38" i="25" s="1"/>
  <c r="F21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H19" i="25"/>
  <c r="I19" i="25" s="1"/>
  <c r="J19" i="25" s="1"/>
  <c r="K19" i="25" s="1"/>
  <c r="L19" i="25" s="1"/>
  <c r="M19" i="25" s="1"/>
  <c r="N19" i="25" s="1"/>
  <c r="O19" i="25" s="1"/>
  <c r="P19" i="25" s="1"/>
  <c r="U15" i="25"/>
  <c r="U16" i="25" s="1"/>
  <c r="U18" i="25" s="1"/>
  <c r="T15" i="25"/>
  <c r="T16" i="25" s="1"/>
  <c r="T18" i="25" s="1"/>
  <c r="S15" i="25"/>
  <c r="S16" i="25" s="1"/>
  <c r="S18" i="25" s="1"/>
  <c r="R15" i="25"/>
  <c r="R16" i="25" s="1"/>
  <c r="R18" i="25" s="1"/>
  <c r="Q15" i="25"/>
  <c r="Q16" i="25" s="1"/>
  <c r="Q18" i="25" s="1"/>
  <c r="P15" i="25"/>
  <c r="P16" i="25" s="1"/>
  <c r="P18" i="25" s="1"/>
  <c r="O15" i="25"/>
  <c r="O16" i="25" s="1"/>
  <c r="O18" i="25" s="1"/>
  <c r="N15" i="25"/>
  <c r="N16" i="25" s="1"/>
  <c r="N18" i="25" s="1"/>
  <c r="M15" i="25"/>
  <c r="M16" i="25" s="1"/>
  <c r="M18" i="25" s="1"/>
  <c r="L15" i="25"/>
  <c r="L16" i="25" s="1"/>
  <c r="L18" i="25" s="1"/>
  <c r="K15" i="25"/>
  <c r="K16" i="25" s="1"/>
  <c r="K18" i="25" s="1"/>
  <c r="J15" i="25"/>
  <c r="J16" i="25" s="1"/>
  <c r="J18" i="25" s="1"/>
  <c r="I15" i="25"/>
  <c r="I16" i="25" s="1"/>
  <c r="I18" i="25" s="1"/>
  <c r="H15" i="25"/>
  <c r="H16" i="25" s="1"/>
  <c r="H18" i="25" s="1"/>
  <c r="G15" i="25"/>
  <c r="G16" i="25" s="1"/>
  <c r="G18" i="25" s="1"/>
  <c r="G21" i="25" s="1"/>
  <c r="G104" i="25" s="1"/>
  <c r="G69" i="25" s="1"/>
  <c r="G81" i="25" s="1"/>
  <c r="G135" i="25" s="1"/>
  <c r="K5" i="23"/>
  <c r="J5" i="23"/>
  <c r="I5" i="23"/>
  <c r="E5" i="23"/>
  <c r="V16" i="24"/>
  <c r="K25" i="23"/>
  <c r="J25" i="23"/>
  <c r="I25" i="23"/>
  <c r="N21" i="24"/>
  <c r="L21" i="24" s="1"/>
  <c r="R21" i="24" s="1"/>
  <c r="H21" i="24"/>
  <c r="F21" i="24"/>
  <c r="D21" i="24"/>
  <c r="J21" i="24" s="1"/>
  <c r="L10" i="24"/>
  <c r="R10" i="24" s="1"/>
  <c r="L14" i="24"/>
  <c r="H14" i="24"/>
  <c r="F14" i="24"/>
  <c r="D14" i="24"/>
  <c r="N8" i="24"/>
  <c r="H8" i="24"/>
  <c r="F8" i="24"/>
  <c r="D8" i="24"/>
  <c r="D12" i="24"/>
  <c r="J12" i="24" s="1"/>
  <c r="P12" i="24" s="1"/>
  <c r="J6" i="24"/>
  <c r="P6" i="24" s="1"/>
  <c r="H10" i="24"/>
  <c r="T10" i="24" s="1"/>
  <c r="T6" i="24"/>
  <c r="E26" i="23"/>
  <c r="E28" i="23" s="1"/>
  <c r="E25" i="23"/>
  <c r="E8" i="23"/>
  <c r="I9" i="23"/>
  <c r="K16" i="23"/>
  <c r="J16" i="23"/>
  <c r="E16" i="23"/>
  <c r="I16" i="23"/>
  <c r="K11" i="23"/>
  <c r="J11" i="23"/>
  <c r="K19" i="23"/>
  <c r="J19" i="23"/>
  <c r="I19" i="23"/>
  <c r="E13" i="23"/>
  <c r="K12" i="23"/>
  <c r="J12" i="23"/>
  <c r="I12" i="23"/>
  <c r="E9" i="23"/>
  <c r="E7" i="23" s="1"/>
  <c r="E27" i="23" s="1"/>
  <c r="E37" i="27" l="1"/>
  <c r="E83" i="27"/>
  <c r="E151" i="27"/>
  <c r="E158" i="27" s="1"/>
  <c r="D83" i="27"/>
  <c r="D151" i="27"/>
  <c r="D158" i="27" s="1"/>
  <c r="D169" i="27" s="1"/>
  <c r="AB21" i="24"/>
  <c r="AB8" i="24"/>
  <c r="AB12" i="24"/>
  <c r="R121" i="44"/>
  <c r="R68" i="44"/>
  <c r="O121" i="44"/>
  <c r="O68" i="44"/>
  <c r="P80" i="44" s="1"/>
  <c r="P155" i="44" s="1"/>
  <c r="D112" i="44"/>
  <c r="E109" i="44" s="1"/>
  <c r="E112" i="44" s="1"/>
  <c r="F109" i="44" s="1"/>
  <c r="D115" i="44"/>
  <c r="K121" i="44"/>
  <c r="K68" i="44"/>
  <c r="L80" i="44" s="1"/>
  <c r="L155" i="44" s="1"/>
  <c r="D171" i="44"/>
  <c r="J87" i="44"/>
  <c r="O87" i="44"/>
  <c r="D59" i="44"/>
  <c r="D151" i="44"/>
  <c r="D158" i="44" s="1"/>
  <c r="D83" i="44"/>
  <c r="F86" i="44"/>
  <c r="L87" i="44" s="1"/>
  <c r="F110" i="44"/>
  <c r="P8" i="44"/>
  <c r="U68" i="44"/>
  <c r="C139" i="44" s="1"/>
  <c r="G139" i="44" s="1"/>
  <c r="U121" i="44"/>
  <c r="L68" i="44"/>
  <c r="L121" i="44"/>
  <c r="F132" i="44"/>
  <c r="F77" i="44"/>
  <c r="F37" i="44"/>
  <c r="P121" i="44"/>
  <c r="P68" i="44"/>
  <c r="Q68" i="44"/>
  <c r="R80" i="44" s="1"/>
  <c r="R155" i="44" s="1"/>
  <c r="Q121" i="44"/>
  <c r="E151" i="44"/>
  <c r="E158" i="44" s="1"/>
  <c r="E83" i="44"/>
  <c r="H66" i="44"/>
  <c r="G67" i="44"/>
  <c r="M121" i="44"/>
  <c r="M68" i="44"/>
  <c r="N80" i="44" s="1"/>
  <c r="N155" i="44" s="1"/>
  <c r="N6" i="44"/>
  <c r="Q7" i="44"/>
  <c r="O6" i="44"/>
  <c r="P6" i="44"/>
  <c r="F92" i="44" s="1"/>
  <c r="F187" i="44" s="1"/>
  <c r="N121" i="44"/>
  <c r="N68" i="44"/>
  <c r="I68" i="44"/>
  <c r="J80" i="44" s="1"/>
  <c r="J155" i="44" s="1"/>
  <c r="I121" i="44"/>
  <c r="H121" i="44"/>
  <c r="H68" i="44"/>
  <c r="G121" i="44"/>
  <c r="G124" i="44" s="1"/>
  <c r="H120" i="44" s="1"/>
  <c r="G68" i="44"/>
  <c r="E171" i="44"/>
  <c r="I60" i="44"/>
  <c r="I29" i="44"/>
  <c r="S105" i="44"/>
  <c r="S26" i="44"/>
  <c r="J121" i="44"/>
  <c r="J68" i="44"/>
  <c r="K80" i="44" s="1"/>
  <c r="K155" i="44" s="1"/>
  <c r="T68" i="44"/>
  <c r="T121" i="44"/>
  <c r="F132" i="43"/>
  <c r="F77" i="43"/>
  <c r="F37" i="43"/>
  <c r="Q105" i="43"/>
  <c r="Q26" i="43"/>
  <c r="N26" i="43"/>
  <c r="N105" i="43"/>
  <c r="O105" i="43"/>
  <c r="O26" i="43"/>
  <c r="M105" i="43"/>
  <c r="M26" i="43"/>
  <c r="E151" i="43"/>
  <c r="E158" i="43" s="1"/>
  <c r="E83" i="43"/>
  <c r="U105" i="43"/>
  <c r="U26" i="43"/>
  <c r="S105" i="43"/>
  <c r="S26" i="43"/>
  <c r="P6" i="43"/>
  <c r="F92" i="43" s="1"/>
  <c r="F187" i="43" s="1"/>
  <c r="O6" i="43"/>
  <c r="E92" i="43" s="1"/>
  <c r="E187" i="43" s="1"/>
  <c r="N6" i="43"/>
  <c r="D92" i="43" s="1"/>
  <c r="Q7" i="43"/>
  <c r="G121" i="43"/>
  <c r="G124" i="43" s="1"/>
  <c r="H120" i="43" s="1"/>
  <c r="G68" i="43"/>
  <c r="K105" i="43"/>
  <c r="L121" i="43" s="1"/>
  <c r="K26" i="43"/>
  <c r="P68" i="43"/>
  <c r="I60" i="43"/>
  <c r="T105" i="43"/>
  <c r="T26" i="43"/>
  <c r="D151" i="43"/>
  <c r="D158" i="43" s="1"/>
  <c r="D83" i="43"/>
  <c r="P4" i="43"/>
  <c r="O4" i="43"/>
  <c r="N4" i="43"/>
  <c r="Q5" i="43"/>
  <c r="H121" i="43"/>
  <c r="H68" i="43"/>
  <c r="H29" i="43"/>
  <c r="R105" i="43"/>
  <c r="R26" i="43"/>
  <c r="F67" i="43"/>
  <c r="G66" i="43"/>
  <c r="I105" i="43"/>
  <c r="I26" i="43"/>
  <c r="L68" i="43"/>
  <c r="J105" i="43"/>
  <c r="J26" i="43"/>
  <c r="D171" i="42"/>
  <c r="D59" i="42"/>
  <c r="O105" i="42"/>
  <c r="O26" i="42"/>
  <c r="I60" i="42"/>
  <c r="E171" i="42"/>
  <c r="F77" i="42"/>
  <c r="F132" i="42"/>
  <c r="F37" i="42"/>
  <c r="F86" i="42"/>
  <c r="G87" i="42" s="1"/>
  <c r="F110" i="42"/>
  <c r="E116" i="42" s="1"/>
  <c r="E117" i="42" s="1"/>
  <c r="H121" i="42"/>
  <c r="H68" i="42"/>
  <c r="H29" i="42"/>
  <c r="N105" i="42"/>
  <c r="N26" i="42"/>
  <c r="Q105" i="42"/>
  <c r="Q26" i="42"/>
  <c r="G121" i="42"/>
  <c r="G124" i="42" s="1"/>
  <c r="H120" i="42" s="1"/>
  <c r="H124" i="42" s="1"/>
  <c r="I120" i="42" s="1"/>
  <c r="G68" i="42"/>
  <c r="D169" i="42"/>
  <c r="D160" i="42"/>
  <c r="P105" i="42"/>
  <c r="P26" i="42"/>
  <c r="D112" i="42"/>
  <c r="E109" i="42" s="1"/>
  <c r="E112" i="42" s="1"/>
  <c r="F109" i="42" s="1"/>
  <c r="E151" i="42"/>
  <c r="E158" i="42" s="1"/>
  <c r="E83" i="42"/>
  <c r="R105" i="42"/>
  <c r="R26" i="42"/>
  <c r="N6" i="42"/>
  <c r="Q7" i="42"/>
  <c r="P6" i="42"/>
  <c r="F92" i="42" s="1"/>
  <c r="F187" i="42" s="1"/>
  <c r="O6" i="42"/>
  <c r="I105" i="42"/>
  <c r="I26" i="42"/>
  <c r="K105" i="42"/>
  <c r="L121" i="42" s="1"/>
  <c r="K26" i="42"/>
  <c r="L68" i="42"/>
  <c r="M121" i="42"/>
  <c r="M68" i="42"/>
  <c r="T105" i="42"/>
  <c r="T26" i="42"/>
  <c r="J105" i="42"/>
  <c r="J26" i="42"/>
  <c r="U105" i="42"/>
  <c r="U26" i="42"/>
  <c r="G66" i="42"/>
  <c r="F67" i="42"/>
  <c r="S105" i="42"/>
  <c r="S26" i="42"/>
  <c r="O4" i="41"/>
  <c r="Q5" i="41"/>
  <c r="P4" i="41"/>
  <c r="F132" i="41"/>
  <c r="F77" i="41"/>
  <c r="F37" i="41"/>
  <c r="L121" i="41"/>
  <c r="L68" i="41"/>
  <c r="R105" i="41"/>
  <c r="R26" i="41"/>
  <c r="G121" i="41"/>
  <c r="G124" i="41" s="1"/>
  <c r="H120" i="41" s="1"/>
  <c r="G68" i="41"/>
  <c r="D110" i="41"/>
  <c r="D86" i="41"/>
  <c r="S121" i="41"/>
  <c r="S68" i="41"/>
  <c r="G67" i="41"/>
  <c r="H66" i="41"/>
  <c r="I60" i="41"/>
  <c r="I29" i="41"/>
  <c r="P68" i="41"/>
  <c r="Q80" i="41" s="1"/>
  <c r="Q155" i="41" s="1"/>
  <c r="P121" i="41"/>
  <c r="T121" i="41"/>
  <c r="T68" i="41"/>
  <c r="U80" i="41" s="1"/>
  <c r="U155" i="41" s="1"/>
  <c r="E151" i="41"/>
  <c r="E158" i="41" s="1"/>
  <c r="E83" i="41"/>
  <c r="H29" i="41"/>
  <c r="H68" i="41"/>
  <c r="I80" i="41" s="1"/>
  <c r="I155" i="41" s="1"/>
  <c r="H121" i="41"/>
  <c r="I121" i="41"/>
  <c r="Q121" i="41"/>
  <c r="Q68" i="41"/>
  <c r="D151" i="41"/>
  <c r="D158" i="41" s="1"/>
  <c r="D83" i="41"/>
  <c r="M121" i="41"/>
  <c r="M68" i="41"/>
  <c r="N80" i="41" s="1"/>
  <c r="N155" i="41" s="1"/>
  <c r="J121" i="41"/>
  <c r="J68" i="41"/>
  <c r="U121" i="41"/>
  <c r="U68" i="41"/>
  <c r="C139" i="41" s="1"/>
  <c r="G139" i="41" s="1"/>
  <c r="N121" i="41"/>
  <c r="N68" i="41"/>
  <c r="O121" i="41"/>
  <c r="O68" i="41"/>
  <c r="J80" i="41"/>
  <c r="J155" i="41" s="1"/>
  <c r="O6" i="41"/>
  <c r="N6" i="41"/>
  <c r="D92" i="41" s="1"/>
  <c r="P6" i="41"/>
  <c r="Q7" i="41"/>
  <c r="K121" i="41"/>
  <c r="K68" i="41"/>
  <c r="L80" i="41" s="1"/>
  <c r="L155" i="41" s="1"/>
  <c r="U105" i="40"/>
  <c r="U26" i="40"/>
  <c r="F77" i="40"/>
  <c r="F132" i="40"/>
  <c r="F37" i="40"/>
  <c r="I105" i="40"/>
  <c r="I26" i="40"/>
  <c r="Q21" i="40"/>
  <c r="T21" i="40"/>
  <c r="E151" i="40"/>
  <c r="E158" i="40" s="1"/>
  <c r="E83" i="40"/>
  <c r="N105" i="40"/>
  <c r="N26" i="40"/>
  <c r="G66" i="40"/>
  <c r="F67" i="40"/>
  <c r="H105" i="40"/>
  <c r="H26" i="40"/>
  <c r="M105" i="40"/>
  <c r="M26" i="40"/>
  <c r="K105" i="40"/>
  <c r="K26" i="40"/>
  <c r="S21" i="40"/>
  <c r="O4" i="40"/>
  <c r="N4" i="40"/>
  <c r="Q5" i="40"/>
  <c r="P4" i="40"/>
  <c r="L105" i="40"/>
  <c r="L26" i="40"/>
  <c r="G121" i="40"/>
  <c r="G124" i="40" s="1"/>
  <c r="H120" i="40" s="1"/>
  <c r="G68" i="40"/>
  <c r="O21" i="40"/>
  <c r="D187" i="40"/>
  <c r="D151" i="40"/>
  <c r="D158" i="40" s="1"/>
  <c r="D83" i="40"/>
  <c r="R21" i="40"/>
  <c r="P21" i="40"/>
  <c r="I60" i="40"/>
  <c r="I29" i="40"/>
  <c r="J105" i="40"/>
  <c r="J26" i="40"/>
  <c r="F132" i="39"/>
  <c r="F37" i="39"/>
  <c r="F77" i="39"/>
  <c r="D151" i="39"/>
  <c r="D158" i="39" s="1"/>
  <c r="D83" i="39"/>
  <c r="E83" i="39"/>
  <c r="E151" i="39"/>
  <c r="E158" i="39" s="1"/>
  <c r="N105" i="39"/>
  <c r="N26" i="39"/>
  <c r="I29" i="39"/>
  <c r="I60" i="39"/>
  <c r="H29" i="39"/>
  <c r="H121" i="39"/>
  <c r="H68" i="39"/>
  <c r="I80" i="39" s="1"/>
  <c r="I155" i="39" s="1"/>
  <c r="P6" i="39"/>
  <c r="F92" i="39" s="1"/>
  <c r="F187" i="39" s="1"/>
  <c r="O6" i="39"/>
  <c r="E92" i="39" s="1"/>
  <c r="E187" i="39" s="1"/>
  <c r="N6" i="39"/>
  <c r="D92" i="39" s="1"/>
  <c r="Q7" i="39"/>
  <c r="T105" i="39"/>
  <c r="T26" i="39"/>
  <c r="K105" i="39"/>
  <c r="K26" i="39"/>
  <c r="U105" i="39"/>
  <c r="U26" i="39"/>
  <c r="G121" i="39"/>
  <c r="G124" i="39" s="1"/>
  <c r="H120" i="39" s="1"/>
  <c r="H124" i="39" s="1"/>
  <c r="I120" i="39" s="1"/>
  <c r="G68" i="39"/>
  <c r="P68" i="39"/>
  <c r="Q105" i="39"/>
  <c r="Q26" i="39"/>
  <c r="J105" i="39"/>
  <c r="J26" i="39"/>
  <c r="O105" i="39"/>
  <c r="P121" i="39" s="1"/>
  <c r="O26" i="39"/>
  <c r="I121" i="39"/>
  <c r="I68" i="39"/>
  <c r="L105" i="39"/>
  <c r="L26" i="39"/>
  <c r="R105" i="39"/>
  <c r="R26" i="39"/>
  <c r="S105" i="39"/>
  <c r="S26" i="39"/>
  <c r="P4" i="39"/>
  <c r="O4" i="39"/>
  <c r="N4" i="39"/>
  <c r="Q5" i="39"/>
  <c r="F67" i="39"/>
  <c r="G66" i="39"/>
  <c r="M26" i="39"/>
  <c r="M105" i="39"/>
  <c r="P6" i="38"/>
  <c r="F92" i="38" s="1"/>
  <c r="F187" i="38" s="1"/>
  <c r="O6" i="38"/>
  <c r="E92" i="38" s="1"/>
  <c r="E187" i="38" s="1"/>
  <c r="N6" i="38"/>
  <c r="D92" i="38" s="1"/>
  <c r="Q7" i="38"/>
  <c r="P105" i="38"/>
  <c r="P26" i="38"/>
  <c r="L68" i="38"/>
  <c r="I121" i="38"/>
  <c r="I68" i="38"/>
  <c r="Q105" i="38"/>
  <c r="Q26" i="38"/>
  <c r="F132" i="38"/>
  <c r="F77" i="38"/>
  <c r="F37" i="38"/>
  <c r="R105" i="38"/>
  <c r="R26" i="38"/>
  <c r="H121" i="38"/>
  <c r="H68" i="38"/>
  <c r="M105" i="38"/>
  <c r="M26" i="38"/>
  <c r="J26" i="38"/>
  <c r="J105" i="38"/>
  <c r="S121" i="38"/>
  <c r="S68" i="38"/>
  <c r="N121" i="38"/>
  <c r="N68" i="38"/>
  <c r="P4" i="38"/>
  <c r="O4" i="38"/>
  <c r="Q5" i="38"/>
  <c r="N4" i="38"/>
  <c r="I29" i="38"/>
  <c r="I60" i="38"/>
  <c r="T68" i="38"/>
  <c r="U80" i="38" s="1"/>
  <c r="U155" i="38" s="1"/>
  <c r="T121" i="38"/>
  <c r="U121" i="38"/>
  <c r="U68" i="38"/>
  <c r="C139" i="38" s="1"/>
  <c r="G139" i="38" s="1"/>
  <c r="G68" i="38"/>
  <c r="G121" i="38"/>
  <c r="G124" i="38" s="1"/>
  <c r="H120" i="38" s="1"/>
  <c r="H124" i="38" s="1"/>
  <c r="I120" i="38" s="1"/>
  <c r="I124" i="38" s="1"/>
  <c r="J120" i="38" s="1"/>
  <c r="H29" i="38"/>
  <c r="D151" i="38"/>
  <c r="D158" i="38" s="1"/>
  <c r="D83" i="38"/>
  <c r="H66" i="38"/>
  <c r="G67" i="38"/>
  <c r="E151" i="38"/>
  <c r="E158" i="38" s="1"/>
  <c r="E83" i="38"/>
  <c r="K105" i="38"/>
  <c r="L121" i="38" s="1"/>
  <c r="K26" i="38"/>
  <c r="O105" i="38"/>
  <c r="O26" i="38"/>
  <c r="F132" i="37"/>
  <c r="F37" i="37"/>
  <c r="F77" i="37"/>
  <c r="U105" i="37"/>
  <c r="U26" i="37"/>
  <c r="L105" i="37"/>
  <c r="L26" i="37"/>
  <c r="E151" i="37"/>
  <c r="E158" i="37" s="1"/>
  <c r="E83" i="37"/>
  <c r="M105" i="37"/>
  <c r="M26" i="37"/>
  <c r="P6" i="37"/>
  <c r="F92" i="37" s="1"/>
  <c r="F187" i="37" s="1"/>
  <c r="O6" i="37"/>
  <c r="E92" i="37" s="1"/>
  <c r="E187" i="37" s="1"/>
  <c r="N6" i="37"/>
  <c r="D92" i="37" s="1"/>
  <c r="Q7" i="37"/>
  <c r="Q105" i="37"/>
  <c r="Q26" i="37"/>
  <c r="F67" i="37"/>
  <c r="G66" i="37"/>
  <c r="S105" i="37"/>
  <c r="S26" i="37"/>
  <c r="D151" i="37"/>
  <c r="D158" i="37" s="1"/>
  <c r="D83" i="37"/>
  <c r="O105" i="37"/>
  <c r="O26" i="37"/>
  <c r="K105" i="37"/>
  <c r="K26" i="37"/>
  <c r="R105" i="37"/>
  <c r="R26" i="37"/>
  <c r="G121" i="37"/>
  <c r="G124" i="37" s="1"/>
  <c r="H120" i="37" s="1"/>
  <c r="G68" i="37"/>
  <c r="I60" i="37"/>
  <c r="P105" i="37"/>
  <c r="P26" i="37"/>
  <c r="P4" i="37"/>
  <c r="O4" i="37"/>
  <c r="N4" i="37"/>
  <c r="Q5" i="37"/>
  <c r="I105" i="37"/>
  <c r="J121" i="37" s="1"/>
  <c r="I26" i="37"/>
  <c r="H29" i="37"/>
  <c r="J68" i="37"/>
  <c r="N26" i="37"/>
  <c r="N105" i="37"/>
  <c r="T105" i="37"/>
  <c r="T26" i="37"/>
  <c r="H121" i="37"/>
  <c r="H68" i="37"/>
  <c r="F132" i="36"/>
  <c r="F37" i="36"/>
  <c r="F77" i="36"/>
  <c r="F66" i="36"/>
  <c r="E67" i="36"/>
  <c r="D116" i="36"/>
  <c r="Q105" i="36"/>
  <c r="Q26" i="36"/>
  <c r="E171" i="36"/>
  <c r="G121" i="36"/>
  <c r="G124" i="36" s="1"/>
  <c r="H120" i="36" s="1"/>
  <c r="G68" i="36"/>
  <c r="R105" i="36"/>
  <c r="R26" i="36"/>
  <c r="K105" i="36"/>
  <c r="K26" i="36"/>
  <c r="N26" i="36"/>
  <c r="N105" i="36"/>
  <c r="S105" i="36"/>
  <c r="S26" i="36"/>
  <c r="J105" i="36"/>
  <c r="J26" i="36"/>
  <c r="O6" i="36"/>
  <c r="N6" i="36"/>
  <c r="D92" i="36" s="1"/>
  <c r="Q7" i="36"/>
  <c r="P6" i="36"/>
  <c r="H121" i="36"/>
  <c r="H68" i="36"/>
  <c r="O105" i="36"/>
  <c r="O26" i="36"/>
  <c r="E169" i="36"/>
  <c r="E160" i="36"/>
  <c r="D151" i="36"/>
  <c r="D158" i="36" s="1"/>
  <c r="D83" i="36"/>
  <c r="U105" i="36"/>
  <c r="U26" i="36"/>
  <c r="I60" i="36"/>
  <c r="I29" i="36"/>
  <c r="E90" i="36"/>
  <c r="E91" i="36" s="1"/>
  <c r="E133" i="36"/>
  <c r="F171" i="36"/>
  <c r="M26" i="36"/>
  <c r="M105" i="36"/>
  <c r="T105" i="36"/>
  <c r="T26" i="36"/>
  <c r="I121" i="36"/>
  <c r="I68" i="36"/>
  <c r="H29" i="36"/>
  <c r="D110" i="36"/>
  <c r="D86" i="36"/>
  <c r="P105" i="36"/>
  <c r="P26" i="36"/>
  <c r="L105" i="36"/>
  <c r="L26" i="36"/>
  <c r="M21" i="27"/>
  <c r="K21" i="27"/>
  <c r="K105" i="27" s="1"/>
  <c r="Q21" i="27"/>
  <c r="N21" i="27"/>
  <c r="I21" i="27"/>
  <c r="R21" i="27"/>
  <c r="L21" i="27"/>
  <c r="L105" i="27" s="1"/>
  <c r="S21" i="27"/>
  <c r="S105" i="27" s="1"/>
  <c r="O21" i="27"/>
  <c r="T21" i="27"/>
  <c r="P21" i="27"/>
  <c r="P105" i="27" s="1"/>
  <c r="P68" i="27" s="1"/>
  <c r="J21" i="27"/>
  <c r="J105" i="27" s="1"/>
  <c r="J68" i="27" s="1"/>
  <c r="E133" i="27"/>
  <c r="E90" i="27"/>
  <c r="E91" i="27" s="1"/>
  <c r="E110" i="27"/>
  <c r="D116" i="27" s="1"/>
  <c r="E86" i="27"/>
  <c r="E171" i="27" s="1"/>
  <c r="D110" i="27"/>
  <c r="D86" i="27"/>
  <c r="H68" i="27"/>
  <c r="H121" i="27"/>
  <c r="U68" i="27"/>
  <c r="C139" i="27" s="1"/>
  <c r="G139" i="27" s="1"/>
  <c r="G68" i="27"/>
  <c r="G121" i="27"/>
  <c r="G124" i="27" s="1"/>
  <c r="H120" i="27" s="1"/>
  <c r="H124" i="27" s="1"/>
  <c r="I120" i="27" s="1"/>
  <c r="G46" i="26"/>
  <c r="H53" i="26"/>
  <c r="I52" i="26" s="1"/>
  <c r="I53" i="26" s="1"/>
  <c r="J52" i="26" s="1"/>
  <c r="K48" i="26"/>
  <c r="G47" i="26"/>
  <c r="L26" i="26"/>
  <c r="E23" i="26"/>
  <c r="L29" i="27"/>
  <c r="N29" i="27"/>
  <c r="R29" i="27"/>
  <c r="M29" i="27"/>
  <c r="K29" i="27"/>
  <c r="H29" i="27"/>
  <c r="P29" i="27"/>
  <c r="J29" i="27"/>
  <c r="O29" i="27"/>
  <c r="I29" i="27"/>
  <c r="E67" i="27"/>
  <c r="D37" i="27"/>
  <c r="Q29" i="27"/>
  <c r="N105" i="27"/>
  <c r="M105" i="27"/>
  <c r="F67" i="27"/>
  <c r="G66" i="27"/>
  <c r="I105" i="27"/>
  <c r="F134" i="25"/>
  <c r="F91" i="25"/>
  <c r="D91" i="25"/>
  <c r="E91" i="25"/>
  <c r="D27" i="26"/>
  <c r="D23" i="26"/>
  <c r="E9" i="26"/>
  <c r="E24" i="26" s="1"/>
  <c r="E28" i="26" s="1"/>
  <c r="D13" i="26"/>
  <c r="D14" i="26" s="1"/>
  <c r="E13" i="26" s="1"/>
  <c r="E14" i="26" s="1"/>
  <c r="F13" i="26" s="1"/>
  <c r="F14" i="26" s="1"/>
  <c r="G13" i="26" s="1"/>
  <c r="G14" i="26" s="1"/>
  <c r="H13" i="26" s="1"/>
  <c r="D9" i="26"/>
  <c r="D24" i="26" s="1"/>
  <c r="F9" i="26"/>
  <c r="F24" i="26" s="1"/>
  <c r="G124" i="25"/>
  <c r="J22" i="26"/>
  <c r="R7" i="26"/>
  <c r="K22" i="26"/>
  <c r="L22" i="26"/>
  <c r="R21" i="26"/>
  <c r="R8" i="26"/>
  <c r="F22" i="26"/>
  <c r="N22" i="26"/>
  <c r="M22" i="26"/>
  <c r="G22" i="26"/>
  <c r="O22" i="26"/>
  <c r="H22" i="26"/>
  <c r="I22" i="26"/>
  <c r="D30" i="26"/>
  <c r="D31" i="26" s="1"/>
  <c r="M29" i="25"/>
  <c r="I29" i="25"/>
  <c r="L29" i="25"/>
  <c r="P29" i="25"/>
  <c r="Q29" i="25"/>
  <c r="F94" i="25"/>
  <c r="T29" i="25"/>
  <c r="U29" i="25"/>
  <c r="H29" i="25"/>
  <c r="N29" i="25"/>
  <c r="G29" i="25"/>
  <c r="O29" i="25"/>
  <c r="J29" i="25"/>
  <c r="R29" i="25"/>
  <c r="D68" i="25"/>
  <c r="K29" i="25"/>
  <c r="S29" i="25"/>
  <c r="D78" i="25"/>
  <c r="E78" i="25"/>
  <c r="F67" i="25"/>
  <c r="E68" i="25"/>
  <c r="E72" i="25" s="1"/>
  <c r="I21" i="25"/>
  <c r="I104" i="25" s="1"/>
  <c r="I69" i="25" s="1"/>
  <c r="H21" i="25"/>
  <c r="H104" i="25" s="1"/>
  <c r="H69" i="25" s="1"/>
  <c r="F26" i="25"/>
  <c r="N21" i="25"/>
  <c r="N104" i="25" s="1"/>
  <c r="N69" i="25" s="1"/>
  <c r="O21" i="25"/>
  <c r="O104" i="25" s="1"/>
  <c r="O69" i="25" s="1"/>
  <c r="M21" i="25"/>
  <c r="M104" i="25" s="1"/>
  <c r="M69" i="25" s="1"/>
  <c r="L21" i="25"/>
  <c r="J21" i="25"/>
  <c r="J104" i="25" s="1"/>
  <c r="J69" i="25" s="1"/>
  <c r="K21" i="25"/>
  <c r="K104" i="25" s="1"/>
  <c r="K69" i="25" s="1"/>
  <c r="P21" i="25"/>
  <c r="P104" i="25" s="1"/>
  <c r="P69" i="25" s="1"/>
  <c r="Q19" i="25"/>
  <c r="R19" i="25" s="1"/>
  <c r="S19" i="25" s="1"/>
  <c r="T19" i="25" s="1"/>
  <c r="U19" i="25" s="1"/>
  <c r="U21" i="25" s="1"/>
  <c r="U104" i="25" s="1"/>
  <c r="U69" i="25" s="1"/>
  <c r="C119" i="25" s="1"/>
  <c r="I26" i="23"/>
  <c r="J26" i="23" s="1"/>
  <c r="V19" i="24"/>
  <c r="V18" i="24"/>
  <c r="J14" i="24"/>
  <c r="P14" i="24" s="1"/>
  <c r="T8" i="24"/>
  <c r="J10" i="24"/>
  <c r="P10" i="24" s="1"/>
  <c r="P21" i="24"/>
  <c r="J8" i="24"/>
  <c r="P8" i="24" s="1"/>
  <c r="L8" i="24"/>
  <c r="R8" i="24" s="1"/>
  <c r="T21" i="24"/>
  <c r="E18" i="23"/>
  <c r="K13" i="23"/>
  <c r="J13" i="23"/>
  <c r="I13" i="23"/>
  <c r="I7" i="23"/>
  <c r="I27" i="23" s="1"/>
  <c r="G20" i="2"/>
  <c r="F20" i="2"/>
  <c r="E20" i="2"/>
  <c r="E24" i="2" s="1"/>
  <c r="D20" i="2"/>
  <c r="M28" i="2"/>
  <c r="M30" i="2" s="1"/>
  <c r="M29" i="2"/>
  <c r="I28" i="2"/>
  <c r="I29" i="2"/>
  <c r="I30" i="2" s="1"/>
  <c r="E61" i="19"/>
  <c r="D61" i="19"/>
  <c r="C61" i="19"/>
  <c r="O60" i="19"/>
  <c r="N60" i="19"/>
  <c r="M60" i="19"/>
  <c r="L60" i="19"/>
  <c r="K60" i="19"/>
  <c r="J60" i="19"/>
  <c r="I60" i="19"/>
  <c r="H60" i="19"/>
  <c r="G60" i="19"/>
  <c r="F60" i="19"/>
  <c r="F24" i="2"/>
  <c r="E47" i="19" s="1"/>
  <c r="D24" i="2"/>
  <c r="E56" i="19"/>
  <c r="E58" i="19" s="1"/>
  <c r="H19" i="2"/>
  <c r="I19" i="2"/>
  <c r="J19" i="2" s="1"/>
  <c r="J20" i="2" s="1"/>
  <c r="J33" i="2" s="1"/>
  <c r="K19" i="2"/>
  <c r="D56" i="19"/>
  <c r="D58" i="19" s="1"/>
  <c r="C56" i="19"/>
  <c r="C58" i="19"/>
  <c r="C47" i="19"/>
  <c r="C60" i="19" s="1"/>
  <c r="C62" i="19" s="1"/>
  <c r="C63" i="19" s="1"/>
  <c r="U28" i="2"/>
  <c r="U30" i="2" s="1"/>
  <c r="U29" i="2"/>
  <c r="R28" i="2"/>
  <c r="R29" i="2"/>
  <c r="Q28" i="2"/>
  <c r="Q29" i="2"/>
  <c r="Q30" i="2"/>
  <c r="P48" i="19" s="1"/>
  <c r="P49" i="19" s="1"/>
  <c r="N28" i="2"/>
  <c r="N30" i="2" s="1"/>
  <c r="N29" i="2"/>
  <c r="J28" i="2"/>
  <c r="J29" i="2"/>
  <c r="T28" i="2"/>
  <c r="T30" i="2" s="1"/>
  <c r="T29" i="2"/>
  <c r="S28" i="2"/>
  <c r="S29" i="2"/>
  <c r="S30" i="2"/>
  <c r="R48" i="19" s="1"/>
  <c r="R49" i="19" s="1"/>
  <c r="P28" i="2"/>
  <c r="P30" i="2" s="1"/>
  <c r="P29" i="2"/>
  <c r="O28" i="2"/>
  <c r="O30" i="2" s="1"/>
  <c r="O29" i="2"/>
  <c r="L28" i="2"/>
  <c r="L29" i="2"/>
  <c r="L30" i="2" s="1"/>
  <c r="K48" i="19"/>
  <c r="K28" i="2"/>
  <c r="K30" i="2" s="1"/>
  <c r="K29" i="2"/>
  <c r="H28" i="2"/>
  <c r="H30" i="2" s="1"/>
  <c r="H29" i="2"/>
  <c r="G28" i="2"/>
  <c r="G29" i="2"/>
  <c r="E45" i="19"/>
  <c r="D45" i="19"/>
  <c r="C45" i="19"/>
  <c r="L34" i="19"/>
  <c r="K34" i="19"/>
  <c r="J34" i="19"/>
  <c r="I34" i="19"/>
  <c r="H34" i="19"/>
  <c r="G34" i="19"/>
  <c r="F34" i="19"/>
  <c r="E34" i="19"/>
  <c r="D34" i="19"/>
  <c r="C34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C16" i="5"/>
  <c r="C19" i="5"/>
  <c r="C10" i="5"/>
  <c r="C13" i="5" s="1"/>
  <c r="C13" i="4"/>
  <c r="C14" i="4"/>
  <c r="C4" i="5" s="1"/>
  <c r="C5" i="5"/>
  <c r="N20" i="19"/>
  <c r="J20" i="19"/>
  <c r="F20" i="19"/>
  <c r="Q20" i="19"/>
  <c r="P20" i="19"/>
  <c r="O20" i="19"/>
  <c r="M20" i="19"/>
  <c r="L20" i="19"/>
  <c r="K20" i="19"/>
  <c r="I20" i="19"/>
  <c r="H20" i="19"/>
  <c r="G20" i="19"/>
  <c r="E20" i="19"/>
  <c r="D20" i="19"/>
  <c r="C20" i="19"/>
  <c r="D16" i="19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Q17" i="19" s="1"/>
  <c r="O12" i="19"/>
  <c r="O13" i="19" s="1"/>
  <c r="O15" i="19"/>
  <c r="K12" i="19"/>
  <c r="K13" i="19" s="1"/>
  <c r="K15" i="19" s="1"/>
  <c r="K17" i="19" s="1"/>
  <c r="G12" i="19"/>
  <c r="G13" i="19" s="1"/>
  <c r="G15" i="19"/>
  <c r="G17" i="19" s="1"/>
  <c r="C12" i="19"/>
  <c r="C13" i="19"/>
  <c r="C15" i="19" s="1"/>
  <c r="C17" i="19" s="1"/>
  <c r="Q12" i="19"/>
  <c r="Q13" i="19"/>
  <c r="Q15" i="19" s="1"/>
  <c r="P12" i="19"/>
  <c r="P13" i="19" s="1"/>
  <c r="P15" i="19" s="1"/>
  <c r="N12" i="19"/>
  <c r="N13" i="19"/>
  <c r="N15" i="19" s="1"/>
  <c r="N17" i="19" s="1"/>
  <c r="M12" i="19"/>
  <c r="M13" i="19" s="1"/>
  <c r="M15" i="19" s="1"/>
  <c r="L12" i="19"/>
  <c r="L13" i="19"/>
  <c r="L15" i="19" s="1"/>
  <c r="J12" i="19"/>
  <c r="J13" i="19" s="1"/>
  <c r="J15" i="19" s="1"/>
  <c r="J17" i="19" s="1"/>
  <c r="I12" i="19"/>
  <c r="I13" i="19"/>
  <c r="I15" i="19" s="1"/>
  <c r="I17" i="19" s="1"/>
  <c r="H12" i="19"/>
  <c r="H13" i="19" s="1"/>
  <c r="H15" i="19" s="1"/>
  <c r="H17" i="19" s="1"/>
  <c r="F12" i="19"/>
  <c r="F13" i="19"/>
  <c r="F15" i="19" s="1"/>
  <c r="E12" i="19"/>
  <c r="E13" i="19" s="1"/>
  <c r="E15" i="19" s="1"/>
  <c r="E17" i="19" s="1"/>
  <c r="D12" i="19"/>
  <c r="D13" i="19"/>
  <c r="D15" i="19" s="1"/>
  <c r="D17" i="19" s="1"/>
  <c r="M48" i="18"/>
  <c r="E61" i="18"/>
  <c r="D61" i="18"/>
  <c r="C61" i="18"/>
  <c r="O60" i="18"/>
  <c r="N60" i="18"/>
  <c r="M60" i="18"/>
  <c r="L60" i="18"/>
  <c r="K60" i="18"/>
  <c r="J60" i="18"/>
  <c r="I60" i="18"/>
  <c r="H60" i="18"/>
  <c r="G60" i="18"/>
  <c r="F60" i="18"/>
  <c r="C56" i="18"/>
  <c r="C58" i="18" s="1"/>
  <c r="C47" i="18"/>
  <c r="E56" i="18"/>
  <c r="E58" i="18"/>
  <c r="D56" i="18"/>
  <c r="D58" i="18"/>
  <c r="R48" i="18"/>
  <c r="R49" i="18"/>
  <c r="P48" i="18"/>
  <c r="P49" i="18" s="1"/>
  <c r="O48" i="18"/>
  <c r="O61" i="18" s="1"/>
  <c r="O62" i="18" s="1"/>
  <c r="E45" i="18"/>
  <c r="D45" i="18"/>
  <c r="C45" i="18"/>
  <c r="L34" i="18"/>
  <c r="K34" i="18"/>
  <c r="J34" i="18"/>
  <c r="I34" i="18"/>
  <c r="H34" i="18"/>
  <c r="G34" i="18"/>
  <c r="F34" i="18"/>
  <c r="E34" i="18"/>
  <c r="D34" i="18"/>
  <c r="C34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V15" i="18"/>
  <c r="V18" i="18"/>
  <c r="D16" i="18"/>
  <c r="E16" i="18"/>
  <c r="F16" i="18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Q12" i="18"/>
  <c r="Q13" i="18"/>
  <c r="Q15" i="18" s="1"/>
  <c r="P12" i="18"/>
  <c r="P13" i="18" s="1"/>
  <c r="P15" i="18" s="1"/>
  <c r="P17" i="18" s="1"/>
  <c r="O12" i="18"/>
  <c r="O13" i="18"/>
  <c r="O15" i="18" s="1"/>
  <c r="N12" i="18"/>
  <c r="N13" i="18"/>
  <c r="N15" i="18" s="1"/>
  <c r="M12" i="18"/>
  <c r="M13" i="18"/>
  <c r="M15" i="18" s="1"/>
  <c r="L12" i="18"/>
  <c r="L13" i="18"/>
  <c r="L15" i="18"/>
  <c r="K12" i="18"/>
  <c r="K13" i="18"/>
  <c r="K15" i="18" s="1"/>
  <c r="K17" i="18" s="1"/>
  <c r="J12" i="18"/>
  <c r="J13" i="18"/>
  <c r="J15" i="18" s="1"/>
  <c r="I12" i="18"/>
  <c r="I13" i="18" s="1"/>
  <c r="I15" i="18" s="1"/>
  <c r="H12" i="18"/>
  <c r="H13" i="18"/>
  <c r="H15" i="18" s="1"/>
  <c r="H17" i="18" s="1"/>
  <c r="G12" i="18"/>
  <c r="G13" i="18" s="1"/>
  <c r="G15" i="18" s="1"/>
  <c r="F12" i="18"/>
  <c r="F13" i="18" s="1"/>
  <c r="F15" i="18" s="1"/>
  <c r="F17" i="18" s="1"/>
  <c r="E12" i="18"/>
  <c r="E13" i="18"/>
  <c r="E15" i="18" s="1"/>
  <c r="E17" i="18" s="1"/>
  <c r="D12" i="18"/>
  <c r="D13" i="18"/>
  <c r="D15" i="18" s="1"/>
  <c r="D17" i="18" s="1"/>
  <c r="C12" i="18"/>
  <c r="C13" i="18"/>
  <c r="V9" i="18"/>
  <c r="V12" i="18"/>
  <c r="E61" i="15"/>
  <c r="D61" i="15"/>
  <c r="C61" i="15"/>
  <c r="O60" i="15"/>
  <c r="N60" i="15"/>
  <c r="M60" i="15"/>
  <c r="L60" i="15"/>
  <c r="K60" i="15"/>
  <c r="J60" i="15"/>
  <c r="I60" i="15"/>
  <c r="H60" i="15"/>
  <c r="G60" i="15"/>
  <c r="F60" i="15"/>
  <c r="C56" i="15"/>
  <c r="C58" i="15"/>
  <c r="E56" i="15"/>
  <c r="E58" i="15"/>
  <c r="D56" i="15"/>
  <c r="D58" i="15" s="1"/>
  <c r="R48" i="15"/>
  <c r="R49" i="15"/>
  <c r="T48" i="15"/>
  <c r="T49" i="15" s="1"/>
  <c r="P48" i="15"/>
  <c r="P49" i="15" s="1"/>
  <c r="C47" i="15"/>
  <c r="C60" i="15" s="1"/>
  <c r="C62" i="15" s="1"/>
  <c r="C63" i="15" s="1"/>
  <c r="E45" i="15"/>
  <c r="D45" i="15"/>
  <c r="C45" i="15"/>
  <c r="L34" i="15"/>
  <c r="K34" i="15"/>
  <c r="J34" i="15"/>
  <c r="I34" i="15"/>
  <c r="H34" i="15"/>
  <c r="G34" i="15"/>
  <c r="F34" i="15"/>
  <c r="E34" i="15"/>
  <c r="D34" i="15"/>
  <c r="C34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D16" i="15"/>
  <c r="E16" i="15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Q12" i="15"/>
  <c r="Q13" i="15" s="1"/>
  <c r="Q15" i="15" s="1"/>
  <c r="M12" i="15"/>
  <c r="M13" i="15" s="1"/>
  <c r="M15" i="15" s="1"/>
  <c r="I12" i="15"/>
  <c r="I13" i="15" s="1"/>
  <c r="I15" i="15" s="1"/>
  <c r="E12" i="15"/>
  <c r="E13" i="15"/>
  <c r="E15" i="15" s="1"/>
  <c r="E17" i="15" s="1"/>
  <c r="P12" i="15"/>
  <c r="P13" i="15" s="1"/>
  <c r="P15" i="15" s="1"/>
  <c r="P17" i="15" s="1"/>
  <c r="L12" i="15"/>
  <c r="L13" i="15"/>
  <c r="L15" i="15" s="1"/>
  <c r="H12" i="15"/>
  <c r="H13" i="15" s="1"/>
  <c r="H15" i="15" s="1"/>
  <c r="D12" i="15"/>
  <c r="D13" i="15"/>
  <c r="D15" i="15" s="1"/>
  <c r="D17" i="15" s="1"/>
  <c r="O12" i="15"/>
  <c r="O13" i="15" s="1"/>
  <c r="O15" i="15" s="1"/>
  <c r="O17" i="15" s="1"/>
  <c r="N12" i="15"/>
  <c r="N13" i="15" s="1"/>
  <c r="N15" i="15" s="1"/>
  <c r="K12" i="15"/>
  <c r="K13" i="15" s="1"/>
  <c r="K15" i="15" s="1"/>
  <c r="K17" i="15" s="1"/>
  <c r="J12" i="15"/>
  <c r="J13" i="15" s="1"/>
  <c r="J15" i="15" s="1"/>
  <c r="G12" i="15"/>
  <c r="G13" i="15" s="1"/>
  <c r="G15" i="15" s="1"/>
  <c r="F12" i="15"/>
  <c r="F13" i="15" s="1"/>
  <c r="F15" i="15" s="1"/>
  <c r="C12" i="15"/>
  <c r="C13" i="15" s="1"/>
  <c r="C15" i="15" s="1"/>
  <c r="C17" i="15" s="1"/>
  <c r="I20" i="2"/>
  <c r="I33" i="2" s="1"/>
  <c r="H20" i="2"/>
  <c r="H33" i="2" s="1"/>
  <c r="G33" i="2"/>
  <c r="F33" i="2"/>
  <c r="C49" i="19"/>
  <c r="V20" i="18"/>
  <c r="O49" i="18"/>
  <c r="C49" i="15"/>
  <c r="C50" i="15" s="1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V15" i="14"/>
  <c r="V18" i="14" s="1"/>
  <c r="V20" i="14" s="1"/>
  <c r="V9" i="14"/>
  <c r="V12" i="14"/>
  <c r="C12" i="14"/>
  <c r="C13" i="14"/>
  <c r="V3" i="14" s="1"/>
  <c r="V4" i="14"/>
  <c r="E56" i="10"/>
  <c r="E58" i="10"/>
  <c r="E61" i="10"/>
  <c r="D56" i="10"/>
  <c r="D58" i="10"/>
  <c r="D61" i="10"/>
  <c r="C56" i="10"/>
  <c r="C58" i="10" s="1"/>
  <c r="C47" i="10"/>
  <c r="C60" i="10" s="1"/>
  <c r="C62" i="10" s="1"/>
  <c r="C61" i="10"/>
  <c r="O60" i="10"/>
  <c r="N60" i="10"/>
  <c r="M60" i="10"/>
  <c r="M48" i="10"/>
  <c r="L60" i="10"/>
  <c r="K60" i="10"/>
  <c r="K48" i="10"/>
  <c r="J60" i="10"/>
  <c r="I60" i="10"/>
  <c r="H60" i="10"/>
  <c r="G60" i="10"/>
  <c r="G48" i="10"/>
  <c r="G61" i="10" s="1"/>
  <c r="G62" i="10"/>
  <c r="F60" i="10"/>
  <c r="E45" i="10"/>
  <c r="D45" i="10"/>
  <c r="C45" i="10"/>
  <c r="T48" i="10"/>
  <c r="T49" i="10"/>
  <c r="S48" i="10"/>
  <c r="S49" i="10" s="1"/>
  <c r="R48" i="10"/>
  <c r="R49" i="10" s="1"/>
  <c r="P48" i="10"/>
  <c r="P49" i="10" s="1"/>
  <c r="G49" i="10"/>
  <c r="L34" i="10"/>
  <c r="K34" i="10"/>
  <c r="J34" i="10"/>
  <c r="I34" i="10"/>
  <c r="H34" i="10"/>
  <c r="G34" i="10"/>
  <c r="F34" i="10"/>
  <c r="E34" i="10"/>
  <c r="D34" i="10"/>
  <c r="C34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K12" i="10"/>
  <c r="K13" i="10"/>
  <c r="K15" i="10" s="1"/>
  <c r="D16" i="10"/>
  <c r="E16" i="10"/>
  <c r="F16" i="10" s="1"/>
  <c r="G16" i="10" s="1"/>
  <c r="H16" i="10" s="1"/>
  <c r="I16" i="10" s="1"/>
  <c r="J16" i="10" s="1"/>
  <c r="G12" i="10"/>
  <c r="G13" i="10" s="1"/>
  <c r="G15" i="10"/>
  <c r="G17" i="10"/>
  <c r="Q12" i="10"/>
  <c r="Q13" i="10"/>
  <c r="Q15" i="10" s="1"/>
  <c r="P12" i="10"/>
  <c r="P13" i="10"/>
  <c r="P15" i="10"/>
  <c r="O12" i="10"/>
  <c r="O13" i="10"/>
  <c r="O15" i="10" s="1"/>
  <c r="N12" i="10"/>
  <c r="N13" i="10"/>
  <c r="N15" i="10" s="1"/>
  <c r="M12" i="10"/>
  <c r="M13" i="10"/>
  <c r="M15" i="10" s="1"/>
  <c r="L12" i="10"/>
  <c r="L13" i="10"/>
  <c r="L15" i="10"/>
  <c r="J12" i="10"/>
  <c r="J13" i="10"/>
  <c r="J15" i="10" s="1"/>
  <c r="I12" i="10"/>
  <c r="I13" i="10"/>
  <c r="I15" i="10"/>
  <c r="I17" i="10" s="1"/>
  <c r="H12" i="10"/>
  <c r="H13" i="10"/>
  <c r="H15" i="10" s="1"/>
  <c r="H17" i="10" s="1"/>
  <c r="F12" i="10"/>
  <c r="F13" i="10"/>
  <c r="F15" i="10"/>
  <c r="F17" i="10" s="1"/>
  <c r="E12" i="10"/>
  <c r="E13" i="10"/>
  <c r="E15" i="10" s="1"/>
  <c r="E17" i="10" s="1"/>
  <c r="D12" i="10"/>
  <c r="D13" i="10"/>
  <c r="D15" i="10" s="1"/>
  <c r="D17" i="10" s="1"/>
  <c r="C12" i="10"/>
  <c r="C13" i="10"/>
  <c r="C15" i="10" s="1"/>
  <c r="C17" i="10" s="1"/>
  <c r="E56" i="9"/>
  <c r="E58" i="9"/>
  <c r="E47" i="9"/>
  <c r="E61" i="9"/>
  <c r="D56" i="9"/>
  <c r="D58" i="9" s="1"/>
  <c r="D47" i="9"/>
  <c r="D49" i="9" s="1"/>
  <c r="D60" i="9"/>
  <c r="D62" i="9" s="1"/>
  <c r="D61" i="9"/>
  <c r="C56" i="9"/>
  <c r="C58" i="9"/>
  <c r="C47" i="9"/>
  <c r="C60" i="9"/>
  <c r="C62" i="9" s="1"/>
  <c r="C61" i="9"/>
  <c r="O60" i="9"/>
  <c r="O48" i="9"/>
  <c r="O61" i="9" s="1"/>
  <c r="N60" i="9"/>
  <c r="N48" i="9"/>
  <c r="N61" i="9" s="1"/>
  <c r="M60" i="9"/>
  <c r="M48" i="9"/>
  <c r="M61" i="9" s="1"/>
  <c r="L60" i="9"/>
  <c r="L48" i="9"/>
  <c r="K60" i="9"/>
  <c r="K48" i="9"/>
  <c r="K61" i="9"/>
  <c r="J60" i="9"/>
  <c r="I60" i="9"/>
  <c r="H60" i="9"/>
  <c r="G60" i="9"/>
  <c r="F60" i="9"/>
  <c r="E45" i="9"/>
  <c r="D45" i="9"/>
  <c r="C45" i="9"/>
  <c r="C49" i="9"/>
  <c r="C50" i="9" s="1"/>
  <c r="T48" i="9"/>
  <c r="T49" i="9" s="1"/>
  <c r="S48" i="9"/>
  <c r="S49" i="9" s="1"/>
  <c r="R48" i="9"/>
  <c r="R49" i="9" s="1"/>
  <c r="P48" i="9"/>
  <c r="P49" i="9" s="1"/>
  <c r="N49" i="9"/>
  <c r="M49" i="9"/>
  <c r="K49" i="9"/>
  <c r="L34" i="9"/>
  <c r="K34" i="9"/>
  <c r="J34" i="9"/>
  <c r="I34" i="9"/>
  <c r="H34" i="9"/>
  <c r="G34" i="9"/>
  <c r="F34" i="9"/>
  <c r="E34" i="9"/>
  <c r="D34" i="9"/>
  <c r="C34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12" i="9"/>
  <c r="C13" i="9"/>
  <c r="C15" i="9" s="1"/>
  <c r="C17" i="9"/>
  <c r="D16" i="9"/>
  <c r="E16" i="9" s="1"/>
  <c r="Q12" i="9"/>
  <c r="Q13" i="9"/>
  <c r="Q15" i="9" s="1"/>
  <c r="P12" i="9"/>
  <c r="P13" i="9" s="1"/>
  <c r="P15" i="9" s="1"/>
  <c r="O12" i="9"/>
  <c r="O13" i="9" s="1"/>
  <c r="O15" i="9" s="1"/>
  <c r="N12" i="9"/>
  <c r="N13" i="9" s="1"/>
  <c r="N15" i="9"/>
  <c r="M12" i="9"/>
  <c r="M13" i="9"/>
  <c r="M15" i="9"/>
  <c r="L12" i="9"/>
  <c r="L13" i="9" s="1"/>
  <c r="L15" i="9" s="1"/>
  <c r="K12" i="9"/>
  <c r="K13" i="9"/>
  <c r="K15" i="9" s="1"/>
  <c r="J12" i="9"/>
  <c r="J13" i="9"/>
  <c r="J15" i="9" s="1"/>
  <c r="I12" i="9"/>
  <c r="I13" i="9"/>
  <c r="I15" i="9" s="1"/>
  <c r="H12" i="9"/>
  <c r="H13" i="9" s="1"/>
  <c r="H15" i="9" s="1"/>
  <c r="G12" i="9"/>
  <c r="G13" i="9" s="1"/>
  <c r="G15" i="9" s="1"/>
  <c r="F12" i="9"/>
  <c r="F13" i="9" s="1"/>
  <c r="F15" i="9" s="1"/>
  <c r="E12" i="9"/>
  <c r="E13" i="9"/>
  <c r="E15" i="9"/>
  <c r="D12" i="9"/>
  <c r="D13" i="9" s="1"/>
  <c r="D15" i="9" s="1"/>
  <c r="E56" i="8"/>
  <c r="E58" i="8"/>
  <c r="E47" i="8"/>
  <c r="E60" i="8"/>
  <c r="E61" i="8"/>
  <c r="D56" i="8"/>
  <c r="D58" i="8" s="1"/>
  <c r="D47" i="8"/>
  <c r="D61" i="8"/>
  <c r="C56" i="8"/>
  <c r="C58" i="8"/>
  <c r="C47" i="8"/>
  <c r="C49" i="8" s="1"/>
  <c r="C60" i="8"/>
  <c r="C62" i="8" s="1"/>
  <c r="C63" i="8" s="1"/>
  <c r="C61" i="8"/>
  <c r="O60" i="8"/>
  <c r="O48" i="8"/>
  <c r="O61" i="8" s="1"/>
  <c r="O62" i="8" s="1"/>
  <c r="N60" i="8"/>
  <c r="M60" i="8"/>
  <c r="M48" i="8"/>
  <c r="M61" i="8"/>
  <c r="M62" i="8" s="1"/>
  <c r="L60" i="8"/>
  <c r="K60" i="8"/>
  <c r="K48" i="8"/>
  <c r="K61" i="8" s="1"/>
  <c r="K62" i="8" s="1"/>
  <c r="J60" i="8"/>
  <c r="I60" i="8"/>
  <c r="H60" i="8"/>
  <c r="G60" i="8"/>
  <c r="F60" i="8"/>
  <c r="E45" i="8"/>
  <c r="E49" i="8"/>
  <c r="E50" i="8" s="1"/>
  <c r="D45" i="8"/>
  <c r="C45" i="8"/>
  <c r="C50" i="8" s="1"/>
  <c r="T48" i="8"/>
  <c r="T49" i="8" s="1"/>
  <c r="S48" i="8"/>
  <c r="S49" i="8" s="1"/>
  <c r="R48" i="8"/>
  <c r="R49" i="8" s="1"/>
  <c r="P48" i="8"/>
  <c r="P49" i="8" s="1"/>
  <c r="M49" i="8"/>
  <c r="L34" i="8"/>
  <c r="K34" i="8"/>
  <c r="J34" i="8"/>
  <c r="I34" i="8"/>
  <c r="H34" i="8"/>
  <c r="G34" i="8"/>
  <c r="F34" i="8"/>
  <c r="E34" i="8"/>
  <c r="D34" i="8"/>
  <c r="C34" i="8"/>
  <c r="Q12" i="8"/>
  <c r="Q13" i="8"/>
  <c r="Q15" i="8" s="1"/>
  <c r="D16" i="8"/>
  <c r="E16" i="8" s="1"/>
  <c r="F16" i="8" s="1"/>
  <c r="G16" i="8" s="1"/>
  <c r="Q20" i="8"/>
  <c r="Q24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I12" i="8"/>
  <c r="I13" i="8"/>
  <c r="I15" i="8" s="1"/>
  <c r="E12" i="8"/>
  <c r="E13" i="8"/>
  <c r="E15" i="8" s="1"/>
  <c r="P12" i="8"/>
  <c r="P13" i="8" s="1"/>
  <c r="P15" i="8"/>
  <c r="O12" i="8"/>
  <c r="O13" i="8" s="1"/>
  <c r="O15" i="8" s="1"/>
  <c r="N12" i="8"/>
  <c r="N13" i="8" s="1"/>
  <c r="N15" i="8" s="1"/>
  <c r="M12" i="8"/>
  <c r="M13" i="8" s="1"/>
  <c r="M15" i="8" s="1"/>
  <c r="L12" i="8"/>
  <c r="L13" i="8" s="1"/>
  <c r="L15" i="8"/>
  <c r="K12" i="8"/>
  <c r="K13" i="8" s="1"/>
  <c r="K15" i="8" s="1"/>
  <c r="J12" i="8"/>
  <c r="J13" i="8" s="1"/>
  <c r="J15" i="8" s="1"/>
  <c r="H12" i="8"/>
  <c r="H13" i="8" s="1"/>
  <c r="H15" i="8" s="1"/>
  <c r="G12" i="8"/>
  <c r="G13" i="8" s="1"/>
  <c r="G15" i="8"/>
  <c r="F12" i="8"/>
  <c r="F13" i="8" s="1"/>
  <c r="F15" i="8" s="1"/>
  <c r="D12" i="8"/>
  <c r="D13" i="8" s="1"/>
  <c r="D15" i="8" s="1"/>
  <c r="D17" i="8"/>
  <c r="C12" i="8"/>
  <c r="C13" i="8" s="1"/>
  <c r="C15" i="8" s="1"/>
  <c r="C17" i="8" s="1"/>
  <c r="E56" i="6"/>
  <c r="E58" i="6" s="1"/>
  <c r="E47" i="6"/>
  <c r="E49" i="6" s="1"/>
  <c r="E60" i="6"/>
  <c r="E62" i="6" s="1"/>
  <c r="E61" i="6"/>
  <c r="D56" i="6"/>
  <c r="D58" i="6"/>
  <c r="D47" i="6"/>
  <c r="D60" i="6"/>
  <c r="D61" i="6"/>
  <c r="C56" i="6"/>
  <c r="C58" i="6" s="1"/>
  <c r="C47" i="6"/>
  <c r="C60" i="6" s="1"/>
  <c r="C61" i="6"/>
  <c r="O60" i="6"/>
  <c r="O48" i="6"/>
  <c r="O49" i="6" s="1"/>
  <c r="N60" i="6"/>
  <c r="N48" i="6"/>
  <c r="N49" i="6" s="1"/>
  <c r="M60" i="6"/>
  <c r="M48" i="6"/>
  <c r="M61" i="6" s="1"/>
  <c r="M62" i="6" s="1"/>
  <c r="L60" i="6"/>
  <c r="K60" i="6"/>
  <c r="K48" i="6"/>
  <c r="K61" i="6" s="1"/>
  <c r="K62" i="6"/>
  <c r="J60" i="6"/>
  <c r="I60" i="6"/>
  <c r="H60" i="6"/>
  <c r="G60" i="6"/>
  <c r="F60" i="6"/>
  <c r="F12" i="6"/>
  <c r="F13" i="6" s="1"/>
  <c r="F15" i="6"/>
  <c r="F17" i="6" s="1"/>
  <c r="D16" i="6"/>
  <c r="E16" i="6"/>
  <c r="F16" i="6" s="1"/>
  <c r="G16" i="6" s="1"/>
  <c r="H16" i="6" s="1"/>
  <c r="I16" i="6" s="1"/>
  <c r="J16" i="6" s="1"/>
  <c r="K16" i="6" s="1"/>
  <c r="L16" i="6" s="1"/>
  <c r="F20" i="6"/>
  <c r="F24" i="6"/>
  <c r="F25" i="6"/>
  <c r="E45" i="6"/>
  <c r="E50" i="6"/>
  <c r="D45" i="6"/>
  <c r="D49" i="6"/>
  <c r="D50" i="6"/>
  <c r="C45" i="6"/>
  <c r="C49" i="6"/>
  <c r="T48" i="6"/>
  <c r="T49" i="6" s="1"/>
  <c r="R48" i="6"/>
  <c r="R49" i="6" s="1"/>
  <c r="P48" i="6"/>
  <c r="P49" i="6" s="1"/>
  <c r="M49" i="6"/>
  <c r="K49" i="6"/>
  <c r="N12" i="6"/>
  <c r="N13" i="6"/>
  <c r="N15" i="6" s="1"/>
  <c r="M16" i="6"/>
  <c r="N16" i="6" s="1"/>
  <c r="N20" i="6"/>
  <c r="N24" i="6"/>
  <c r="N25" i="6"/>
  <c r="L34" i="6"/>
  <c r="K34" i="6"/>
  <c r="J34" i="6"/>
  <c r="I34" i="6"/>
  <c r="H34" i="6"/>
  <c r="G34" i="6"/>
  <c r="F34" i="6"/>
  <c r="E34" i="6"/>
  <c r="D34" i="6"/>
  <c r="C34" i="6"/>
  <c r="Q25" i="6"/>
  <c r="P25" i="6"/>
  <c r="O25" i="6"/>
  <c r="M25" i="6"/>
  <c r="L25" i="6"/>
  <c r="K25" i="6"/>
  <c r="J25" i="6"/>
  <c r="I25" i="6"/>
  <c r="H25" i="6"/>
  <c r="G25" i="6"/>
  <c r="E25" i="6"/>
  <c r="D25" i="6"/>
  <c r="C25" i="6"/>
  <c r="Q24" i="6"/>
  <c r="P24" i="6"/>
  <c r="O24" i="6"/>
  <c r="M24" i="6"/>
  <c r="L24" i="6"/>
  <c r="K24" i="6"/>
  <c r="J24" i="6"/>
  <c r="I24" i="6"/>
  <c r="H24" i="6"/>
  <c r="G24" i="6"/>
  <c r="E24" i="6"/>
  <c r="D24" i="6"/>
  <c r="C24" i="6"/>
  <c r="Q20" i="6"/>
  <c r="P20" i="6"/>
  <c r="O20" i="6"/>
  <c r="M20" i="6"/>
  <c r="L20" i="6"/>
  <c r="K20" i="6"/>
  <c r="J20" i="6"/>
  <c r="I20" i="6"/>
  <c r="H20" i="6"/>
  <c r="G20" i="6"/>
  <c r="E20" i="6"/>
  <c r="D20" i="6"/>
  <c r="C20" i="6"/>
  <c r="M12" i="6"/>
  <c r="M13" i="6" s="1"/>
  <c r="M15" i="6"/>
  <c r="J12" i="6"/>
  <c r="J13" i="6"/>
  <c r="J15" i="6" s="1"/>
  <c r="J17" i="6"/>
  <c r="E12" i="6"/>
  <c r="E13" i="6" s="1"/>
  <c r="E15" i="6" s="1"/>
  <c r="E17" i="6" s="1"/>
  <c r="Q12" i="6"/>
  <c r="Q13" i="6"/>
  <c r="Q15" i="6" s="1"/>
  <c r="P12" i="6"/>
  <c r="P13" i="6" s="1"/>
  <c r="P15" i="6" s="1"/>
  <c r="O12" i="6"/>
  <c r="O13" i="6" s="1"/>
  <c r="O15" i="6" s="1"/>
  <c r="L12" i="6"/>
  <c r="L13" i="6"/>
  <c r="L15" i="6"/>
  <c r="L17" i="6" s="1"/>
  <c r="K12" i="6"/>
  <c r="K13" i="6" s="1"/>
  <c r="K15" i="6" s="1"/>
  <c r="K17" i="6" s="1"/>
  <c r="I12" i="6"/>
  <c r="I13" i="6"/>
  <c r="I15" i="6" s="1"/>
  <c r="I17" i="6" s="1"/>
  <c r="H12" i="6"/>
  <c r="H13" i="6"/>
  <c r="H15" i="6" s="1"/>
  <c r="G12" i="6"/>
  <c r="G13" i="6" s="1"/>
  <c r="G15" i="6" s="1"/>
  <c r="G17" i="6" s="1"/>
  <c r="D12" i="6"/>
  <c r="D13" i="6"/>
  <c r="D15" i="6" s="1"/>
  <c r="D17" i="6" s="1"/>
  <c r="C12" i="6"/>
  <c r="C13" i="6"/>
  <c r="C15" i="6"/>
  <c r="C17" i="6" s="1"/>
  <c r="E56" i="14"/>
  <c r="E58" i="14"/>
  <c r="E47" i="14"/>
  <c r="E60" i="14" s="1"/>
  <c r="E62" i="14" s="1"/>
  <c r="E61" i="14"/>
  <c r="D56" i="14"/>
  <c r="D58" i="14"/>
  <c r="D47" i="14"/>
  <c r="D61" i="14"/>
  <c r="C56" i="14"/>
  <c r="C58" i="14" s="1"/>
  <c r="C47" i="14"/>
  <c r="C60" i="14" s="1"/>
  <c r="C61" i="14"/>
  <c r="O60" i="14"/>
  <c r="O48" i="14"/>
  <c r="O61" i="14" s="1"/>
  <c r="N60" i="14"/>
  <c r="N48" i="14"/>
  <c r="N61" i="14" s="1"/>
  <c r="M60" i="14"/>
  <c r="M48" i="14"/>
  <c r="M61" i="14" s="1"/>
  <c r="M62" i="14" s="1"/>
  <c r="L60" i="14"/>
  <c r="K60" i="14"/>
  <c r="K48" i="14"/>
  <c r="K61" i="14" s="1"/>
  <c r="K62" i="14"/>
  <c r="J60" i="14"/>
  <c r="I60" i="14"/>
  <c r="H60" i="14"/>
  <c r="G60" i="14"/>
  <c r="G48" i="14"/>
  <c r="G61" i="14"/>
  <c r="F60" i="14"/>
  <c r="E45" i="14"/>
  <c r="E49" i="14"/>
  <c r="D45" i="14"/>
  <c r="C45" i="14"/>
  <c r="C49" i="14"/>
  <c r="T48" i="14"/>
  <c r="T49" i="14" s="1"/>
  <c r="S48" i="14"/>
  <c r="S49" i="14"/>
  <c r="R48" i="14"/>
  <c r="R49" i="14"/>
  <c r="P48" i="14"/>
  <c r="P49" i="14" s="1"/>
  <c r="K49" i="14"/>
  <c r="G49" i="14"/>
  <c r="L34" i="14"/>
  <c r="K34" i="14"/>
  <c r="J34" i="14"/>
  <c r="I34" i="14"/>
  <c r="H34" i="14"/>
  <c r="G34" i="14"/>
  <c r="F34" i="14"/>
  <c r="E34" i="14"/>
  <c r="D34" i="14"/>
  <c r="C34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Q12" i="14"/>
  <c r="Q13" i="14" s="1"/>
  <c r="Q15" i="14" s="1"/>
  <c r="D16" i="14"/>
  <c r="Q20" i="14"/>
  <c r="O12" i="14"/>
  <c r="O13" i="14" s="1"/>
  <c r="O15" i="14" s="1"/>
  <c r="O20" i="14"/>
  <c r="M12" i="14"/>
  <c r="M13" i="14" s="1"/>
  <c r="M15" i="14" s="1"/>
  <c r="M20" i="14"/>
  <c r="K12" i="14"/>
  <c r="K13" i="14" s="1"/>
  <c r="K15" i="14" s="1"/>
  <c r="K20" i="14"/>
  <c r="I12" i="14"/>
  <c r="I13" i="14"/>
  <c r="I15" i="14" s="1"/>
  <c r="I20" i="14"/>
  <c r="G12" i="14"/>
  <c r="G13" i="14" s="1"/>
  <c r="G15" i="14" s="1"/>
  <c r="G20" i="14"/>
  <c r="E12" i="14"/>
  <c r="E13" i="14" s="1"/>
  <c r="E15" i="14" s="1"/>
  <c r="E20" i="14"/>
  <c r="C15" i="14"/>
  <c r="C17" i="14"/>
  <c r="C20" i="14"/>
  <c r="P20" i="14"/>
  <c r="P12" i="14"/>
  <c r="P13" i="14"/>
  <c r="P15" i="14" s="1"/>
  <c r="N20" i="14"/>
  <c r="N12" i="14"/>
  <c r="N13" i="14" s="1"/>
  <c r="N15" i="14" s="1"/>
  <c r="L20" i="14"/>
  <c r="L12" i="14"/>
  <c r="L13" i="14" s="1"/>
  <c r="L15" i="14" s="1"/>
  <c r="J20" i="14"/>
  <c r="J12" i="14"/>
  <c r="J13" i="14" s="1"/>
  <c r="J15" i="14"/>
  <c r="H20" i="14"/>
  <c r="H12" i="14"/>
  <c r="H13" i="14"/>
  <c r="H15" i="14" s="1"/>
  <c r="F20" i="14"/>
  <c r="F12" i="14"/>
  <c r="F13" i="14" s="1"/>
  <c r="F15" i="14" s="1"/>
  <c r="D20" i="14"/>
  <c r="D12" i="14"/>
  <c r="D13" i="14" s="1"/>
  <c r="D15" i="14" s="1"/>
  <c r="C56" i="13"/>
  <c r="C58" i="13" s="1"/>
  <c r="C47" i="13"/>
  <c r="C60" i="13"/>
  <c r="C61" i="13"/>
  <c r="D56" i="13"/>
  <c r="D58" i="13"/>
  <c r="D47" i="13"/>
  <c r="D60" i="13" s="1"/>
  <c r="D62" i="13" s="1"/>
  <c r="D63" i="13" s="1"/>
  <c r="D61" i="13"/>
  <c r="E56" i="13"/>
  <c r="E58" i="13" s="1"/>
  <c r="E47" i="13"/>
  <c r="E60" i="13" s="1"/>
  <c r="E62" i="13" s="1"/>
  <c r="E63" i="13" s="1"/>
  <c r="E61" i="13"/>
  <c r="C12" i="13"/>
  <c r="C13" i="13" s="1"/>
  <c r="C15" i="13" s="1"/>
  <c r="C17" i="13"/>
  <c r="V15" i="13"/>
  <c r="V18" i="13" s="1"/>
  <c r="V20" i="13" s="1"/>
  <c r="F19" i="13" s="1"/>
  <c r="F21" i="13" s="1"/>
  <c r="V9" i="13"/>
  <c r="V12" i="13"/>
  <c r="C20" i="13"/>
  <c r="C24" i="13"/>
  <c r="C25" i="13"/>
  <c r="F60" i="13"/>
  <c r="D12" i="13"/>
  <c r="D13" i="13" s="1"/>
  <c r="D15" i="13"/>
  <c r="D17" i="13" s="1"/>
  <c r="D16" i="13"/>
  <c r="D20" i="13"/>
  <c r="D24" i="13"/>
  <c r="D25" i="13"/>
  <c r="G60" i="13"/>
  <c r="G48" i="13"/>
  <c r="G61" i="13"/>
  <c r="E12" i="13"/>
  <c r="E13" i="13"/>
  <c r="E15" i="13"/>
  <c r="E17" i="13" s="1"/>
  <c r="E16" i="13"/>
  <c r="F16" i="13" s="1"/>
  <c r="G16" i="13" s="1"/>
  <c r="H16" i="13" s="1"/>
  <c r="E20" i="13"/>
  <c r="E24" i="13"/>
  <c r="E25" i="13"/>
  <c r="H60" i="13"/>
  <c r="F12" i="13"/>
  <c r="F13" i="13" s="1"/>
  <c r="F15" i="13" s="1"/>
  <c r="F17" i="13"/>
  <c r="F20" i="13"/>
  <c r="F24" i="13"/>
  <c r="F25" i="13"/>
  <c r="I60" i="13"/>
  <c r="G12" i="13"/>
  <c r="G13" i="13" s="1"/>
  <c r="G15" i="13" s="1"/>
  <c r="G20" i="13"/>
  <c r="G24" i="13"/>
  <c r="G25" i="13"/>
  <c r="J60" i="13"/>
  <c r="H12" i="13"/>
  <c r="H13" i="13"/>
  <c r="H15" i="13"/>
  <c r="H20" i="13"/>
  <c r="H24" i="13"/>
  <c r="H25" i="13"/>
  <c r="K60" i="13"/>
  <c r="K48" i="13"/>
  <c r="K61" i="13"/>
  <c r="K62" i="13" s="1"/>
  <c r="I12" i="13"/>
  <c r="I13" i="13"/>
  <c r="I15" i="13" s="1"/>
  <c r="I20" i="13"/>
  <c r="I24" i="13"/>
  <c r="I25" i="13"/>
  <c r="L60" i="13"/>
  <c r="L48" i="13"/>
  <c r="J12" i="13"/>
  <c r="J13" i="13" s="1"/>
  <c r="J15" i="13" s="1"/>
  <c r="J20" i="13"/>
  <c r="J24" i="13"/>
  <c r="J25" i="13"/>
  <c r="M60" i="13"/>
  <c r="M48" i="13"/>
  <c r="M61" i="13" s="1"/>
  <c r="K12" i="13"/>
  <c r="K13" i="13" s="1"/>
  <c r="K15" i="13" s="1"/>
  <c r="K19" i="13"/>
  <c r="K21" i="13" s="1"/>
  <c r="K20" i="13"/>
  <c r="K24" i="13"/>
  <c r="K25" i="13"/>
  <c r="N60" i="13"/>
  <c r="N48" i="13"/>
  <c r="N49" i="13" s="1"/>
  <c r="N61" i="13"/>
  <c r="N62" i="13" s="1"/>
  <c r="L12" i="13"/>
  <c r="L13" i="13" s="1"/>
  <c r="L15" i="13"/>
  <c r="L20" i="13"/>
  <c r="L24" i="13"/>
  <c r="L25" i="13"/>
  <c r="O60" i="13"/>
  <c r="O48" i="13"/>
  <c r="C45" i="13"/>
  <c r="C50" i="13" s="1"/>
  <c r="C49" i="13"/>
  <c r="D45" i="13"/>
  <c r="E45" i="13"/>
  <c r="E50" i="13" s="1"/>
  <c r="E49" i="13"/>
  <c r="G49" i="13"/>
  <c r="K49" i="13"/>
  <c r="M12" i="13"/>
  <c r="M13" i="13" s="1"/>
  <c r="M15" i="13" s="1"/>
  <c r="M20" i="13"/>
  <c r="M24" i="13"/>
  <c r="M25" i="13"/>
  <c r="P48" i="13"/>
  <c r="P49" i="13" s="1"/>
  <c r="N12" i="13"/>
  <c r="N13" i="13" s="1"/>
  <c r="N15" i="13" s="1"/>
  <c r="N19" i="13"/>
  <c r="N21" i="13" s="1"/>
  <c r="N20" i="13"/>
  <c r="N24" i="13"/>
  <c r="N25" i="13"/>
  <c r="O12" i="13"/>
  <c r="O13" i="13" s="1"/>
  <c r="O15" i="13" s="1"/>
  <c r="O20" i="13"/>
  <c r="O24" i="13"/>
  <c r="O25" i="13"/>
  <c r="R48" i="13"/>
  <c r="R49" i="13" s="1"/>
  <c r="P12" i="13"/>
  <c r="P13" i="13"/>
  <c r="P15" i="13" s="1"/>
  <c r="P20" i="13"/>
  <c r="P24" i="13"/>
  <c r="P25" i="13"/>
  <c r="S48" i="13"/>
  <c r="S49" i="13" s="1"/>
  <c r="Q12" i="13"/>
  <c r="Q13" i="13"/>
  <c r="Q15" i="13" s="1"/>
  <c r="Q20" i="13"/>
  <c r="Q24" i="13"/>
  <c r="Q25" i="13"/>
  <c r="T48" i="13"/>
  <c r="T49" i="13"/>
  <c r="L34" i="13"/>
  <c r="K34" i="13"/>
  <c r="J34" i="13"/>
  <c r="I34" i="13"/>
  <c r="H34" i="13"/>
  <c r="G34" i="13"/>
  <c r="F34" i="13"/>
  <c r="E34" i="13"/>
  <c r="D34" i="13"/>
  <c r="C34" i="13"/>
  <c r="V3" i="13"/>
  <c r="V5" i="13" s="1"/>
  <c r="V4" i="13"/>
  <c r="C56" i="11"/>
  <c r="C58" i="11"/>
  <c r="C47" i="11"/>
  <c r="C60" i="11"/>
  <c r="C61" i="11"/>
  <c r="D56" i="11"/>
  <c r="D58" i="11"/>
  <c r="D47" i="11"/>
  <c r="D61" i="11"/>
  <c r="E56" i="11"/>
  <c r="E58" i="11"/>
  <c r="E47" i="11"/>
  <c r="E49" i="11" s="1"/>
  <c r="E60" i="11"/>
  <c r="E62" i="11" s="1"/>
  <c r="E61" i="11"/>
  <c r="C12" i="11"/>
  <c r="C13" i="11"/>
  <c r="C15" i="11"/>
  <c r="C17" i="11"/>
  <c r="V15" i="11"/>
  <c r="V18" i="11" s="1"/>
  <c r="V9" i="11"/>
  <c r="V12" i="11"/>
  <c r="V3" i="11"/>
  <c r="V5" i="11" s="1"/>
  <c r="V4" i="11"/>
  <c r="C20" i="11"/>
  <c r="C24" i="11"/>
  <c r="C25" i="11"/>
  <c r="F60" i="11"/>
  <c r="D12" i="11"/>
  <c r="D13" i="11"/>
  <c r="D15" i="11"/>
  <c r="D16" i="11"/>
  <c r="E16" i="11" s="1"/>
  <c r="F16" i="11" s="1"/>
  <c r="G16" i="11" s="1"/>
  <c r="H16" i="11" s="1"/>
  <c r="I16" i="11" s="1"/>
  <c r="J16" i="11" s="1"/>
  <c r="K16" i="11" s="1"/>
  <c r="L16" i="11" s="1"/>
  <c r="D17" i="11"/>
  <c r="D20" i="11"/>
  <c r="D24" i="11"/>
  <c r="D25" i="11"/>
  <c r="G60" i="11"/>
  <c r="G48" i="11"/>
  <c r="G61" i="11" s="1"/>
  <c r="G62" i="11" s="1"/>
  <c r="E12" i="11"/>
  <c r="E13" i="11"/>
  <c r="E15" i="11"/>
  <c r="E17" i="11" s="1"/>
  <c r="E20" i="11"/>
  <c r="E24" i="11"/>
  <c r="E25" i="11"/>
  <c r="H60" i="11"/>
  <c r="F12" i="11"/>
  <c r="F13" i="11" s="1"/>
  <c r="F15" i="11"/>
  <c r="F20" i="11"/>
  <c r="F24" i="11"/>
  <c r="F25" i="11"/>
  <c r="I60" i="11"/>
  <c r="G12" i="11"/>
  <c r="G13" i="11" s="1"/>
  <c r="G15" i="11" s="1"/>
  <c r="G20" i="11"/>
  <c r="G24" i="11"/>
  <c r="G25" i="11"/>
  <c r="J60" i="11"/>
  <c r="H12" i="11"/>
  <c r="H13" i="11"/>
  <c r="H15" i="11" s="1"/>
  <c r="H17" i="11" s="1"/>
  <c r="H20" i="11"/>
  <c r="H24" i="11"/>
  <c r="H25" i="11"/>
  <c r="K60" i="11"/>
  <c r="K48" i="11"/>
  <c r="K49" i="11" s="1"/>
  <c r="I12" i="11"/>
  <c r="I13" i="11"/>
  <c r="I15" i="11" s="1"/>
  <c r="I17" i="11"/>
  <c r="I20" i="11"/>
  <c r="I24" i="11"/>
  <c r="I25" i="11"/>
  <c r="L60" i="11"/>
  <c r="L48" i="11"/>
  <c r="J12" i="11"/>
  <c r="J13" i="11" s="1"/>
  <c r="J15" i="11" s="1"/>
  <c r="J17" i="11" s="1"/>
  <c r="J20" i="11"/>
  <c r="J24" i="11"/>
  <c r="J25" i="11"/>
  <c r="M60" i="11"/>
  <c r="M48" i="11"/>
  <c r="M61" i="11" s="1"/>
  <c r="K12" i="11"/>
  <c r="K13" i="11"/>
  <c r="K15" i="11" s="1"/>
  <c r="K17" i="11" s="1"/>
  <c r="K20" i="11"/>
  <c r="K24" i="11"/>
  <c r="K25" i="11"/>
  <c r="N60" i="11"/>
  <c r="N48" i="11"/>
  <c r="N61" i="11" s="1"/>
  <c r="N62" i="11" s="1"/>
  <c r="L12" i="11"/>
  <c r="L13" i="11"/>
  <c r="L15" i="11"/>
  <c r="L17" i="11" s="1"/>
  <c r="L20" i="11"/>
  <c r="L24" i="11"/>
  <c r="L25" i="11"/>
  <c r="O60" i="11"/>
  <c r="O48" i="11"/>
  <c r="O61" i="11" s="1"/>
  <c r="O62" i="11"/>
  <c r="C45" i="11"/>
  <c r="C49" i="11"/>
  <c r="D45" i="11"/>
  <c r="E45" i="11"/>
  <c r="N49" i="11"/>
  <c r="M12" i="11"/>
  <c r="M13" i="11"/>
  <c r="M15" i="11" s="1"/>
  <c r="M16" i="11"/>
  <c r="M20" i="11"/>
  <c r="M24" i="11"/>
  <c r="M25" i="11"/>
  <c r="P48" i="11"/>
  <c r="P49" i="11" s="1"/>
  <c r="N12" i="11"/>
  <c r="N13" i="11"/>
  <c r="N15" i="11"/>
  <c r="N20" i="11"/>
  <c r="N24" i="11"/>
  <c r="N25" i="11"/>
  <c r="O12" i="11"/>
  <c r="O13" i="11" s="1"/>
  <c r="O15" i="11"/>
  <c r="O20" i="11"/>
  <c r="O24" i="11"/>
  <c r="O25" i="11"/>
  <c r="R48" i="11"/>
  <c r="R49" i="11" s="1"/>
  <c r="P12" i="11"/>
  <c r="P13" i="11" s="1"/>
  <c r="P15" i="11" s="1"/>
  <c r="P20" i="11"/>
  <c r="P24" i="11"/>
  <c r="P25" i="11"/>
  <c r="S48" i="11"/>
  <c r="S49" i="11"/>
  <c r="Q12" i="11"/>
  <c r="Q13" i="11"/>
  <c r="Q15" i="11" s="1"/>
  <c r="Q20" i="11"/>
  <c r="Q24" i="11"/>
  <c r="Q25" i="11"/>
  <c r="T48" i="11"/>
  <c r="T49" i="11" s="1"/>
  <c r="L34" i="11"/>
  <c r="K34" i="11"/>
  <c r="J34" i="11"/>
  <c r="I34" i="11"/>
  <c r="H34" i="11"/>
  <c r="G34" i="11"/>
  <c r="F34" i="11"/>
  <c r="E34" i="11"/>
  <c r="D34" i="11"/>
  <c r="C34" i="11"/>
  <c r="C57" i="4"/>
  <c r="C59" i="4"/>
  <c r="C48" i="4"/>
  <c r="C61" i="4" s="1"/>
  <c r="C63" i="4" s="1"/>
  <c r="C62" i="4"/>
  <c r="O61" i="4"/>
  <c r="O49" i="4"/>
  <c r="N61" i="4"/>
  <c r="N49" i="4"/>
  <c r="N50" i="4" s="1"/>
  <c r="M61" i="4"/>
  <c r="M49" i="4"/>
  <c r="L61" i="4"/>
  <c r="L49" i="4"/>
  <c r="L62" i="4" s="1"/>
  <c r="K61" i="4"/>
  <c r="K49" i="4"/>
  <c r="K62" i="4" s="1"/>
  <c r="K63" i="4" s="1"/>
  <c r="J61" i="4"/>
  <c r="I61" i="4"/>
  <c r="H61" i="4"/>
  <c r="G61" i="4"/>
  <c r="G49" i="4"/>
  <c r="F61" i="4"/>
  <c r="E48" i="4"/>
  <c r="E61" i="4" s="1"/>
  <c r="E63" i="4" s="1"/>
  <c r="E62" i="4"/>
  <c r="D48" i="4"/>
  <c r="D50" i="4" s="1"/>
  <c r="D62" i="4"/>
  <c r="E57" i="4"/>
  <c r="E59" i="4"/>
  <c r="D57" i="4"/>
  <c r="D59" i="4"/>
  <c r="E46" i="4"/>
  <c r="E50" i="4"/>
  <c r="E51" i="4" s="1"/>
  <c r="D46" i="4"/>
  <c r="C46" i="4"/>
  <c r="T49" i="4"/>
  <c r="T50" i="4"/>
  <c r="S49" i="4"/>
  <c r="S50" i="4"/>
  <c r="R49" i="4"/>
  <c r="R50" i="4" s="1"/>
  <c r="P49" i="4"/>
  <c r="P50" i="4" s="1"/>
  <c r="L50" i="4"/>
  <c r="K50" i="4"/>
  <c r="L35" i="4"/>
  <c r="K35" i="4"/>
  <c r="J35" i="4"/>
  <c r="I35" i="4"/>
  <c r="H35" i="4"/>
  <c r="G35" i="4"/>
  <c r="F35" i="4"/>
  <c r="E35" i="4"/>
  <c r="D35" i="4"/>
  <c r="C35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P13" i="4"/>
  <c r="P14" i="4" s="1"/>
  <c r="P16" i="4" s="1"/>
  <c r="D17" i="4"/>
  <c r="E17" i="4" s="1"/>
  <c r="F17" i="4" s="1"/>
  <c r="G17" i="4" s="1"/>
  <c r="H17" i="4" s="1"/>
  <c r="I17" i="4"/>
  <c r="J17" i="4" s="1"/>
  <c r="K17" i="4" s="1"/>
  <c r="L17" i="4"/>
  <c r="M17" i="4" s="1"/>
  <c r="L13" i="4"/>
  <c r="L14" i="4"/>
  <c r="L16" i="4" s="1"/>
  <c r="K13" i="4"/>
  <c r="K14" i="4" s="1"/>
  <c r="K16" i="4" s="1"/>
  <c r="H13" i="4"/>
  <c r="H14" i="4"/>
  <c r="H16" i="4" s="1"/>
  <c r="D13" i="4"/>
  <c r="D14" i="4"/>
  <c r="D16" i="4"/>
  <c r="D18" i="4" s="1"/>
  <c r="C16" i="4"/>
  <c r="C18" i="4" s="1"/>
  <c r="Q13" i="4"/>
  <c r="Q14" i="4" s="1"/>
  <c r="Q16" i="4" s="1"/>
  <c r="O13" i="4"/>
  <c r="O14" i="4" s="1"/>
  <c r="O16" i="4" s="1"/>
  <c r="N13" i="4"/>
  <c r="N14" i="4"/>
  <c r="N16" i="4" s="1"/>
  <c r="M13" i="4"/>
  <c r="M14" i="4" s="1"/>
  <c r="M16" i="4" s="1"/>
  <c r="J13" i="4"/>
  <c r="J14" i="4"/>
  <c r="J16" i="4" s="1"/>
  <c r="J18" i="4" s="1"/>
  <c r="I13" i="4"/>
  <c r="I14" i="4" s="1"/>
  <c r="I16" i="4" s="1"/>
  <c r="G13" i="4"/>
  <c r="G14" i="4"/>
  <c r="G16" i="4" s="1"/>
  <c r="G18" i="4" s="1"/>
  <c r="F13" i="4"/>
  <c r="F14" i="4" s="1"/>
  <c r="F16" i="4" s="1"/>
  <c r="F18" i="4"/>
  <c r="E13" i="4"/>
  <c r="E14" i="4"/>
  <c r="E16" i="4" s="1"/>
  <c r="E18" i="4" s="1"/>
  <c r="F28" i="2"/>
  <c r="F30" i="2" s="1"/>
  <c r="F29" i="2"/>
  <c r="E28" i="2"/>
  <c r="E29" i="2"/>
  <c r="E30" i="2"/>
  <c r="D28" i="2"/>
  <c r="D29" i="2"/>
  <c r="D30" i="2"/>
  <c r="C28" i="2"/>
  <c r="C29" i="2"/>
  <c r="C30" i="2"/>
  <c r="J24" i="2"/>
  <c r="I24" i="2"/>
  <c r="H24" i="2"/>
  <c r="G24" i="2"/>
  <c r="E17" i="9"/>
  <c r="F16" i="9"/>
  <c r="D17" i="9"/>
  <c r="F17" i="9"/>
  <c r="G16" i="9"/>
  <c r="G17" i="9" s="1"/>
  <c r="H16" i="9"/>
  <c r="I16" i="9"/>
  <c r="J16" i="9" s="1"/>
  <c r="H17" i="9"/>
  <c r="I17" i="9"/>
  <c r="D160" i="27" l="1"/>
  <c r="E169" i="27"/>
  <c r="E160" i="27"/>
  <c r="T19" i="24"/>
  <c r="T18" i="24"/>
  <c r="R19" i="24"/>
  <c r="R18" i="24"/>
  <c r="R16" i="24"/>
  <c r="P19" i="24"/>
  <c r="P18" i="24"/>
  <c r="P16" i="24"/>
  <c r="T16" i="24"/>
  <c r="L172" i="44"/>
  <c r="L111" i="44"/>
  <c r="O80" i="44"/>
  <c r="O155" i="44" s="1"/>
  <c r="E116" i="44"/>
  <c r="E117" i="44" s="1"/>
  <c r="D116" i="44"/>
  <c r="D117" i="44" s="1"/>
  <c r="M87" i="44"/>
  <c r="S121" i="44"/>
  <c r="S68" i="44"/>
  <c r="T80" i="44" s="1"/>
  <c r="T155" i="44" s="1"/>
  <c r="H67" i="44"/>
  <c r="I66" i="44"/>
  <c r="F83" i="44"/>
  <c r="F151" i="44"/>
  <c r="F158" i="44" s="1"/>
  <c r="F94" i="44"/>
  <c r="F171" i="44"/>
  <c r="N87" i="44"/>
  <c r="W171" i="44"/>
  <c r="U80" i="44"/>
  <c r="U155" i="44" s="1"/>
  <c r="G80" i="44"/>
  <c r="G155" i="44" s="1"/>
  <c r="H80" i="44"/>
  <c r="H155" i="44" s="1"/>
  <c r="W86" i="44"/>
  <c r="H124" i="44"/>
  <c r="I120" i="44" s="1"/>
  <c r="I124" i="44" s="1"/>
  <c r="J120" i="44" s="1"/>
  <c r="J124" i="44" s="1"/>
  <c r="K120" i="44" s="1"/>
  <c r="K124" i="44" s="1"/>
  <c r="L120" i="44" s="1"/>
  <c r="L124" i="44" s="1"/>
  <c r="M120" i="44" s="1"/>
  <c r="M124" i="44" s="1"/>
  <c r="N120" i="44" s="1"/>
  <c r="N124" i="44" s="1"/>
  <c r="O120" i="44" s="1"/>
  <c r="O124" i="44" s="1"/>
  <c r="P120" i="44" s="1"/>
  <c r="P124" i="44" s="1"/>
  <c r="Q120" i="44" s="1"/>
  <c r="Q124" i="44" s="1"/>
  <c r="R120" i="44" s="1"/>
  <c r="R124" i="44" s="1"/>
  <c r="S120" i="44" s="1"/>
  <c r="S124" i="44" s="1"/>
  <c r="T120" i="44" s="1"/>
  <c r="T124" i="44" s="1"/>
  <c r="U120" i="44" s="1"/>
  <c r="U124" i="44" s="1"/>
  <c r="E169" i="44"/>
  <c r="E160" i="44"/>
  <c r="D169" i="44"/>
  <c r="D160" i="44"/>
  <c r="F87" i="44"/>
  <c r="J172" i="44"/>
  <c r="J111" i="44"/>
  <c r="J60" i="44"/>
  <c r="J29" i="44"/>
  <c r="I80" i="44"/>
  <c r="I155" i="44" s="1"/>
  <c r="E92" i="44"/>
  <c r="E187" i="44" s="1"/>
  <c r="O8" i="44"/>
  <c r="M80" i="44"/>
  <c r="M155" i="44" s="1"/>
  <c r="G87" i="44"/>
  <c r="I87" i="44"/>
  <c r="O172" i="44"/>
  <c r="O111" i="44"/>
  <c r="D113" i="44"/>
  <c r="E59" i="44"/>
  <c r="D61" i="44"/>
  <c r="H87" i="44"/>
  <c r="D92" i="44"/>
  <c r="N8" i="44"/>
  <c r="Q80" i="44"/>
  <c r="Q155" i="44" s="1"/>
  <c r="K87" i="44"/>
  <c r="E86" i="43"/>
  <c r="E110" i="43"/>
  <c r="O8" i="43"/>
  <c r="H124" i="43"/>
  <c r="I120" i="43" s="1"/>
  <c r="M121" i="43"/>
  <c r="M68" i="43"/>
  <c r="N80" i="43" s="1"/>
  <c r="N155" i="43" s="1"/>
  <c r="F86" i="43"/>
  <c r="F110" i="43"/>
  <c r="E116" i="43" s="1"/>
  <c r="E117" i="43" s="1"/>
  <c r="P8" i="43"/>
  <c r="J121" i="43"/>
  <c r="J68" i="43"/>
  <c r="R121" i="43"/>
  <c r="R68" i="43"/>
  <c r="S121" i="43"/>
  <c r="S68" i="43"/>
  <c r="T80" i="43" s="1"/>
  <c r="T155" i="43" s="1"/>
  <c r="O121" i="43"/>
  <c r="O68" i="43"/>
  <c r="P80" i="43" s="1"/>
  <c r="P155" i="43" s="1"/>
  <c r="D169" i="43"/>
  <c r="D160" i="43"/>
  <c r="N121" i="43"/>
  <c r="N68" i="43"/>
  <c r="P121" i="43"/>
  <c r="U121" i="43"/>
  <c r="U68" i="43"/>
  <c r="C139" i="43" s="1"/>
  <c r="G139" i="43" s="1"/>
  <c r="T121" i="43"/>
  <c r="T68" i="43"/>
  <c r="U80" i="43" s="1"/>
  <c r="U155" i="43" s="1"/>
  <c r="D187" i="43"/>
  <c r="I121" i="43"/>
  <c r="I68" i="43"/>
  <c r="J80" i="43" s="1"/>
  <c r="J155" i="43" s="1"/>
  <c r="J60" i="43"/>
  <c r="J29" i="43"/>
  <c r="K121" i="43"/>
  <c r="K68" i="43"/>
  <c r="L80" i="43" s="1"/>
  <c r="L155" i="43" s="1"/>
  <c r="E169" i="43"/>
  <c r="E160" i="43"/>
  <c r="Q121" i="43"/>
  <c r="Q68" i="43"/>
  <c r="F83" i="43"/>
  <c r="F151" i="43"/>
  <c r="F158" i="43" s="1"/>
  <c r="G67" i="43"/>
  <c r="H66" i="43"/>
  <c r="D86" i="43"/>
  <c r="D110" i="43"/>
  <c r="N8" i="43"/>
  <c r="I29" i="43"/>
  <c r="G80" i="43"/>
  <c r="G155" i="43" s="1"/>
  <c r="H80" i="43"/>
  <c r="H155" i="43" s="1"/>
  <c r="P8" i="42"/>
  <c r="D115" i="42"/>
  <c r="G111" i="42"/>
  <c r="G172" i="42"/>
  <c r="M80" i="42"/>
  <c r="M155" i="42" s="1"/>
  <c r="O121" i="42"/>
  <c r="O68" i="42"/>
  <c r="F87" i="42"/>
  <c r="F94" i="42" s="1"/>
  <c r="U68" i="42"/>
  <c r="C139" i="42" s="1"/>
  <c r="G139" i="42" s="1"/>
  <c r="U121" i="42"/>
  <c r="D92" i="42"/>
  <c r="N8" i="42"/>
  <c r="E169" i="42"/>
  <c r="E160" i="42"/>
  <c r="F151" i="42"/>
  <c r="F158" i="42" s="1"/>
  <c r="F83" i="42"/>
  <c r="I87" i="42"/>
  <c r="N87" i="42"/>
  <c r="D116" i="42"/>
  <c r="H80" i="42"/>
  <c r="H155" i="42" s="1"/>
  <c r="G80" i="42"/>
  <c r="G155" i="42" s="1"/>
  <c r="J87" i="42"/>
  <c r="J121" i="42"/>
  <c r="J68" i="42"/>
  <c r="K121" i="42"/>
  <c r="K68" i="42"/>
  <c r="L80" i="42" s="1"/>
  <c r="L155" i="42" s="1"/>
  <c r="K87" i="42"/>
  <c r="D117" i="42"/>
  <c r="D113" i="42"/>
  <c r="E59" i="42"/>
  <c r="D61" i="42"/>
  <c r="L87" i="42"/>
  <c r="S121" i="42"/>
  <c r="S68" i="42"/>
  <c r="T121" i="42"/>
  <c r="T68" i="42"/>
  <c r="U80" i="42" s="1"/>
  <c r="U155" i="42" s="1"/>
  <c r="I121" i="42"/>
  <c r="I124" i="42" s="1"/>
  <c r="J120" i="42" s="1"/>
  <c r="J124" i="42" s="1"/>
  <c r="K120" i="42" s="1"/>
  <c r="K124" i="42" s="1"/>
  <c r="L120" i="42" s="1"/>
  <c r="L124" i="42" s="1"/>
  <c r="M120" i="42" s="1"/>
  <c r="M124" i="42" s="1"/>
  <c r="N120" i="42" s="1"/>
  <c r="N124" i="42" s="1"/>
  <c r="O120" i="42" s="1"/>
  <c r="O124" i="42" s="1"/>
  <c r="P120" i="42" s="1"/>
  <c r="P124" i="42" s="1"/>
  <c r="Q120" i="42" s="1"/>
  <c r="Q124" i="42" s="1"/>
  <c r="R120" i="42" s="1"/>
  <c r="R124" i="42" s="1"/>
  <c r="S120" i="42" s="1"/>
  <c r="S124" i="42" s="1"/>
  <c r="T120" i="42" s="1"/>
  <c r="T124" i="42" s="1"/>
  <c r="U120" i="42" s="1"/>
  <c r="U124" i="42" s="1"/>
  <c r="I68" i="42"/>
  <c r="Q121" i="42"/>
  <c r="Q68" i="42"/>
  <c r="E133" i="42"/>
  <c r="E90" i="42"/>
  <c r="J29" i="42"/>
  <c r="J60" i="42"/>
  <c r="W171" i="42"/>
  <c r="E92" i="42"/>
  <c r="E187" i="42" s="1"/>
  <c r="O8" i="42"/>
  <c r="P121" i="42"/>
  <c r="P68" i="42"/>
  <c r="Q80" i="42" s="1"/>
  <c r="Q155" i="42" s="1"/>
  <c r="F171" i="42"/>
  <c r="I29" i="42"/>
  <c r="O87" i="42"/>
  <c r="W86" i="42"/>
  <c r="G67" i="42"/>
  <c r="H66" i="42"/>
  <c r="R121" i="42"/>
  <c r="R68" i="42"/>
  <c r="N121" i="42"/>
  <c r="N68" i="42"/>
  <c r="O80" i="42" s="1"/>
  <c r="O155" i="42" s="1"/>
  <c r="H87" i="42"/>
  <c r="M87" i="42"/>
  <c r="F110" i="41"/>
  <c r="E116" i="41" s="1"/>
  <c r="E117" i="41" s="1"/>
  <c r="F86" i="41"/>
  <c r="F171" i="41" s="1"/>
  <c r="E110" i="41"/>
  <c r="E86" i="41"/>
  <c r="E171" i="41" s="1"/>
  <c r="P80" i="41"/>
  <c r="P155" i="41" s="1"/>
  <c r="J60" i="41"/>
  <c r="J29" i="41" s="1"/>
  <c r="H124" i="41"/>
  <c r="I120" i="41" s="1"/>
  <c r="I124" i="41" s="1"/>
  <c r="J120" i="41" s="1"/>
  <c r="J124" i="41" s="1"/>
  <c r="K120" i="41" s="1"/>
  <c r="K124" i="41" s="1"/>
  <c r="L120" i="41" s="1"/>
  <c r="L124" i="41" s="1"/>
  <c r="M120" i="41" s="1"/>
  <c r="M124" i="41" s="1"/>
  <c r="N120" i="41" s="1"/>
  <c r="N124" i="41" s="1"/>
  <c r="O120" i="41" s="1"/>
  <c r="O124" i="41" s="1"/>
  <c r="P120" i="41" s="1"/>
  <c r="P124" i="41" s="1"/>
  <c r="Q120" i="41" s="1"/>
  <c r="Q124" i="41" s="1"/>
  <c r="R120" i="41" s="1"/>
  <c r="R124" i="41" s="1"/>
  <c r="S120" i="41" s="1"/>
  <c r="S124" i="41" s="1"/>
  <c r="T120" i="41" s="1"/>
  <c r="T124" i="41" s="1"/>
  <c r="U120" i="41" s="1"/>
  <c r="U124" i="41" s="1"/>
  <c r="I66" i="41"/>
  <c r="H67" i="41"/>
  <c r="O80" i="41"/>
  <c r="O155" i="41" s="1"/>
  <c r="R121" i="41"/>
  <c r="R68" i="41"/>
  <c r="S80" i="41" s="1"/>
  <c r="S155" i="41" s="1"/>
  <c r="F92" i="41"/>
  <c r="F187" i="41" s="1"/>
  <c r="P8" i="41"/>
  <c r="D169" i="41"/>
  <c r="D160" i="41"/>
  <c r="M80" i="41"/>
  <c r="M155" i="41" s="1"/>
  <c r="D187" i="41"/>
  <c r="R80" i="41"/>
  <c r="R155" i="41" s="1"/>
  <c r="N8" i="41"/>
  <c r="E92" i="41"/>
  <c r="O8" i="41"/>
  <c r="D171" i="41"/>
  <c r="D59" i="41"/>
  <c r="K80" i="41"/>
  <c r="K155" i="41" s="1"/>
  <c r="E169" i="41"/>
  <c r="E160" i="41"/>
  <c r="T80" i="41"/>
  <c r="T155" i="41" s="1"/>
  <c r="D112" i="41"/>
  <c r="E109" i="41" s="1"/>
  <c r="G80" i="41"/>
  <c r="G155" i="41" s="1"/>
  <c r="H80" i="41"/>
  <c r="H155" i="41" s="1"/>
  <c r="F151" i="41"/>
  <c r="F158" i="41" s="1"/>
  <c r="F83" i="41"/>
  <c r="Q105" i="40"/>
  <c r="Q26" i="40"/>
  <c r="L121" i="40"/>
  <c r="L68" i="40"/>
  <c r="S26" i="40"/>
  <c r="S105" i="40"/>
  <c r="R105" i="40"/>
  <c r="R26" i="40"/>
  <c r="H121" i="40"/>
  <c r="H68" i="40"/>
  <c r="D169" i="40"/>
  <c r="D160" i="40"/>
  <c r="F86" i="40"/>
  <c r="F110" i="40"/>
  <c r="E116" i="40" s="1"/>
  <c r="E117" i="40" s="1"/>
  <c r="P8" i="40"/>
  <c r="H66" i="40"/>
  <c r="G67" i="40"/>
  <c r="I68" i="40"/>
  <c r="I121" i="40"/>
  <c r="J121" i="40"/>
  <c r="J68" i="40"/>
  <c r="K80" i="40" s="1"/>
  <c r="K155" i="40" s="1"/>
  <c r="G187" i="40"/>
  <c r="D110" i="40"/>
  <c r="N8" i="40"/>
  <c r="D86" i="40"/>
  <c r="K121" i="40"/>
  <c r="K68" i="40"/>
  <c r="L80" i="40" s="1"/>
  <c r="L155" i="40" s="1"/>
  <c r="N121" i="40"/>
  <c r="N68" i="40"/>
  <c r="J60" i="40"/>
  <c r="J29" i="40" s="1"/>
  <c r="O105" i="40"/>
  <c r="O26" i="40"/>
  <c r="E86" i="40"/>
  <c r="E110" i="40"/>
  <c r="D116" i="40" s="1"/>
  <c r="O8" i="40"/>
  <c r="F151" i="40"/>
  <c r="F158" i="40" s="1"/>
  <c r="F83" i="40"/>
  <c r="P105" i="40"/>
  <c r="P26" i="40"/>
  <c r="H80" i="40"/>
  <c r="H155" i="40" s="1"/>
  <c r="G80" i="40"/>
  <c r="G155" i="40" s="1"/>
  <c r="M121" i="40"/>
  <c r="M68" i="40"/>
  <c r="E169" i="40"/>
  <c r="E160" i="40"/>
  <c r="H124" i="40"/>
  <c r="I120" i="40" s="1"/>
  <c r="I124" i="40" s="1"/>
  <c r="J120" i="40" s="1"/>
  <c r="J124" i="40" s="1"/>
  <c r="K120" i="40" s="1"/>
  <c r="K124" i="40" s="1"/>
  <c r="L120" i="40" s="1"/>
  <c r="L124" i="40" s="1"/>
  <c r="M120" i="40" s="1"/>
  <c r="M124" i="40" s="1"/>
  <c r="N120" i="40" s="1"/>
  <c r="N124" i="40" s="1"/>
  <c r="O120" i="40" s="1"/>
  <c r="T105" i="40"/>
  <c r="U121" i="40" s="1"/>
  <c r="T26" i="40"/>
  <c r="U68" i="40"/>
  <c r="C139" i="40" s="1"/>
  <c r="G139" i="40" s="1"/>
  <c r="H124" i="37"/>
  <c r="I120" i="37" s="1"/>
  <c r="M121" i="39"/>
  <c r="M68" i="39"/>
  <c r="D86" i="39"/>
  <c r="D110" i="39"/>
  <c r="N8" i="39"/>
  <c r="L121" i="39"/>
  <c r="L68" i="39"/>
  <c r="M80" i="39" s="1"/>
  <c r="M155" i="39" s="1"/>
  <c r="Q121" i="39"/>
  <c r="Q68" i="39"/>
  <c r="I124" i="39"/>
  <c r="J120" i="39" s="1"/>
  <c r="J124" i="39" s="1"/>
  <c r="K120" i="39" s="1"/>
  <c r="K124" i="39" s="1"/>
  <c r="L120" i="39" s="1"/>
  <c r="L124" i="39" s="1"/>
  <c r="M120" i="39" s="1"/>
  <c r="M124" i="39" s="1"/>
  <c r="N120" i="39" s="1"/>
  <c r="E86" i="39"/>
  <c r="E110" i="39"/>
  <c r="D116" i="39" s="1"/>
  <c r="O8" i="39"/>
  <c r="Q80" i="39"/>
  <c r="Q155" i="39" s="1"/>
  <c r="U121" i="39"/>
  <c r="U68" i="39"/>
  <c r="C139" i="39" s="1"/>
  <c r="G139" i="39" s="1"/>
  <c r="J60" i="39"/>
  <c r="J29" i="39" s="1"/>
  <c r="D169" i="39"/>
  <c r="D160" i="39"/>
  <c r="G67" i="39"/>
  <c r="H66" i="39"/>
  <c r="F86" i="39"/>
  <c r="F110" i="39"/>
  <c r="E116" i="39" s="1"/>
  <c r="E117" i="39" s="1"/>
  <c r="P8" i="39"/>
  <c r="D187" i="39"/>
  <c r="F151" i="39"/>
  <c r="F158" i="39" s="1"/>
  <c r="F83" i="39"/>
  <c r="K68" i="39"/>
  <c r="K121" i="39"/>
  <c r="S68" i="39"/>
  <c r="S121" i="39"/>
  <c r="O121" i="39"/>
  <c r="O68" i="39"/>
  <c r="P80" i="39" s="1"/>
  <c r="P155" i="39" s="1"/>
  <c r="N121" i="39"/>
  <c r="N68" i="39"/>
  <c r="O80" i="39" s="1"/>
  <c r="O155" i="39" s="1"/>
  <c r="T121" i="39"/>
  <c r="T68" i="39"/>
  <c r="E169" i="39"/>
  <c r="E160" i="39"/>
  <c r="R121" i="39"/>
  <c r="R68" i="39"/>
  <c r="J121" i="39"/>
  <c r="J68" i="39"/>
  <c r="K80" i="39" s="1"/>
  <c r="K155" i="39" s="1"/>
  <c r="H80" i="39"/>
  <c r="H155" i="39" s="1"/>
  <c r="G80" i="39"/>
  <c r="G155" i="39" s="1"/>
  <c r="D169" i="38"/>
  <c r="D160" i="38"/>
  <c r="J60" i="38"/>
  <c r="J29" i="38" s="1"/>
  <c r="R121" i="38"/>
  <c r="R68" i="38"/>
  <c r="S80" i="38" s="1"/>
  <c r="S155" i="38" s="1"/>
  <c r="D187" i="38"/>
  <c r="P121" i="38"/>
  <c r="P68" i="38"/>
  <c r="Q80" i="38" s="1"/>
  <c r="Q155" i="38" s="1"/>
  <c r="E169" i="38"/>
  <c r="E160" i="38"/>
  <c r="T80" i="38"/>
  <c r="T155" i="38" s="1"/>
  <c r="M121" i="38"/>
  <c r="M68" i="38"/>
  <c r="N80" i="38" s="1"/>
  <c r="N155" i="38" s="1"/>
  <c r="M80" i="38"/>
  <c r="M155" i="38" s="1"/>
  <c r="D110" i="38"/>
  <c r="D86" i="38"/>
  <c r="N8" i="38"/>
  <c r="F151" i="38"/>
  <c r="F158" i="38" s="1"/>
  <c r="F83" i="38"/>
  <c r="I66" i="38"/>
  <c r="H67" i="38"/>
  <c r="G80" i="38"/>
  <c r="G155" i="38" s="1"/>
  <c r="H80" i="38"/>
  <c r="H155" i="38" s="1"/>
  <c r="J121" i="38"/>
  <c r="J124" i="38" s="1"/>
  <c r="K120" i="38" s="1"/>
  <c r="K124" i="38" s="1"/>
  <c r="L120" i="38" s="1"/>
  <c r="L124" i="38" s="1"/>
  <c r="M120" i="38" s="1"/>
  <c r="M124" i="38" s="1"/>
  <c r="N120" i="38" s="1"/>
  <c r="N124" i="38" s="1"/>
  <c r="O120" i="38" s="1"/>
  <c r="O124" i="38" s="1"/>
  <c r="P120" i="38" s="1"/>
  <c r="P124" i="38" s="1"/>
  <c r="Q120" i="38" s="1"/>
  <c r="Q124" i="38" s="1"/>
  <c r="R120" i="38" s="1"/>
  <c r="R124" i="38" s="1"/>
  <c r="S120" i="38" s="1"/>
  <c r="S124" i="38" s="1"/>
  <c r="T120" i="38" s="1"/>
  <c r="T124" i="38" s="1"/>
  <c r="U120" i="38" s="1"/>
  <c r="U124" i="38" s="1"/>
  <c r="J68" i="38"/>
  <c r="E86" i="38"/>
  <c r="E110" i="38"/>
  <c r="O8" i="38"/>
  <c r="O121" i="38"/>
  <c r="O68" i="38"/>
  <c r="P80" i="38" s="1"/>
  <c r="P155" i="38" s="1"/>
  <c r="F86" i="38"/>
  <c r="F110" i="38"/>
  <c r="E116" i="38" s="1"/>
  <c r="E117" i="38" s="1"/>
  <c r="P8" i="38"/>
  <c r="I80" i="38"/>
  <c r="I155" i="38" s="1"/>
  <c r="Q121" i="38"/>
  <c r="Q68" i="38"/>
  <c r="R80" i="38" s="1"/>
  <c r="R155" i="38" s="1"/>
  <c r="O80" i="38"/>
  <c r="O155" i="38" s="1"/>
  <c r="K121" i="38"/>
  <c r="K68" i="38"/>
  <c r="L80" i="38" s="1"/>
  <c r="L155" i="38" s="1"/>
  <c r="E86" i="37"/>
  <c r="E110" i="37"/>
  <c r="O8" i="37"/>
  <c r="D169" i="37"/>
  <c r="D160" i="37"/>
  <c r="D187" i="37"/>
  <c r="F86" i="37"/>
  <c r="F110" i="37"/>
  <c r="E116" i="37" s="1"/>
  <c r="E117" i="37" s="1"/>
  <c r="P8" i="37"/>
  <c r="R121" i="37"/>
  <c r="R68" i="37"/>
  <c r="L121" i="37"/>
  <c r="L68" i="37"/>
  <c r="S121" i="37"/>
  <c r="S68" i="37"/>
  <c r="P121" i="37"/>
  <c r="P68" i="37"/>
  <c r="K121" i="37"/>
  <c r="K68" i="37"/>
  <c r="G67" i="37"/>
  <c r="H66" i="37"/>
  <c r="U121" i="37"/>
  <c r="U68" i="37"/>
  <c r="C139" i="37" s="1"/>
  <c r="G139" i="37" s="1"/>
  <c r="J60" i="37"/>
  <c r="J29" i="37" s="1"/>
  <c r="I121" i="37"/>
  <c r="I68" i="37"/>
  <c r="J80" i="37" s="1"/>
  <c r="J155" i="37" s="1"/>
  <c r="I29" i="37"/>
  <c r="M121" i="37"/>
  <c r="M68" i="37"/>
  <c r="T121" i="37"/>
  <c r="T68" i="37"/>
  <c r="G80" i="37"/>
  <c r="G155" i="37" s="1"/>
  <c r="H80" i="37"/>
  <c r="H155" i="37" s="1"/>
  <c r="O121" i="37"/>
  <c r="O68" i="37"/>
  <c r="Q121" i="37"/>
  <c r="Q68" i="37"/>
  <c r="N121" i="37"/>
  <c r="N68" i="37"/>
  <c r="D86" i="37"/>
  <c r="D110" i="37"/>
  <c r="N8" i="37"/>
  <c r="E169" i="37"/>
  <c r="E160" i="37"/>
  <c r="F83" i="37"/>
  <c r="F151" i="37"/>
  <c r="F158" i="37" s="1"/>
  <c r="H124" i="36"/>
  <c r="I120" i="36" s="1"/>
  <c r="I124" i="36" s="1"/>
  <c r="J120" i="36" s="1"/>
  <c r="D171" i="36"/>
  <c r="W171" i="36" s="1"/>
  <c r="L87" i="36"/>
  <c r="K87" i="36"/>
  <c r="I87" i="36"/>
  <c r="H87" i="36"/>
  <c r="O87" i="36"/>
  <c r="G87" i="36"/>
  <c r="N87" i="36"/>
  <c r="M87" i="36"/>
  <c r="F87" i="36"/>
  <c r="W86" i="36"/>
  <c r="J87" i="36"/>
  <c r="D59" i="36"/>
  <c r="M121" i="36"/>
  <c r="M68" i="36"/>
  <c r="E175" i="36"/>
  <c r="D187" i="36"/>
  <c r="H80" i="36"/>
  <c r="H155" i="36" s="1"/>
  <c r="G80" i="36"/>
  <c r="G155" i="36" s="1"/>
  <c r="N8" i="36"/>
  <c r="E177" i="36"/>
  <c r="E92" i="36"/>
  <c r="O8" i="36"/>
  <c r="F67" i="36"/>
  <c r="G66" i="36"/>
  <c r="D112" i="36"/>
  <c r="E109" i="36" s="1"/>
  <c r="E112" i="36" s="1"/>
  <c r="F109" i="36" s="1"/>
  <c r="D115" i="36"/>
  <c r="D117" i="36" s="1"/>
  <c r="N121" i="36"/>
  <c r="N68" i="36"/>
  <c r="F83" i="36"/>
  <c r="F151" i="36"/>
  <c r="F158" i="36" s="1"/>
  <c r="J60" i="36"/>
  <c r="J29" i="36"/>
  <c r="O121" i="36"/>
  <c r="O68" i="36"/>
  <c r="I80" i="36"/>
  <c r="I155" i="36" s="1"/>
  <c r="J121" i="36"/>
  <c r="J124" i="36" s="1"/>
  <c r="K120" i="36" s="1"/>
  <c r="K124" i="36" s="1"/>
  <c r="L120" i="36" s="1"/>
  <c r="J68" i="36"/>
  <c r="K80" i="36" s="1"/>
  <c r="K155" i="36" s="1"/>
  <c r="L68" i="36"/>
  <c r="L121" i="36"/>
  <c r="U121" i="36"/>
  <c r="U68" i="36"/>
  <c r="C139" i="36" s="1"/>
  <c r="G139" i="36" s="1"/>
  <c r="K121" i="36"/>
  <c r="K68" i="36"/>
  <c r="L80" i="36" s="1"/>
  <c r="L155" i="36" s="1"/>
  <c r="F92" i="36"/>
  <c r="F187" i="36" s="1"/>
  <c r="P8" i="36"/>
  <c r="S121" i="36"/>
  <c r="S68" i="36"/>
  <c r="Q121" i="36"/>
  <c r="Q68" i="36"/>
  <c r="P121" i="36"/>
  <c r="P68" i="36"/>
  <c r="Q80" i="36" s="1"/>
  <c r="Q155" i="36" s="1"/>
  <c r="T68" i="36"/>
  <c r="U80" i="36" s="1"/>
  <c r="U155" i="36" s="1"/>
  <c r="T121" i="36"/>
  <c r="D169" i="36"/>
  <c r="D160" i="36"/>
  <c r="R121" i="36"/>
  <c r="R68" i="36"/>
  <c r="Q105" i="27"/>
  <c r="Q68" i="27" s="1"/>
  <c r="Q80" i="27" s="1"/>
  <c r="Q155" i="27" s="1"/>
  <c r="O105" i="27"/>
  <c r="T105" i="27"/>
  <c r="U121" i="27" s="1"/>
  <c r="R105" i="27"/>
  <c r="R68" i="27" s="1"/>
  <c r="H80" i="27"/>
  <c r="H155" i="27" s="1"/>
  <c r="L87" i="27"/>
  <c r="L111" i="27" s="1"/>
  <c r="K87" i="27"/>
  <c r="K111" i="27" s="1"/>
  <c r="J87" i="27"/>
  <c r="J111" i="27" s="1"/>
  <c r="I87" i="27"/>
  <c r="I111" i="27" s="1"/>
  <c r="H87" i="27"/>
  <c r="H111" i="27" s="1"/>
  <c r="D171" i="27"/>
  <c r="O87" i="27"/>
  <c r="O111" i="27" s="1"/>
  <c r="G87" i="27"/>
  <c r="G111" i="27" s="1"/>
  <c r="D59" i="27"/>
  <c r="N87" i="27"/>
  <c r="N111" i="27" s="1"/>
  <c r="F87" i="27"/>
  <c r="F111" i="27" s="1"/>
  <c r="W86" i="27"/>
  <c r="M87" i="27"/>
  <c r="M111" i="27" s="1"/>
  <c r="D112" i="27"/>
  <c r="E109" i="27" s="1"/>
  <c r="E112" i="27" s="1"/>
  <c r="F109" i="27" s="1"/>
  <c r="D115" i="27"/>
  <c r="D117" i="27" s="1"/>
  <c r="G80" i="27"/>
  <c r="G155" i="27" s="1"/>
  <c r="M68" i="27"/>
  <c r="M121" i="27"/>
  <c r="O68" i="27"/>
  <c r="P80" i="27" s="1"/>
  <c r="P155" i="27" s="1"/>
  <c r="O121" i="27"/>
  <c r="I68" i="27"/>
  <c r="I121" i="27"/>
  <c r="I124" i="27" s="1"/>
  <c r="J120" i="27" s="1"/>
  <c r="N68" i="27"/>
  <c r="N121" i="27"/>
  <c r="S68" i="27"/>
  <c r="K68" i="27"/>
  <c r="K80" i="27" s="1"/>
  <c r="K155" i="27" s="1"/>
  <c r="K121" i="27"/>
  <c r="L68" i="27"/>
  <c r="L121" i="27"/>
  <c r="P121" i="27"/>
  <c r="J121" i="27"/>
  <c r="G50" i="26"/>
  <c r="H46" i="26"/>
  <c r="I47" i="26"/>
  <c r="I46" i="26"/>
  <c r="H47" i="26"/>
  <c r="E30" i="26"/>
  <c r="E31" i="26" s="1"/>
  <c r="D50" i="26"/>
  <c r="D28" i="26"/>
  <c r="J53" i="26"/>
  <c r="J46" i="26" s="1"/>
  <c r="L48" i="26"/>
  <c r="M26" i="26"/>
  <c r="I172" i="27"/>
  <c r="F28" i="26"/>
  <c r="E175" i="27"/>
  <c r="E177" i="27" s="1"/>
  <c r="S29" i="27"/>
  <c r="G67" i="27"/>
  <c r="H66" i="27"/>
  <c r="D61" i="4"/>
  <c r="D63" i="4" s="1"/>
  <c r="D64" i="4" s="1"/>
  <c r="N62" i="4"/>
  <c r="C50" i="4"/>
  <c r="D94" i="25"/>
  <c r="E94" i="25"/>
  <c r="E84" i="25"/>
  <c r="E138" i="25"/>
  <c r="D84" i="25"/>
  <c r="F11" i="26"/>
  <c r="D11" i="26"/>
  <c r="E11" i="26"/>
  <c r="G119" i="25"/>
  <c r="N81" i="25"/>
  <c r="N135" i="25" s="1"/>
  <c r="G9" i="26"/>
  <c r="G11" i="26" s="1"/>
  <c r="R22" i="26"/>
  <c r="H14" i="26"/>
  <c r="I13" i="26" s="1"/>
  <c r="K26" i="23"/>
  <c r="I28" i="23"/>
  <c r="I18" i="23" s="1"/>
  <c r="I21" i="23" s="1"/>
  <c r="I81" i="25"/>
  <c r="I135" i="25" s="1"/>
  <c r="O81" i="25"/>
  <c r="O135" i="25" s="1"/>
  <c r="K81" i="25"/>
  <c r="K135" i="25" s="1"/>
  <c r="J81" i="25"/>
  <c r="J135" i="25" s="1"/>
  <c r="H81" i="25"/>
  <c r="H135" i="25" s="1"/>
  <c r="L104" i="25"/>
  <c r="L69" i="25" s="1"/>
  <c r="M81" i="25" s="1"/>
  <c r="M135" i="25" s="1"/>
  <c r="P81" i="25"/>
  <c r="P135" i="25" s="1"/>
  <c r="F68" i="25"/>
  <c r="G67" i="25"/>
  <c r="D51" i="4"/>
  <c r="M49" i="11"/>
  <c r="M62" i="11"/>
  <c r="N62" i="14"/>
  <c r="O62" i="9"/>
  <c r="G49" i="11"/>
  <c r="E63" i="11"/>
  <c r="G62" i="13"/>
  <c r="O62" i="14"/>
  <c r="E50" i="11"/>
  <c r="D49" i="13"/>
  <c r="C62" i="13"/>
  <c r="M62" i="9"/>
  <c r="C49" i="10"/>
  <c r="C50" i="10" s="1"/>
  <c r="N63" i="4"/>
  <c r="D50" i="13"/>
  <c r="U35" i="4"/>
  <c r="O49" i="8"/>
  <c r="C51" i="4"/>
  <c r="N49" i="14"/>
  <c r="C50" i="14"/>
  <c r="K49" i="8"/>
  <c r="L63" i="4"/>
  <c r="O49" i="11"/>
  <c r="C50" i="11"/>
  <c r="M49" i="13"/>
  <c r="N61" i="6"/>
  <c r="N62" i="6" s="1"/>
  <c r="O49" i="9"/>
  <c r="F32" i="25"/>
  <c r="F36" i="25" s="1"/>
  <c r="F78" i="25" s="1"/>
  <c r="Q21" i="25"/>
  <c r="T21" i="25"/>
  <c r="S21" i="25"/>
  <c r="R21" i="25"/>
  <c r="E21" i="23"/>
  <c r="E30" i="23" s="1"/>
  <c r="K9" i="23"/>
  <c r="K7" i="23" s="1"/>
  <c r="K27" i="23" s="1"/>
  <c r="J9" i="23"/>
  <c r="J7" i="23" s="1"/>
  <c r="J27" i="23" s="1"/>
  <c r="J28" i="23" s="1"/>
  <c r="J18" i="23" s="1"/>
  <c r="J21" i="23" s="1"/>
  <c r="J8" i="42" s="1"/>
  <c r="K16" i="9"/>
  <c r="J17" i="9"/>
  <c r="J48" i="18"/>
  <c r="J48" i="19"/>
  <c r="J48" i="15"/>
  <c r="J48" i="10"/>
  <c r="J48" i="8"/>
  <c r="J48" i="13"/>
  <c r="J48" i="6"/>
  <c r="J48" i="11"/>
  <c r="J48" i="9"/>
  <c r="J49" i="4"/>
  <c r="H48" i="15"/>
  <c r="H48" i="18"/>
  <c r="H48" i="19"/>
  <c r="H48" i="10"/>
  <c r="H48" i="8"/>
  <c r="H48" i="9"/>
  <c r="H48" i="14"/>
  <c r="H48" i="6"/>
  <c r="H48" i="13"/>
  <c r="H49" i="4"/>
  <c r="H48" i="11"/>
  <c r="N17" i="4"/>
  <c r="O17" i="4" s="1"/>
  <c r="P17" i="4" s="1"/>
  <c r="Q17" i="4" s="1"/>
  <c r="Q18" i="4" s="1"/>
  <c r="M18" i="4"/>
  <c r="J48" i="14"/>
  <c r="M62" i="4"/>
  <c r="M63" i="4" s="1"/>
  <c r="M50" i="4"/>
  <c r="H16" i="8"/>
  <c r="I16" i="8" s="1"/>
  <c r="G17" i="8"/>
  <c r="P18" i="4"/>
  <c r="I18" i="4"/>
  <c r="I16" i="13"/>
  <c r="J16" i="13" s="1"/>
  <c r="K16" i="13" s="1"/>
  <c r="H17" i="13"/>
  <c r="H22" i="13" s="1"/>
  <c r="H27" i="13" s="1"/>
  <c r="H31" i="13" s="1"/>
  <c r="O62" i="4"/>
  <c r="O63" i="4" s="1"/>
  <c r="O50" i="4"/>
  <c r="F17" i="11"/>
  <c r="H18" i="4"/>
  <c r="K18" i="4"/>
  <c r="E64" i="4"/>
  <c r="C64" i="4"/>
  <c r="N16" i="11"/>
  <c r="M17" i="11"/>
  <c r="L18" i="4"/>
  <c r="G62" i="4"/>
  <c r="G63" i="4" s="1"/>
  <c r="G50" i="4"/>
  <c r="E16" i="14"/>
  <c r="D17" i="14"/>
  <c r="M17" i="6"/>
  <c r="P17" i="10"/>
  <c r="V20" i="11"/>
  <c r="V22" i="11" s="1"/>
  <c r="V22" i="13"/>
  <c r="C62" i="11"/>
  <c r="C63" i="11" s="1"/>
  <c r="K61" i="11"/>
  <c r="K62" i="11" s="1"/>
  <c r="J17" i="13"/>
  <c r="F22" i="13"/>
  <c r="F27" i="13" s="1"/>
  <c r="F31" i="13" s="1"/>
  <c r="M49" i="14"/>
  <c r="L61" i="11"/>
  <c r="L62" i="11" s="1"/>
  <c r="L49" i="11"/>
  <c r="L61" i="13"/>
  <c r="L62" i="13" s="1"/>
  <c r="L49" i="13"/>
  <c r="D22" i="13"/>
  <c r="D27" i="13" s="1"/>
  <c r="D31" i="13" s="1"/>
  <c r="C63" i="13"/>
  <c r="G17" i="11"/>
  <c r="D60" i="11"/>
  <c r="D62" i="11" s="1"/>
  <c r="D63" i="11" s="1"/>
  <c r="D49" i="11"/>
  <c r="D50" i="11" s="1"/>
  <c r="J19" i="13"/>
  <c r="J21" i="13" s="1"/>
  <c r="M19" i="13"/>
  <c r="M21" i="13" s="1"/>
  <c r="Q19" i="13"/>
  <c r="Q21" i="13" s="1"/>
  <c r="G19" i="13"/>
  <c r="G21" i="13" s="1"/>
  <c r="D19" i="13"/>
  <c r="D21" i="13" s="1"/>
  <c r="L19" i="13"/>
  <c r="L21" i="13" s="1"/>
  <c r="C19" i="13"/>
  <c r="C21" i="13" s="1"/>
  <c r="C22" i="13" s="1"/>
  <c r="C27" i="13" s="1"/>
  <c r="C31" i="13" s="1"/>
  <c r="H19" i="13"/>
  <c r="H21" i="13" s="1"/>
  <c r="P19" i="13"/>
  <c r="P21" i="13" s="1"/>
  <c r="O19" i="13"/>
  <c r="O21" i="13" s="1"/>
  <c r="E19" i="13"/>
  <c r="E21" i="13" s="1"/>
  <c r="I19" i="13"/>
  <c r="I21" i="13" s="1"/>
  <c r="O16" i="6"/>
  <c r="P16" i="6" s="1"/>
  <c r="Q16" i="6" s="1"/>
  <c r="Q17" i="6" s="1"/>
  <c r="N17" i="6"/>
  <c r="C50" i="6"/>
  <c r="M17" i="10"/>
  <c r="I17" i="13"/>
  <c r="I22" i="13" s="1"/>
  <c r="I27" i="13" s="1"/>
  <c r="I31" i="13" s="1"/>
  <c r="G62" i="14"/>
  <c r="E63" i="14"/>
  <c r="F17" i="8"/>
  <c r="D50" i="9"/>
  <c r="E60" i="9"/>
  <c r="E62" i="9" s="1"/>
  <c r="E49" i="9"/>
  <c r="L48" i="19"/>
  <c r="L48" i="18"/>
  <c r="L48" i="15"/>
  <c r="L48" i="10"/>
  <c r="L48" i="8"/>
  <c r="L48" i="6"/>
  <c r="L48" i="14"/>
  <c r="E22" i="13"/>
  <c r="E27" i="13" s="1"/>
  <c r="E31" i="13" s="1"/>
  <c r="N17" i="10"/>
  <c r="K16" i="10"/>
  <c r="L16" i="10" s="1"/>
  <c r="M16" i="10" s="1"/>
  <c r="N16" i="10" s="1"/>
  <c r="O16" i="10" s="1"/>
  <c r="P16" i="10" s="1"/>
  <c r="Q16" i="10" s="1"/>
  <c r="Q17" i="10" s="1"/>
  <c r="J17" i="10"/>
  <c r="E50" i="14"/>
  <c r="D60" i="14"/>
  <c r="D62" i="14" s="1"/>
  <c r="D49" i="14"/>
  <c r="D50" i="14" s="1"/>
  <c r="C62" i="6"/>
  <c r="E17" i="8"/>
  <c r="O61" i="13"/>
  <c r="O62" i="13" s="1"/>
  <c r="O49" i="13"/>
  <c r="D63" i="14"/>
  <c r="D60" i="8"/>
  <c r="D62" i="8" s="1"/>
  <c r="D63" i="8" s="1"/>
  <c r="D49" i="8"/>
  <c r="D50" i="8" s="1"/>
  <c r="O17" i="10"/>
  <c r="M62" i="13"/>
  <c r="G17" i="13"/>
  <c r="G22" i="13" s="1"/>
  <c r="G27" i="13" s="1"/>
  <c r="G31" i="13" s="1"/>
  <c r="L61" i="9"/>
  <c r="L62" i="9" s="1"/>
  <c r="L49" i="9"/>
  <c r="L17" i="10"/>
  <c r="C15" i="18"/>
  <c r="C17" i="18" s="1"/>
  <c r="V3" i="18"/>
  <c r="V5" i="18" s="1"/>
  <c r="V22" i="18" s="1"/>
  <c r="V4" i="18"/>
  <c r="M49" i="10"/>
  <c r="M61" i="10"/>
  <c r="M62" i="10" s="1"/>
  <c r="E50" i="9"/>
  <c r="D63" i="9"/>
  <c r="H17" i="6"/>
  <c r="C63" i="6"/>
  <c r="C63" i="9"/>
  <c r="E63" i="9"/>
  <c r="K49" i="10"/>
  <c r="K61" i="10"/>
  <c r="K62" i="10" s="1"/>
  <c r="M49" i="18"/>
  <c r="M61" i="18"/>
  <c r="M62" i="18" s="1"/>
  <c r="N48" i="15"/>
  <c r="N48" i="10"/>
  <c r="N48" i="18"/>
  <c r="N48" i="19"/>
  <c r="N48" i="8"/>
  <c r="S48" i="18"/>
  <c r="S49" i="18" s="1"/>
  <c r="S48" i="19"/>
  <c r="S49" i="19" s="1"/>
  <c r="S48" i="15"/>
  <c r="S49" i="15" s="1"/>
  <c r="S48" i="6"/>
  <c r="S49" i="6" s="1"/>
  <c r="K20" i="2"/>
  <c r="L19" i="2"/>
  <c r="O49" i="14"/>
  <c r="C62" i="14"/>
  <c r="C63" i="14" s="1"/>
  <c r="E63" i="6"/>
  <c r="N62" i="9"/>
  <c r="P17" i="19"/>
  <c r="G48" i="19"/>
  <c r="G48" i="18"/>
  <c r="G48" i="8"/>
  <c r="G48" i="15"/>
  <c r="G48" i="6"/>
  <c r="G48" i="9"/>
  <c r="D62" i="6"/>
  <c r="D63" i="6" s="1"/>
  <c r="H17" i="8"/>
  <c r="E62" i="8"/>
  <c r="E63" i="8" s="1"/>
  <c r="K62" i="9"/>
  <c r="J17" i="15"/>
  <c r="O17" i="18"/>
  <c r="C49" i="18"/>
  <c r="C50" i="18" s="1"/>
  <c r="C60" i="18"/>
  <c r="C62" i="18" s="1"/>
  <c r="E60" i="19"/>
  <c r="E62" i="19" s="1"/>
  <c r="E63" i="19" s="1"/>
  <c r="E49" i="19"/>
  <c r="E50" i="19" s="1"/>
  <c r="C63" i="10"/>
  <c r="N17" i="15"/>
  <c r="L17" i="18"/>
  <c r="C63" i="18"/>
  <c r="C50" i="19"/>
  <c r="O48" i="19"/>
  <c r="O48" i="15"/>
  <c r="O48" i="10"/>
  <c r="J30" i="2"/>
  <c r="R30" i="2"/>
  <c r="O61" i="6"/>
  <c r="O62" i="6" s="1"/>
  <c r="I17" i="15"/>
  <c r="Q17" i="18"/>
  <c r="L17" i="19"/>
  <c r="O17" i="19"/>
  <c r="C6" i="5"/>
  <c r="K49" i="19"/>
  <c r="K61" i="19"/>
  <c r="K62" i="19" s="1"/>
  <c r="M48" i="19"/>
  <c r="M48" i="15"/>
  <c r="T48" i="19"/>
  <c r="T49" i="19" s="1"/>
  <c r="T48" i="18"/>
  <c r="T49" i="18" s="1"/>
  <c r="V5" i="14"/>
  <c r="V22" i="14" s="1"/>
  <c r="M17" i="15"/>
  <c r="I17" i="18"/>
  <c r="M17" i="18"/>
  <c r="F17" i="19"/>
  <c r="K48" i="15"/>
  <c r="K48" i="18"/>
  <c r="E47" i="18"/>
  <c r="D47" i="10"/>
  <c r="E47" i="10"/>
  <c r="D47" i="19"/>
  <c r="E47" i="15"/>
  <c r="D47" i="18"/>
  <c r="D47" i="15"/>
  <c r="G17" i="18"/>
  <c r="F17" i="15"/>
  <c r="H17" i="15"/>
  <c r="Q17" i="15"/>
  <c r="J17" i="18"/>
  <c r="G30" i="2"/>
  <c r="G17" i="15"/>
  <c r="L17" i="15"/>
  <c r="N17" i="18"/>
  <c r="M17" i="19"/>
  <c r="C21" i="5"/>
  <c r="I30" i="23" l="1"/>
  <c r="J8" i="27"/>
  <c r="J8" i="44"/>
  <c r="J8" i="25"/>
  <c r="J8" i="40"/>
  <c r="J8" i="39"/>
  <c r="J8" i="37"/>
  <c r="J8" i="43"/>
  <c r="J8" i="36"/>
  <c r="J8" i="38"/>
  <c r="D133" i="44"/>
  <c r="D90" i="44"/>
  <c r="D187" i="44"/>
  <c r="I172" i="44"/>
  <c r="I111" i="44"/>
  <c r="I67" i="44"/>
  <c r="J66" i="44"/>
  <c r="H111" i="44"/>
  <c r="H172" i="44"/>
  <c r="S80" i="44"/>
  <c r="S155" i="44" s="1"/>
  <c r="F59" i="44"/>
  <c r="E113" i="44"/>
  <c r="E61" i="44"/>
  <c r="F111" i="44"/>
  <c r="F112" i="44" s="1"/>
  <c r="G109" i="44" s="1"/>
  <c r="W87" i="44"/>
  <c r="N111" i="44"/>
  <c r="N172" i="44"/>
  <c r="G172" i="44"/>
  <c r="G111" i="44"/>
  <c r="K172" i="44"/>
  <c r="K111" i="44"/>
  <c r="F169" i="44"/>
  <c r="F177" i="44" s="1"/>
  <c r="F160" i="44"/>
  <c r="M111" i="44"/>
  <c r="M172" i="44"/>
  <c r="K60" i="44"/>
  <c r="K29" i="44"/>
  <c r="F96" i="44"/>
  <c r="E90" i="44"/>
  <c r="E133" i="44"/>
  <c r="H67" i="43"/>
  <c r="I66" i="43"/>
  <c r="M80" i="43"/>
  <c r="M155" i="43" s="1"/>
  <c r="K80" i="43"/>
  <c r="K155" i="43" s="1"/>
  <c r="E133" i="43"/>
  <c r="E90" i="43"/>
  <c r="E91" i="43" s="1"/>
  <c r="F169" i="43"/>
  <c r="F160" i="43"/>
  <c r="F171" i="43"/>
  <c r="I124" i="43"/>
  <c r="J120" i="43" s="1"/>
  <c r="J124" i="43" s="1"/>
  <c r="K120" i="43" s="1"/>
  <c r="K124" i="43" s="1"/>
  <c r="L120" i="43" s="1"/>
  <c r="L124" i="43" s="1"/>
  <c r="M120" i="43" s="1"/>
  <c r="M124" i="43" s="1"/>
  <c r="N120" i="43" s="1"/>
  <c r="N124" i="43" s="1"/>
  <c r="O120" i="43" s="1"/>
  <c r="O124" i="43" s="1"/>
  <c r="P120" i="43" s="1"/>
  <c r="P124" i="43" s="1"/>
  <c r="Q120" i="43" s="1"/>
  <c r="Q124" i="43" s="1"/>
  <c r="R120" i="43" s="1"/>
  <c r="R124" i="43" s="1"/>
  <c r="S120" i="43" s="1"/>
  <c r="S124" i="43" s="1"/>
  <c r="T120" i="43" s="1"/>
  <c r="T124" i="43" s="1"/>
  <c r="U120" i="43" s="1"/>
  <c r="U124" i="43" s="1"/>
  <c r="R80" i="43"/>
  <c r="R155" i="43" s="1"/>
  <c r="K60" i="43"/>
  <c r="K29" i="43" s="1"/>
  <c r="G187" i="43"/>
  <c r="Q80" i="43"/>
  <c r="Q155" i="43" s="1"/>
  <c r="D116" i="43"/>
  <c r="D112" i="43"/>
  <c r="E109" i="43" s="1"/>
  <c r="E112" i="43" s="1"/>
  <c r="F109" i="43" s="1"/>
  <c r="D115" i="43"/>
  <c r="I80" i="43"/>
  <c r="I155" i="43" s="1"/>
  <c r="S80" i="43"/>
  <c r="S155" i="43" s="1"/>
  <c r="E171" i="43"/>
  <c r="E94" i="43"/>
  <c r="E96" i="43" s="1"/>
  <c r="M87" i="43"/>
  <c r="W86" i="43"/>
  <c r="D171" i="43"/>
  <c r="L87" i="43"/>
  <c r="K87" i="43"/>
  <c r="J87" i="43"/>
  <c r="I87" i="43"/>
  <c r="H87" i="43"/>
  <c r="O87" i="43"/>
  <c r="G87" i="43"/>
  <c r="D59" i="43"/>
  <c r="N87" i="43"/>
  <c r="F87" i="43"/>
  <c r="F94" i="43" s="1"/>
  <c r="F96" i="43" s="1"/>
  <c r="O80" i="43"/>
  <c r="O155" i="43" s="1"/>
  <c r="M172" i="42"/>
  <c r="M111" i="42"/>
  <c r="S80" i="42"/>
  <c r="S155" i="42" s="1"/>
  <c r="J80" i="42"/>
  <c r="J155" i="42" s="1"/>
  <c r="E113" i="42"/>
  <c r="F59" i="42"/>
  <c r="E61" i="42"/>
  <c r="H111" i="42"/>
  <c r="H172" i="42"/>
  <c r="E91" i="42"/>
  <c r="E94" i="42"/>
  <c r="E96" i="42" s="1"/>
  <c r="N111" i="42"/>
  <c r="N172" i="42"/>
  <c r="D187" i="42"/>
  <c r="E175" i="42"/>
  <c r="I111" i="42"/>
  <c r="I172" i="42"/>
  <c r="H67" i="42"/>
  <c r="I66" i="42"/>
  <c r="R80" i="42"/>
  <c r="R155" i="42" s="1"/>
  <c r="F96" i="42"/>
  <c r="N80" i="42"/>
  <c r="N155" i="42" s="1"/>
  <c r="T80" i="42"/>
  <c r="T155" i="42" s="1"/>
  <c r="K80" i="42"/>
  <c r="K155" i="42" s="1"/>
  <c r="F169" i="42"/>
  <c r="F177" i="42" s="1"/>
  <c r="F160" i="42"/>
  <c r="F111" i="42"/>
  <c r="F112" i="42" s="1"/>
  <c r="G109" i="42" s="1"/>
  <c r="W87" i="42"/>
  <c r="D133" i="42"/>
  <c r="D90" i="42"/>
  <c r="P80" i="42"/>
  <c r="P155" i="42" s="1"/>
  <c r="O111" i="42"/>
  <c r="O172" i="42"/>
  <c r="L172" i="42"/>
  <c r="L111" i="42"/>
  <c r="J111" i="42"/>
  <c r="J172" i="42"/>
  <c r="K29" i="42"/>
  <c r="K60" i="42"/>
  <c r="K172" i="42"/>
  <c r="K111" i="42"/>
  <c r="I80" i="42"/>
  <c r="I155" i="42" s="1"/>
  <c r="E177" i="42"/>
  <c r="D115" i="41"/>
  <c r="E112" i="41"/>
  <c r="F109" i="41" s="1"/>
  <c r="M87" i="41"/>
  <c r="M172" i="41" s="1"/>
  <c r="F87" i="41"/>
  <c r="F111" i="41" s="1"/>
  <c r="E90" i="41"/>
  <c r="E91" i="41" s="1"/>
  <c r="E133" i="41"/>
  <c r="E175" i="41" s="1"/>
  <c r="E177" i="41" s="1"/>
  <c r="G87" i="41"/>
  <c r="G111" i="41" s="1"/>
  <c r="O87" i="41"/>
  <c r="O111" i="41" s="1"/>
  <c r="H87" i="41"/>
  <c r="H172" i="41" s="1"/>
  <c r="I87" i="41"/>
  <c r="I172" i="41" s="1"/>
  <c r="L87" i="41"/>
  <c r="L172" i="41" s="1"/>
  <c r="J87" i="41"/>
  <c r="J111" i="41" s="1"/>
  <c r="W171" i="41"/>
  <c r="K87" i="41"/>
  <c r="K172" i="41" s="1"/>
  <c r="W86" i="41"/>
  <c r="D116" i="41"/>
  <c r="N87" i="41"/>
  <c r="N172" i="41" s="1"/>
  <c r="D113" i="41"/>
  <c r="E59" i="41"/>
  <c r="D61" i="41"/>
  <c r="F169" i="41"/>
  <c r="F177" i="41" s="1"/>
  <c r="F160" i="41"/>
  <c r="I67" i="41"/>
  <c r="J66" i="41"/>
  <c r="E187" i="41"/>
  <c r="K60" i="41"/>
  <c r="K29" i="41" s="1"/>
  <c r="Q121" i="40"/>
  <c r="Q68" i="40"/>
  <c r="E133" i="40"/>
  <c r="E90" i="40"/>
  <c r="E91" i="40" s="1"/>
  <c r="I80" i="40"/>
  <c r="I155" i="40" s="1"/>
  <c r="S121" i="40"/>
  <c r="S68" i="40"/>
  <c r="O124" i="40"/>
  <c r="P120" i="40" s="1"/>
  <c r="P124" i="40" s="1"/>
  <c r="Q120" i="40" s="1"/>
  <c r="Q124" i="40" s="1"/>
  <c r="R120" i="40" s="1"/>
  <c r="R124" i="40" s="1"/>
  <c r="S120" i="40" s="1"/>
  <c r="S124" i="40" s="1"/>
  <c r="T120" i="40" s="1"/>
  <c r="T124" i="40" s="1"/>
  <c r="U120" i="40" s="1"/>
  <c r="U124" i="40" s="1"/>
  <c r="P121" i="40"/>
  <c r="P68" i="40"/>
  <c r="Q80" i="40" s="1"/>
  <c r="Q155" i="40" s="1"/>
  <c r="F171" i="40"/>
  <c r="T121" i="40"/>
  <c r="T68" i="40"/>
  <c r="U80" i="40" s="1"/>
  <c r="U155" i="40" s="1"/>
  <c r="E171" i="40"/>
  <c r="M80" i="40"/>
  <c r="M155" i="40" s="1"/>
  <c r="H67" i="40"/>
  <c r="I66" i="40"/>
  <c r="F169" i="40"/>
  <c r="F177" i="40" s="1"/>
  <c r="F160" i="40"/>
  <c r="N80" i="40"/>
  <c r="N155" i="40" s="1"/>
  <c r="O121" i="40"/>
  <c r="O68" i="40"/>
  <c r="J80" i="40"/>
  <c r="J155" i="40" s="1"/>
  <c r="N87" i="40"/>
  <c r="F87" i="40"/>
  <c r="F94" i="40" s="1"/>
  <c r="F96" i="40" s="1"/>
  <c r="M87" i="40"/>
  <c r="W86" i="40"/>
  <c r="D171" i="40"/>
  <c r="W171" i="40" s="1"/>
  <c r="L87" i="40"/>
  <c r="K87" i="40"/>
  <c r="D59" i="40"/>
  <c r="J87" i="40"/>
  <c r="I87" i="40"/>
  <c r="O87" i="40"/>
  <c r="H87" i="40"/>
  <c r="G87" i="40"/>
  <c r="R121" i="40"/>
  <c r="R68" i="40"/>
  <c r="S80" i="40" s="1"/>
  <c r="S155" i="40" s="1"/>
  <c r="D115" i="40"/>
  <c r="D117" i="40" s="1"/>
  <c r="D112" i="40"/>
  <c r="E109" i="40" s="1"/>
  <c r="E112" i="40" s="1"/>
  <c r="F109" i="40" s="1"/>
  <c r="K60" i="40"/>
  <c r="K29" i="40"/>
  <c r="I80" i="37"/>
  <c r="I155" i="37" s="1"/>
  <c r="I124" i="37"/>
  <c r="J120" i="37" s="1"/>
  <c r="J124" i="37" s="1"/>
  <c r="K120" i="37" s="1"/>
  <c r="K124" i="37" s="1"/>
  <c r="L120" i="37" s="1"/>
  <c r="L124" i="37" s="1"/>
  <c r="M120" i="37" s="1"/>
  <c r="M124" i="37" s="1"/>
  <c r="N120" i="37" s="1"/>
  <c r="N124" i="37" s="1"/>
  <c r="O120" i="37" s="1"/>
  <c r="O124" i="37" s="1"/>
  <c r="P120" i="37" s="1"/>
  <c r="P124" i="37" s="1"/>
  <c r="Q120" i="37" s="1"/>
  <c r="Q124" i="37" s="1"/>
  <c r="R120" i="37" s="1"/>
  <c r="R124" i="37" s="1"/>
  <c r="S120" i="37" s="1"/>
  <c r="S124" i="37" s="1"/>
  <c r="T120" i="37" s="1"/>
  <c r="T124" i="37" s="1"/>
  <c r="U120" i="37" s="1"/>
  <c r="U124" i="37" s="1"/>
  <c r="S80" i="37"/>
  <c r="S155" i="37" s="1"/>
  <c r="L80" i="37"/>
  <c r="L155" i="37" s="1"/>
  <c r="F171" i="39"/>
  <c r="N124" i="39"/>
  <c r="O120" i="39" s="1"/>
  <c r="O124" i="39" s="1"/>
  <c r="P120" i="39" s="1"/>
  <c r="P124" i="39" s="1"/>
  <c r="Q120" i="39" s="1"/>
  <c r="Q124" i="39" s="1"/>
  <c r="R120" i="39" s="1"/>
  <c r="R124" i="39" s="1"/>
  <c r="S120" i="39" s="1"/>
  <c r="S124" i="39" s="1"/>
  <c r="T120" i="39" s="1"/>
  <c r="T124" i="39" s="1"/>
  <c r="U120" i="39" s="1"/>
  <c r="U124" i="39" s="1"/>
  <c r="E171" i="39"/>
  <c r="N80" i="39"/>
  <c r="N155" i="39" s="1"/>
  <c r="F169" i="39"/>
  <c r="F160" i="39"/>
  <c r="T80" i="39"/>
  <c r="T155" i="39" s="1"/>
  <c r="G187" i="39"/>
  <c r="J80" i="39"/>
  <c r="J155" i="39" s="1"/>
  <c r="S80" i="39"/>
  <c r="S155" i="39" s="1"/>
  <c r="D115" i="39"/>
  <c r="D117" i="39" s="1"/>
  <c r="D112" i="39"/>
  <c r="E109" i="39" s="1"/>
  <c r="E112" i="39" s="1"/>
  <c r="F109" i="39" s="1"/>
  <c r="N87" i="39"/>
  <c r="F87" i="39"/>
  <c r="D171" i="39"/>
  <c r="W171" i="39" s="1"/>
  <c r="L87" i="39"/>
  <c r="K87" i="39"/>
  <c r="J87" i="39"/>
  <c r="I87" i="39"/>
  <c r="H87" i="39"/>
  <c r="O87" i="39"/>
  <c r="G87" i="39"/>
  <c r="D59" i="39"/>
  <c r="M87" i="39"/>
  <c r="W86" i="39"/>
  <c r="L80" i="39"/>
  <c r="L155" i="39" s="1"/>
  <c r="E90" i="39"/>
  <c r="E91" i="39" s="1"/>
  <c r="E133" i="39"/>
  <c r="K60" i="39"/>
  <c r="R80" i="39"/>
  <c r="R155" i="39" s="1"/>
  <c r="U80" i="39"/>
  <c r="U155" i="39" s="1"/>
  <c r="H67" i="39"/>
  <c r="I66" i="39"/>
  <c r="D116" i="38"/>
  <c r="I67" i="38"/>
  <c r="J66" i="38"/>
  <c r="M87" i="38"/>
  <c r="W86" i="38"/>
  <c r="D171" i="38"/>
  <c r="L87" i="38"/>
  <c r="K87" i="38"/>
  <c r="H87" i="38"/>
  <c r="O87" i="38"/>
  <c r="G87" i="38"/>
  <c r="N87" i="38"/>
  <c r="D59" i="38"/>
  <c r="J87" i="38"/>
  <c r="I87" i="38"/>
  <c r="F87" i="38"/>
  <c r="F94" i="38" s="1"/>
  <c r="F96" i="38" s="1"/>
  <c r="F171" i="38"/>
  <c r="F169" i="38"/>
  <c r="F177" i="38" s="1"/>
  <c r="F160" i="38"/>
  <c r="G187" i="38"/>
  <c r="K60" i="38"/>
  <c r="E133" i="38"/>
  <c r="E90" i="38"/>
  <c r="E91" i="38" s="1"/>
  <c r="K80" i="38"/>
  <c r="K155" i="38" s="1"/>
  <c r="J80" i="38"/>
  <c r="J155" i="38" s="1"/>
  <c r="E171" i="38"/>
  <c r="D112" i="38"/>
  <c r="E109" i="38" s="1"/>
  <c r="E112" i="38" s="1"/>
  <c r="F109" i="38" s="1"/>
  <c r="D115" i="38"/>
  <c r="D117" i="38" s="1"/>
  <c r="Q80" i="37"/>
  <c r="Q155" i="37" s="1"/>
  <c r="M80" i="37"/>
  <c r="M155" i="37" s="1"/>
  <c r="O80" i="37"/>
  <c r="O155" i="37" s="1"/>
  <c r="H67" i="37"/>
  <c r="I66" i="37"/>
  <c r="K80" i="37"/>
  <c r="K155" i="37" s="1"/>
  <c r="P80" i="37"/>
  <c r="P155" i="37" s="1"/>
  <c r="D112" i="37"/>
  <c r="E109" i="37" s="1"/>
  <c r="E112" i="37" s="1"/>
  <c r="F109" i="37" s="1"/>
  <c r="D115" i="37"/>
  <c r="F169" i="37"/>
  <c r="F177" i="37" s="1"/>
  <c r="F160" i="37"/>
  <c r="M87" i="37"/>
  <c r="W86" i="37"/>
  <c r="D171" i="37"/>
  <c r="L87" i="37"/>
  <c r="K87" i="37"/>
  <c r="J87" i="37"/>
  <c r="I87" i="37"/>
  <c r="H87" i="37"/>
  <c r="O87" i="37"/>
  <c r="G87" i="37"/>
  <c r="D59" i="37"/>
  <c r="N87" i="37"/>
  <c r="F87" i="37"/>
  <c r="T80" i="37"/>
  <c r="T155" i="37" s="1"/>
  <c r="G187" i="37"/>
  <c r="D116" i="37"/>
  <c r="E133" i="37"/>
  <c r="E90" i="37"/>
  <c r="E91" i="37" s="1"/>
  <c r="E171" i="37"/>
  <c r="E94" i="37"/>
  <c r="E96" i="37" s="1"/>
  <c r="K29" i="37"/>
  <c r="K60" i="37"/>
  <c r="U80" i="37"/>
  <c r="U155" i="37" s="1"/>
  <c r="F171" i="37"/>
  <c r="R80" i="37"/>
  <c r="R155" i="37" s="1"/>
  <c r="N80" i="37"/>
  <c r="N155" i="37" s="1"/>
  <c r="J80" i="36"/>
  <c r="J155" i="36" s="1"/>
  <c r="S80" i="36"/>
  <c r="S155" i="36" s="1"/>
  <c r="M80" i="36"/>
  <c r="M155" i="36" s="1"/>
  <c r="O80" i="36"/>
  <c r="O155" i="36" s="1"/>
  <c r="T80" i="36"/>
  <c r="T155" i="36" s="1"/>
  <c r="N80" i="36"/>
  <c r="N155" i="36" s="1"/>
  <c r="G111" i="36"/>
  <c r="G172" i="36"/>
  <c r="L124" i="36"/>
  <c r="M120" i="36" s="1"/>
  <c r="M124" i="36" s="1"/>
  <c r="N120" i="36" s="1"/>
  <c r="N124" i="36" s="1"/>
  <c r="O120" i="36" s="1"/>
  <c r="O124" i="36" s="1"/>
  <c r="P120" i="36" s="1"/>
  <c r="P124" i="36" s="1"/>
  <c r="Q120" i="36" s="1"/>
  <c r="Q124" i="36" s="1"/>
  <c r="R120" i="36" s="1"/>
  <c r="R124" i="36" s="1"/>
  <c r="S120" i="36" s="1"/>
  <c r="S124" i="36" s="1"/>
  <c r="T120" i="36" s="1"/>
  <c r="T124" i="36" s="1"/>
  <c r="U120" i="36" s="1"/>
  <c r="U124" i="36" s="1"/>
  <c r="O111" i="36"/>
  <c r="O172" i="36"/>
  <c r="P80" i="36"/>
  <c r="P155" i="36" s="1"/>
  <c r="D113" i="36"/>
  <c r="D61" i="36"/>
  <c r="E59" i="36"/>
  <c r="H111" i="36"/>
  <c r="H172" i="36"/>
  <c r="R80" i="36"/>
  <c r="R155" i="36" s="1"/>
  <c r="E187" i="36"/>
  <c r="E94" i="36"/>
  <c r="E96" i="36" s="1"/>
  <c r="J172" i="36"/>
  <c r="J111" i="36"/>
  <c r="E188" i="36"/>
  <c r="E179" i="36"/>
  <c r="I172" i="36"/>
  <c r="I111" i="36"/>
  <c r="K60" i="36"/>
  <c r="D133" i="36"/>
  <c r="D90" i="36"/>
  <c r="F111" i="36"/>
  <c r="W87" i="36"/>
  <c r="F94" i="36"/>
  <c r="K172" i="36"/>
  <c r="K111" i="36"/>
  <c r="F169" i="36"/>
  <c r="F177" i="36" s="1"/>
  <c r="F160" i="36"/>
  <c r="F112" i="36"/>
  <c r="G109" i="36" s="1"/>
  <c r="M111" i="36"/>
  <c r="M172" i="36"/>
  <c r="L172" i="36"/>
  <c r="L111" i="36"/>
  <c r="F96" i="36"/>
  <c r="H66" i="36"/>
  <c r="G67" i="36"/>
  <c r="N111" i="36"/>
  <c r="N172" i="36"/>
  <c r="Q121" i="27"/>
  <c r="T68" i="27"/>
  <c r="U80" i="27" s="1"/>
  <c r="U155" i="27" s="1"/>
  <c r="S121" i="27"/>
  <c r="R121" i="27"/>
  <c r="T121" i="27"/>
  <c r="O80" i="27"/>
  <c r="O155" i="27" s="1"/>
  <c r="M172" i="27"/>
  <c r="H172" i="27"/>
  <c r="O172" i="27"/>
  <c r="G172" i="27"/>
  <c r="F112" i="27"/>
  <c r="G109" i="27" s="1"/>
  <c r="G112" i="27" s="1"/>
  <c r="H109" i="27" s="1"/>
  <c r="J172" i="27"/>
  <c r="D133" i="27"/>
  <c r="D90" i="27"/>
  <c r="D91" i="27" s="1"/>
  <c r="N172" i="27"/>
  <c r="L172" i="27"/>
  <c r="K172" i="27"/>
  <c r="D61" i="27"/>
  <c r="D113" i="27"/>
  <c r="E59" i="27"/>
  <c r="S80" i="27"/>
  <c r="S155" i="27" s="1"/>
  <c r="N80" i="27"/>
  <c r="N155" i="27" s="1"/>
  <c r="J124" i="27"/>
  <c r="K120" i="27" s="1"/>
  <c r="K124" i="27" s="1"/>
  <c r="L120" i="27" s="1"/>
  <c r="L124" i="27" s="1"/>
  <c r="M120" i="27" s="1"/>
  <c r="M124" i="27" s="1"/>
  <c r="N120" i="27" s="1"/>
  <c r="N124" i="27" s="1"/>
  <c r="O120" i="27" s="1"/>
  <c r="O124" i="27" s="1"/>
  <c r="P120" i="27" s="1"/>
  <c r="P124" i="27" s="1"/>
  <c r="Q120" i="27" s="1"/>
  <c r="L80" i="27"/>
  <c r="L155" i="27" s="1"/>
  <c r="R80" i="27"/>
  <c r="R155" i="27" s="1"/>
  <c r="J80" i="27"/>
  <c r="J155" i="27" s="1"/>
  <c r="I80" i="27"/>
  <c r="I155" i="27" s="1"/>
  <c r="M80" i="27"/>
  <c r="M155" i="27" s="1"/>
  <c r="I50" i="26"/>
  <c r="H50" i="26"/>
  <c r="K52" i="26"/>
  <c r="J47" i="26"/>
  <c r="J50" i="26" s="1"/>
  <c r="F30" i="26"/>
  <c r="F31" i="26" s="1"/>
  <c r="E50" i="26"/>
  <c r="M48" i="26"/>
  <c r="N26" i="26"/>
  <c r="W87" i="27"/>
  <c r="E179" i="27"/>
  <c r="E188" i="27"/>
  <c r="T29" i="27"/>
  <c r="I66" i="27"/>
  <c r="H67" i="27"/>
  <c r="C23" i="5"/>
  <c r="D96" i="25"/>
  <c r="E96" i="25"/>
  <c r="E149" i="25"/>
  <c r="E157" i="25" s="1"/>
  <c r="E159" i="25" s="1"/>
  <c r="E140" i="25"/>
  <c r="F84" i="25"/>
  <c r="F96" i="25" s="1"/>
  <c r="F99" i="25" s="1"/>
  <c r="G98" i="25" s="1"/>
  <c r="F138" i="25"/>
  <c r="H9" i="26"/>
  <c r="H11" i="26" s="1"/>
  <c r="I14" i="26"/>
  <c r="J13" i="26" s="1"/>
  <c r="K28" i="23"/>
  <c r="K18" i="23" s="1"/>
  <c r="K21" i="23" s="1"/>
  <c r="R104" i="25"/>
  <c r="R69" i="25" s="1"/>
  <c r="Q104" i="25"/>
  <c r="Q69" i="25" s="1"/>
  <c r="S104" i="25"/>
  <c r="S69" i="25" s="1"/>
  <c r="T104" i="25"/>
  <c r="T69" i="25" s="1"/>
  <c r="U81" i="25" s="1"/>
  <c r="U135" i="25" s="1"/>
  <c r="H67" i="25"/>
  <c r="G68" i="25"/>
  <c r="L81" i="25"/>
  <c r="L135" i="25" s="1"/>
  <c r="F38" i="25"/>
  <c r="J30" i="23"/>
  <c r="J6" i="42" s="1"/>
  <c r="Q19" i="14"/>
  <c r="Q21" i="14" s="1"/>
  <c r="I19" i="14"/>
  <c r="I21" i="14" s="1"/>
  <c r="P19" i="14"/>
  <c r="P21" i="14" s="1"/>
  <c r="H19" i="14"/>
  <c r="H21" i="14" s="1"/>
  <c r="O19" i="14"/>
  <c r="O21" i="14" s="1"/>
  <c r="G19" i="14"/>
  <c r="G21" i="14" s="1"/>
  <c r="N19" i="14"/>
  <c r="N21" i="14" s="1"/>
  <c r="F19" i="14"/>
  <c r="F21" i="14" s="1"/>
  <c r="M19" i="14"/>
  <c r="M21" i="14" s="1"/>
  <c r="E19" i="14"/>
  <c r="E21" i="14" s="1"/>
  <c r="K19" i="14"/>
  <c r="K21" i="14" s="1"/>
  <c r="C19" i="14"/>
  <c r="C21" i="14" s="1"/>
  <c r="C22" i="14" s="1"/>
  <c r="C27" i="14" s="1"/>
  <c r="C31" i="14" s="1"/>
  <c r="J19" i="14"/>
  <c r="J21" i="14" s="1"/>
  <c r="D19" i="14"/>
  <c r="D21" i="14" s="1"/>
  <c r="D22" i="14" s="1"/>
  <c r="D27" i="14" s="1"/>
  <c r="D31" i="14" s="1"/>
  <c r="L19" i="14"/>
  <c r="L21" i="14" s="1"/>
  <c r="C32" i="13"/>
  <c r="F43" i="13"/>
  <c r="C36" i="13"/>
  <c r="E49" i="15"/>
  <c r="E50" i="15" s="1"/>
  <c r="E60" i="15"/>
  <c r="E62" i="15" s="1"/>
  <c r="E63" i="15" s="1"/>
  <c r="O61" i="10"/>
  <c r="O62" i="10" s="1"/>
  <c r="O49" i="10"/>
  <c r="O22" i="18"/>
  <c r="O27" i="18" s="1"/>
  <c r="O31" i="18" s="1"/>
  <c r="K33" i="2"/>
  <c r="K24" i="2"/>
  <c r="N61" i="10"/>
  <c r="N62" i="10" s="1"/>
  <c r="N49" i="10"/>
  <c r="L49" i="6"/>
  <c r="L61" i="6"/>
  <c r="L62" i="6" s="1"/>
  <c r="O16" i="11"/>
  <c r="N17" i="11"/>
  <c r="H49" i="8"/>
  <c r="H61" i="8"/>
  <c r="H62" i="8" s="1"/>
  <c r="J49" i="6"/>
  <c r="J61" i="6"/>
  <c r="J62" i="6" s="1"/>
  <c r="D49" i="19"/>
  <c r="D50" i="19" s="1"/>
  <c r="D60" i="19"/>
  <c r="D62" i="19" s="1"/>
  <c r="D63" i="19" s="1"/>
  <c r="N61" i="15"/>
  <c r="N62" i="15" s="1"/>
  <c r="N49" i="15"/>
  <c r="E60" i="10"/>
  <c r="E62" i="10" s="1"/>
  <c r="E63" i="10" s="1"/>
  <c r="E49" i="10"/>
  <c r="E50" i="10" s="1"/>
  <c r="M49" i="15"/>
  <c r="M61" i="15"/>
  <c r="M62" i="15" s="1"/>
  <c r="O49" i="19"/>
  <c r="O61" i="19"/>
  <c r="O62" i="19" s="1"/>
  <c r="G49" i="6"/>
  <c r="G61" i="6"/>
  <c r="G62" i="6" s="1"/>
  <c r="J43" i="13"/>
  <c r="G36" i="13"/>
  <c r="G32" i="13"/>
  <c r="L61" i="10"/>
  <c r="L62" i="10" s="1"/>
  <c r="L49" i="10"/>
  <c r="L16" i="13"/>
  <c r="K17" i="13"/>
  <c r="K22" i="13" s="1"/>
  <c r="K27" i="13" s="1"/>
  <c r="K31" i="13" s="1"/>
  <c r="O18" i="4"/>
  <c r="H49" i="11"/>
  <c r="H61" i="11"/>
  <c r="H62" i="11" s="1"/>
  <c r="H49" i="19"/>
  <c r="H61" i="19"/>
  <c r="H62" i="19" s="1"/>
  <c r="J49" i="8"/>
  <c r="J61" i="8"/>
  <c r="J62" i="8" s="1"/>
  <c r="L61" i="8"/>
  <c r="L62" i="8" s="1"/>
  <c r="L49" i="8"/>
  <c r="I19" i="18"/>
  <c r="I21" i="18" s="1"/>
  <c r="L19" i="18"/>
  <c r="L21" i="18" s="1"/>
  <c r="K19" i="18"/>
  <c r="K21" i="18" s="1"/>
  <c r="K22" i="18" s="1"/>
  <c r="K27" i="18" s="1"/>
  <c r="K31" i="18" s="1"/>
  <c r="Q19" i="18"/>
  <c r="Q21" i="18" s="1"/>
  <c r="P19" i="18"/>
  <c r="P21" i="18" s="1"/>
  <c r="P22" i="18" s="1"/>
  <c r="P27" i="18" s="1"/>
  <c r="P31" i="18" s="1"/>
  <c r="H19" i="18"/>
  <c r="H21" i="18" s="1"/>
  <c r="H22" i="18" s="1"/>
  <c r="H27" i="18" s="1"/>
  <c r="H31" i="18" s="1"/>
  <c r="J19" i="18"/>
  <c r="J21" i="18" s="1"/>
  <c r="J22" i="18" s="1"/>
  <c r="J27" i="18" s="1"/>
  <c r="J31" i="18" s="1"/>
  <c r="N19" i="18"/>
  <c r="N21" i="18" s="1"/>
  <c r="N22" i="18" s="1"/>
  <c r="N27" i="18" s="1"/>
  <c r="N31" i="18" s="1"/>
  <c r="O19" i="18"/>
  <c r="O21" i="18" s="1"/>
  <c r="C19" i="18"/>
  <c r="C21" i="18" s="1"/>
  <c r="M19" i="18"/>
  <c r="M21" i="18" s="1"/>
  <c r="D19" i="18"/>
  <c r="D21" i="18" s="1"/>
  <c r="D22" i="18" s="1"/>
  <c r="D27" i="18" s="1"/>
  <c r="D31" i="18" s="1"/>
  <c r="E19" i="18"/>
  <c r="E21" i="18" s="1"/>
  <c r="E22" i="18" s="1"/>
  <c r="E27" i="18" s="1"/>
  <c r="E31" i="18" s="1"/>
  <c r="G19" i="18"/>
  <c r="G21" i="18" s="1"/>
  <c r="F19" i="18"/>
  <c r="F21" i="18" s="1"/>
  <c r="F22" i="18" s="1"/>
  <c r="F27" i="18" s="1"/>
  <c r="F31" i="18" s="1"/>
  <c r="P17" i="6"/>
  <c r="L61" i="15"/>
  <c r="L62" i="15" s="1"/>
  <c r="L49" i="15"/>
  <c r="H50" i="4"/>
  <c r="H62" i="4"/>
  <c r="H63" i="4" s="1"/>
  <c r="H49" i="18"/>
  <c r="H61" i="18"/>
  <c r="H62" i="18" s="1"/>
  <c r="J61" i="10"/>
  <c r="J62" i="10" s="1"/>
  <c r="J49" i="10"/>
  <c r="H61" i="10"/>
  <c r="H62" i="10" s="1"/>
  <c r="H49" i="10"/>
  <c r="D60" i="10"/>
  <c r="D62" i="10" s="1"/>
  <c r="D63" i="10" s="1"/>
  <c r="D49" i="10"/>
  <c r="D50" i="10" s="1"/>
  <c r="M61" i="19"/>
  <c r="M62" i="19" s="1"/>
  <c r="M49" i="19"/>
  <c r="G61" i="15"/>
  <c r="G62" i="15" s="1"/>
  <c r="G49" i="15"/>
  <c r="G22" i="18"/>
  <c r="G27" i="18" s="1"/>
  <c r="G31" i="18" s="1"/>
  <c r="I22" i="18"/>
  <c r="I27" i="18" s="1"/>
  <c r="I31" i="18" s="1"/>
  <c r="G61" i="8"/>
  <c r="G62" i="8" s="1"/>
  <c r="G49" i="8"/>
  <c r="C22" i="18"/>
  <c r="C27" i="18" s="1"/>
  <c r="C31" i="18" s="1"/>
  <c r="L49" i="18"/>
  <c r="L61" i="18"/>
  <c r="L62" i="18" s="1"/>
  <c r="H49" i="13"/>
  <c r="H61" i="13"/>
  <c r="H62" i="13" s="1"/>
  <c r="H61" i="15"/>
  <c r="H62" i="15" s="1"/>
  <c r="H49" i="15"/>
  <c r="J49" i="15"/>
  <c r="J61" i="15"/>
  <c r="J62" i="15" s="1"/>
  <c r="K17" i="9"/>
  <c r="L16" i="9"/>
  <c r="Q22" i="18"/>
  <c r="Q27" i="18" s="1"/>
  <c r="Q31" i="18" s="1"/>
  <c r="K43" i="13"/>
  <c r="H36" i="13"/>
  <c r="H32" i="13"/>
  <c r="E60" i="18"/>
  <c r="E62" i="18" s="1"/>
  <c r="E63" i="18" s="1"/>
  <c r="E49" i="18"/>
  <c r="E50" i="18" s="1"/>
  <c r="K61" i="18"/>
  <c r="K62" i="18" s="1"/>
  <c r="K49" i="18"/>
  <c r="L22" i="18"/>
  <c r="L27" i="18" s="1"/>
  <c r="L31" i="18" s="1"/>
  <c r="G61" i="18"/>
  <c r="G62" i="18" s="1"/>
  <c r="G49" i="18"/>
  <c r="N49" i="8"/>
  <c r="N61" i="8"/>
  <c r="N62" i="8" s="1"/>
  <c r="O17" i="6"/>
  <c r="L61" i="19"/>
  <c r="L62" i="19" s="1"/>
  <c r="L49" i="19"/>
  <c r="F16" i="14"/>
  <c r="E17" i="14"/>
  <c r="E22" i="14" s="1"/>
  <c r="E27" i="14" s="1"/>
  <c r="E31" i="14" s="1"/>
  <c r="K17" i="10"/>
  <c r="J61" i="14"/>
  <c r="J62" i="14" s="1"/>
  <c r="J49" i="14"/>
  <c r="H49" i="6"/>
  <c r="H61" i="6"/>
  <c r="H62" i="6" s="1"/>
  <c r="J50" i="4"/>
  <c r="J62" i="4"/>
  <c r="J63" i="4" s="1"/>
  <c r="J49" i="19"/>
  <c r="J61" i="19"/>
  <c r="J62" i="19" s="1"/>
  <c r="J61" i="13"/>
  <c r="J62" i="13" s="1"/>
  <c r="J49" i="13"/>
  <c r="N19" i="19"/>
  <c r="N21" i="19" s="1"/>
  <c r="N22" i="19" s="1"/>
  <c r="N27" i="19" s="1"/>
  <c r="N31" i="19" s="1"/>
  <c r="E19" i="19"/>
  <c r="E21" i="19" s="1"/>
  <c r="E22" i="19" s="1"/>
  <c r="E27" i="19" s="1"/>
  <c r="E31" i="19" s="1"/>
  <c r="L19" i="19"/>
  <c r="L21" i="19" s="1"/>
  <c r="L22" i="19" s="1"/>
  <c r="L27" i="19" s="1"/>
  <c r="L31" i="19" s="1"/>
  <c r="D19" i="19"/>
  <c r="D21" i="19" s="1"/>
  <c r="D22" i="19" s="1"/>
  <c r="D27" i="19" s="1"/>
  <c r="D31" i="19" s="1"/>
  <c r="Q19" i="19"/>
  <c r="Q21" i="19" s="1"/>
  <c r="Q22" i="19" s="1"/>
  <c r="Q27" i="19" s="1"/>
  <c r="Q31" i="19" s="1"/>
  <c r="J19" i="19"/>
  <c r="J21" i="19" s="1"/>
  <c r="J22" i="19" s="1"/>
  <c r="J27" i="19" s="1"/>
  <c r="J31" i="19" s="1"/>
  <c r="K19" i="19"/>
  <c r="K21" i="19" s="1"/>
  <c r="K22" i="19" s="1"/>
  <c r="K27" i="19" s="1"/>
  <c r="K31" i="19" s="1"/>
  <c r="C19" i="19"/>
  <c r="C21" i="19" s="1"/>
  <c r="C22" i="19" s="1"/>
  <c r="C27" i="19" s="1"/>
  <c r="C31" i="19" s="1"/>
  <c r="I19" i="19"/>
  <c r="I21" i="19" s="1"/>
  <c r="I22" i="19" s="1"/>
  <c r="I27" i="19" s="1"/>
  <c r="I31" i="19" s="1"/>
  <c r="F19" i="19"/>
  <c r="F21" i="19" s="1"/>
  <c r="M19" i="19"/>
  <c r="M21" i="19" s="1"/>
  <c r="M22" i="19" s="1"/>
  <c r="M27" i="19" s="1"/>
  <c r="M31" i="19" s="1"/>
  <c r="O19" i="19"/>
  <c r="O21" i="19" s="1"/>
  <c r="O22" i="19" s="1"/>
  <c r="O27" i="19" s="1"/>
  <c r="O31" i="19" s="1"/>
  <c r="G19" i="19"/>
  <c r="G21" i="19" s="1"/>
  <c r="G22" i="19" s="1"/>
  <c r="G27" i="19" s="1"/>
  <c r="G31" i="19" s="1"/>
  <c r="K19" i="10"/>
  <c r="K21" i="10" s="1"/>
  <c r="F19" i="9"/>
  <c r="F21" i="9" s="1"/>
  <c r="F22" i="9" s="1"/>
  <c r="F27" i="9" s="1"/>
  <c r="F31" i="9" s="1"/>
  <c r="I19" i="8"/>
  <c r="I21" i="8" s="1"/>
  <c r="F19" i="6"/>
  <c r="F21" i="6" s="1"/>
  <c r="F22" i="6" s="1"/>
  <c r="F27" i="6" s="1"/>
  <c r="F31" i="6" s="1"/>
  <c r="G19" i="10"/>
  <c r="G21" i="10" s="1"/>
  <c r="G22" i="10" s="1"/>
  <c r="G27" i="10" s="1"/>
  <c r="G31" i="10" s="1"/>
  <c r="Q19" i="8"/>
  <c r="Q21" i="8" s="1"/>
  <c r="E19" i="8"/>
  <c r="E21" i="8" s="1"/>
  <c r="E22" i="8" s="1"/>
  <c r="E27" i="8" s="1"/>
  <c r="E31" i="8" s="1"/>
  <c r="P19" i="19"/>
  <c r="P21" i="19" s="1"/>
  <c r="P22" i="19" s="1"/>
  <c r="P27" i="19" s="1"/>
  <c r="P31" i="19" s="1"/>
  <c r="E19" i="6"/>
  <c r="E21" i="6" s="1"/>
  <c r="E22" i="6" s="1"/>
  <c r="E27" i="6" s="1"/>
  <c r="E31" i="6" s="1"/>
  <c r="N19" i="6"/>
  <c r="N21" i="6" s="1"/>
  <c r="N22" i="6" s="1"/>
  <c r="N27" i="6" s="1"/>
  <c r="N31" i="6" s="1"/>
  <c r="H19" i="19"/>
  <c r="H21" i="19" s="1"/>
  <c r="H22" i="19" s="1"/>
  <c r="H27" i="19" s="1"/>
  <c r="H31" i="19" s="1"/>
  <c r="J19" i="6"/>
  <c r="J21" i="6" s="1"/>
  <c r="J22" i="6" s="1"/>
  <c r="J27" i="6" s="1"/>
  <c r="J31" i="6" s="1"/>
  <c r="M19" i="6"/>
  <c r="M21" i="6" s="1"/>
  <c r="M22" i="6" s="1"/>
  <c r="M27" i="6" s="1"/>
  <c r="M31" i="6" s="1"/>
  <c r="P19" i="15"/>
  <c r="P21" i="15" s="1"/>
  <c r="P22" i="15" s="1"/>
  <c r="P27" i="15" s="1"/>
  <c r="P31" i="15" s="1"/>
  <c r="F19" i="15"/>
  <c r="F21" i="15" s="1"/>
  <c r="F22" i="15" s="1"/>
  <c r="F27" i="15" s="1"/>
  <c r="F31" i="15" s="1"/>
  <c r="H19" i="10"/>
  <c r="H21" i="10" s="1"/>
  <c r="H22" i="10" s="1"/>
  <c r="H27" i="10" s="1"/>
  <c r="H31" i="10" s="1"/>
  <c r="C19" i="9"/>
  <c r="C21" i="9" s="1"/>
  <c r="C22" i="9" s="1"/>
  <c r="C27" i="9" s="1"/>
  <c r="C31" i="9" s="1"/>
  <c r="C19" i="6"/>
  <c r="C21" i="6" s="1"/>
  <c r="C22" i="6" s="1"/>
  <c r="C27" i="6" s="1"/>
  <c r="C31" i="6" s="1"/>
  <c r="E19" i="10"/>
  <c r="E21" i="10" s="1"/>
  <c r="E22" i="10" s="1"/>
  <c r="E27" i="10" s="1"/>
  <c r="E31" i="10" s="1"/>
  <c r="K19" i="15"/>
  <c r="K21" i="15" s="1"/>
  <c r="K22" i="15" s="1"/>
  <c r="K27" i="15" s="1"/>
  <c r="K31" i="15" s="1"/>
  <c r="J19" i="15"/>
  <c r="J21" i="15" s="1"/>
  <c r="J22" i="15" s="1"/>
  <c r="J27" i="15" s="1"/>
  <c r="J31" i="15" s="1"/>
  <c r="L19" i="10"/>
  <c r="L21" i="10" s="1"/>
  <c r="L22" i="10" s="1"/>
  <c r="L27" i="10" s="1"/>
  <c r="L31" i="10" s="1"/>
  <c r="G19" i="6"/>
  <c r="G21" i="6" s="1"/>
  <c r="G22" i="6" s="1"/>
  <c r="G27" i="6" s="1"/>
  <c r="G31" i="6" s="1"/>
  <c r="Q19" i="9"/>
  <c r="Q21" i="9" s="1"/>
  <c r="I19" i="10"/>
  <c r="I21" i="10" s="1"/>
  <c r="I22" i="10" s="1"/>
  <c r="I27" i="10" s="1"/>
  <c r="I31" i="10" s="1"/>
  <c r="D19" i="9"/>
  <c r="D21" i="9" s="1"/>
  <c r="D22" i="9" s="1"/>
  <c r="D27" i="9" s="1"/>
  <c r="D31" i="9" s="1"/>
  <c r="H19" i="6"/>
  <c r="H21" i="6" s="1"/>
  <c r="H22" i="6" s="1"/>
  <c r="H27" i="6" s="1"/>
  <c r="H31" i="6" s="1"/>
  <c r="M19" i="9"/>
  <c r="M21" i="9" s="1"/>
  <c r="I19" i="15"/>
  <c r="I21" i="15" s="1"/>
  <c r="I22" i="15" s="1"/>
  <c r="I27" i="15" s="1"/>
  <c r="I31" i="15" s="1"/>
  <c r="L19" i="15"/>
  <c r="L21" i="15" s="1"/>
  <c r="L22" i="15" s="1"/>
  <c r="L27" i="15" s="1"/>
  <c r="L31" i="15" s="1"/>
  <c r="K19" i="9"/>
  <c r="K21" i="9" s="1"/>
  <c r="F19" i="8"/>
  <c r="F21" i="8" s="1"/>
  <c r="F22" i="8" s="1"/>
  <c r="F27" i="8" s="1"/>
  <c r="F31" i="8" s="1"/>
  <c r="H19" i="8"/>
  <c r="H21" i="8" s="1"/>
  <c r="H22" i="8" s="1"/>
  <c r="H27" i="8" s="1"/>
  <c r="H31" i="8" s="1"/>
  <c r="C19" i="8"/>
  <c r="C21" i="8" s="1"/>
  <c r="C22" i="8" s="1"/>
  <c r="C27" i="8" s="1"/>
  <c r="C31" i="8" s="1"/>
  <c r="D19" i="8"/>
  <c r="D21" i="8" s="1"/>
  <c r="D22" i="8" s="1"/>
  <c r="D27" i="8" s="1"/>
  <c r="D31" i="8" s="1"/>
  <c r="N19" i="9"/>
  <c r="N21" i="9" s="1"/>
  <c r="O19" i="10"/>
  <c r="O21" i="10" s="1"/>
  <c r="O22" i="10" s="1"/>
  <c r="O27" i="10" s="1"/>
  <c r="O31" i="10" s="1"/>
  <c r="M19" i="15"/>
  <c r="M21" i="15" s="1"/>
  <c r="M22" i="15" s="1"/>
  <c r="M27" i="15" s="1"/>
  <c r="M31" i="15" s="1"/>
  <c r="K19" i="6"/>
  <c r="K21" i="6" s="1"/>
  <c r="K22" i="6" s="1"/>
  <c r="K27" i="6" s="1"/>
  <c r="K31" i="6" s="1"/>
  <c r="I19" i="9"/>
  <c r="I21" i="9" s="1"/>
  <c r="I22" i="9" s="1"/>
  <c r="I27" i="9" s="1"/>
  <c r="I31" i="9" s="1"/>
  <c r="Q19" i="10"/>
  <c r="Q21" i="10" s="1"/>
  <c r="Q22" i="10" s="1"/>
  <c r="Q27" i="10" s="1"/>
  <c r="Q31" i="10" s="1"/>
  <c r="H19" i="9"/>
  <c r="H21" i="9" s="1"/>
  <c r="H22" i="9" s="1"/>
  <c r="H27" i="9" s="1"/>
  <c r="H31" i="9" s="1"/>
  <c r="N19" i="15"/>
  <c r="N21" i="15" s="1"/>
  <c r="N22" i="15" s="1"/>
  <c r="N27" i="15" s="1"/>
  <c r="N31" i="15" s="1"/>
  <c r="C19" i="15"/>
  <c r="C21" i="15" s="1"/>
  <c r="C22" i="15" s="1"/>
  <c r="C27" i="15" s="1"/>
  <c r="C31" i="15" s="1"/>
  <c r="G19" i="9"/>
  <c r="G21" i="9" s="1"/>
  <c r="G22" i="9" s="1"/>
  <c r="G27" i="9" s="1"/>
  <c r="G31" i="9" s="1"/>
  <c r="N19" i="10"/>
  <c r="N21" i="10" s="1"/>
  <c r="N22" i="10" s="1"/>
  <c r="N27" i="10" s="1"/>
  <c r="N31" i="10" s="1"/>
  <c r="O19" i="15"/>
  <c r="O21" i="15" s="1"/>
  <c r="O22" i="15" s="1"/>
  <c r="O27" i="15" s="1"/>
  <c r="O31" i="15" s="1"/>
  <c r="P19" i="10"/>
  <c r="P21" i="10" s="1"/>
  <c r="P22" i="10" s="1"/>
  <c r="P27" i="10" s="1"/>
  <c r="P31" i="10" s="1"/>
  <c r="P19" i="8"/>
  <c r="P21" i="8" s="1"/>
  <c r="O19" i="8"/>
  <c r="O21" i="8" s="1"/>
  <c r="G19" i="8"/>
  <c r="G21" i="8" s="1"/>
  <c r="G22" i="8" s="1"/>
  <c r="G27" i="8" s="1"/>
  <c r="G31" i="8" s="1"/>
  <c r="P19" i="6"/>
  <c r="P21" i="6" s="1"/>
  <c r="O19" i="6"/>
  <c r="O21" i="6" s="1"/>
  <c r="L19" i="6"/>
  <c r="L21" i="6" s="1"/>
  <c r="L22" i="6" s="1"/>
  <c r="L27" i="6" s="1"/>
  <c r="L31" i="6" s="1"/>
  <c r="D19" i="6"/>
  <c r="D21" i="6" s="1"/>
  <c r="D22" i="6" s="1"/>
  <c r="D27" i="6" s="1"/>
  <c r="D31" i="6" s="1"/>
  <c r="Q19" i="15"/>
  <c r="Q21" i="15" s="1"/>
  <c r="Q22" i="15" s="1"/>
  <c r="Q27" i="15" s="1"/>
  <c r="Q31" i="15" s="1"/>
  <c r="E19" i="15"/>
  <c r="E21" i="15" s="1"/>
  <c r="E22" i="15" s="1"/>
  <c r="E27" i="15" s="1"/>
  <c r="E31" i="15" s="1"/>
  <c r="G19" i="15"/>
  <c r="G21" i="15" s="1"/>
  <c r="G22" i="15" s="1"/>
  <c r="G27" i="15" s="1"/>
  <c r="G31" i="15" s="1"/>
  <c r="L19" i="9"/>
  <c r="L21" i="9" s="1"/>
  <c r="L19" i="8"/>
  <c r="L21" i="8" s="1"/>
  <c r="I19" i="6"/>
  <c r="I21" i="6" s="1"/>
  <c r="I22" i="6" s="1"/>
  <c r="I27" i="6" s="1"/>
  <c r="I31" i="6" s="1"/>
  <c r="M19" i="8"/>
  <c r="M21" i="8" s="1"/>
  <c r="D19" i="15"/>
  <c r="D21" i="15" s="1"/>
  <c r="D22" i="15" s="1"/>
  <c r="D27" i="15" s="1"/>
  <c r="D31" i="15" s="1"/>
  <c r="E19" i="9"/>
  <c r="E21" i="9" s="1"/>
  <c r="E22" i="9" s="1"/>
  <c r="E27" i="9" s="1"/>
  <c r="E31" i="9" s="1"/>
  <c r="D19" i="10"/>
  <c r="D21" i="10" s="1"/>
  <c r="D22" i="10" s="1"/>
  <c r="D27" i="10" s="1"/>
  <c r="D31" i="10" s="1"/>
  <c r="F19" i="10"/>
  <c r="F21" i="10" s="1"/>
  <c r="F22" i="10" s="1"/>
  <c r="F27" i="10" s="1"/>
  <c r="F31" i="10" s="1"/>
  <c r="Q19" i="6"/>
  <c r="Q21" i="6" s="1"/>
  <c r="Q22" i="6" s="1"/>
  <c r="Q27" i="6" s="1"/>
  <c r="Q31" i="6" s="1"/>
  <c r="P19" i="9"/>
  <c r="P21" i="9" s="1"/>
  <c r="J19" i="10"/>
  <c r="J21" i="10" s="1"/>
  <c r="J22" i="10" s="1"/>
  <c r="J27" i="10" s="1"/>
  <c r="J31" i="10" s="1"/>
  <c r="O19" i="9"/>
  <c r="O21" i="9" s="1"/>
  <c r="H19" i="15"/>
  <c r="H21" i="15" s="1"/>
  <c r="H22" i="15" s="1"/>
  <c r="H27" i="15" s="1"/>
  <c r="H31" i="15" s="1"/>
  <c r="N19" i="8"/>
  <c r="N21" i="8" s="1"/>
  <c r="J19" i="9"/>
  <c r="J21" i="9" s="1"/>
  <c r="J22" i="9" s="1"/>
  <c r="J27" i="9" s="1"/>
  <c r="J31" i="9" s="1"/>
  <c r="J19" i="8"/>
  <c r="J21" i="8" s="1"/>
  <c r="M19" i="10"/>
  <c r="M21" i="10" s="1"/>
  <c r="M22" i="10" s="1"/>
  <c r="M27" i="10" s="1"/>
  <c r="M31" i="10" s="1"/>
  <c r="K19" i="8"/>
  <c r="K21" i="8" s="1"/>
  <c r="C19" i="10"/>
  <c r="C21" i="10" s="1"/>
  <c r="C22" i="10" s="1"/>
  <c r="C27" i="10" s="1"/>
  <c r="C31" i="10" s="1"/>
  <c r="F48" i="15"/>
  <c r="F48" i="18"/>
  <c r="F48" i="19"/>
  <c r="F48" i="10"/>
  <c r="F48" i="8"/>
  <c r="F48" i="6"/>
  <c r="F48" i="13"/>
  <c r="F48" i="14"/>
  <c r="F48" i="9"/>
  <c r="F49" i="4"/>
  <c r="F48" i="11"/>
  <c r="D60" i="15"/>
  <c r="D62" i="15" s="1"/>
  <c r="D63" i="15" s="1"/>
  <c r="D49" i="15"/>
  <c r="D50" i="15" s="1"/>
  <c r="K49" i="15"/>
  <c r="K61" i="15"/>
  <c r="K62" i="15" s="1"/>
  <c r="Q48" i="18"/>
  <c r="Q49" i="18" s="1"/>
  <c r="Q48" i="19"/>
  <c r="Q49" i="19" s="1"/>
  <c r="Q48" i="8"/>
  <c r="Q49" i="8" s="1"/>
  <c r="Q48" i="9"/>
  <c r="Q49" i="9" s="1"/>
  <c r="Q48" i="10"/>
  <c r="Q49" i="10" s="1"/>
  <c r="Q48" i="15"/>
  <c r="Q49" i="15" s="1"/>
  <c r="Q48" i="6"/>
  <c r="Q49" i="6" s="1"/>
  <c r="Q48" i="14"/>
  <c r="Q49" i="14" s="1"/>
  <c r="Q48" i="11"/>
  <c r="Q49" i="11" s="1"/>
  <c r="Q48" i="13"/>
  <c r="Q49" i="13" s="1"/>
  <c r="Q49" i="4"/>
  <c r="Q50" i="4" s="1"/>
  <c r="G61" i="19"/>
  <c r="G62" i="19" s="1"/>
  <c r="G49" i="19"/>
  <c r="N49" i="19"/>
  <c r="N61" i="19"/>
  <c r="N62" i="19" s="1"/>
  <c r="H43" i="13"/>
  <c r="E36" i="13"/>
  <c r="E32" i="13"/>
  <c r="L43" i="13"/>
  <c r="I32" i="13"/>
  <c r="I36" i="13"/>
  <c r="I43" i="13"/>
  <c r="F36" i="13"/>
  <c r="F32" i="13"/>
  <c r="F22" i="11"/>
  <c r="F27" i="11" s="1"/>
  <c r="F31" i="11" s="1"/>
  <c r="J16" i="8"/>
  <c r="I17" i="8"/>
  <c r="N18" i="4"/>
  <c r="H49" i="14"/>
  <c r="H61" i="14"/>
  <c r="H62" i="14" s="1"/>
  <c r="J61" i="9"/>
  <c r="J62" i="9" s="1"/>
  <c r="J49" i="9"/>
  <c r="J49" i="18"/>
  <c r="J61" i="18"/>
  <c r="J62" i="18" s="1"/>
  <c r="O49" i="15"/>
  <c r="O61" i="15"/>
  <c r="O62" i="15" s="1"/>
  <c r="G61" i="9"/>
  <c r="G62" i="9" s="1"/>
  <c r="G49" i="9"/>
  <c r="M22" i="18"/>
  <c r="M27" i="18" s="1"/>
  <c r="M31" i="18" s="1"/>
  <c r="D49" i="18"/>
  <c r="D50" i="18" s="1"/>
  <c r="D60" i="18"/>
  <c r="D62" i="18" s="1"/>
  <c r="D63" i="18" s="1"/>
  <c r="F22" i="19"/>
  <c r="F27" i="19" s="1"/>
  <c r="F31" i="19" s="1"/>
  <c r="I48" i="15"/>
  <c r="I48" i="19"/>
  <c r="I48" i="18"/>
  <c r="I48" i="8"/>
  <c r="I48" i="6"/>
  <c r="I48" i="9"/>
  <c r="I48" i="13"/>
  <c r="I48" i="10"/>
  <c r="I48" i="14"/>
  <c r="I48" i="11"/>
  <c r="I49" i="4"/>
  <c r="M19" i="2"/>
  <c r="L20" i="2"/>
  <c r="N61" i="18"/>
  <c r="N62" i="18" s="1"/>
  <c r="N49" i="18"/>
  <c r="L61" i="14"/>
  <c r="L62" i="14" s="1"/>
  <c r="L49" i="14"/>
  <c r="G43" i="13"/>
  <c r="D36" i="13"/>
  <c r="D32" i="13"/>
  <c r="J22" i="13"/>
  <c r="J27" i="13" s="1"/>
  <c r="J31" i="13" s="1"/>
  <c r="C19" i="11"/>
  <c r="C21" i="11" s="1"/>
  <c r="C22" i="11" s="1"/>
  <c r="C27" i="11" s="1"/>
  <c r="C31" i="11" s="1"/>
  <c r="K19" i="11"/>
  <c r="K21" i="11" s="1"/>
  <c r="K22" i="11" s="1"/>
  <c r="K27" i="11" s="1"/>
  <c r="K31" i="11" s="1"/>
  <c r="H19" i="11"/>
  <c r="H21" i="11" s="1"/>
  <c r="H22" i="11" s="1"/>
  <c r="H27" i="11" s="1"/>
  <c r="H31" i="11" s="1"/>
  <c r="J19" i="11"/>
  <c r="J21" i="11" s="1"/>
  <c r="J22" i="11" s="1"/>
  <c r="J27" i="11" s="1"/>
  <c r="J31" i="11" s="1"/>
  <c r="M19" i="11"/>
  <c r="M21" i="11" s="1"/>
  <c r="M22" i="11" s="1"/>
  <c r="M27" i="11" s="1"/>
  <c r="M31" i="11" s="1"/>
  <c r="Q19" i="11"/>
  <c r="Q21" i="11" s="1"/>
  <c r="I19" i="11"/>
  <c r="I21" i="11" s="1"/>
  <c r="I22" i="11" s="1"/>
  <c r="I27" i="11" s="1"/>
  <c r="I31" i="11" s="1"/>
  <c r="N19" i="11"/>
  <c r="N21" i="11" s="1"/>
  <c r="L19" i="11"/>
  <c r="L21" i="11" s="1"/>
  <c r="L22" i="11" s="1"/>
  <c r="L27" i="11" s="1"/>
  <c r="L31" i="11" s="1"/>
  <c r="G19" i="11"/>
  <c r="G21" i="11" s="1"/>
  <c r="G22" i="11" s="1"/>
  <c r="G27" i="11" s="1"/>
  <c r="G31" i="11" s="1"/>
  <c r="D19" i="11"/>
  <c r="D21" i="11" s="1"/>
  <c r="D22" i="11" s="1"/>
  <c r="D27" i="11" s="1"/>
  <c r="D31" i="11" s="1"/>
  <c r="E19" i="11"/>
  <c r="E21" i="11" s="1"/>
  <c r="E22" i="11" s="1"/>
  <c r="E27" i="11" s="1"/>
  <c r="E31" i="11" s="1"/>
  <c r="P19" i="11"/>
  <c r="P21" i="11" s="1"/>
  <c r="O19" i="11"/>
  <c r="O21" i="11" s="1"/>
  <c r="F19" i="11"/>
  <c r="F21" i="11" s="1"/>
  <c r="H61" i="9"/>
  <c r="H62" i="9" s="1"/>
  <c r="H49" i="9"/>
  <c r="J61" i="11"/>
  <c r="J62" i="11" s="1"/>
  <c r="J49" i="11"/>
  <c r="E189" i="36" l="1"/>
  <c r="E190" i="36" s="1"/>
  <c r="J6" i="27"/>
  <c r="J6" i="40"/>
  <c r="J6" i="44"/>
  <c r="J6" i="37"/>
  <c r="J6" i="25"/>
  <c r="J6" i="38"/>
  <c r="J6" i="39"/>
  <c r="J6" i="43"/>
  <c r="J6" i="36"/>
  <c r="K30" i="23"/>
  <c r="J6" i="41" s="1"/>
  <c r="J8" i="41"/>
  <c r="L60" i="44"/>
  <c r="G112" i="44"/>
  <c r="H109" i="44" s="1"/>
  <c r="G187" i="44"/>
  <c r="E175" i="44"/>
  <c r="E177" i="44" s="1"/>
  <c r="K66" i="44"/>
  <c r="J67" i="44"/>
  <c r="E91" i="44"/>
  <c r="E94" i="44"/>
  <c r="E96" i="44" s="1"/>
  <c r="F179" i="44"/>
  <c r="F188" i="44"/>
  <c r="F189" i="44" s="1"/>
  <c r="F190" i="44" s="1"/>
  <c r="F113" i="44"/>
  <c r="F61" i="44"/>
  <c r="G59" i="44"/>
  <c r="D91" i="44"/>
  <c r="D53" i="44" s="1"/>
  <c r="D94" i="44"/>
  <c r="D96" i="44" s="1"/>
  <c r="D99" i="44" s="1"/>
  <c r="D175" i="44"/>
  <c r="D136" i="44"/>
  <c r="D113" i="43"/>
  <c r="D61" i="43"/>
  <c r="E59" i="43"/>
  <c r="L172" i="43"/>
  <c r="L111" i="43"/>
  <c r="G111" i="43"/>
  <c r="G172" i="43"/>
  <c r="W171" i="43"/>
  <c r="D117" i="43"/>
  <c r="E175" i="43"/>
  <c r="E177" i="43" s="1"/>
  <c r="O111" i="43"/>
  <c r="O172" i="43"/>
  <c r="H111" i="43"/>
  <c r="H172" i="43"/>
  <c r="M111" i="43"/>
  <c r="M172" i="43"/>
  <c r="I111" i="43"/>
  <c r="I172" i="43"/>
  <c r="F111" i="43"/>
  <c r="F112" i="43" s="1"/>
  <c r="G109" i="43" s="1"/>
  <c r="W87" i="43"/>
  <c r="J172" i="43"/>
  <c r="J111" i="43"/>
  <c r="I67" i="43"/>
  <c r="J66" i="43"/>
  <c r="N111" i="43"/>
  <c r="N172" i="43"/>
  <c r="K172" i="43"/>
  <c r="K111" i="43"/>
  <c r="L60" i="43"/>
  <c r="F177" i="43"/>
  <c r="D91" i="42"/>
  <c r="D53" i="42" s="1"/>
  <c r="D175" i="42"/>
  <c r="D136" i="42"/>
  <c r="F113" i="42"/>
  <c r="G59" i="42"/>
  <c r="F61" i="42"/>
  <c r="L29" i="42"/>
  <c r="L60" i="42"/>
  <c r="G112" i="42"/>
  <c r="H109" i="42" s="1"/>
  <c r="G28" i="42"/>
  <c r="F188" i="42"/>
  <c r="F189" i="42" s="1"/>
  <c r="F190" i="42" s="1"/>
  <c r="F179" i="42"/>
  <c r="E188" i="42"/>
  <c r="E189" i="42" s="1"/>
  <c r="E190" i="42" s="1"/>
  <c r="E179" i="42"/>
  <c r="I67" i="42"/>
  <c r="J66" i="42"/>
  <c r="G187" i="42"/>
  <c r="F94" i="41"/>
  <c r="F96" i="41" s="1"/>
  <c r="D117" i="41"/>
  <c r="D133" i="41" s="1"/>
  <c r="D175" i="41" s="1"/>
  <c r="E179" i="41"/>
  <c r="E188" i="41"/>
  <c r="F112" i="41"/>
  <c r="G109" i="41" s="1"/>
  <c r="G112" i="41" s="1"/>
  <c r="H109" i="41" s="1"/>
  <c r="E189" i="41"/>
  <c r="E190" i="41" s="1"/>
  <c r="L111" i="41"/>
  <c r="J172" i="41"/>
  <c r="N111" i="41"/>
  <c r="E94" i="41"/>
  <c r="E96" i="41" s="1"/>
  <c r="I111" i="41"/>
  <c r="H111" i="41"/>
  <c r="M111" i="41"/>
  <c r="W87" i="41"/>
  <c r="O172" i="41"/>
  <c r="K111" i="41"/>
  <c r="G172" i="41"/>
  <c r="G187" i="41"/>
  <c r="F188" i="41"/>
  <c r="F189" i="41" s="1"/>
  <c r="F190" i="41" s="1"/>
  <c r="F179" i="41"/>
  <c r="J67" i="41"/>
  <c r="K66" i="41"/>
  <c r="E113" i="41"/>
  <c r="E61" i="41"/>
  <c r="F59" i="41"/>
  <c r="L60" i="41"/>
  <c r="L29" i="41"/>
  <c r="K172" i="40"/>
  <c r="K111" i="40"/>
  <c r="L60" i="40"/>
  <c r="L29" i="40" s="1"/>
  <c r="H111" i="40"/>
  <c r="H172" i="40"/>
  <c r="P80" i="40"/>
  <c r="P155" i="40" s="1"/>
  <c r="F188" i="40"/>
  <c r="F189" i="40" s="1"/>
  <c r="F190" i="40" s="1"/>
  <c r="F179" i="40"/>
  <c r="E94" i="40"/>
  <c r="E96" i="40" s="1"/>
  <c r="T80" i="40"/>
  <c r="T155" i="40" s="1"/>
  <c r="L172" i="40"/>
  <c r="L111" i="40"/>
  <c r="O172" i="40"/>
  <c r="O111" i="40"/>
  <c r="I67" i="40"/>
  <c r="J66" i="40"/>
  <c r="O80" i="40"/>
  <c r="O155" i="40" s="1"/>
  <c r="I111" i="40"/>
  <c r="I172" i="40"/>
  <c r="M172" i="40"/>
  <c r="M111" i="40"/>
  <c r="G111" i="40"/>
  <c r="G172" i="40"/>
  <c r="J111" i="40"/>
  <c r="J172" i="40"/>
  <c r="F111" i="40"/>
  <c r="F112" i="40" s="1"/>
  <c r="G109" i="40" s="1"/>
  <c r="W87" i="40"/>
  <c r="R80" i="40"/>
  <c r="R155" i="40" s="1"/>
  <c r="D133" i="40"/>
  <c r="D90" i="40"/>
  <c r="D113" i="40"/>
  <c r="D61" i="40"/>
  <c r="E59" i="40"/>
  <c r="N111" i="40"/>
  <c r="N172" i="40"/>
  <c r="E175" i="40"/>
  <c r="E177" i="40" s="1"/>
  <c r="E175" i="39"/>
  <c r="E177" i="39" s="1"/>
  <c r="O111" i="39"/>
  <c r="O172" i="39"/>
  <c r="H111" i="39"/>
  <c r="H172" i="39"/>
  <c r="I172" i="39"/>
  <c r="I111" i="39"/>
  <c r="D133" i="39"/>
  <c r="D90" i="39"/>
  <c r="L29" i="39"/>
  <c r="L60" i="39"/>
  <c r="M172" i="39"/>
  <c r="M111" i="39"/>
  <c r="K172" i="39"/>
  <c r="K111" i="39"/>
  <c r="G111" i="39"/>
  <c r="G172" i="39"/>
  <c r="F111" i="39"/>
  <c r="W87" i="39"/>
  <c r="I67" i="39"/>
  <c r="J66" i="39"/>
  <c r="N111" i="39"/>
  <c r="N172" i="39"/>
  <c r="E94" i="39"/>
  <c r="E96" i="39" s="1"/>
  <c r="F112" i="39"/>
  <c r="G109" i="39" s="1"/>
  <c r="F94" i="39"/>
  <c r="F96" i="39" s="1"/>
  <c r="J111" i="39"/>
  <c r="J172" i="39"/>
  <c r="K29" i="39"/>
  <c r="D113" i="39"/>
  <c r="D61" i="39"/>
  <c r="E59" i="39"/>
  <c r="L111" i="39"/>
  <c r="L172" i="39"/>
  <c r="F177" i="39"/>
  <c r="E177" i="38"/>
  <c r="L29" i="38"/>
  <c r="L60" i="38"/>
  <c r="K172" i="38"/>
  <c r="K111" i="38"/>
  <c r="J172" i="38"/>
  <c r="J111" i="38"/>
  <c r="L172" i="38"/>
  <c r="L111" i="38"/>
  <c r="I111" i="38"/>
  <c r="I172" i="38"/>
  <c r="D113" i="38"/>
  <c r="E59" i="38"/>
  <c r="D61" i="38"/>
  <c r="W171" i="38"/>
  <c r="F188" i="38"/>
  <c r="F189" i="38" s="1"/>
  <c r="F190" i="38" s="1"/>
  <c r="F179" i="38"/>
  <c r="N172" i="38"/>
  <c r="N111" i="38"/>
  <c r="E175" i="38"/>
  <c r="G111" i="38"/>
  <c r="G172" i="38"/>
  <c r="M172" i="38"/>
  <c r="M111" i="38"/>
  <c r="H111" i="38"/>
  <c r="H172" i="38"/>
  <c r="F111" i="38"/>
  <c r="F112" i="38" s="1"/>
  <c r="G109" i="38" s="1"/>
  <c r="W87" i="38"/>
  <c r="D133" i="38"/>
  <c r="D90" i="38"/>
  <c r="E94" i="38"/>
  <c r="E96" i="38" s="1"/>
  <c r="K29" i="38"/>
  <c r="O111" i="38"/>
  <c r="O172" i="38"/>
  <c r="J67" i="38"/>
  <c r="K66" i="38"/>
  <c r="E175" i="37"/>
  <c r="E177" i="37" s="1"/>
  <c r="D113" i="37"/>
  <c r="D61" i="37"/>
  <c r="E59" i="37"/>
  <c r="L172" i="37"/>
  <c r="L111" i="37"/>
  <c r="F179" i="37"/>
  <c r="F188" i="37"/>
  <c r="F189" i="37" s="1"/>
  <c r="F190" i="37" s="1"/>
  <c r="F111" i="37"/>
  <c r="W87" i="37"/>
  <c r="D117" i="37"/>
  <c r="F94" i="37"/>
  <c r="F96" i="37" s="1"/>
  <c r="G111" i="37"/>
  <c r="G172" i="37"/>
  <c r="W171" i="37"/>
  <c r="O111" i="37"/>
  <c r="O172" i="37"/>
  <c r="L29" i="37"/>
  <c r="L60" i="37"/>
  <c r="H111" i="37"/>
  <c r="H172" i="37"/>
  <c r="M111" i="37"/>
  <c r="M172" i="37"/>
  <c r="I67" i="37"/>
  <c r="J66" i="37"/>
  <c r="I111" i="37"/>
  <c r="I172" i="37"/>
  <c r="J172" i="37"/>
  <c r="J111" i="37"/>
  <c r="N111" i="37"/>
  <c r="N172" i="37"/>
  <c r="K172" i="37"/>
  <c r="K111" i="37"/>
  <c r="F112" i="37"/>
  <c r="G109" i="37" s="1"/>
  <c r="F179" i="36"/>
  <c r="F188" i="36"/>
  <c r="F189" i="36" s="1"/>
  <c r="F190" i="36" s="1"/>
  <c r="G187" i="36"/>
  <c r="D175" i="36"/>
  <c r="D136" i="36"/>
  <c r="L60" i="36"/>
  <c r="L29" i="36"/>
  <c r="K29" i="36"/>
  <c r="D91" i="36"/>
  <c r="D53" i="36" s="1"/>
  <c r="H67" i="36"/>
  <c r="I66" i="36"/>
  <c r="G112" i="36"/>
  <c r="H109" i="36" s="1"/>
  <c r="G28" i="36"/>
  <c r="F59" i="36"/>
  <c r="E61" i="36"/>
  <c r="E113" i="36"/>
  <c r="I22" i="8"/>
  <c r="I27" i="8" s="1"/>
  <c r="I31" i="8" s="1"/>
  <c r="I32" i="8" s="1"/>
  <c r="C7" i="25"/>
  <c r="C6" i="4"/>
  <c r="C7" i="27"/>
  <c r="Q124" i="27"/>
  <c r="R120" i="27" s="1"/>
  <c r="R124" i="27" s="1"/>
  <c r="S120" i="27" s="1"/>
  <c r="S124" i="27" s="1"/>
  <c r="T120" i="27" s="1"/>
  <c r="T124" i="27" s="1"/>
  <c r="U120" i="27" s="1"/>
  <c r="U124" i="27" s="1"/>
  <c r="T80" i="27"/>
  <c r="T155" i="27" s="1"/>
  <c r="E61" i="27"/>
  <c r="E113" i="27"/>
  <c r="F59" i="27"/>
  <c r="H112" i="27"/>
  <c r="I109" i="27" s="1"/>
  <c r="G28" i="27"/>
  <c r="G30" i="26"/>
  <c r="F50" i="26"/>
  <c r="K53" i="26"/>
  <c r="L52" i="26" s="1"/>
  <c r="N48" i="26"/>
  <c r="O26" i="26"/>
  <c r="D175" i="27"/>
  <c r="D177" i="27" s="1"/>
  <c r="D136" i="27"/>
  <c r="C144" i="27"/>
  <c r="G144" i="27" s="1"/>
  <c r="I67" i="27"/>
  <c r="J66" i="27"/>
  <c r="F71" i="25"/>
  <c r="F72" i="25" s="1"/>
  <c r="K22" i="10"/>
  <c r="K27" i="10" s="1"/>
  <c r="K31" i="10" s="1"/>
  <c r="F149" i="25"/>
  <c r="F157" i="25" s="1"/>
  <c r="F159" i="25" s="1"/>
  <c r="F140" i="25"/>
  <c r="T81" i="25"/>
  <c r="T135" i="25" s="1"/>
  <c r="J14" i="26"/>
  <c r="K13" i="26" s="1"/>
  <c r="I9" i="26"/>
  <c r="R81" i="25"/>
  <c r="R135" i="25" s="1"/>
  <c r="Q81" i="25"/>
  <c r="Q135" i="25" s="1"/>
  <c r="S81" i="25"/>
  <c r="S135" i="25" s="1"/>
  <c r="I67" i="25"/>
  <c r="H68" i="25"/>
  <c r="H32" i="15"/>
  <c r="H36" i="15"/>
  <c r="K43" i="15"/>
  <c r="G32" i="8"/>
  <c r="G36" i="8"/>
  <c r="J43" i="8"/>
  <c r="R43" i="10"/>
  <c r="R45" i="10" s="1"/>
  <c r="R50" i="10" s="1"/>
  <c r="O32" i="10"/>
  <c r="I36" i="15"/>
  <c r="L43" i="15"/>
  <c r="I32" i="15"/>
  <c r="M32" i="6"/>
  <c r="P43" i="6"/>
  <c r="P45" i="6" s="1"/>
  <c r="P50" i="6" s="1"/>
  <c r="N32" i="18"/>
  <c r="Q43" i="18"/>
  <c r="Q45" i="18" s="1"/>
  <c r="Q50" i="18" s="1"/>
  <c r="G32" i="11"/>
  <c r="J43" i="11"/>
  <c r="G36" i="11"/>
  <c r="J36" i="15"/>
  <c r="J32" i="15"/>
  <c r="M43" i="15"/>
  <c r="G43" i="14"/>
  <c r="D32" i="14"/>
  <c r="D36" i="14"/>
  <c r="T43" i="10"/>
  <c r="Q32" i="10"/>
  <c r="H32" i="6"/>
  <c r="H36" i="6"/>
  <c r="K43" i="6"/>
  <c r="F36" i="15"/>
  <c r="F32" i="15"/>
  <c r="I43" i="15"/>
  <c r="N32" i="15"/>
  <c r="Q43" i="15"/>
  <c r="Q45" i="15" s="1"/>
  <c r="Q50" i="15" s="1"/>
  <c r="P32" i="10"/>
  <c r="S43" i="10"/>
  <c r="S45" i="10" s="1"/>
  <c r="S50" i="10" s="1"/>
  <c r="Q32" i="6"/>
  <c r="T43" i="6"/>
  <c r="N32" i="10"/>
  <c r="Q43" i="10"/>
  <c r="Q45" i="10" s="1"/>
  <c r="Q50" i="10" s="1"/>
  <c r="P43" i="10"/>
  <c r="P45" i="10" s="1"/>
  <c r="P50" i="10" s="1"/>
  <c r="M32" i="10"/>
  <c r="J32" i="9"/>
  <c r="M43" i="9"/>
  <c r="J36" i="9"/>
  <c r="H43" i="8"/>
  <c r="E32" i="8"/>
  <c r="E36" i="8"/>
  <c r="Q32" i="15"/>
  <c r="T43" i="15"/>
  <c r="J32" i="18"/>
  <c r="J36" i="18"/>
  <c r="M43" i="18"/>
  <c r="P43" i="11"/>
  <c r="P45" i="11" s="1"/>
  <c r="P50" i="11" s="1"/>
  <c r="M32" i="11"/>
  <c r="G36" i="15"/>
  <c r="J43" i="15"/>
  <c r="G32" i="15"/>
  <c r="O43" i="15"/>
  <c r="L36" i="15"/>
  <c r="L32" i="15"/>
  <c r="M32" i="19"/>
  <c r="P43" i="19"/>
  <c r="P45" i="19" s="1"/>
  <c r="P50" i="19" s="1"/>
  <c r="L36" i="19"/>
  <c r="O43" i="19"/>
  <c r="L32" i="19"/>
  <c r="I61" i="13"/>
  <c r="I62" i="13" s="1"/>
  <c r="I49" i="13"/>
  <c r="G36" i="10"/>
  <c r="G32" i="10"/>
  <c r="J43" i="10"/>
  <c r="O32" i="18"/>
  <c r="R43" i="18"/>
  <c r="R45" i="18" s="1"/>
  <c r="R50" i="18" s="1"/>
  <c r="H43" i="18"/>
  <c r="E36" i="18"/>
  <c r="E32" i="18"/>
  <c r="F49" i="14"/>
  <c r="F61" i="14"/>
  <c r="F62" i="14" s="1"/>
  <c r="I43" i="6"/>
  <c r="F36" i="6"/>
  <c r="F32" i="6"/>
  <c r="F32" i="8"/>
  <c r="F36" i="8"/>
  <c r="I43" i="8"/>
  <c r="J45" i="13"/>
  <c r="J50" i="13" s="1"/>
  <c r="J56" i="13"/>
  <c r="J58" i="13" s="1"/>
  <c r="J63" i="13" s="1"/>
  <c r="E32" i="11"/>
  <c r="H43" i="11"/>
  <c r="E36" i="11"/>
  <c r="M43" i="11"/>
  <c r="J32" i="11"/>
  <c r="J36" i="11"/>
  <c r="I61" i="6"/>
  <c r="I62" i="6" s="1"/>
  <c r="I49" i="6"/>
  <c r="K16" i="8"/>
  <c r="J17" i="8"/>
  <c r="J22" i="8" s="1"/>
  <c r="J27" i="8" s="1"/>
  <c r="J31" i="8" s="1"/>
  <c r="F61" i="13"/>
  <c r="F62" i="13" s="1"/>
  <c r="F49" i="13"/>
  <c r="D32" i="15"/>
  <c r="D36" i="15"/>
  <c r="G43" i="15"/>
  <c r="D32" i="8"/>
  <c r="G43" i="8"/>
  <c r="D36" i="8"/>
  <c r="F43" i="9"/>
  <c r="C32" i="9"/>
  <c r="C36" i="9"/>
  <c r="H32" i="19"/>
  <c r="H36" i="19"/>
  <c r="K43" i="19"/>
  <c r="C32" i="19"/>
  <c r="G2" i="19"/>
  <c r="C36" i="19"/>
  <c r="F43" i="19"/>
  <c r="E36" i="14"/>
  <c r="E32" i="14"/>
  <c r="H43" i="14"/>
  <c r="K22" i="9"/>
  <c r="K27" i="9" s="1"/>
  <c r="K31" i="9" s="1"/>
  <c r="K32" i="18"/>
  <c r="K36" i="18"/>
  <c r="N43" i="18"/>
  <c r="M16" i="13"/>
  <c r="L17" i="13"/>
  <c r="L22" i="13" s="1"/>
  <c r="L27" i="13" s="1"/>
  <c r="L31" i="13" s="1"/>
  <c r="F56" i="13"/>
  <c r="F58" i="13" s="1"/>
  <c r="F45" i="13"/>
  <c r="F50" i="13" s="1"/>
  <c r="F43" i="14"/>
  <c r="C32" i="14"/>
  <c r="C36" i="14"/>
  <c r="F61" i="15"/>
  <c r="F62" i="15" s="1"/>
  <c r="F49" i="15"/>
  <c r="J36" i="6"/>
  <c r="M43" i="6"/>
  <c r="J32" i="6"/>
  <c r="D36" i="11"/>
  <c r="D32" i="11"/>
  <c r="G43" i="11"/>
  <c r="I61" i="8"/>
  <c r="I62" i="8" s="1"/>
  <c r="I49" i="8"/>
  <c r="F32" i="11"/>
  <c r="I43" i="11"/>
  <c r="F36" i="11"/>
  <c r="F49" i="6"/>
  <c r="F61" i="6"/>
  <c r="F62" i="6" s="1"/>
  <c r="D32" i="6"/>
  <c r="D36" i="6"/>
  <c r="G43" i="6"/>
  <c r="H32" i="9"/>
  <c r="H36" i="9"/>
  <c r="K43" i="9"/>
  <c r="C36" i="8"/>
  <c r="C32" i="8"/>
  <c r="F43" i="8"/>
  <c r="H36" i="10"/>
  <c r="K43" i="10"/>
  <c r="H32" i="10"/>
  <c r="F32" i="9"/>
  <c r="I43" i="9"/>
  <c r="F36" i="9"/>
  <c r="K32" i="19"/>
  <c r="K36" i="19"/>
  <c r="N43" i="19"/>
  <c r="G16" i="14"/>
  <c r="F17" i="14"/>
  <c r="F22" i="14" s="1"/>
  <c r="F27" i="14" s="1"/>
  <c r="F31" i="14" s="1"/>
  <c r="I32" i="18"/>
  <c r="L43" i="18"/>
  <c r="I36" i="18"/>
  <c r="L36" i="10"/>
  <c r="O43" i="10"/>
  <c r="L32" i="10"/>
  <c r="F61" i="9"/>
  <c r="F62" i="9" s="1"/>
  <c r="F49" i="9"/>
  <c r="F43" i="15"/>
  <c r="G2" i="15"/>
  <c r="C36" i="15"/>
  <c r="C32" i="15"/>
  <c r="S43" i="18"/>
  <c r="S45" i="18" s="1"/>
  <c r="S50" i="18" s="1"/>
  <c r="P32" i="18"/>
  <c r="P43" i="15"/>
  <c r="P45" i="15" s="1"/>
  <c r="P50" i="15" s="1"/>
  <c r="M32" i="15"/>
  <c r="G32" i="6"/>
  <c r="G36" i="6"/>
  <c r="J43" i="6"/>
  <c r="I32" i="19"/>
  <c r="L43" i="19"/>
  <c r="I36" i="19"/>
  <c r="M16" i="9"/>
  <c r="L17" i="9"/>
  <c r="L22" i="9" s="1"/>
  <c r="L27" i="9" s="1"/>
  <c r="L31" i="9" s="1"/>
  <c r="K32" i="13"/>
  <c r="K36" i="13"/>
  <c r="N43" i="13"/>
  <c r="K43" i="11"/>
  <c r="H36" i="11"/>
  <c r="H32" i="11"/>
  <c r="M32" i="18"/>
  <c r="P43" i="18"/>
  <c r="P45" i="18" s="1"/>
  <c r="P50" i="18" s="1"/>
  <c r="L56" i="13"/>
  <c r="L58" i="13" s="1"/>
  <c r="L63" i="13" s="1"/>
  <c r="L45" i="13"/>
  <c r="L50" i="13" s="1"/>
  <c r="N43" i="11"/>
  <c r="K36" i="11"/>
  <c r="K32" i="11"/>
  <c r="I62" i="4"/>
  <c r="I63" i="4" s="1"/>
  <c r="I50" i="4"/>
  <c r="I61" i="18"/>
  <c r="I62" i="18" s="1"/>
  <c r="I49" i="18"/>
  <c r="F49" i="8"/>
  <c r="F61" i="8"/>
  <c r="F62" i="8" s="1"/>
  <c r="L43" i="6"/>
  <c r="I36" i="6"/>
  <c r="I32" i="6"/>
  <c r="O43" i="6"/>
  <c r="L32" i="6"/>
  <c r="L36" i="6"/>
  <c r="O32" i="15"/>
  <c r="R43" i="15"/>
  <c r="R45" i="15" s="1"/>
  <c r="R50" i="15" s="1"/>
  <c r="N43" i="15"/>
  <c r="K32" i="15"/>
  <c r="K36" i="15"/>
  <c r="E32" i="6"/>
  <c r="E36" i="6"/>
  <c r="H43" i="6"/>
  <c r="M43" i="19"/>
  <c r="J32" i="19"/>
  <c r="J36" i="19"/>
  <c r="L32" i="18"/>
  <c r="L36" i="18"/>
  <c r="O43" i="18"/>
  <c r="J43" i="18"/>
  <c r="G36" i="18"/>
  <c r="G32" i="18"/>
  <c r="I43" i="19"/>
  <c r="F32" i="19"/>
  <c r="F36" i="19"/>
  <c r="E36" i="15"/>
  <c r="E32" i="15"/>
  <c r="H43" i="15"/>
  <c r="E32" i="19"/>
  <c r="E36" i="19"/>
  <c r="H43" i="19"/>
  <c r="K43" i="8"/>
  <c r="H32" i="8"/>
  <c r="H36" i="8"/>
  <c r="C36" i="10"/>
  <c r="G2" i="10"/>
  <c r="C32" i="10"/>
  <c r="F43" i="10"/>
  <c r="Q43" i="19"/>
  <c r="Q45" i="19" s="1"/>
  <c r="Q50" i="19" s="1"/>
  <c r="N32" i="19"/>
  <c r="L36" i="11"/>
  <c r="L32" i="11"/>
  <c r="O43" i="11"/>
  <c r="F43" i="11"/>
  <c r="C36" i="11"/>
  <c r="C32" i="11"/>
  <c r="G2" i="11"/>
  <c r="I61" i="11"/>
  <c r="I62" i="11" s="1"/>
  <c r="I49" i="11"/>
  <c r="I49" i="19"/>
  <c r="I61" i="19"/>
  <c r="I62" i="19" s="1"/>
  <c r="M43" i="10"/>
  <c r="J32" i="10"/>
  <c r="J36" i="10"/>
  <c r="F49" i="10"/>
  <c r="F61" i="10"/>
  <c r="F62" i="10" s="1"/>
  <c r="I36" i="9"/>
  <c r="I32" i="9"/>
  <c r="L43" i="9"/>
  <c r="G43" i="9"/>
  <c r="D32" i="9"/>
  <c r="D36" i="9"/>
  <c r="P32" i="15"/>
  <c r="S43" i="15"/>
  <c r="S45" i="15" s="1"/>
  <c r="S50" i="15" s="1"/>
  <c r="G36" i="19"/>
  <c r="J43" i="19"/>
  <c r="G32" i="19"/>
  <c r="Q32" i="19"/>
  <c r="T43" i="19"/>
  <c r="P22" i="6"/>
  <c r="P27" i="6" s="1"/>
  <c r="P31" i="6" s="1"/>
  <c r="F36" i="10"/>
  <c r="F32" i="10"/>
  <c r="I43" i="10"/>
  <c r="N43" i="6"/>
  <c r="K32" i="6"/>
  <c r="K36" i="6"/>
  <c r="L43" i="10"/>
  <c r="I32" i="10"/>
  <c r="I36" i="10"/>
  <c r="D32" i="19"/>
  <c r="G43" i="19"/>
  <c r="D36" i="19"/>
  <c r="O22" i="6"/>
  <c r="O27" i="6" s="1"/>
  <c r="O31" i="6" s="1"/>
  <c r="F36" i="18"/>
  <c r="F32" i="18"/>
  <c r="I43" i="18"/>
  <c r="N22" i="11"/>
  <c r="N27" i="11" s="1"/>
  <c r="N31" i="11" s="1"/>
  <c r="S43" i="19"/>
  <c r="S45" i="19" s="1"/>
  <c r="S50" i="19" s="1"/>
  <c r="P32" i="19"/>
  <c r="E36" i="9"/>
  <c r="H43" i="9"/>
  <c r="E32" i="9"/>
  <c r="T43" i="18"/>
  <c r="Q32" i="18"/>
  <c r="N32" i="6"/>
  <c r="Q43" i="6"/>
  <c r="Q45" i="6" s="1"/>
  <c r="Q50" i="6" s="1"/>
  <c r="G45" i="13"/>
  <c r="G50" i="13" s="1"/>
  <c r="G56" i="13"/>
  <c r="G58" i="13" s="1"/>
  <c r="G63" i="13" s="1"/>
  <c r="I61" i="9"/>
  <c r="I62" i="9" s="1"/>
  <c r="I49" i="9"/>
  <c r="F43" i="6"/>
  <c r="C32" i="6"/>
  <c r="C36" i="6"/>
  <c r="G2" i="6"/>
  <c r="K36" i="10"/>
  <c r="K32" i="10"/>
  <c r="N43" i="10"/>
  <c r="D36" i="18"/>
  <c r="G43" i="18"/>
  <c r="D32" i="18"/>
  <c r="M43" i="13"/>
  <c r="J32" i="13"/>
  <c r="J36" i="13"/>
  <c r="L33" i="2"/>
  <c r="L24" i="2"/>
  <c r="I61" i="14"/>
  <c r="I62" i="14" s="1"/>
  <c r="I49" i="14"/>
  <c r="I49" i="15"/>
  <c r="I61" i="15"/>
  <c r="I62" i="15" s="1"/>
  <c r="H56" i="13"/>
  <c r="H58" i="13" s="1"/>
  <c r="H63" i="13" s="1"/>
  <c r="H45" i="13"/>
  <c r="H50" i="13" s="1"/>
  <c r="F61" i="11"/>
  <c r="F62" i="11" s="1"/>
  <c r="F49" i="11"/>
  <c r="F49" i="19"/>
  <c r="F61" i="19"/>
  <c r="F62" i="19" s="1"/>
  <c r="L43" i="11"/>
  <c r="I36" i="11"/>
  <c r="I32" i="11"/>
  <c r="N19" i="2"/>
  <c r="M20" i="2"/>
  <c r="I61" i="10"/>
  <c r="I62" i="10" s="1"/>
  <c r="I49" i="10"/>
  <c r="R43" i="19"/>
  <c r="R45" i="19" s="1"/>
  <c r="R50" i="19" s="1"/>
  <c r="O32" i="19"/>
  <c r="I56" i="13"/>
  <c r="I58" i="13" s="1"/>
  <c r="I63" i="13" s="1"/>
  <c r="I45" i="13"/>
  <c r="I50" i="13" s="1"/>
  <c r="F50" i="4"/>
  <c r="F62" i="4"/>
  <c r="F63" i="4" s="1"/>
  <c r="F61" i="18"/>
  <c r="F62" i="18" s="1"/>
  <c r="F49" i="18"/>
  <c r="D36" i="10"/>
  <c r="G43" i="10"/>
  <c r="D32" i="10"/>
  <c r="J43" i="9"/>
  <c r="G36" i="9"/>
  <c r="G32" i="9"/>
  <c r="H43" i="10"/>
  <c r="E36" i="10"/>
  <c r="E32" i="10"/>
  <c r="K56" i="13"/>
  <c r="K58" i="13" s="1"/>
  <c r="K63" i="13" s="1"/>
  <c r="K45" i="13"/>
  <c r="K50" i="13" s="1"/>
  <c r="C32" i="18"/>
  <c r="C36" i="18"/>
  <c r="G2" i="18"/>
  <c r="F43" i="18"/>
  <c r="K43" i="18"/>
  <c r="H36" i="18"/>
  <c r="H32" i="18"/>
  <c r="P16" i="11"/>
  <c r="O17" i="11"/>
  <c r="O22" i="11" s="1"/>
  <c r="O27" i="11" s="1"/>
  <c r="O31" i="11" s="1"/>
  <c r="E98" i="44" l="1"/>
  <c r="E99" i="44" s="1"/>
  <c r="D70" i="44"/>
  <c r="D71" i="44" s="1"/>
  <c r="E53" i="44"/>
  <c r="G28" i="44"/>
  <c r="G61" i="44"/>
  <c r="H59" i="44"/>
  <c r="G113" i="44"/>
  <c r="H112" i="44"/>
  <c r="I109" i="44" s="1"/>
  <c r="K67" i="44"/>
  <c r="L66" i="44"/>
  <c r="M60" i="44"/>
  <c r="D54" i="44"/>
  <c r="D56" i="44" s="1"/>
  <c r="D62" i="44" s="1"/>
  <c r="E131" i="44"/>
  <c r="E136" i="44" s="1"/>
  <c r="L29" i="44"/>
  <c r="W177" i="44"/>
  <c r="D177" i="44"/>
  <c r="E188" i="44"/>
  <c r="E189" i="44" s="1"/>
  <c r="E190" i="44" s="1"/>
  <c r="E179" i="44"/>
  <c r="G112" i="43"/>
  <c r="H109" i="43" s="1"/>
  <c r="G28" i="43"/>
  <c r="E188" i="43"/>
  <c r="E189" i="43" s="1"/>
  <c r="E190" i="43" s="1"/>
  <c r="E179" i="43"/>
  <c r="F179" i="43"/>
  <c r="F188" i="43"/>
  <c r="F189" i="43" s="1"/>
  <c r="F190" i="43" s="1"/>
  <c r="M60" i="43"/>
  <c r="J67" i="43"/>
  <c r="K66" i="43"/>
  <c r="D133" i="43"/>
  <c r="D90" i="43"/>
  <c r="E113" i="43"/>
  <c r="E61" i="43"/>
  <c r="F59" i="43"/>
  <c r="L29" i="43"/>
  <c r="G61" i="42"/>
  <c r="G113" i="42"/>
  <c r="H59" i="42"/>
  <c r="G82" i="42"/>
  <c r="G31" i="42"/>
  <c r="G45" i="42"/>
  <c r="E131" i="42"/>
  <c r="E136" i="42" s="1"/>
  <c r="D54" i="42"/>
  <c r="J67" i="42"/>
  <c r="K66" i="42"/>
  <c r="H112" i="42"/>
  <c r="I109" i="42" s="1"/>
  <c r="W177" i="42"/>
  <c r="D177" i="42"/>
  <c r="M60" i="42"/>
  <c r="M29" i="42"/>
  <c r="D94" i="42"/>
  <c r="D96" i="42" s="1"/>
  <c r="D99" i="42" s="1"/>
  <c r="E53" i="42"/>
  <c r="D56" i="42"/>
  <c r="D62" i="42" s="1"/>
  <c r="G28" i="41"/>
  <c r="G82" i="41" s="1"/>
  <c r="D90" i="41"/>
  <c r="D91" i="41" s="1"/>
  <c r="D53" i="41" s="1"/>
  <c r="E53" i="41" s="1"/>
  <c r="D136" i="41"/>
  <c r="D54" i="41" s="1"/>
  <c r="W177" i="41"/>
  <c r="D177" i="41"/>
  <c r="H112" i="41"/>
  <c r="I109" i="41" s="1"/>
  <c r="M60" i="41"/>
  <c r="F113" i="41"/>
  <c r="G59" i="41"/>
  <c r="F61" i="41"/>
  <c r="L66" i="41"/>
  <c r="K67" i="41"/>
  <c r="G112" i="40"/>
  <c r="H109" i="40" s="1"/>
  <c r="G28" i="40"/>
  <c r="J67" i="40"/>
  <c r="K66" i="40"/>
  <c r="E113" i="40"/>
  <c r="E61" i="40"/>
  <c r="F59" i="40"/>
  <c r="M60" i="40"/>
  <c r="E188" i="40"/>
  <c r="E189" i="40" s="1"/>
  <c r="E190" i="40" s="1"/>
  <c r="E179" i="40"/>
  <c r="D91" i="40"/>
  <c r="D53" i="40" s="1"/>
  <c r="D94" i="40"/>
  <c r="D96" i="40" s="1"/>
  <c r="D99" i="40" s="1"/>
  <c r="D175" i="40"/>
  <c r="D136" i="40"/>
  <c r="E179" i="39"/>
  <c r="E188" i="39"/>
  <c r="E189" i="39" s="1"/>
  <c r="E190" i="39" s="1"/>
  <c r="J67" i="39"/>
  <c r="K66" i="39"/>
  <c r="D91" i="39"/>
  <c r="D53" i="39" s="1"/>
  <c r="D175" i="39"/>
  <c r="D136" i="39"/>
  <c r="E61" i="39"/>
  <c r="E113" i="39"/>
  <c r="F59" i="39"/>
  <c r="G112" i="39"/>
  <c r="H109" i="39" s="1"/>
  <c r="F188" i="39"/>
  <c r="F189" i="39" s="1"/>
  <c r="F190" i="39" s="1"/>
  <c r="F179" i="39"/>
  <c r="M60" i="39"/>
  <c r="M29" i="39" s="1"/>
  <c r="G112" i="38"/>
  <c r="H109" i="38" s="1"/>
  <c r="G28" i="38"/>
  <c r="K67" i="38"/>
  <c r="L66" i="38"/>
  <c r="E188" i="38"/>
  <c r="E189" i="38" s="1"/>
  <c r="E190" i="38" s="1"/>
  <c r="E179" i="38"/>
  <c r="D91" i="38"/>
  <c r="D53" i="38" s="1"/>
  <c r="D94" i="38"/>
  <c r="D96" i="38" s="1"/>
  <c r="D99" i="38" s="1"/>
  <c r="D175" i="38"/>
  <c r="D136" i="38"/>
  <c r="E113" i="38"/>
  <c r="F59" i="38"/>
  <c r="E61" i="38"/>
  <c r="M60" i="38"/>
  <c r="E188" i="37"/>
  <c r="E189" i="37" s="1"/>
  <c r="E190" i="37" s="1"/>
  <c r="E179" i="37"/>
  <c r="D133" i="37"/>
  <c r="D90" i="37"/>
  <c r="J67" i="37"/>
  <c r="K66" i="37"/>
  <c r="M60" i="37"/>
  <c r="G112" i="37"/>
  <c r="H109" i="37" s="1"/>
  <c r="G28" i="37"/>
  <c r="E113" i="37"/>
  <c r="E61" i="37"/>
  <c r="F59" i="37"/>
  <c r="G82" i="36"/>
  <c r="G45" i="36"/>
  <c r="G31" i="36"/>
  <c r="H28" i="36"/>
  <c r="H112" i="36"/>
  <c r="I109" i="36" s="1"/>
  <c r="M60" i="36"/>
  <c r="M29" i="36"/>
  <c r="I67" i="36"/>
  <c r="J66" i="36"/>
  <c r="E131" i="36"/>
  <c r="E136" i="36" s="1"/>
  <c r="D54" i="36"/>
  <c r="W177" i="36"/>
  <c r="D177" i="36"/>
  <c r="D94" i="36"/>
  <c r="D96" i="36" s="1"/>
  <c r="D99" i="36" s="1"/>
  <c r="F113" i="36"/>
  <c r="F61" i="36"/>
  <c r="G59" i="36"/>
  <c r="D56" i="36"/>
  <c r="D62" i="36" s="1"/>
  <c r="E53" i="36"/>
  <c r="L43" i="8"/>
  <c r="L56" i="8" s="1"/>
  <c r="L58" i="8" s="1"/>
  <c r="L63" i="8" s="1"/>
  <c r="I36" i="8"/>
  <c r="O23" i="27"/>
  <c r="O25" i="27" s="1"/>
  <c r="O26" i="27" s="1"/>
  <c r="L23" i="27"/>
  <c r="L25" i="27" s="1"/>
  <c r="L26" i="27" s="1"/>
  <c r="H23" i="27"/>
  <c r="H25" i="27" s="1"/>
  <c r="H26" i="27" s="1"/>
  <c r="T23" i="27"/>
  <c r="T25" i="27" s="1"/>
  <c r="T26" i="27" s="1"/>
  <c r="J23" i="27"/>
  <c r="J25" i="27" s="1"/>
  <c r="J26" i="27" s="1"/>
  <c r="M23" i="27"/>
  <c r="M25" i="27" s="1"/>
  <c r="M26" i="27" s="1"/>
  <c r="R23" i="27"/>
  <c r="R25" i="27" s="1"/>
  <c r="R26" i="27" s="1"/>
  <c r="U23" i="27"/>
  <c r="U25" i="27" s="1"/>
  <c r="U26" i="27" s="1"/>
  <c r="P23" i="27"/>
  <c r="P25" i="27" s="1"/>
  <c r="P26" i="27" s="1"/>
  <c r="K23" i="27"/>
  <c r="K25" i="27" s="1"/>
  <c r="K26" i="27" s="1"/>
  <c r="N23" i="27"/>
  <c r="N25" i="27" s="1"/>
  <c r="N26" i="27" s="1"/>
  <c r="I23" i="27"/>
  <c r="I25" i="27" s="1"/>
  <c r="I26" i="27" s="1"/>
  <c r="S23" i="27"/>
  <c r="S25" i="27" s="1"/>
  <c r="S26" i="27" s="1"/>
  <c r="G23" i="27"/>
  <c r="G25" i="27" s="1"/>
  <c r="G26" i="27" s="1"/>
  <c r="Q23" i="27"/>
  <c r="Q25" i="27" s="1"/>
  <c r="Q26" i="27" s="1"/>
  <c r="L20" i="4"/>
  <c r="L22" i="4" s="1"/>
  <c r="L23" i="4" s="1"/>
  <c r="C20" i="4"/>
  <c r="C22" i="4" s="1"/>
  <c r="C23" i="4" s="1"/>
  <c r="N20" i="4"/>
  <c r="N22" i="4" s="1"/>
  <c r="N23" i="4" s="1"/>
  <c r="N28" i="4" s="1"/>
  <c r="N32" i="4" s="1"/>
  <c r="Q44" i="4" s="1"/>
  <c r="Q46" i="4" s="1"/>
  <c r="Q51" i="4" s="1"/>
  <c r="K20" i="4"/>
  <c r="K22" i="4" s="1"/>
  <c r="K23" i="4" s="1"/>
  <c r="I20" i="4"/>
  <c r="I22" i="4" s="1"/>
  <c r="I23" i="4" s="1"/>
  <c r="O20" i="4"/>
  <c r="O22" i="4" s="1"/>
  <c r="O23" i="4" s="1"/>
  <c r="O38" i="4" s="1"/>
  <c r="H20" i="4"/>
  <c r="H22" i="4" s="1"/>
  <c r="H23" i="4" s="1"/>
  <c r="E20" i="4"/>
  <c r="E22" i="4" s="1"/>
  <c r="E23" i="4" s="1"/>
  <c r="J20" i="4"/>
  <c r="J22" i="4" s="1"/>
  <c r="J23" i="4" s="1"/>
  <c r="P20" i="4"/>
  <c r="P22" i="4" s="1"/>
  <c r="P23" i="4" s="1"/>
  <c r="Q20" i="4"/>
  <c r="Q22" i="4" s="1"/>
  <c r="Q23" i="4" s="1"/>
  <c r="M20" i="4"/>
  <c r="M22" i="4" s="1"/>
  <c r="M23" i="4" s="1"/>
  <c r="D20" i="4"/>
  <c r="D22" i="4" s="1"/>
  <c r="D23" i="4" s="1"/>
  <c r="G20" i="4"/>
  <c r="G22" i="4" s="1"/>
  <c r="G23" i="4" s="1"/>
  <c r="F20" i="4"/>
  <c r="F22" i="4" s="1"/>
  <c r="F23" i="4" s="1"/>
  <c r="P23" i="25"/>
  <c r="P25" i="25" s="1"/>
  <c r="P26" i="25" s="1"/>
  <c r="G23" i="25"/>
  <c r="G25" i="25" s="1"/>
  <c r="G26" i="25" s="1"/>
  <c r="J23" i="25"/>
  <c r="J25" i="25" s="1"/>
  <c r="J26" i="25" s="1"/>
  <c r="L23" i="25"/>
  <c r="L25" i="25" s="1"/>
  <c r="L26" i="25" s="1"/>
  <c r="R23" i="25"/>
  <c r="R25" i="25" s="1"/>
  <c r="R26" i="25" s="1"/>
  <c r="O23" i="25"/>
  <c r="O25" i="25" s="1"/>
  <c r="O26" i="25" s="1"/>
  <c r="N23" i="25"/>
  <c r="N25" i="25" s="1"/>
  <c r="N26" i="25" s="1"/>
  <c r="K23" i="25"/>
  <c r="K25" i="25" s="1"/>
  <c r="K26" i="25" s="1"/>
  <c r="T23" i="25"/>
  <c r="T25" i="25" s="1"/>
  <c r="T26" i="25" s="1"/>
  <c r="I23" i="25"/>
  <c r="I25" i="25" s="1"/>
  <c r="I26" i="25" s="1"/>
  <c r="M23" i="25"/>
  <c r="M25" i="25" s="1"/>
  <c r="M26" i="25" s="1"/>
  <c r="U23" i="25"/>
  <c r="U25" i="25" s="1"/>
  <c r="U26" i="25" s="1"/>
  <c r="Q23" i="25"/>
  <c r="Q25" i="25" s="1"/>
  <c r="Q26" i="25" s="1"/>
  <c r="H23" i="25"/>
  <c r="H25" i="25" s="1"/>
  <c r="H26" i="25" s="1"/>
  <c r="S23" i="25"/>
  <c r="S25" i="25" s="1"/>
  <c r="S26" i="25" s="1"/>
  <c r="H28" i="27"/>
  <c r="I112" i="27"/>
  <c r="J109" i="27" s="1"/>
  <c r="G59" i="27"/>
  <c r="F61" i="27"/>
  <c r="F113" i="27"/>
  <c r="K47" i="26"/>
  <c r="K46" i="26"/>
  <c r="G25" i="26"/>
  <c r="G31" i="26"/>
  <c r="H30" i="26" s="1"/>
  <c r="G24" i="26"/>
  <c r="L53" i="26"/>
  <c r="M52" i="26" s="1"/>
  <c r="O48" i="26"/>
  <c r="E131" i="27"/>
  <c r="E136" i="27" s="1"/>
  <c r="D54" i="27"/>
  <c r="D188" i="27"/>
  <c r="D179" i="27"/>
  <c r="U29" i="27"/>
  <c r="J67" i="27"/>
  <c r="K66" i="27"/>
  <c r="N38" i="4"/>
  <c r="J9" i="26"/>
  <c r="I11" i="26"/>
  <c r="K14" i="26"/>
  <c r="L13" i="26" s="1"/>
  <c r="J67" i="25"/>
  <c r="I68" i="25"/>
  <c r="N32" i="11"/>
  <c r="Q43" i="11"/>
  <c r="Q45" i="11" s="1"/>
  <c r="Q50" i="11" s="1"/>
  <c r="J56" i="9"/>
  <c r="J58" i="9" s="1"/>
  <c r="J63" i="9" s="1"/>
  <c r="J45" i="9"/>
  <c r="J50" i="9" s="1"/>
  <c r="G56" i="10"/>
  <c r="G58" i="10" s="1"/>
  <c r="G63" i="10" s="1"/>
  <c r="G45" i="10"/>
  <c r="G50" i="10" s="1"/>
  <c r="L56" i="11"/>
  <c r="L58" i="11" s="1"/>
  <c r="L63" i="11" s="1"/>
  <c r="L45" i="11"/>
  <c r="L50" i="11" s="1"/>
  <c r="S43" i="6"/>
  <c r="S45" i="6" s="1"/>
  <c r="S50" i="6" s="1"/>
  <c r="P32" i="6"/>
  <c r="F45" i="8"/>
  <c r="F50" i="8" s="1"/>
  <c r="F56" i="8"/>
  <c r="F58" i="8" s="1"/>
  <c r="F63" i="8" s="1"/>
  <c r="F56" i="14"/>
  <c r="F58" i="14" s="1"/>
  <c r="F63" i="14" s="1"/>
  <c r="F45" i="14"/>
  <c r="F50" i="14" s="1"/>
  <c r="K36" i="9"/>
  <c r="K32" i="9"/>
  <c r="N43" i="9"/>
  <c r="K45" i="19"/>
  <c r="K50" i="19" s="1"/>
  <c r="K56" i="19"/>
  <c r="K58" i="19" s="1"/>
  <c r="K63" i="19" s="1"/>
  <c r="G56" i="8"/>
  <c r="G58" i="8" s="1"/>
  <c r="G63" i="8" s="1"/>
  <c r="G45" i="8"/>
  <c r="G50" i="8" s="1"/>
  <c r="L16" i="8"/>
  <c r="K17" i="8"/>
  <c r="K22" i="8" s="1"/>
  <c r="K27" i="8" s="1"/>
  <c r="K31" i="8" s="1"/>
  <c r="I56" i="6"/>
  <c r="I58" i="6" s="1"/>
  <c r="I63" i="6" s="1"/>
  <c r="I45" i="6"/>
  <c r="I50" i="6" s="1"/>
  <c r="H45" i="18"/>
  <c r="H50" i="18" s="1"/>
  <c r="H56" i="18"/>
  <c r="H58" i="18" s="1"/>
  <c r="H63" i="18" s="1"/>
  <c r="M56" i="18"/>
  <c r="M58" i="18" s="1"/>
  <c r="M63" i="18" s="1"/>
  <c r="M45" i="18"/>
  <c r="M50" i="18" s="1"/>
  <c r="L56" i="18"/>
  <c r="L58" i="18" s="1"/>
  <c r="L63" i="18" s="1"/>
  <c r="L45" i="18"/>
  <c r="L50" i="18" s="1"/>
  <c r="I56" i="15"/>
  <c r="I58" i="15" s="1"/>
  <c r="I63" i="15" s="1"/>
  <c r="I45" i="15"/>
  <c r="I50" i="15" s="1"/>
  <c r="K45" i="18"/>
  <c r="K50" i="18" s="1"/>
  <c r="K56" i="18"/>
  <c r="K58" i="18" s="1"/>
  <c r="K63" i="18" s="1"/>
  <c r="I45" i="18"/>
  <c r="I50" i="18" s="1"/>
  <c r="I56" i="18"/>
  <c r="I58" i="18" s="1"/>
  <c r="I63" i="18" s="1"/>
  <c r="N56" i="6"/>
  <c r="N58" i="6" s="1"/>
  <c r="N63" i="6" s="1"/>
  <c r="N45" i="6"/>
  <c r="N50" i="6" s="1"/>
  <c r="G56" i="9"/>
  <c r="G58" i="9" s="1"/>
  <c r="G63" i="9" s="1"/>
  <c r="G45" i="9"/>
  <c r="G50" i="9" s="1"/>
  <c r="K45" i="8"/>
  <c r="K50" i="8" s="1"/>
  <c r="K56" i="8"/>
  <c r="K58" i="8" s="1"/>
  <c r="K63" i="8" s="1"/>
  <c r="N56" i="15"/>
  <c r="N58" i="15" s="1"/>
  <c r="N63" i="15" s="1"/>
  <c r="N45" i="15"/>
  <c r="N50" i="15" s="1"/>
  <c r="L45" i="6"/>
  <c r="L50" i="6" s="1"/>
  <c r="L56" i="6"/>
  <c r="L58" i="6" s="1"/>
  <c r="L63" i="6" s="1"/>
  <c r="M17" i="9"/>
  <c r="M22" i="9" s="1"/>
  <c r="M27" i="9" s="1"/>
  <c r="M31" i="9" s="1"/>
  <c r="N16" i="9"/>
  <c r="F56" i="15"/>
  <c r="F58" i="15" s="1"/>
  <c r="F63" i="15" s="1"/>
  <c r="F45" i="15"/>
  <c r="F50" i="15" s="1"/>
  <c r="F63" i="13"/>
  <c r="G56" i="15"/>
  <c r="G58" i="15" s="1"/>
  <c r="G63" i="15" s="1"/>
  <c r="G45" i="15"/>
  <c r="G50" i="15" s="1"/>
  <c r="O56" i="19"/>
  <c r="O45" i="19"/>
  <c r="O50" i="19" s="1"/>
  <c r="O45" i="15"/>
  <c r="O50" i="15" s="1"/>
  <c r="O56" i="15"/>
  <c r="J56" i="8"/>
  <c r="J58" i="8" s="1"/>
  <c r="J63" i="8" s="1"/>
  <c r="J45" i="8"/>
  <c r="J50" i="8" s="1"/>
  <c r="H56" i="14"/>
  <c r="H58" i="14" s="1"/>
  <c r="H63" i="14" s="1"/>
  <c r="H45" i="14"/>
  <c r="H50" i="14" s="1"/>
  <c r="H56" i="10"/>
  <c r="H58" i="10" s="1"/>
  <c r="H63" i="10" s="1"/>
  <c r="H45" i="10"/>
  <c r="H50" i="10" s="1"/>
  <c r="N56" i="10"/>
  <c r="N58" i="10" s="1"/>
  <c r="N63" i="10" s="1"/>
  <c r="N45" i="10"/>
  <c r="N50" i="10" s="1"/>
  <c r="H45" i="9"/>
  <c r="H50" i="9" s="1"/>
  <c r="H56" i="9"/>
  <c r="H58" i="9" s="1"/>
  <c r="H63" i="9" s="1"/>
  <c r="L56" i="9"/>
  <c r="L58" i="9" s="1"/>
  <c r="L63" i="9" s="1"/>
  <c r="L45" i="9"/>
  <c r="L50" i="9" s="1"/>
  <c r="H45" i="19"/>
  <c r="H50" i="19" s="1"/>
  <c r="H56" i="19"/>
  <c r="H58" i="19" s="1"/>
  <c r="H63" i="19" s="1"/>
  <c r="I45" i="19"/>
  <c r="I50" i="19" s="1"/>
  <c r="I56" i="19"/>
  <c r="I58" i="19" s="1"/>
  <c r="I63" i="19" s="1"/>
  <c r="F36" i="14"/>
  <c r="F32" i="14"/>
  <c r="I43" i="14"/>
  <c r="L36" i="13"/>
  <c r="L32" i="13"/>
  <c r="O43" i="13"/>
  <c r="G2" i="13"/>
  <c r="G2" i="9"/>
  <c r="I45" i="8"/>
  <c r="I50" i="8" s="1"/>
  <c r="I56" i="8"/>
  <c r="I58" i="8" s="1"/>
  <c r="I63" i="8" s="1"/>
  <c r="J56" i="10"/>
  <c r="J58" i="10" s="1"/>
  <c r="J63" i="10" s="1"/>
  <c r="J45" i="10"/>
  <c r="J50" i="10" s="1"/>
  <c r="M45" i="9"/>
  <c r="M50" i="9" s="1"/>
  <c r="M56" i="9"/>
  <c r="M58" i="9" s="1"/>
  <c r="M63" i="9" s="1"/>
  <c r="G45" i="14"/>
  <c r="G50" i="14" s="1"/>
  <c r="G56" i="14"/>
  <c r="G58" i="14" s="1"/>
  <c r="G63" i="14" s="1"/>
  <c r="J56" i="11"/>
  <c r="J58" i="11" s="1"/>
  <c r="J63" i="11" s="1"/>
  <c r="J45" i="11"/>
  <c r="J50" i="11" s="1"/>
  <c r="F56" i="6"/>
  <c r="F58" i="6" s="1"/>
  <c r="F63" i="6" s="1"/>
  <c r="F45" i="6"/>
  <c r="F50" i="6" s="1"/>
  <c r="L32" i="9"/>
  <c r="O43" i="9"/>
  <c r="L36" i="9"/>
  <c r="I45" i="9"/>
  <c r="I50" i="9" s="1"/>
  <c r="I56" i="9"/>
  <c r="I58" i="9" s="1"/>
  <c r="I63" i="9" s="1"/>
  <c r="G45" i="11"/>
  <c r="G50" i="11" s="1"/>
  <c r="G56" i="11"/>
  <c r="G58" i="11" s="1"/>
  <c r="G63" i="11" s="1"/>
  <c r="F45" i="18"/>
  <c r="F50" i="18" s="1"/>
  <c r="F56" i="18"/>
  <c r="F58" i="18" s="1"/>
  <c r="F63" i="18" s="1"/>
  <c r="M33" i="2"/>
  <c r="M24" i="2"/>
  <c r="J45" i="19"/>
  <c r="J50" i="19" s="1"/>
  <c r="J56" i="19"/>
  <c r="J58" i="19" s="1"/>
  <c r="J63" i="19" s="1"/>
  <c r="F45" i="10"/>
  <c r="F50" i="10" s="1"/>
  <c r="F56" i="10"/>
  <c r="F58" i="10" s="1"/>
  <c r="F63" i="10" s="1"/>
  <c r="M45" i="19"/>
  <c r="M50" i="19" s="1"/>
  <c r="M56" i="19"/>
  <c r="M58" i="19" s="1"/>
  <c r="M63" i="19" s="1"/>
  <c r="L45" i="19"/>
  <c r="L50" i="19" s="1"/>
  <c r="L56" i="19"/>
  <c r="L58" i="19" s="1"/>
  <c r="L63" i="19" s="1"/>
  <c r="H16" i="14"/>
  <c r="G17" i="14"/>
  <c r="G22" i="14" s="1"/>
  <c r="G27" i="14" s="1"/>
  <c r="G31" i="14" s="1"/>
  <c r="K45" i="10"/>
  <c r="K50" i="10" s="1"/>
  <c r="K56" i="10"/>
  <c r="K58" i="10" s="1"/>
  <c r="K63" i="10" s="1"/>
  <c r="K56" i="9"/>
  <c r="K58" i="9" s="1"/>
  <c r="K63" i="9" s="1"/>
  <c r="K45" i="9"/>
  <c r="K50" i="9" s="1"/>
  <c r="N16" i="13"/>
  <c r="M17" i="13"/>
  <c r="M22" i="13" s="1"/>
  <c r="M27" i="13" s="1"/>
  <c r="M31" i="13" s="1"/>
  <c r="F56" i="19"/>
  <c r="F58" i="19" s="1"/>
  <c r="F63" i="19" s="1"/>
  <c r="F45" i="19"/>
  <c r="F50" i="19" s="1"/>
  <c r="J45" i="15"/>
  <c r="J50" i="15" s="1"/>
  <c r="J56" i="15"/>
  <c r="J58" i="15" s="1"/>
  <c r="J63" i="15" s="1"/>
  <c r="K45" i="6"/>
  <c r="K50" i="6" s="1"/>
  <c r="K56" i="6"/>
  <c r="K58" i="6" s="1"/>
  <c r="K63" i="6" s="1"/>
  <c r="O32" i="11"/>
  <c r="R43" i="11"/>
  <c r="R45" i="11" s="1"/>
  <c r="R50" i="11" s="1"/>
  <c r="O19" i="2"/>
  <c r="N20" i="2"/>
  <c r="O32" i="6"/>
  <c r="R43" i="6"/>
  <c r="R45" i="6" s="1"/>
  <c r="R50" i="6" s="1"/>
  <c r="I56" i="10"/>
  <c r="I58" i="10" s="1"/>
  <c r="I63" i="10" s="1"/>
  <c r="I45" i="10"/>
  <c r="I50" i="10" s="1"/>
  <c r="M45" i="10"/>
  <c r="M50" i="10" s="1"/>
  <c r="M56" i="10"/>
  <c r="M58" i="10" s="1"/>
  <c r="M63" i="10" s="1"/>
  <c r="F45" i="11"/>
  <c r="F50" i="11" s="1"/>
  <c r="F56" i="11"/>
  <c r="F58" i="11" s="1"/>
  <c r="F63" i="11" s="1"/>
  <c r="H56" i="6"/>
  <c r="H58" i="6" s="1"/>
  <c r="H63" i="6" s="1"/>
  <c r="H45" i="6"/>
  <c r="H50" i="6" s="1"/>
  <c r="K45" i="11"/>
  <c r="K50" i="11" s="1"/>
  <c r="K56" i="11"/>
  <c r="K58" i="11" s="1"/>
  <c r="K63" i="11" s="1"/>
  <c r="N45" i="19"/>
  <c r="N50" i="19" s="1"/>
  <c r="N56" i="19"/>
  <c r="N58" i="19" s="1"/>
  <c r="N63" i="19" s="1"/>
  <c r="I56" i="11"/>
  <c r="I58" i="11" s="1"/>
  <c r="I63" i="11" s="1"/>
  <c r="I45" i="11"/>
  <c r="I50" i="11" s="1"/>
  <c r="N56" i="18"/>
  <c r="N58" i="18" s="1"/>
  <c r="N63" i="18" s="1"/>
  <c r="N45" i="18"/>
  <c r="N50" i="18" s="1"/>
  <c r="M56" i="11"/>
  <c r="M58" i="11" s="1"/>
  <c r="M63" i="11" s="1"/>
  <c r="M45" i="11"/>
  <c r="M50" i="11" s="1"/>
  <c r="K45" i="15"/>
  <c r="K50" i="15" s="1"/>
  <c r="K56" i="15"/>
  <c r="K58" i="15" s="1"/>
  <c r="K63" i="15" s="1"/>
  <c r="Q16" i="11"/>
  <c r="Q17" i="11" s="1"/>
  <c r="Q22" i="11" s="1"/>
  <c r="Q27" i="11" s="1"/>
  <c r="Q31" i="11" s="1"/>
  <c r="P17" i="11"/>
  <c r="P22" i="11" s="1"/>
  <c r="P27" i="11" s="1"/>
  <c r="P31" i="11" s="1"/>
  <c r="J45" i="18"/>
  <c r="J50" i="18" s="1"/>
  <c r="J56" i="18"/>
  <c r="J58" i="18" s="1"/>
  <c r="J63" i="18" s="1"/>
  <c r="N45" i="11"/>
  <c r="N50" i="11" s="1"/>
  <c r="N56" i="11"/>
  <c r="N58" i="11" s="1"/>
  <c r="N63" i="11" s="1"/>
  <c r="N56" i="13"/>
  <c r="N58" i="13" s="1"/>
  <c r="N63" i="13" s="1"/>
  <c r="N45" i="13"/>
  <c r="N50" i="13" s="1"/>
  <c r="J45" i="6"/>
  <c r="J50" i="6" s="1"/>
  <c r="J56" i="6"/>
  <c r="J58" i="6" s="1"/>
  <c r="J63" i="6" s="1"/>
  <c r="O56" i="10"/>
  <c r="O45" i="10"/>
  <c r="O50" i="10" s="1"/>
  <c r="F45" i="9"/>
  <c r="F50" i="9" s="1"/>
  <c r="F56" i="9"/>
  <c r="F58" i="9" s="1"/>
  <c r="F63" i="9" s="1"/>
  <c r="L45" i="15"/>
  <c r="L50" i="15" s="1"/>
  <c r="L56" i="15"/>
  <c r="L58" i="15" s="1"/>
  <c r="L63" i="15" s="1"/>
  <c r="G56" i="18"/>
  <c r="G58" i="18" s="1"/>
  <c r="G63" i="18" s="1"/>
  <c r="G45" i="18"/>
  <c r="G50" i="18" s="1"/>
  <c r="O45" i="11"/>
  <c r="O50" i="11" s="1"/>
  <c r="O56" i="11"/>
  <c r="H56" i="15"/>
  <c r="H58" i="15" s="1"/>
  <c r="H63" i="15" s="1"/>
  <c r="H45" i="15"/>
  <c r="H50" i="15" s="1"/>
  <c r="M56" i="13"/>
  <c r="M58" i="13" s="1"/>
  <c r="M63" i="13" s="1"/>
  <c r="M45" i="13"/>
  <c r="M50" i="13" s="1"/>
  <c r="G45" i="19"/>
  <c r="G50" i="19" s="1"/>
  <c r="G56" i="19"/>
  <c r="G58" i="19" s="1"/>
  <c r="G63" i="19" s="1"/>
  <c r="L45" i="10"/>
  <c r="L50" i="10" s="1"/>
  <c r="L56" i="10"/>
  <c r="L58" i="10" s="1"/>
  <c r="L63" i="10" s="1"/>
  <c r="O45" i="18"/>
  <c r="O50" i="18" s="1"/>
  <c r="O56" i="18"/>
  <c r="O45" i="6"/>
  <c r="O50" i="6" s="1"/>
  <c r="O56" i="6"/>
  <c r="G45" i="6"/>
  <c r="G50" i="6" s="1"/>
  <c r="G56" i="6"/>
  <c r="G58" i="6" s="1"/>
  <c r="G63" i="6" s="1"/>
  <c r="M45" i="6"/>
  <c r="M50" i="6" s="1"/>
  <c r="M56" i="6"/>
  <c r="M58" i="6" s="1"/>
  <c r="M63" i="6" s="1"/>
  <c r="J36" i="8"/>
  <c r="M43" i="8"/>
  <c r="J32" i="8"/>
  <c r="H56" i="11"/>
  <c r="H58" i="11" s="1"/>
  <c r="H63" i="11" s="1"/>
  <c r="H45" i="11"/>
  <c r="H50" i="11" s="1"/>
  <c r="H56" i="8"/>
  <c r="H58" i="8" s="1"/>
  <c r="H63" i="8" s="1"/>
  <c r="H45" i="8"/>
  <c r="H50" i="8" s="1"/>
  <c r="M56" i="15"/>
  <c r="M58" i="15" s="1"/>
  <c r="M63" i="15" s="1"/>
  <c r="M45" i="15"/>
  <c r="M50" i="15" s="1"/>
  <c r="D72" i="44" l="1"/>
  <c r="D41" i="44"/>
  <c r="M66" i="44"/>
  <c r="L67" i="44"/>
  <c r="G42" i="44"/>
  <c r="D188" i="44"/>
  <c r="D179" i="44"/>
  <c r="W178" i="44"/>
  <c r="G82" i="44"/>
  <c r="G45" i="44"/>
  <c r="G31" i="44"/>
  <c r="H113" i="44"/>
  <c r="I59" i="44"/>
  <c r="H61" i="44"/>
  <c r="F53" i="44"/>
  <c r="H28" i="44"/>
  <c r="N60" i="44"/>
  <c r="N29" i="44" s="1"/>
  <c r="F131" i="44"/>
  <c r="F136" i="44" s="1"/>
  <c r="E54" i="44"/>
  <c r="E56" i="44" s="1"/>
  <c r="E62" i="44" s="1"/>
  <c r="I28" i="44"/>
  <c r="I112" i="44"/>
  <c r="J109" i="44" s="1"/>
  <c r="F98" i="44"/>
  <c r="F99" i="44" s="1"/>
  <c r="E70" i="44"/>
  <c r="E71" i="44" s="1"/>
  <c r="M29" i="44"/>
  <c r="G82" i="43"/>
  <c r="G31" i="43"/>
  <c r="G45" i="43"/>
  <c r="H112" i="43"/>
  <c r="I109" i="43" s="1"/>
  <c r="N29" i="43"/>
  <c r="N60" i="43"/>
  <c r="D91" i="43"/>
  <c r="D53" i="43" s="1"/>
  <c r="D94" i="43"/>
  <c r="D96" i="43" s="1"/>
  <c r="D99" i="43" s="1"/>
  <c r="D175" i="43"/>
  <c r="D136" i="43"/>
  <c r="L66" i="43"/>
  <c r="K67" i="43"/>
  <c r="F61" i="43"/>
  <c r="G59" i="43"/>
  <c r="F113" i="43"/>
  <c r="M29" i="43"/>
  <c r="H28" i="42"/>
  <c r="D188" i="42"/>
  <c r="D179" i="42"/>
  <c r="W178" i="42"/>
  <c r="G127" i="42"/>
  <c r="G33" i="42" s="1"/>
  <c r="G35" i="42"/>
  <c r="G90" i="42"/>
  <c r="G157" i="42"/>
  <c r="E98" i="42"/>
  <c r="E99" i="42" s="1"/>
  <c r="D70" i="42"/>
  <c r="D71" i="42" s="1"/>
  <c r="D72" i="42" s="1"/>
  <c r="K67" i="42"/>
  <c r="L66" i="42"/>
  <c r="H113" i="42"/>
  <c r="H61" i="42"/>
  <c r="I59" i="42"/>
  <c r="H82" i="42"/>
  <c r="H31" i="42"/>
  <c r="H45" i="42"/>
  <c r="I28" i="42"/>
  <c r="I112" i="42"/>
  <c r="J109" i="42" s="1"/>
  <c r="D41" i="42"/>
  <c r="N29" i="42"/>
  <c r="N60" i="42"/>
  <c r="G42" i="42"/>
  <c r="F53" i="42"/>
  <c r="F131" i="42"/>
  <c r="F136" i="42" s="1"/>
  <c r="E54" i="42"/>
  <c r="E56" i="42" s="1"/>
  <c r="E62" i="42" s="1"/>
  <c r="D56" i="41"/>
  <c r="D62" i="41" s="1"/>
  <c r="G31" i="41"/>
  <c r="G127" i="41" s="1"/>
  <c r="G33" i="41" s="1"/>
  <c r="G35" i="41" s="1"/>
  <c r="D94" i="41"/>
  <c r="D96" i="41" s="1"/>
  <c r="D99" i="41" s="1"/>
  <c r="E98" i="41" s="1"/>
  <c r="E99" i="41" s="1"/>
  <c r="G45" i="41"/>
  <c r="E131" i="41"/>
  <c r="E136" i="41" s="1"/>
  <c r="E54" i="41" s="1"/>
  <c r="E56" i="41" s="1"/>
  <c r="E62" i="41" s="1"/>
  <c r="D41" i="41"/>
  <c r="N60" i="41"/>
  <c r="D188" i="41"/>
  <c r="D179" i="41"/>
  <c r="W178" i="41"/>
  <c r="F53" i="41"/>
  <c r="G113" i="41"/>
  <c r="G61" i="41"/>
  <c r="H59" i="41"/>
  <c r="H28" i="41"/>
  <c r="I112" i="41"/>
  <c r="J109" i="41" s="1"/>
  <c r="M66" i="41"/>
  <c r="L67" i="41"/>
  <c r="M29" i="41"/>
  <c r="G90" i="41"/>
  <c r="G157" i="41"/>
  <c r="G82" i="40"/>
  <c r="G31" i="40"/>
  <c r="G45" i="40"/>
  <c r="H112" i="40"/>
  <c r="I109" i="40" s="1"/>
  <c r="H28" i="40"/>
  <c r="E98" i="40"/>
  <c r="E99" i="40" s="1"/>
  <c r="D70" i="40"/>
  <c r="D71" i="40" s="1"/>
  <c r="E53" i="40"/>
  <c r="F113" i="40"/>
  <c r="F61" i="40"/>
  <c r="G59" i="40"/>
  <c r="W177" i="40"/>
  <c r="D177" i="40"/>
  <c r="N60" i="40"/>
  <c r="L66" i="40"/>
  <c r="K67" i="40"/>
  <c r="E131" i="40"/>
  <c r="E136" i="40" s="1"/>
  <c r="D54" i="40"/>
  <c r="D56" i="40" s="1"/>
  <c r="D62" i="40" s="1"/>
  <c r="M29" i="40"/>
  <c r="F113" i="39"/>
  <c r="F61" i="39"/>
  <c r="G59" i="39"/>
  <c r="D94" i="39"/>
  <c r="D96" i="39" s="1"/>
  <c r="D99" i="39" s="1"/>
  <c r="E53" i="39"/>
  <c r="L66" i="39"/>
  <c r="K67" i="39"/>
  <c r="N60" i="39"/>
  <c r="G28" i="39"/>
  <c r="E131" i="39"/>
  <c r="E136" i="39" s="1"/>
  <c r="D54" i="39"/>
  <c r="D56" i="39" s="1"/>
  <c r="D62" i="39" s="1"/>
  <c r="H112" i="39"/>
  <c r="I109" i="39" s="1"/>
  <c r="W177" i="39"/>
  <c r="D177" i="39"/>
  <c r="W177" i="38"/>
  <c r="D177" i="38"/>
  <c r="E98" i="38"/>
  <c r="E99" i="38" s="1"/>
  <c r="D70" i="38"/>
  <c r="D71" i="38" s="1"/>
  <c r="F113" i="38"/>
  <c r="G59" i="38"/>
  <c r="F61" i="38"/>
  <c r="E53" i="38"/>
  <c r="N60" i="38"/>
  <c r="N29" i="38"/>
  <c r="M29" i="38"/>
  <c r="G82" i="38"/>
  <c r="G31" i="38"/>
  <c r="G45" i="38"/>
  <c r="H112" i="38"/>
  <c r="I109" i="38" s="1"/>
  <c r="E131" i="38"/>
  <c r="E136" i="38" s="1"/>
  <c r="D54" i="38"/>
  <c r="D56" i="38" s="1"/>
  <c r="D62" i="38" s="1"/>
  <c r="M66" i="38"/>
  <c r="L67" i="38"/>
  <c r="D91" i="37"/>
  <c r="D53" i="37" s="1"/>
  <c r="D94" i="37"/>
  <c r="D96" i="37" s="1"/>
  <c r="D99" i="37" s="1"/>
  <c r="N60" i="37"/>
  <c r="F61" i="37"/>
  <c r="F113" i="37"/>
  <c r="G59" i="37"/>
  <c r="M29" i="37"/>
  <c r="G82" i="37"/>
  <c r="G45" i="37"/>
  <c r="G31" i="37"/>
  <c r="H112" i="37"/>
  <c r="I109" i="37" s="1"/>
  <c r="D175" i="37"/>
  <c r="D136" i="37"/>
  <c r="L66" i="37"/>
  <c r="K67" i="37"/>
  <c r="E98" i="36"/>
  <c r="E99" i="36" s="1"/>
  <c r="D70" i="36"/>
  <c r="D71" i="36" s="1"/>
  <c r="D72" i="36" s="1"/>
  <c r="H82" i="36"/>
  <c r="H45" i="36"/>
  <c r="H31" i="36"/>
  <c r="D188" i="36"/>
  <c r="D179" i="36"/>
  <c r="W178" i="36"/>
  <c r="N60" i="36"/>
  <c r="N29" i="36"/>
  <c r="G113" i="36"/>
  <c r="G61" i="36"/>
  <c r="H59" i="36"/>
  <c r="F53" i="36"/>
  <c r="I112" i="36"/>
  <c r="J109" i="36" s="1"/>
  <c r="I28" i="36"/>
  <c r="D41" i="36"/>
  <c r="G127" i="36"/>
  <c r="G33" i="36" s="1"/>
  <c r="G35" i="36" s="1"/>
  <c r="F131" i="36"/>
  <c r="F136" i="36" s="1"/>
  <c r="E54" i="36"/>
  <c r="E56" i="36" s="1"/>
  <c r="E62" i="36" s="1"/>
  <c r="K66" i="36"/>
  <c r="J67" i="36"/>
  <c r="G157" i="36"/>
  <c r="G90" i="36"/>
  <c r="L45" i="8"/>
  <c r="L50" i="8" s="1"/>
  <c r="N33" i="4"/>
  <c r="J38" i="4"/>
  <c r="J28" i="4"/>
  <c r="J32" i="4" s="1"/>
  <c r="L28" i="4"/>
  <c r="L32" i="4" s="1"/>
  <c r="L38" i="4"/>
  <c r="E28" i="4"/>
  <c r="E32" i="4" s="1"/>
  <c r="E38" i="4"/>
  <c r="O28" i="4"/>
  <c r="O32" i="4" s="1"/>
  <c r="F38" i="4"/>
  <c r="F28" i="4"/>
  <c r="F32" i="4" s="1"/>
  <c r="H38" i="4"/>
  <c r="H28" i="4"/>
  <c r="H32" i="4" s="1"/>
  <c r="G28" i="4"/>
  <c r="G32" i="4" s="1"/>
  <c r="G38" i="4"/>
  <c r="D38" i="4"/>
  <c r="D28" i="4"/>
  <c r="D32" i="4" s="1"/>
  <c r="I38" i="4"/>
  <c r="I28" i="4"/>
  <c r="I32" i="4" s="1"/>
  <c r="M38" i="4"/>
  <c r="M28" i="4"/>
  <c r="M32" i="4" s="1"/>
  <c r="K28" i="4"/>
  <c r="K32" i="4" s="1"/>
  <c r="K38" i="4"/>
  <c r="Q38" i="4"/>
  <c r="Q28" i="4"/>
  <c r="Q32" i="4" s="1"/>
  <c r="P28" i="4"/>
  <c r="P32" i="4" s="1"/>
  <c r="P38" i="4"/>
  <c r="C38" i="4"/>
  <c r="C28" i="4"/>
  <c r="C32" i="4" s="1"/>
  <c r="G61" i="27"/>
  <c r="G42" i="27" s="1"/>
  <c r="H59" i="27"/>
  <c r="G113" i="27"/>
  <c r="I28" i="27"/>
  <c r="J112" i="27"/>
  <c r="K109" i="27" s="1"/>
  <c r="K50" i="26"/>
  <c r="L46" i="26"/>
  <c r="L47" i="26"/>
  <c r="M53" i="26"/>
  <c r="N52" i="26" s="1"/>
  <c r="G28" i="26"/>
  <c r="H25" i="26"/>
  <c r="H31" i="26"/>
  <c r="I30" i="26" s="1"/>
  <c r="F131" i="27"/>
  <c r="E54" i="27"/>
  <c r="L66" i="27"/>
  <c r="K67" i="27"/>
  <c r="J11" i="26"/>
  <c r="K9" i="26"/>
  <c r="K11" i="26" s="1"/>
  <c r="L14" i="26"/>
  <c r="M13" i="26" s="1"/>
  <c r="K67" i="25"/>
  <c r="J68" i="25"/>
  <c r="P32" i="11"/>
  <c r="S43" i="11"/>
  <c r="S45" i="11" s="1"/>
  <c r="S50" i="11" s="1"/>
  <c r="P43" i="13"/>
  <c r="P45" i="13" s="1"/>
  <c r="P50" i="13" s="1"/>
  <c r="M32" i="13"/>
  <c r="I45" i="14"/>
  <c r="I50" i="14" s="1"/>
  <c r="I56" i="14"/>
  <c r="I58" i="14" s="1"/>
  <c r="I63" i="14" s="1"/>
  <c r="N43" i="8"/>
  <c r="K36" i="8"/>
  <c r="K32" i="8"/>
  <c r="T43" i="11"/>
  <c r="Q32" i="11"/>
  <c r="O16" i="13"/>
  <c r="N17" i="13"/>
  <c r="N22" i="13" s="1"/>
  <c r="N27" i="13" s="1"/>
  <c r="N31" i="13" s="1"/>
  <c r="G32" i="14"/>
  <c r="J43" i="14"/>
  <c r="G36" i="14"/>
  <c r="M16" i="8"/>
  <c r="L17" i="8"/>
  <c r="L22" i="8" s="1"/>
  <c r="L27" i="8" s="1"/>
  <c r="L31" i="8" s="1"/>
  <c r="N33" i="2"/>
  <c r="N24" i="2"/>
  <c r="M45" i="8"/>
  <c r="M50" i="8" s="1"/>
  <c r="M56" i="8"/>
  <c r="M58" i="8" s="1"/>
  <c r="M63" i="8" s="1"/>
  <c r="O20" i="2"/>
  <c r="P19" i="2"/>
  <c r="O45" i="13"/>
  <c r="O50" i="13" s="1"/>
  <c r="O56" i="13"/>
  <c r="M32" i="9"/>
  <c r="P43" i="9"/>
  <c r="P45" i="9" s="1"/>
  <c r="P50" i="9" s="1"/>
  <c r="I16" i="14"/>
  <c r="H17" i="14"/>
  <c r="H22" i="14" s="1"/>
  <c r="H27" i="14" s="1"/>
  <c r="H31" i="14" s="1"/>
  <c r="N45" i="9"/>
  <c r="N50" i="9" s="1"/>
  <c r="N56" i="9"/>
  <c r="N58" i="9" s="1"/>
  <c r="N63" i="9" s="1"/>
  <c r="O16" i="9"/>
  <c r="N17" i="9"/>
  <c r="N22" i="9" s="1"/>
  <c r="N27" i="9" s="1"/>
  <c r="N31" i="9" s="1"/>
  <c r="O56" i="9"/>
  <c r="O45" i="9"/>
  <c r="O50" i="9" s="1"/>
  <c r="E72" i="44" l="1"/>
  <c r="E41" i="44"/>
  <c r="G53" i="44"/>
  <c r="I61" i="44"/>
  <c r="J59" i="44"/>
  <c r="I113" i="44"/>
  <c r="G98" i="44"/>
  <c r="F70" i="44"/>
  <c r="F71" i="44" s="1"/>
  <c r="G131" i="44"/>
  <c r="F54" i="44"/>
  <c r="F56" i="44" s="1"/>
  <c r="F62" i="44" s="1"/>
  <c r="G188" i="44"/>
  <c r="G189" i="44" s="1"/>
  <c r="D189" i="44"/>
  <c r="D190" i="44" s="1"/>
  <c r="G127" i="44"/>
  <c r="G33" i="44" s="1"/>
  <c r="G35" i="44" s="1"/>
  <c r="O60" i="44"/>
  <c r="O29" i="44"/>
  <c r="G157" i="44"/>
  <c r="G90" i="44"/>
  <c r="M67" i="44"/>
  <c r="N66" i="44"/>
  <c r="J112" i="44"/>
  <c r="K109" i="44" s="1"/>
  <c r="J28" i="44"/>
  <c r="H82" i="44"/>
  <c r="H31" i="44"/>
  <c r="H45" i="44"/>
  <c r="I82" i="44"/>
  <c r="I45" i="44"/>
  <c r="I31" i="44"/>
  <c r="H42" i="44"/>
  <c r="G127" i="43"/>
  <c r="G33" i="43" s="1"/>
  <c r="G35" i="43" s="1"/>
  <c r="G90" i="43"/>
  <c r="G157" i="43"/>
  <c r="O60" i="43"/>
  <c r="G113" i="43"/>
  <c r="G61" i="43"/>
  <c r="H59" i="43"/>
  <c r="W177" i="43"/>
  <c r="D177" i="43"/>
  <c r="L67" i="43"/>
  <c r="M66" i="43"/>
  <c r="I112" i="43"/>
  <c r="J109" i="43" s="1"/>
  <c r="E131" i="43"/>
  <c r="E136" i="43" s="1"/>
  <c r="D54" i="43"/>
  <c r="D56" i="43" s="1"/>
  <c r="D62" i="43" s="1"/>
  <c r="H28" i="43"/>
  <c r="E98" i="43"/>
  <c r="E99" i="43" s="1"/>
  <c r="D70" i="43"/>
  <c r="D71" i="43" s="1"/>
  <c r="E53" i="43"/>
  <c r="E41" i="42"/>
  <c r="I113" i="42"/>
  <c r="I61" i="42"/>
  <c r="J59" i="42"/>
  <c r="H90" i="42"/>
  <c r="H157" i="42"/>
  <c r="G132" i="42"/>
  <c r="G134" i="42" s="1"/>
  <c r="G93" i="42" s="1"/>
  <c r="G94" i="42" s="1"/>
  <c r="G77" i="42"/>
  <c r="G37" i="42"/>
  <c r="G43" i="42"/>
  <c r="G53" i="42"/>
  <c r="J112" i="42"/>
  <c r="K109" i="42" s="1"/>
  <c r="L67" i="42"/>
  <c r="M66" i="42"/>
  <c r="I82" i="42"/>
  <c r="I45" i="42"/>
  <c r="I31" i="42"/>
  <c r="G131" i="42"/>
  <c r="F54" i="42"/>
  <c r="F56" i="42" s="1"/>
  <c r="F62" i="42" s="1"/>
  <c r="G175" i="42"/>
  <c r="H42" i="42"/>
  <c r="O60" i="42"/>
  <c r="O29" i="42" s="1"/>
  <c r="H127" i="42"/>
  <c r="H33" i="42" s="1"/>
  <c r="H35" i="42"/>
  <c r="F98" i="42"/>
  <c r="F99" i="42" s="1"/>
  <c r="E70" i="42"/>
  <c r="E71" i="42" s="1"/>
  <c r="E72" i="42" s="1"/>
  <c r="G188" i="42"/>
  <c r="G189" i="42" s="1"/>
  <c r="D189" i="42"/>
  <c r="D190" i="42" s="1"/>
  <c r="D70" i="41"/>
  <c r="D71" i="41" s="1"/>
  <c r="D72" i="41" s="1"/>
  <c r="F131" i="41"/>
  <c r="F136" i="41" s="1"/>
  <c r="F54" i="41" s="1"/>
  <c r="F56" i="41" s="1"/>
  <c r="F62" i="41" s="1"/>
  <c r="E41" i="41"/>
  <c r="H82" i="41"/>
  <c r="H45" i="41"/>
  <c r="H31" i="41"/>
  <c r="H113" i="41"/>
  <c r="H61" i="41"/>
  <c r="I59" i="41"/>
  <c r="G42" i="41"/>
  <c r="G188" i="41"/>
  <c r="G189" i="41" s="1"/>
  <c r="D189" i="41"/>
  <c r="D190" i="41" s="1"/>
  <c r="O60" i="41"/>
  <c r="O29" i="41"/>
  <c r="G53" i="41"/>
  <c r="N29" i="41"/>
  <c r="J112" i="41"/>
  <c r="K109" i="41" s="1"/>
  <c r="M67" i="41"/>
  <c r="N66" i="41"/>
  <c r="G175" i="41"/>
  <c r="G132" i="41"/>
  <c r="G134" i="41" s="1"/>
  <c r="G93" i="41" s="1"/>
  <c r="G94" i="41" s="1"/>
  <c r="G37" i="41"/>
  <c r="G43" i="41"/>
  <c r="G77" i="41"/>
  <c r="I28" i="41"/>
  <c r="F98" i="41"/>
  <c r="F99" i="41" s="1"/>
  <c r="E70" i="41"/>
  <c r="E71" i="41" s="1"/>
  <c r="E72" i="41" s="1"/>
  <c r="D72" i="40"/>
  <c r="D41" i="40"/>
  <c r="O60" i="40"/>
  <c r="O29" i="40"/>
  <c r="D188" i="40"/>
  <c r="W178" i="40"/>
  <c r="D179" i="40"/>
  <c r="H82" i="40"/>
  <c r="H45" i="40"/>
  <c r="H31" i="40"/>
  <c r="F131" i="40"/>
  <c r="F136" i="40" s="1"/>
  <c r="E54" i="40"/>
  <c r="E56" i="40" s="1"/>
  <c r="E62" i="40" s="1"/>
  <c r="G113" i="40"/>
  <c r="G61" i="40"/>
  <c r="H59" i="40"/>
  <c r="I112" i="40"/>
  <c r="J109" i="40" s="1"/>
  <c r="I28" i="40"/>
  <c r="L67" i="40"/>
  <c r="M66" i="40"/>
  <c r="G127" i="40"/>
  <c r="G33" i="40" s="1"/>
  <c r="G35" i="40" s="1"/>
  <c r="F98" i="40"/>
  <c r="F99" i="40" s="1"/>
  <c r="E70" i="40"/>
  <c r="E71" i="40" s="1"/>
  <c r="N29" i="40"/>
  <c r="F53" i="40"/>
  <c r="G90" i="40"/>
  <c r="G157" i="40"/>
  <c r="D72" i="39"/>
  <c r="D41" i="39"/>
  <c r="F131" i="39"/>
  <c r="F136" i="39" s="1"/>
  <c r="E54" i="39"/>
  <c r="E56" i="39"/>
  <c r="E62" i="39" s="1"/>
  <c r="F53" i="39"/>
  <c r="I112" i="39"/>
  <c r="J109" i="39" s="1"/>
  <c r="I28" i="39"/>
  <c r="G82" i="39"/>
  <c r="G45" i="39"/>
  <c r="G31" i="39"/>
  <c r="E98" i="39"/>
  <c r="E99" i="39" s="1"/>
  <c r="D70" i="39"/>
  <c r="D71" i="39" s="1"/>
  <c r="L67" i="39"/>
  <c r="M66" i="39"/>
  <c r="D188" i="39"/>
  <c r="D179" i="39"/>
  <c r="W178" i="39"/>
  <c r="O60" i="39"/>
  <c r="O29" i="39" s="1"/>
  <c r="G113" i="39"/>
  <c r="G61" i="39"/>
  <c r="H59" i="39"/>
  <c r="N29" i="39"/>
  <c r="H28" i="39"/>
  <c r="D72" i="38"/>
  <c r="D41" i="38"/>
  <c r="F53" i="38"/>
  <c r="G90" i="38"/>
  <c r="G157" i="38"/>
  <c r="M67" i="38"/>
  <c r="N66" i="38"/>
  <c r="G113" i="38"/>
  <c r="G61" i="38"/>
  <c r="H59" i="38"/>
  <c r="G127" i="38"/>
  <c r="G33" i="38" s="1"/>
  <c r="G35" i="38" s="1"/>
  <c r="F131" i="38"/>
  <c r="F136" i="38" s="1"/>
  <c r="E54" i="38"/>
  <c r="E56" i="38" s="1"/>
  <c r="E62" i="38" s="1"/>
  <c r="I112" i="38"/>
  <c r="J109" i="38" s="1"/>
  <c r="I28" i="38"/>
  <c r="F98" i="38"/>
  <c r="F99" i="38" s="1"/>
  <c r="E70" i="38"/>
  <c r="E71" i="38" s="1"/>
  <c r="H28" i="38"/>
  <c r="O60" i="38"/>
  <c r="D188" i="38"/>
  <c r="D179" i="38"/>
  <c r="W178" i="38"/>
  <c r="O60" i="37"/>
  <c r="G127" i="37"/>
  <c r="G33" i="37" s="1"/>
  <c r="G35" i="37" s="1"/>
  <c r="E98" i="37"/>
  <c r="E99" i="37" s="1"/>
  <c r="D70" i="37"/>
  <c r="D71" i="37" s="1"/>
  <c r="G90" i="37"/>
  <c r="G157" i="37"/>
  <c r="E53" i="37"/>
  <c r="E131" i="37"/>
  <c r="E136" i="37" s="1"/>
  <c r="D54" i="37"/>
  <c r="D56" i="37" s="1"/>
  <c r="D62" i="37" s="1"/>
  <c r="I112" i="37"/>
  <c r="J109" i="37" s="1"/>
  <c r="H28" i="37"/>
  <c r="N29" i="37"/>
  <c r="L67" i="37"/>
  <c r="M66" i="37"/>
  <c r="W177" i="37"/>
  <c r="D177" i="37"/>
  <c r="G113" i="37"/>
  <c r="G61" i="37"/>
  <c r="H59" i="37"/>
  <c r="E41" i="36"/>
  <c r="G77" i="36"/>
  <c r="G37" i="36"/>
  <c r="G132" i="36"/>
  <c r="G134" i="36" s="1"/>
  <c r="G93" i="36" s="1"/>
  <c r="G94" i="36" s="1"/>
  <c r="G43" i="36"/>
  <c r="G42" i="36"/>
  <c r="I82" i="36"/>
  <c r="I45" i="36"/>
  <c r="I31" i="36"/>
  <c r="G131" i="36"/>
  <c r="F54" i="36"/>
  <c r="F56" i="36" s="1"/>
  <c r="F62" i="36" s="1"/>
  <c r="G53" i="36"/>
  <c r="E70" i="36"/>
  <c r="E71" i="36" s="1"/>
  <c r="E72" i="36" s="1"/>
  <c r="F98" i="36"/>
  <c r="F99" i="36" s="1"/>
  <c r="G175" i="36"/>
  <c r="H127" i="36"/>
  <c r="H33" i="36" s="1"/>
  <c r="H35" i="36" s="1"/>
  <c r="H157" i="36"/>
  <c r="H90" i="36"/>
  <c r="K67" i="36"/>
  <c r="L66" i="36"/>
  <c r="O29" i="36"/>
  <c r="O60" i="36"/>
  <c r="J112" i="36"/>
  <c r="K109" i="36" s="1"/>
  <c r="J28" i="36"/>
  <c r="H113" i="36"/>
  <c r="I59" i="36"/>
  <c r="H61" i="36"/>
  <c r="G188" i="36"/>
  <c r="G189" i="36" s="1"/>
  <c r="D189" i="36"/>
  <c r="D190" i="36" s="1"/>
  <c r="Q33" i="4"/>
  <c r="T44" i="4"/>
  <c r="D37" i="4"/>
  <c r="G44" i="4"/>
  <c r="D33" i="4"/>
  <c r="O33" i="4"/>
  <c r="R44" i="4"/>
  <c r="R46" i="4" s="1"/>
  <c r="R51" i="4" s="1"/>
  <c r="P33" i="4"/>
  <c r="S44" i="4"/>
  <c r="S46" i="4" s="1"/>
  <c r="S51" i="4" s="1"/>
  <c r="H44" i="4"/>
  <c r="E33" i="4"/>
  <c r="E37" i="4"/>
  <c r="I37" i="4"/>
  <c r="L44" i="4"/>
  <c r="I33" i="4"/>
  <c r="N44" i="4"/>
  <c r="K37" i="4"/>
  <c r="K33" i="4"/>
  <c r="J44" i="4"/>
  <c r="G33" i="4"/>
  <c r="G37" i="4"/>
  <c r="F37" i="4"/>
  <c r="I44" i="4"/>
  <c r="F33" i="4"/>
  <c r="C33" i="4"/>
  <c r="C37" i="4"/>
  <c r="G2" i="4"/>
  <c r="F44" i="4"/>
  <c r="P44" i="4"/>
  <c r="P46" i="4" s="1"/>
  <c r="P51" i="4" s="1"/>
  <c r="M33" i="4"/>
  <c r="H37" i="4"/>
  <c r="K44" i="4"/>
  <c r="H33" i="4"/>
  <c r="L33" i="4"/>
  <c r="O44" i="4"/>
  <c r="L37" i="4"/>
  <c r="J33" i="4"/>
  <c r="J37" i="4"/>
  <c r="M44" i="4"/>
  <c r="J28" i="27"/>
  <c r="I59" i="27"/>
  <c r="H61" i="27"/>
  <c r="H42" i="27" s="1"/>
  <c r="H113" i="27"/>
  <c r="K112" i="27"/>
  <c r="L109" i="27" s="1"/>
  <c r="L50" i="26"/>
  <c r="M47" i="26"/>
  <c r="M46" i="26"/>
  <c r="H24" i="26"/>
  <c r="N53" i="26"/>
  <c r="O52" i="26" s="1"/>
  <c r="G82" i="27"/>
  <c r="G31" i="27"/>
  <c r="G127" i="27" s="1"/>
  <c r="G33" i="27" s="1"/>
  <c r="G35" i="27" s="1"/>
  <c r="G45" i="27"/>
  <c r="I31" i="26"/>
  <c r="J30" i="26" s="1"/>
  <c r="I24" i="26"/>
  <c r="L67" i="27"/>
  <c r="M66" i="27"/>
  <c r="L9" i="26"/>
  <c r="M14" i="26"/>
  <c r="N13" i="26" s="1"/>
  <c r="L67" i="25"/>
  <c r="K68" i="25"/>
  <c r="L32" i="8"/>
  <c r="O43" i="8"/>
  <c r="L36" i="8"/>
  <c r="J56" i="14"/>
  <c r="J58" i="14" s="1"/>
  <c r="J63" i="14" s="1"/>
  <c r="J45" i="14"/>
  <c r="J50" i="14" s="1"/>
  <c r="G2" i="8"/>
  <c r="O17" i="9"/>
  <c r="O22" i="9" s="1"/>
  <c r="O27" i="9" s="1"/>
  <c r="O31" i="9" s="1"/>
  <c r="P16" i="9"/>
  <c r="P20" i="2"/>
  <c r="P24" i="2" s="1"/>
  <c r="Q19" i="2"/>
  <c r="N16" i="8"/>
  <c r="M17" i="8"/>
  <c r="M22" i="8" s="1"/>
  <c r="M27" i="8" s="1"/>
  <c r="M31" i="8" s="1"/>
  <c r="N32" i="9"/>
  <c r="Q43" i="9"/>
  <c r="Q45" i="9" s="1"/>
  <c r="Q50" i="9" s="1"/>
  <c r="K43" i="14"/>
  <c r="H36" i="14"/>
  <c r="H32" i="14"/>
  <c r="O33" i="2"/>
  <c r="O24" i="2"/>
  <c r="Q43" i="13"/>
  <c r="Q45" i="13" s="1"/>
  <c r="Q50" i="13" s="1"/>
  <c r="N32" i="13"/>
  <c r="J16" i="14"/>
  <c r="I17" i="14"/>
  <c r="I22" i="14" s="1"/>
  <c r="I27" i="14" s="1"/>
  <c r="I31" i="14" s="1"/>
  <c r="P16" i="13"/>
  <c r="O17" i="13"/>
  <c r="O22" i="13" s="1"/>
  <c r="O27" i="13" s="1"/>
  <c r="O31" i="13" s="1"/>
  <c r="N56" i="8"/>
  <c r="N58" i="8" s="1"/>
  <c r="N63" i="8" s="1"/>
  <c r="N45" i="8"/>
  <c r="N50" i="8" s="1"/>
  <c r="F72" i="44" l="1"/>
  <c r="F41" i="44"/>
  <c r="H127" i="44"/>
  <c r="H33" i="44" s="1"/>
  <c r="H35" i="44" s="1"/>
  <c r="H157" i="44"/>
  <c r="H90" i="44"/>
  <c r="P60" i="44"/>
  <c r="P29" i="44"/>
  <c r="J82" i="44"/>
  <c r="J45" i="44"/>
  <c r="J31" i="44"/>
  <c r="G77" i="44"/>
  <c r="G132" i="44"/>
  <c r="G134" i="44" s="1"/>
  <c r="G93" i="44" s="1"/>
  <c r="G94" i="44" s="1"/>
  <c r="G37" i="44"/>
  <c r="G43" i="44"/>
  <c r="K112" i="44"/>
  <c r="L109" i="44" s="1"/>
  <c r="I127" i="44"/>
  <c r="I33" i="44" s="1"/>
  <c r="I35" i="44" s="1"/>
  <c r="N67" i="44"/>
  <c r="O66" i="44"/>
  <c r="J113" i="44"/>
  <c r="K59" i="44"/>
  <c r="J61" i="44"/>
  <c r="I42" i="44"/>
  <c r="I157" i="44"/>
  <c r="I90" i="44"/>
  <c r="G175" i="44"/>
  <c r="H53" i="44"/>
  <c r="D72" i="43"/>
  <c r="D41" i="43"/>
  <c r="P60" i="43"/>
  <c r="P29" i="43" s="1"/>
  <c r="O29" i="43"/>
  <c r="D188" i="43"/>
  <c r="D179" i="43"/>
  <c r="W178" i="43"/>
  <c r="H82" i="43"/>
  <c r="H45" i="43"/>
  <c r="H31" i="43"/>
  <c r="G175" i="43"/>
  <c r="F53" i="43"/>
  <c r="I28" i="43"/>
  <c r="G42" i="43"/>
  <c r="M67" i="43"/>
  <c r="N66" i="43"/>
  <c r="F98" i="43"/>
  <c r="F99" i="43" s="1"/>
  <c r="E70" i="43"/>
  <c r="E71" i="43" s="1"/>
  <c r="G132" i="43"/>
  <c r="G134" i="43" s="1"/>
  <c r="G93" i="43" s="1"/>
  <c r="G94" i="43" s="1"/>
  <c r="G77" i="43"/>
  <c r="G37" i="43"/>
  <c r="G43" i="43"/>
  <c r="F131" i="43"/>
  <c r="F136" i="43" s="1"/>
  <c r="E54" i="43"/>
  <c r="E56" i="43" s="1"/>
  <c r="E62" i="43" s="1"/>
  <c r="H113" i="43"/>
  <c r="H61" i="43"/>
  <c r="I59" i="43"/>
  <c r="J112" i="43"/>
  <c r="K109" i="43" s="1"/>
  <c r="J28" i="43"/>
  <c r="F41" i="42"/>
  <c r="H132" i="42"/>
  <c r="H134" i="42" s="1"/>
  <c r="H93" i="42" s="1"/>
  <c r="H94" i="42" s="1"/>
  <c r="H77" i="42"/>
  <c r="H37" i="42"/>
  <c r="H43" i="42"/>
  <c r="G136" i="42"/>
  <c r="J28" i="42"/>
  <c r="H175" i="42"/>
  <c r="H53" i="42"/>
  <c r="J113" i="42"/>
  <c r="J61" i="42"/>
  <c r="K59" i="42"/>
  <c r="P29" i="42"/>
  <c r="P60" i="42"/>
  <c r="I127" i="42"/>
  <c r="I33" i="42" s="1"/>
  <c r="I35" i="42" s="1"/>
  <c r="I42" i="42"/>
  <c r="I157" i="42"/>
  <c r="I90" i="42"/>
  <c r="K112" i="42"/>
  <c r="L109" i="42" s="1"/>
  <c r="G98" i="42"/>
  <c r="F70" i="42"/>
  <c r="F71" i="42" s="1"/>
  <c r="F72" i="42" s="1"/>
  <c r="M67" i="42"/>
  <c r="N66" i="42"/>
  <c r="G83" i="42"/>
  <c r="G151" i="42"/>
  <c r="G158" i="42" s="1"/>
  <c r="G131" i="41"/>
  <c r="G136" i="41" s="1"/>
  <c r="F41" i="41"/>
  <c r="H127" i="41"/>
  <c r="H33" i="41" s="1"/>
  <c r="H35" i="41" s="1"/>
  <c r="H90" i="41"/>
  <c r="H157" i="41"/>
  <c r="G98" i="41"/>
  <c r="F70" i="41"/>
  <c r="F71" i="41" s="1"/>
  <c r="F72" i="41" s="1"/>
  <c r="N67" i="41"/>
  <c r="O66" i="41"/>
  <c r="I82" i="41"/>
  <c r="I31" i="41"/>
  <c r="I45" i="41"/>
  <c r="K112" i="41"/>
  <c r="L109" i="41" s="1"/>
  <c r="H53" i="41"/>
  <c r="I113" i="41"/>
  <c r="I61" i="41"/>
  <c r="J59" i="41"/>
  <c r="P29" i="41"/>
  <c r="P60" i="41"/>
  <c r="H42" i="41"/>
  <c r="G151" i="41"/>
  <c r="G158" i="41" s="1"/>
  <c r="G83" i="41"/>
  <c r="J28" i="41"/>
  <c r="G132" i="40"/>
  <c r="G134" i="40" s="1"/>
  <c r="G93" i="40" s="1"/>
  <c r="G94" i="40" s="1"/>
  <c r="G37" i="40"/>
  <c r="G43" i="40"/>
  <c r="G77" i="40"/>
  <c r="E72" i="40"/>
  <c r="E41" i="40"/>
  <c r="G131" i="40"/>
  <c r="F54" i="40"/>
  <c r="F56" i="40" s="1"/>
  <c r="F62" i="40" s="1"/>
  <c r="H113" i="40"/>
  <c r="H61" i="40"/>
  <c r="I59" i="40"/>
  <c r="G42" i="40"/>
  <c r="H127" i="40"/>
  <c r="H33" i="40" s="1"/>
  <c r="H35" i="40" s="1"/>
  <c r="P60" i="40"/>
  <c r="P29" i="40" s="1"/>
  <c r="M67" i="40"/>
  <c r="N66" i="40"/>
  <c r="G53" i="40"/>
  <c r="I82" i="40"/>
  <c r="I31" i="40"/>
  <c r="I45" i="40"/>
  <c r="G175" i="40"/>
  <c r="G188" i="40"/>
  <c r="G189" i="40" s="1"/>
  <c r="D189" i="40"/>
  <c r="D190" i="40" s="1"/>
  <c r="G98" i="40"/>
  <c r="F70" i="40"/>
  <c r="F71" i="40" s="1"/>
  <c r="J112" i="40"/>
  <c r="K109" i="40" s="1"/>
  <c r="J28" i="40"/>
  <c r="H90" i="40"/>
  <c r="H157" i="40"/>
  <c r="I82" i="39"/>
  <c r="I31" i="39"/>
  <c r="I45" i="39"/>
  <c r="M67" i="39"/>
  <c r="N66" i="39"/>
  <c r="J112" i="39"/>
  <c r="K109" i="39" s="1"/>
  <c r="J28" i="39"/>
  <c r="H113" i="39"/>
  <c r="H61" i="39"/>
  <c r="I59" i="39"/>
  <c r="G188" i="39"/>
  <c r="G189" i="39" s="1"/>
  <c r="D189" i="39"/>
  <c r="D190" i="39" s="1"/>
  <c r="G53" i="39"/>
  <c r="E41" i="39"/>
  <c r="F98" i="39"/>
  <c r="F99" i="39" s="1"/>
  <c r="E70" i="39"/>
  <c r="E71" i="39" s="1"/>
  <c r="E72" i="39" s="1"/>
  <c r="H82" i="39"/>
  <c r="H45" i="39"/>
  <c r="H31" i="39"/>
  <c r="G127" i="39"/>
  <c r="G33" i="39" s="1"/>
  <c r="G35" i="39" s="1"/>
  <c r="G131" i="39"/>
  <c r="F54" i="39"/>
  <c r="F56" i="39" s="1"/>
  <c r="F62" i="39" s="1"/>
  <c r="G157" i="39"/>
  <c r="G90" i="39"/>
  <c r="P60" i="39"/>
  <c r="P29" i="39" s="1"/>
  <c r="E72" i="38"/>
  <c r="E41" i="38"/>
  <c r="J112" i="38"/>
  <c r="K109" i="38" s="1"/>
  <c r="J28" i="38"/>
  <c r="G188" i="38"/>
  <c r="G189" i="38" s="1"/>
  <c r="D189" i="38"/>
  <c r="D190" i="38" s="1"/>
  <c r="P60" i="38"/>
  <c r="G131" i="38"/>
  <c r="G136" i="38" s="1"/>
  <c r="F54" i="38"/>
  <c r="F56" i="38" s="1"/>
  <c r="F62" i="38" s="1"/>
  <c r="O29" i="38"/>
  <c r="G175" i="38"/>
  <c r="I82" i="38"/>
  <c r="I45" i="38"/>
  <c r="I31" i="38"/>
  <c r="N67" i="38"/>
  <c r="O66" i="38"/>
  <c r="G132" i="38"/>
  <c r="G134" i="38" s="1"/>
  <c r="G93" i="38" s="1"/>
  <c r="G94" i="38" s="1"/>
  <c r="G77" i="38"/>
  <c r="G37" i="38"/>
  <c r="G43" i="38"/>
  <c r="H113" i="38"/>
  <c r="H61" i="38"/>
  <c r="I59" i="38"/>
  <c r="H82" i="38"/>
  <c r="H31" i="38"/>
  <c r="H45" i="38"/>
  <c r="G53" i="38"/>
  <c r="G98" i="38"/>
  <c r="F70" i="38"/>
  <c r="F71" i="38" s="1"/>
  <c r="G42" i="38"/>
  <c r="D72" i="37"/>
  <c r="D41" i="37"/>
  <c r="J112" i="37"/>
  <c r="K109" i="37" s="1"/>
  <c r="J28" i="37"/>
  <c r="G132" i="37"/>
  <c r="G134" i="37" s="1"/>
  <c r="G93" i="37" s="1"/>
  <c r="G94" i="37" s="1"/>
  <c r="G37" i="37"/>
  <c r="G43" i="37"/>
  <c r="G77" i="37"/>
  <c r="M67" i="37"/>
  <c r="N66" i="37"/>
  <c r="P60" i="37"/>
  <c r="H113" i="37"/>
  <c r="H61" i="37"/>
  <c r="I59" i="37"/>
  <c r="G42" i="37"/>
  <c r="H82" i="37"/>
  <c r="H45" i="37"/>
  <c r="H31" i="37"/>
  <c r="G175" i="37"/>
  <c r="D188" i="37"/>
  <c r="D179" i="37"/>
  <c r="W178" i="37"/>
  <c r="F98" i="37"/>
  <c r="F99" i="37" s="1"/>
  <c r="E70" i="37"/>
  <c r="E71" i="37" s="1"/>
  <c r="F131" i="37"/>
  <c r="F136" i="37" s="1"/>
  <c r="E54" i="37"/>
  <c r="E56" i="37" s="1"/>
  <c r="E62" i="37" s="1"/>
  <c r="F53" i="37"/>
  <c r="O29" i="37"/>
  <c r="I28" i="37"/>
  <c r="G136" i="36"/>
  <c r="G54" i="36" s="1"/>
  <c r="G56" i="36" s="1"/>
  <c r="G62" i="36" s="1"/>
  <c r="F41" i="36"/>
  <c r="G83" i="36"/>
  <c r="G151" i="36"/>
  <c r="G158" i="36" s="1"/>
  <c r="H42" i="36"/>
  <c r="L67" i="36"/>
  <c r="M66" i="36"/>
  <c r="F70" i="36"/>
  <c r="F71" i="36" s="1"/>
  <c r="F72" i="36" s="1"/>
  <c r="G98" i="36"/>
  <c r="I157" i="36"/>
  <c r="I90" i="36"/>
  <c r="I113" i="36"/>
  <c r="I61" i="36"/>
  <c r="J59" i="36"/>
  <c r="H175" i="36"/>
  <c r="H94" i="36"/>
  <c r="H53" i="36"/>
  <c r="J82" i="36"/>
  <c r="J31" i="36"/>
  <c r="J45" i="36"/>
  <c r="H132" i="36"/>
  <c r="H134" i="36" s="1"/>
  <c r="H93" i="36" s="1"/>
  <c r="H43" i="36"/>
  <c r="H77" i="36"/>
  <c r="H37" i="36"/>
  <c r="K112" i="36"/>
  <c r="L109" i="36" s="1"/>
  <c r="K28" i="36"/>
  <c r="P60" i="36"/>
  <c r="I127" i="36"/>
  <c r="I33" i="36" s="1"/>
  <c r="I35" i="36" s="1"/>
  <c r="M57" i="4"/>
  <c r="M59" i="4" s="1"/>
  <c r="M64" i="4" s="1"/>
  <c r="M46" i="4"/>
  <c r="M51" i="4" s="1"/>
  <c r="I46" i="4"/>
  <c r="I51" i="4" s="1"/>
  <c r="I57" i="4"/>
  <c r="I59" i="4" s="1"/>
  <c r="I64" i="4" s="1"/>
  <c r="K57" i="4"/>
  <c r="K59" i="4" s="1"/>
  <c r="K64" i="4" s="1"/>
  <c r="K46" i="4"/>
  <c r="K51" i="4" s="1"/>
  <c r="L57" i="4"/>
  <c r="L59" i="4" s="1"/>
  <c r="L64" i="4" s="1"/>
  <c r="L46" i="4"/>
  <c r="L51" i="4" s="1"/>
  <c r="F57" i="4"/>
  <c r="F59" i="4" s="1"/>
  <c r="F64" i="4" s="1"/>
  <c r="F46" i="4"/>
  <c r="F51" i="4" s="1"/>
  <c r="G57" i="4"/>
  <c r="G59" i="4" s="1"/>
  <c r="G64" i="4" s="1"/>
  <c r="G46" i="4"/>
  <c r="G51" i="4" s="1"/>
  <c r="O57" i="4"/>
  <c r="O46" i="4"/>
  <c r="O51" i="4" s="1"/>
  <c r="J57" i="4"/>
  <c r="J59" i="4" s="1"/>
  <c r="J64" i="4" s="1"/>
  <c r="J46" i="4"/>
  <c r="J51" i="4" s="1"/>
  <c r="N46" i="4"/>
  <c r="N51" i="4" s="1"/>
  <c r="N57" i="4"/>
  <c r="N59" i="4" s="1"/>
  <c r="N64" i="4" s="1"/>
  <c r="H46" i="4"/>
  <c r="H51" i="4" s="1"/>
  <c r="H57" i="4"/>
  <c r="H59" i="4" s="1"/>
  <c r="H64" i="4" s="1"/>
  <c r="L112" i="27"/>
  <c r="M109" i="27" s="1"/>
  <c r="K28" i="27"/>
  <c r="J59" i="27"/>
  <c r="I113" i="27"/>
  <c r="I61" i="27"/>
  <c r="I42" i="27" s="1"/>
  <c r="M50" i="26"/>
  <c r="N46" i="26"/>
  <c r="N47" i="26"/>
  <c r="G132" i="27"/>
  <c r="G134" i="27" s="1"/>
  <c r="G93" i="27" s="1"/>
  <c r="G37" i="27"/>
  <c r="G43" i="27"/>
  <c r="G77" i="27"/>
  <c r="O53" i="26"/>
  <c r="P52" i="26" s="1"/>
  <c r="G157" i="27"/>
  <c r="G90" i="27"/>
  <c r="G175" i="27" s="1"/>
  <c r="J31" i="26"/>
  <c r="K30" i="26" s="1"/>
  <c r="J24" i="26"/>
  <c r="H28" i="26"/>
  <c r="I25" i="26"/>
  <c r="I28" i="26" s="1"/>
  <c r="M67" i="27"/>
  <c r="N66" i="27"/>
  <c r="L11" i="26"/>
  <c r="M9" i="26"/>
  <c r="N14" i="26"/>
  <c r="O13" i="26" s="1"/>
  <c r="M67" i="25"/>
  <c r="L68" i="25"/>
  <c r="K16" i="14"/>
  <c r="J17" i="14"/>
  <c r="J22" i="14" s="1"/>
  <c r="J27" i="14" s="1"/>
  <c r="J31" i="14" s="1"/>
  <c r="K45" i="14"/>
  <c r="K50" i="14" s="1"/>
  <c r="K56" i="14"/>
  <c r="K58" i="14" s="1"/>
  <c r="K63" i="14" s="1"/>
  <c r="Q16" i="9"/>
  <c r="Q17" i="9" s="1"/>
  <c r="Q22" i="9" s="1"/>
  <c r="Q27" i="9" s="1"/>
  <c r="Q31" i="9" s="1"/>
  <c r="P17" i="9"/>
  <c r="P22" i="9" s="1"/>
  <c r="P27" i="9" s="1"/>
  <c r="P31" i="9" s="1"/>
  <c r="O56" i="8"/>
  <c r="O45" i="8"/>
  <c r="O50" i="8" s="1"/>
  <c r="P43" i="8"/>
  <c r="P45" i="8" s="1"/>
  <c r="P50" i="8" s="1"/>
  <c r="M32" i="8"/>
  <c r="O32" i="9"/>
  <c r="R43" i="9"/>
  <c r="R45" i="9" s="1"/>
  <c r="R50" i="9" s="1"/>
  <c r="Q16" i="13"/>
  <c r="Q17" i="13" s="1"/>
  <c r="Q22" i="13" s="1"/>
  <c r="Q27" i="13" s="1"/>
  <c r="Q31" i="13" s="1"/>
  <c r="P17" i="13"/>
  <c r="P22" i="13" s="1"/>
  <c r="P27" i="13" s="1"/>
  <c r="P31" i="13" s="1"/>
  <c r="O16" i="8"/>
  <c r="N17" i="8"/>
  <c r="N22" i="8" s="1"/>
  <c r="N27" i="8" s="1"/>
  <c r="N31" i="8" s="1"/>
  <c r="O57" i="18"/>
  <c r="O58" i="18" s="1"/>
  <c r="O63" i="18" s="1"/>
  <c r="C64" i="18" s="1"/>
  <c r="G4" i="18" s="1"/>
  <c r="O57" i="15"/>
  <c r="O58" i="15" s="1"/>
  <c r="O63" i="15" s="1"/>
  <c r="C64" i="15" s="1"/>
  <c r="G4" i="15" s="1"/>
  <c r="O57" i="8"/>
  <c r="O57" i="6"/>
  <c r="O58" i="6" s="1"/>
  <c r="O63" i="6" s="1"/>
  <c r="C64" i="6" s="1"/>
  <c r="G4" i="6" s="1"/>
  <c r="O57" i="9"/>
  <c r="O58" i="9" s="1"/>
  <c r="O63" i="9" s="1"/>
  <c r="C64" i="9" s="1"/>
  <c r="G4" i="9" s="1"/>
  <c r="O57" i="10"/>
  <c r="O58" i="10" s="1"/>
  <c r="O63" i="10" s="1"/>
  <c r="C64" i="10" s="1"/>
  <c r="G4" i="10" s="1"/>
  <c r="O57" i="19"/>
  <c r="O58" i="19" s="1"/>
  <c r="O63" i="19" s="1"/>
  <c r="C64" i="19" s="1"/>
  <c r="G4" i="19" s="1"/>
  <c r="O57" i="14"/>
  <c r="O57" i="11"/>
  <c r="O58" i="11" s="1"/>
  <c r="O63" i="11" s="1"/>
  <c r="C64" i="11" s="1"/>
  <c r="G4" i="11" s="1"/>
  <c r="O58" i="4"/>
  <c r="O57" i="13"/>
  <c r="O58" i="13" s="1"/>
  <c r="O63" i="13" s="1"/>
  <c r="C64" i="13" s="1"/>
  <c r="G4" i="13" s="1"/>
  <c r="R43" i="13"/>
  <c r="R45" i="13" s="1"/>
  <c r="R50" i="13" s="1"/>
  <c r="O32" i="13"/>
  <c r="I36" i="14"/>
  <c r="I32" i="14"/>
  <c r="L43" i="14"/>
  <c r="R19" i="2"/>
  <c r="Q20" i="2"/>
  <c r="Q24" i="2" s="1"/>
  <c r="G136" i="40" l="1"/>
  <c r="H131" i="36"/>
  <c r="H136" i="36" s="1"/>
  <c r="I77" i="44"/>
  <c r="I37" i="44"/>
  <c r="I132" i="44"/>
  <c r="I134" i="44" s="1"/>
  <c r="I93" i="44" s="1"/>
  <c r="I94" i="44" s="1"/>
  <c r="I43" i="44"/>
  <c r="H77" i="44"/>
  <c r="H43" i="44"/>
  <c r="H132" i="44"/>
  <c r="H134" i="44" s="1"/>
  <c r="H93" i="44" s="1"/>
  <c r="H94" i="44" s="1"/>
  <c r="H37" i="44"/>
  <c r="J42" i="44"/>
  <c r="L112" i="44"/>
  <c r="M109" i="44" s="1"/>
  <c r="L28" i="44"/>
  <c r="K113" i="44"/>
  <c r="K61" i="44"/>
  <c r="L59" i="44"/>
  <c r="Q60" i="44"/>
  <c r="Q29" i="44"/>
  <c r="G151" i="44"/>
  <c r="G158" i="44" s="1"/>
  <c r="G83" i="44"/>
  <c r="G136" i="44"/>
  <c r="H175" i="44"/>
  <c r="I175" i="44"/>
  <c r="P66" i="44"/>
  <c r="O67" i="44"/>
  <c r="J127" i="44"/>
  <c r="J33" i="44" s="1"/>
  <c r="J35" i="44" s="1"/>
  <c r="I53" i="44"/>
  <c r="K28" i="44"/>
  <c r="J90" i="44"/>
  <c r="J157" i="44"/>
  <c r="E72" i="43"/>
  <c r="E41" i="43"/>
  <c r="I113" i="43"/>
  <c r="J59" i="43"/>
  <c r="I61" i="43"/>
  <c r="I82" i="43"/>
  <c r="I45" i="43"/>
  <c r="I31" i="43"/>
  <c r="H42" i="43"/>
  <c r="F56" i="43"/>
  <c r="F62" i="43" s="1"/>
  <c r="G53" i="43"/>
  <c r="F70" i="43"/>
  <c r="F71" i="43" s="1"/>
  <c r="G98" i="43"/>
  <c r="G188" i="43"/>
  <c r="G189" i="43" s="1"/>
  <c r="D189" i="43"/>
  <c r="D190" i="43" s="1"/>
  <c r="G131" i="43"/>
  <c r="G136" i="43" s="1"/>
  <c r="F54" i="43"/>
  <c r="N67" i="43"/>
  <c r="O66" i="43"/>
  <c r="J82" i="43"/>
  <c r="J31" i="43"/>
  <c r="J45" i="43"/>
  <c r="H127" i="43"/>
  <c r="H33" i="43" s="1"/>
  <c r="H35" i="43" s="1"/>
  <c r="Q29" i="43"/>
  <c r="Q60" i="43"/>
  <c r="K112" i="43"/>
  <c r="L109" i="43" s="1"/>
  <c r="K28" i="43"/>
  <c r="G83" i="43"/>
  <c r="G151" i="43"/>
  <c r="G158" i="43" s="1"/>
  <c r="H157" i="43"/>
  <c r="H90" i="43"/>
  <c r="O66" i="42"/>
  <c r="N67" i="42"/>
  <c r="L112" i="42"/>
  <c r="M109" i="42" s="1"/>
  <c r="L28" i="42"/>
  <c r="J82" i="42"/>
  <c r="J45" i="42"/>
  <c r="J31" i="42"/>
  <c r="G169" i="42"/>
  <c r="G177" i="42" s="1"/>
  <c r="G160" i="42"/>
  <c r="I175" i="42"/>
  <c r="K113" i="42"/>
  <c r="K61" i="42"/>
  <c r="L59" i="42"/>
  <c r="H131" i="42"/>
  <c r="H136" i="42" s="1"/>
  <c r="G54" i="42"/>
  <c r="G56" i="42" s="1"/>
  <c r="G62" i="42" s="1"/>
  <c r="G96" i="42"/>
  <c r="G99" i="42" s="1"/>
  <c r="G46" i="42"/>
  <c r="G44" i="42"/>
  <c r="J42" i="42"/>
  <c r="I77" i="42"/>
  <c r="I37" i="42"/>
  <c r="I43" i="42"/>
  <c r="I132" i="42"/>
  <c r="I134" i="42" s="1"/>
  <c r="I93" i="42" s="1"/>
  <c r="I94" i="42" s="1"/>
  <c r="I53" i="42"/>
  <c r="H83" i="42"/>
  <c r="H151" i="42"/>
  <c r="H158" i="42" s="1"/>
  <c r="K28" i="42"/>
  <c r="Q60" i="42"/>
  <c r="K28" i="41"/>
  <c r="K82" i="41" s="1"/>
  <c r="H132" i="41"/>
  <c r="H134" i="41" s="1"/>
  <c r="H93" i="41" s="1"/>
  <c r="H94" i="41" s="1"/>
  <c r="H77" i="41"/>
  <c r="H37" i="41"/>
  <c r="H43" i="41"/>
  <c r="J113" i="41"/>
  <c r="K59" i="41"/>
  <c r="J61" i="41"/>
  <c r="J82" i="41"/>
  <c r="J45" i="41"/>
  <c r="J31" i="41"/>
  <c r="I42" i="41"/>
  <c r="I127" i="41"/>
  <c r="I33" i="41" s="1"/>
  <c r="I35" i="41" s="1"/>
  <c r="H175" i="41"/>
  <c r="G96" i="41"/>
  <c r="G99" i="41" s="1"/>
  <c r="G44" i="41"/>
  <c r="G46" i="41"/>
  <c r="I90" i="41"/>
  <c r="I157" i="41"/>
  <c r="G169" i="41"/>
  <c r="G177" i="41" s="1"/>
  <c r="G160" i="41"/>
  <c r="O67" i="41"/>
  <c r="P66" i="41"/>
  <c r="I53" i="41"/>
  <c r="Q60" i="41"/>
  <c r="Q29" i="41"/>
  <c r="L112" i="41"/>
  <c r="M109" i="41" s="1"/>
  <c r="H131" i="41"/>
  <c r="G54" i="41"/>
  <c r="G56" i="41" s="1"/>
  <c r="G62" i="41" s="1"/>
  <c r="H132" i="40"/>
  <c r="H134" i="40" s="1"/>
  <c r="H93" i="40" s="1"/>
  <c r="H94" i="40" s="1"/>
  <c r="H43" i="40"/>
  <c r="H77" i="40"/>
  <c r="H37" i="40"/>
  <c r="F72" i="40"/>
  <c r="F41" i="40"/>
  <c r="I127" i="40"/>
  <c r="I33" i="40" s="1"/>
  <c r="I35" i="40" s="1"/>
  <c r="I157" i="40"/>
  <c r="I90" i="40"/>
  <c r="H131" i="40"/>
  <c r="G54" i="40"/>
  <c r="O66" i="40"/>
  <c r="N67" i="40"/>
  <c r="G151" i="40"/>
  <c r="G158" i="40" s="1"/>
  <c r="G83" i="40"/>
  <c r="H53" i="40"/>
  <c r="G56" i="40"/>
  <c r="G62" i="40" s="1"/>
  <c r="H175" i="40"/>
  <c r="J59" i="40"/>
  <c r="I61" i="40"/>
  <c r="I113" i="40"/>
  <c r="J82" i="40"/>
  <c r="J31" i="40"/>
  <c r="J45" i="40"/>
  <c r="H42" i="40"/>
  <c r="K112" i="40"/>
  <c r="L109" i="40" s="1"/>
  <c r="K28" i="40"/>
  <c r="Q60" i="40"/>
  <c r="G77" i="39"/>
  <c r="G37" i="39"/>
  <c r="G43" i="39"/>
  <c r="G132" i="39"/>
  <c r="G134" i="39" s="1"/>
  <c r="G93" i="39" s="1"/>
  <c r="G94" i="39" s="1"/>
  <c r="I157" i="39"/>
  <c r="I90" i="39"/>
  <c r="H127" i="39"/>
  <c r="H33" i="39" s="1"/>
  <c r="H35" i="39" s="1"/>
  <c r="F41" i="39"/>
  <c r="N67" i="39"/>
  <c r="O66" i="39"/>
  <c r="Q60" i="39"/>
  <c r="K112" i="39"/>
  <c r="L109" i="39" s="1"/>
  <c r="K28" i="39"/>
  <c r="G175" i="39"/>
  <c r="H90" i="39"/>
  <c r="H157" i="39"/>
  <c r="J82" i="39"/>
  <c r="J45" i="39"/>
  <c r="J31" i="39"/>
  <c r="G98" i="39"/>
  <c r="F70" i="39"/>
  <c r="F71" i="39" s="1"/>
  <c r="F72" i="39" s="1"/>
  <c r="I113" i="39"/>
  <c r="J59" i="39"/>
  <c r="I61" i="39"/>
  <c r="H53" i="39"/>
  <c r="I127" i="39"/>
  <c r="I33" i="39" s="1"/>
  <c r="I35" i="39" s="1"/>
  <c r="I113" i="38"/>
  <c r="I61" i="38"/>
  <c r="J59" i="38"/>
  <c r="I127" i="38"/>
  <c r="I33" i="38" s="1"/>
  <c r="I35" i="38"/>
  <c r="Q29" i="38"/>
  <c r="Q60" i="38"/>
  <c r="H53" i="38"/>
  <c r="P29" i="38"/>
  <c r="F72" i="38"/>
  <c r="F41" i="38"/>
  <c r="I90" i="38"/>
  <c r="I157" i="38"/>
  <c r="G83" i="38"/>
  <c r="G151" i="38"/>
  <c r="G158" i="38" s="1"/>
  <c r="J82" i="38"/>
  <c r="J45" i="38"/>
  <c r="J31" i="38"/>
  <c r="H157" i="38"/>
  <c r="H90" i="38"/>
  <c r="K112" i="38"/>
  <c r="L109" i="38" s="1"/>
  <c r="K28" i="38"/>
  <c r="G54" i="38"/>
  <c r="G56" i="38" s="1"/>
  <c r="G62" i="38" s="1"/>
  <c r="H131" i="38"/>
  <c r="H42" i="38"/>
  <c r="H127" i="38"/>
  <c r="H33" i="38" s="1"/>
  <c r="H35" i="38" s="1"/>
  <c r="P66" i="38"/>
  <c r="O67" i="38"/>
  <c r="E72" i="37"/>
  <c r="E41" i="37"/>
  <c r="G131" i="37"/>
  <c r="G136" i="37" s="1"/>
  <c r="F54" i="37"/>
  <c r="F56" i="37" s="1"/>
  <c r="F62" i="37" s="1"/>
  <c r="H127" i="37"/>
  <c r="H33" i="37" s="1"/>
  <c r="H35" i="37" s="1"/>
  <c r="J82" i="37"/>
  <c r="J45" i="37"/>
  <c r="J31" i="37"/>
  <c r="G98" i="37"/>
  <c r="F70" i="37"/>
  <c r="F71" i="37" s="1"/>
  <c r="K112" i="37"/>
  <c r="L109" i="37" s="1"/>
  <c r="K28" i="37"/>
  <c r="N67" i="37"/>
  <c r="O66" i="37"/>
  <c r="G53" i="37"/>
  <c r="G83" i="37"/>
  <c r="G151" i="37"/>
  <c r="G158" i="37" s="1"/>
  <c r="H42" i="37"/>
  <c r="Q29" i="37"/>
  <c r="Q60" i="37"/>
  <c r="I82" i="37"/>
  <c r="I45" i="37"/>
  <c r="I31" i="37"/>
  <c r="P29" i="37"/>
  <c r="H157" i="37"/>
  <c r="H90" i="37"/>
  <c r="G188" i="37"/>
  <c r="G189" i="37" s="1"/>
  <c r="D189" i="37"/>
  <c r="D190" i="37" s="1"/>
  <c r="I113" i="37"/>
  <c r="J59" i="37"/>
  <c r="I61" i="37"/>
  <c r="I132" i="36"/>
  <c r="I134" i="36" s="1"/>
  <c r="I93" i="36" s="1"/>
  <c r="I77" i="36"/>
  <c r="I43" i="36"/>
  <c r="I37" i="36"/>
  <c r="G41" i="36"/>
  <c r="Q60" i="36"/>
  <c r="Q29" i="36"/>
  <c r="P29" i="36"/>
  <c r="N66" i="36"/>
  <c r="M67" i="36"/>
  <c r="J113" i="36"/>
  <c r="J61" i="36"/>
  <c r="K59" i="36"/>
  <c r="J127" i="36"/>
  <c r="J33" i="36" s="1"/>
  <c r="J35" i="36"/>
  <c r="I42" i="36"/>
  <c r="K82" i="36"/>
  <c r="K45" i="36"/>
  <c r="K31" i="36"/>
  <c r="J157" i="36"/>
  <c r="J90" i="36"/>
  <c r="L112" i="36"/>
  <c r="M109" i="36" s="1"/>
  <c r="L28" i="36"/>
  <c r="I175" i="36"/>
  <c r="I94" i="36"/>
  <c r="G169" i="36"/>
  <c r="G177" i="36" s="1"/>
  <c r="G160" i="36"/>
  <c r="I53" i="36"/>
  <c r="G96" i="36"/>
  <c r="G99" i="36" s="1"/>
  <c r="G46" i="36"/>
  <c r="G44" i="36"/>
  <c r="H83" i="36"/>
  <c r="H151" i="36"/>
  <c r="H158" i="36" s="1"/>
  <c r="O59" i="4"/>
  <c r="O64" i="4" s="1"/>
  <c r="C65" i="4"/>
  <c r="G4" i="4" s="1"/>
  <c r="L28" i="27"/>
  <c r="J113" i="27"/>
  <c r="K59" i="27"/>
  <c r="J61" i="27"/>
  <c r="J42" i="27" s="1"/>
  <c r="M112" i="27"/>
  <c r="N109" i="27" s="1"/>
  <c r="G94" i="27"/>
  <c r="N50" i="26"/>
  <c r="O46" i="26"/>
  <c r="K31" i="26"/>
  <c r="L30" i="26" s="1"/>
  <c r="H82" i="27"/>
  <c r="H31" i="27"/>
  <c r="H127" i="27" s="1"/>
  <c r="H33" i="27" s="1"/>
  <c r="H35" i="27" s="1"/>
  <c r="H45" i="27"/>
  <c r="J25" i="26"/>
  <c r="J28" i="26" s="1"/>
  <c r="G83" i="27"/>
  <c r="G151" i="27"/>
  <c r="G158" i="27" s="1"/>
  <c r="I45" i="27"/>
  <c r="I31" i="27"/>
  <c r="I127" i="27" s="1"/>
  <c r="I33" i="27" s="1"/>
  <c r="I35" i="27" s="1"/>
  <c r="I82" i="27"/>
  <c r="P53" i="26"/>
  <c r="P46" i="26" s="1"/>
  <c r="O47" i="26"/>
  <c r="N67" i="27"/>
  <c r="O66" i="27"/>
  <c r="N9" i="26"/>
  <c r="O14" i="26"/>
  <c r="P13" i="26" s="1"/>
  <c r="M11" i="26"/>
  <c r="N67" i="25"/>
  <c r="M68" i="25"/>
  <c r="T43" i="13"/>
  <c r="Q32" i="13"/>
  <c r="O58" i="8"/>
  <c r="O63" i="8" s="1"/>
  <c r="C64" i="8" s="1"/>
  <c r="G4" i="8" s="1"/>
  <c r="S43" i="9"/>
  <c r="S45" i="9" s="1"/>
  <c r="S50" i="9" s="1"/>
  <c r="P32" i="9"/>
  <c r="S19" i="2"/>
  <c r="R20" i="2"/>
  <c r="R24" i="2" s="1"/>
  <c r="Q32" i="9"/>
  <c r="T43" i="9"/>
  <c r="S43" i="13"/>
  <c r="S45" i="13" s="1"/>
  <c r="S50" i="13" s="1"/>
  <c r="P32" i="13"/>
  <c r="L45" i="14"/>
  <c r="L50" i="14" s="1"/>
  <c r="L56" i="14"/>
  <c r="L58" i="14" s="1"/>
  <c r="L63" i="14" s="1"/>
  <c r="N32" i="8"/>
  <c r="Q43" i="8"/>
  <c r="Q45" i="8" s="1"/>
  <c r="Q50" i="8" s="1"/>
  <c r="J32" i="14"/>
  <c r="J36" i="14"/>
  <c r="M43" i="14"/>
  <c r="P16" i="8"/>
  <c r="O17" i="8"/>
  <c r="O22" i="8" s="1"/>
  <c r="O27" i="8" s="1"/>
  <c r="O31" i="8" s="1"/>
  <c r="L16" i="14"/>
  <c r="K17" i="14"/>
  <c r="K22" i="14" s="1"/>
  <c r="K27" i="14" s="1"/>
  <c r="K31" i="14" s="1"/>
  <c r="G136" i="39" l="1"/>
  <c r="J53" i="44"/>
  <c r="K42" i="44"/>
  <c r="G54" i="44"/>
  <c r="G56" i="44" s="1"/>
  <c r="G62" i="44" s="1"/>
  <c r="H131" i="44"/>
  <c r="H136" i="44" s="1"/>
  <c r="H83" i="44"/>
  <c r="H151" i="44"/>
  <c r="H158" i="44" s="1"/>
  <c r="G169" i="44"/>
  <c r="G177" i="44" s="1"/>
  <c r="G160" i="44"/>
  <c r="P67" i="44"/>
  <c r="Q66" i="44"/>
  <c r="J175" i="44"/>
  <c r="I151" i="44"/>
  <c r="I158" i="44" s="1"/>
  <c r="I83" i="44"/>
  <c r="K82" i="44"/>
  <c r="K45" i="44"/>
  <c r="K31" i="44"/>
  <c r="R60" i="44"/>
  <c r="R29" i="44" s="1"/>
  <c r="J132" i="44"/>
  <c r="J134" i="44" s="1"/>
  <c r="J93" i="44" s="1"/>
  <c r="J94" i="44" s="1"/>
  <c r="J77" i="44"/>
  <c r="J43" i="44"/>
  <c r="J37" i="44"/>
  <c r="G96" i="44"/>
  <c r="G99" i="44" s="1"/>
  <c r="G46" i="44"/>
  <c r="G44" i="44"/>
  <c r="L82" i="44"/>
  <c r="L45" i="44"/>
  <c r="L31" i="44"/>
  <c r="M112" i="44"/>
  <c r="N109" i="44" s="1"/>
  <c r="L113" i="44"/>
  <c r="M59" i="44"/>
  <c r="L61" i="44"/>
  <c r="F72" i="43"/>
  <c r="F41" i="43"/>
  <c r="G96" i="43"/>
  <c r="G99" i="43" s="1"/>
  <c r="G44" i="43"/>
  <c r="G46" i="43"/>
  <c r="J127" i="43"/>
  <c r="J33" i="43" s="1"/>
  <c r="J35" i="43" s="1"/>
  <c r="I127" i="43"/>
  <c r="I33" i="43" s="1"/>
  <c r="I35" i="43" s="1"/>
  <c r="H53" i="43"/>
  <c r="K82" i="43"/>
  <c r="K45" i="43"/>
  <c r="K31" i="43"/>
  <c r="J157" i="43"/>
  <c r="J90" i="43"/>
  <c r="H37" i="43"/>
  <c r="H43" i="43"/>
  <c r="H132" i="43"/>
  <c r="H134" i="43" s="1"/>
  <c r="H93" i="43" s="1"/>
  <c r="H94" i="43" s="1"/>
  <c r="H77" i="43"/>
  <c r="L112" i="43"/>
  <c r="M109" i="43" s="1"/>
  <c r="L28" i="43"/>
  <c r="I157" i="43"/>
  <c r="I90" i="43"/>
  <c r="R60" i="43"/>
  <c r="R29" i="43"/>
  <c r="O67" i="43"/>
  <c r="P66" i="43"/>
  <c r="I42" i="43"/>
  <c r="J113" i="43"/>
  <c r="K59" i="43"/>
  <c r="J61" i="43"/>
  <c r="H175" i="43"/>
  <c r="H131" i="43"/>
  <c r="G54" i="43"/>
  <c r="G56" i="43" s="1"/>
  <c r="G62" i="43" s="1"/>
  <c r="G169" i="43"/>
  <c r="G177" i="43" s="1"/>
  <c r="G160" i="43"/>
  <c r="K82" i="42"/>
  <c r="K45" i="42"/>
  <c r="K31" i="42"/>
  <c r="I83" i="42"/>
  <c r="I151" i="42"/>
  <c r="I158" i="42" s="1"/>
  <c r="L113" i="42"/>
  <c r="M59" i="42"/>
  <c r="L61" i="42"/>
  <c r="J127" i="42"/>
  <c r="J33" i="42" s="1"/>
  <c r="J35" i="42" s="1"/>
  <c r="J157" i="42"/>
  <c r="J90" i="42"/>
  <c r="H169" i="42"/>
  <c r="H177" i="42" s="1"/>
  <c r="H179" i="42" s="1"/>
  <c r="H160" i="42"/>
  <c r="K42" i="42"/>
  <c r="H96" i="42"/>
  <c r="H44" i="42"/>
  <c r="H46" i="42"/>
  <c r="L82" i="42"/>
  <c r="L45" i="42"/>
  <c r="L31" i="42"/>
  <c r="M112" i="42"/>
  <c r="N109" i="42" s="1"/>
  <c r="H98" i="42"/>
  <c r="G70" i="42"/>
  <c r="G71" i="42" s="1"/>
  <c r="G72" i="42" s="1"/>
  <c r="J53" i="42"/>
  <c r="R29" i="42"/>
  <c r="R60" i="42"/>
  <c r="G41" i="42"/>
  <c r="Q29" i="42"/>
  <c r="H54" i="42"/>
  <c r="H56" i="42" s="1"/>
  <c r="H62" i="42" s="1"/>
  <c r="I131" i="42"/>
  <c r="I136" i="42" s="1"/>
  <c r="G179" i="42"/>
  <c r="O67" i="42"/>
  <c r="P66" i="42"/>
  <c r="K31" i="41"/>
  <c r="K45" i="41"/>
  <c r="L28" i="41"/>
  <c r="L82" i="41" s="1"/>
  <c r="I132" i="41"/>
  <c r="I134" i="41" s="1"/>
  <c r="I93" i="41" s="1"/>
  <c r="I94" i="41" s="1"/>
  <c r="I43" i="41"/>
  <c r="I37" i="41"/>
  <c r="I77" i="41"/>
  <c r="J53" i="41"/>
  <c r="K157" i="41"/>
  <c r="K90" i="41"/>
  <c r="H83" i="41"/>
  <c r="H151" i="41"/>
  <c r="H158" i="41" s="1"/>
  <c r="L45" i="41"/>
  <c r="J90" i="41"/>
  <c r="J157" i="41"/>
  <c r="M112" i="41"/>
  <c r="N109" i="41" s="1"/>
  <c r="J42" i="41"/>
  <c r="Q66" i="41"/>
  <c r="P67" i="41"/>
  <c r="J127" i="41"/>
  <c r="J33" i="41" s="1"/>
  <c r="J35" i="41" s="1"/>
  <c r="H98" i="41"/>
  <c r="G70" i="41"/>
  <c r="G71" i="41" s="1"/>
  <c r="G72" i="41" s="1"/>
  <c r="G41" i="41"/>
  <c r="G179" i="41"/>
  <c r="K113" i="41"/>
  <c r="L59" i="41"/>
  <c r="K61" i="41"/>
  <c r="H136" i="41"/>
  <c r="R60" i="41"/>
  <c r="R29" i="41"/>
  <c r="K127" i="41"/>
  <c r="K33" i="41" s="1"/>
  <c r="K35" i="41" s="1"/>
  <c r="I175" i="41"/>
  <c r="H136" i="40"/>
  <c r="H54" i="40" s="1"/>
  <c r="H56" i="40" s="1"/>
  <c r="H62" i="40" s="1"/>
  <c r="K82" i="40"/>
  <c r="K45" i="40"/>
  <c r="K31" i="40"/>
  <c r="L112" i="40"/>
  <c r="M109" i="40" s="1"/>
  <c r="L28" i="40"/>
  <c r="J113" i="40"/>
  <c r="K59" i="40"/>
  <c r="J61" i="40"/>
  <c r="R60" i="40"/>
  <c r="R29" i="40" s="1"/>
  <c r="O67" i="40"/>
  <c r="P66" i="40"/>
  <c r="I43" i="40"/>
  <c r="I77" i="40"/>
  <c r="I132" i="40"/>
  <c r="I134" i="40" s="1"/>
  <c r="I93" i="40" s="1"/>
  <c r="I94" i="40" s="1"/>
  <c r="I37" i="40"/>
  <c r="G96" i="40"/>
  <c r="G99" i="40" s="1"/>
  <c r="G46" i="40"/>
  <c r="G44" i="40"/>
  <c r="G169" i="40"/>
  <c r="G177" i="40" s="1"/>
  <c r="G160" i="40"/>
  <c r="H83" i="40"/>
  <c r="H151" i="40"/>
  <c r="H158" i="40" s="1"/>
  <c r="J127" i="40"/>
  <c r="J33" i="40" s="1"/>
  <c r="J35" i="40"/>
  <c r="G41" i="40"/>
  <c r="I175" i="40"/>
  <c r="I42" i="40"/>
  <c r="Q29" i="40"/>
  <c r="J90" i="40"/>
  <c r="J157" i="40"/>
  <c r="I53" i="40"/>
  <c r="I132" i="39"/>
  <c r="I134" i="39" s="1"/>
  <c r="I93" i="39" s="1"/>
  <c r="I43" i="39"/>
  <c r="I77" i="39"/>
  <c r="I37" i="39"/>
  <c r="G83" i="39"/>
  <c r="G151" i="39"/>
  <c r="G158" i="39" s="1"/>
  <c r="H131" i="39"/>
  <c r="G54" i="39"/>
  <c r="G56" i="39" s="1"/>
  <c r="G62" i="39" s="1"/>
  <c r="J127" i="39"/>
  <c r="J33" i="39" s="1"/>
  <c r="J35" i="39" s="1"/>
  <c r="K82" i="39"/>
  <c r="K45" i="39"/>
  <c r="K31" i="39"/>
  <c r="H132" i="39"/>
  <c r="H134" i="39" s="1"/>
  <c r="H93" i="39" s="1"/>
  <c r="H94" i="39" s="1"/>
  <c r="H37" i="39"/>
  <c r="H43" i="39"/>
  <c r="H77" i="39"/>
  <c r="L112" i="39"/>
  <c r="M109" i="39" s="1"/>
  <c r="J157" i="39"/>
  <c r="J90" i="39"/>
  <c r="R60" i="39"/>
  <c r="R29" i="39"/>
  <c r="I175" i="39"/>
  <c r="I94" i="39"/>
  <c r="Q29" i="39"/>
  <c r="J113" i="39"/>
  <c r="K59" i="39"/>
  <c r="J61" i="39"/>
  <c r="O67" i="39"/>
  <c r="P66" i="39"/>
  <c r="I53" i="39"/>
  <c r="H175" i="39"/>
  <c r="G41" i="38"/>
  <c r="G169" i="38"/>
  <c r="G177" i="38" s="1"/>
  <c r="G160" i="38"/>
  <c r="I53" i="38"/>
  <c r="K82" i="38"/>
  <c r="K45" i="38"/>
  <c r="K31" i="38"/>
  <c r="G96" i="38"/>
  <c r="G99" i="38" s="1"/>
  <c r="G46" i="38"/>
  <c r="G44" i="38"/>
  <c r="P67" i="38"/>
  <c r="Q66" i="38"/>
  <c r="L112" i="38"/>
  <c r="M109" i="38" s="1"/>
  <c r="R60" i="38"/>
  <c r="R29" i="38" s="1"/>
  <c r="K59" i="38"/>
  <c r="J113" i="38"/>
  <c r="J61" i="38"/>
  <c r="J157" i="38"/>
  <c r="J90" i="38"/>
  <c r="H132" i="38"/>
  <c r="H134" i="38" s="1"/>
  <c r="H93" i="38" s="1"/>
  <c r="H94" i="38" s="1"/>
  <c r="H77" i="38"/>
  <c r="H37" i="38"/>
  <c r="H43" i="38"/>
  <c r="I175" i="38"/>
  <c r="I132" i="38"/>
  <c r="I134" i="38" s="1"/>
  <c r="I93" i="38" s="1"/>
  <c r="I94" i="38" s="1"/>
  <c r="I37" i="38"/>
  <c r="I43" i="38"/>
  <c r="I77" i="38"/>
  <c r="I42" i="38"/>
  <c r="H175" i="38"/>
  <c r="J127" i="38"/>
  <c r="J33" i="38" s="1"/>
  <c r="J35" i="38" s="1"/>
  <c r="F72" i="37"/>
  <c r="F41" i="37"/>
  <c r="I42" i="37"/>
  <c r="H131" i="37"/>
  <c r="G54" i="37"/>
  <c r="G56" i="37" s="1"/>
  <c r="G62" i="37" s="1"/>
  <c r="G96" i="37"/>
  <c r="G99" i="37" s="1"/>
  <c r="G44" i="37"/>
  <c r="G46" i="37"/>
  <c r="H53" i="37"/>
  <c r="I157" i="37"/>
  <c r="I90" i="37"/>
  <c r="H37" i="37"/>
  <c r="H43" i="37"/>
  <c r="H77" i="37"/>
  <c r="H132" i="37"/>
  <c r="H134" i="37" s="1"/>
  <c r="H93" i="37" s="1"/>
  <c r="H94" i="37" s="1"/>
  <c r="H175" i="37"/>
  <c r="K82" i="37"/>
  <c r="K45" i="37"/>
  <c r="K31" i="37"/>
  <c r="L112" i="37"/>
  <c r="M109" i="37" s="1"/>
  <c r="L28" i="37"/>
  <c r="J113" i="37"/>
  <c r="K59" i="37"/>
  <c r="J61" i="37"/>
  <c r="G169" i="37"/>
  <c r="G177" i="37" s="1"/>
  <c r="G160" i="37"/>
  <c r="I127" i="37"/>
  <c r="I33" i="37" s="1"/>
  <c r="I35" i="37" s="1"/>
  <c r="J127" i="37"/>
  <c r="J33" i="37" s="1"/>
  <c r="J35" i="37" s="1"/>
  <c r="R60" i="37"/>
  <c r="R29" i="37"/>
  <c r="O67" i="37"/>
  <c r="P66" i="37"/>
  <c r="J157" i="37"/>
  <c r="J90" i="37"/>
  <c r="K127" i="36"/>
  <c r="K33" i="36" s="1"/>
  <c r="K35" i="36" s="1"/>
  <c r="K113" i="36"/>
  <c r="L59" i="36"/>
  <c r="K61" i="36"/>
  <c r="R29" i="36"/>
  <c r="R60" i="36"/>
  <c r="H44" i="36"/>
  <c r="H96" i="36"/>
  <c r="H46" i="36"/>
  <c r="G179" i="36"/>
  <c r="J42" i="36"/>
  <c r="L82" i="36"/>
  <c r="L31" i="36"/>
  <c r="L45" i="36"/>
  <c r="K157" i="36"/>
  <c r="K90" i="36"/>
  <c r="H98" i="36"/>
  <c r="G70" i="36"/>
  <c r="G71" i="36" s="1"/>
  <c r="G72" i="36" s="1"/>
  <c r="H169" i="36"/>
  <c r="H177" i="36" s="1"/>
  <c r="H179" i="36" s="1"/>
  <c r="H160" i="36"/>
  <c r="I131" i="36"/>
  <c r="I136" i="36" s="1"/>
  <c r="H54" i="36"/>
  <c r="H56" i="36" s="1"/>
  <c r="H62" i="36" s="1"/>
  <c r="J53" i="36"/>
  <c r="M112" i="36"/>
  <c r="N109" i="36" s="1"/>
  <c r="M28" i="36"/>
  <c r="J132" i="36"/>
  <c r="J134" i="36" s="1"/>
  <c r="J93" i="36" s="1"/>
  <c r="J94" i="36" s="1"/>
  <c r="J37" i="36"/>
  <c r="J77" i="36"/>
  <c r="J43" i="36"/>
  <c r="N67" i="36"/>
  <c r="O66" i="36"/>
  <c r="I151" i="36"/>
  <c r="I158" i="36" s="1"/>
  <c r="I83" i="36"/>
  <c r="J175" i="36"/>
  <c r="M28" i="27"/>
  <c r="N112" i="27"/>
  <c r="O109" i="27" s="1"/>
  <c r="K113" i="27"/>
  <c r="K61" i="27"/>
  <c r="K42" i="27" s="1"/>
  <c r="L59" i="27"/>
  <c r="P47" i="26"/>
  <c r="P50" i="26" s="1"/>
  <c r="O50" i="26"/>
  <c r="L31" i="26"/>
  <c r="M30" i="26" s="1"/>
  <c r="L24" i="26"/>
  <c r="K25" i="26"/>
  <c r="J45" i="27"/>
  <c r="J82" i="27"/>
  <c r="J31" i="27"/>
  <c r="J127" i="27" s="1"/>
  <c r="J33" i="27" s="1"/>
  <c r="J35" i="27" s="1"/>
  <c r="I157" i="27"/>
  <c r="I90" i="27"/>
  <c r="G46" i="27"/>
  <c r="G96" i="27"/>
  <c r="G44" i="27"/>
  <c r="I132" i="27"/>
  <c r="I134" i="27" s="1"/>
  <c r="I93" i="27" s="1"/>
  <c r="I37" i="27"/>
  <c r="I77" i="27"/>
  <c r="I43" i="27"/>
  <c r="H132" i="27"/>
  <c r="H134" i="27" s="1"/>
  <c r="H93" i="27" s="1"/>
  <c r="H43" i="27"/>
  <c r="H77" i="27"/>
  <c r="H37" i="27"/>
  <c r="H90" i="27"/>
  <c r="H157" i="27"/>
  <c r="G160" i="27"/>
  <c r="G169" i="27"/>
  <c r="G177" i="27" s="1"/>
  <c r="G179" i="27" s="1"/>
  <c r="K24" i="26"/>
  <c r="O67" i="27"/>
  <c r="P66" i="27"/>
  <c r="O9" i="26"/>
  <c r="P14" i="26"/>
  <c r="P9" i="26" s="1"/>
  <c r="N11" i="26"/>
  <c r="O67" i="25"/>
  <c r="N68" i="25"/>
  <c r="T19" i="2"/>
  <c r="S20" i="2"/>
  <c r="S24" i="2" s="1"/>
  <c r="M16" i="14"/>
  <c r="L17" i="14"/>
  <c r="L22" i="14" s="1"/>
  <c r="L27" i="14" s="1"/>
  <c r="L31" i="14" s="1"/>
  <c r="O32" i="8"/>
  <c r="R43" i="8"/>
  <c r="R45" i="8" s="1"/>
  <c r="R50" i="8" s="1"/>
  <c r="N43" i="14"/>
  <c r="K36" i="14"/>
  <c r="K32" i="14"/>
  <c r="Q16" i="8"/>
  <c r="Q17" i="8" s="1"/>
  <c r="Q22" i="8" s="1"/>
  <c r="Q27" i="8" s="1"/>
  <c r="Q31" i="8" s="1"/>
  <c r="P17" i="8"/>
  <c r="P22" i="8" s="1"/>
  <c r="P27" i="8" s="1"/>
  <c r="P31" i="8" s="1"/>
  <c r="M45" i="14"/>
  <c r="M50" i="14" s="1"/>
  <c r="M56" i="14"/>
  <c r="M58" i="14" s="1"/>
  <c r="M63" i="14" s="1"/>
  <c r="H136" i="39" l="1"/>
  <c r="I131" i="40"/>
  <c r="H136" i="38"/>
  <c r="H54" i="38" s="1"/>
  <c r="H56" i="38" s="1"/>
  <c r="H62" i="38" s="1"/>
  <c r="N112" i="44"/>
  <c r="O109" i="44" s="1"/>
  <c r="N28" i="44"/>
  <c r="K157" i="44"/>
  <c r="K90" i="44"/>
  <c r="K53" i="44"/>
  <c r="I44" i="44"/>
  <c r="I96" i="44"/>
  <c r="I46" i="44"/>
  <c r="G179" i="44"/>
  <c r="L127" i="44"/>
  <c r="L33" i="44" s="1"/>
  <c r="L35" i="44" s="1"/>
  <c r="J151" i="44"/>
  <c r="J158" i="44" s="1"/>
  <c r="J83" i="44"/>
  <c r="I160" i="44"/>
  <c r="I169" i="44"/>
  <c r="I177" i="44" s="1"/>
  <c r="I179" i="44" s="1"/>
  <c r="H169" i="44"/>
  <c r="H177" i="44" s="1"/>
  <c r="H179" i="44" s="1"/>
  <c r="H160" i="44"/>
  <c r="H44" i="44"/>
  <c r="H46" i="44"/>
  <c r="H96" i="44"/>
  <c r="L42" i="44"/>
  <c r="L157" i="44"/>
  <c r="L90" i="44"/>
  <c r="S60" i="44"/>
  <c r="S29" i="44" s="1"/>
  <c r="I131" i="44"/>
  <c r="I136" i="44" s="1"/>
  <c r="H54" i="44"/>
  <c r="H56" i="44" s="1"/>
  <c r="H62" i="44" s="1"/>
  <c r="M113" i="44"/>
  <c r="M61" i="44"/>
  <c r="N59" i="44"/>
  <c r="Q67" i="44"/>
  <c r="R66" i="44"/>
  <c r="G41" i="44"/>
  <c r="K127" i="44"/>
  <c r="K33" i="44" s="1"/>
  <c r="K35" i="44" s="1"/>
  <c r="M28" i="44"/>
  <c r="G70" i="44"/>
  <c r="G71" i="44" s="1"/>
  <c r="G72" i="44" s="1"/>
  <c r="H98" i="44"/>
  <c r="H136" i="43"/>
  <c r="I131" i="43" s="1"/>
  <c r="G41" i="43"/>
  <c r="J77" i="43"/>
  <c r="J132" i="43"/>
  <c r="J134" i="43" s="1"/>
  <c r="J93" i="43" s="1"/>
  <c r="J94" i="43" s="1"/>
  <c r="J37" i="43"/>
  <c r="J43" i="43"/>
  <c r="L82" i="43"/>
  <c r="L31" i="43"/>
  <c r="L45" i="43"/>
  <c r="K127" i="43"/>
  <c r="K33" i="43" s="1"/>
  <c r="K35" i="43" s="1"/>
  <c r="J42" i="43"/>
  <c r="K113" i="43"/>
  <c r="L59" i="43"/>
  <c r="K61" i="43"/>
  <c r="I175" i="43"/>
  <c r="J175" i="43"/>
  <c r="P67" i="43"/>
  <c r="Q66" i="43"/>
  <c r="H83" i="43"/>
  <c r="H151" i="43"/>
  <c r="H158" i="43" s="1"/>
  <c r="K157" i="43"/>
  <c r="K90" i="43"/>
  <c r="H98" i="43"/>
  <c r="G70" i="43"/>
  <c r="G71" i="43" s="1"/>
  <c r="G72" i="43" s="1"/>
  <c r="I53" i="43"/>
  <c r="S60" i="43"/>
  <c r="I132" i="43"/>
  <c r="I134" i="43" s="1"/>
  <c r="I93" i="43" s="1"/>
  <c r="I94" i="43" s="1"/>
  <c r="I43" i="43"/>
  <c r="I77" i="43"/>
  <c r="I37" i="43"/>
  <c r="G179" i="43"/>
  <c r="M112" i="43"/>
  <c r="N109" i="43" s="1"/>
  <c r="M28" i="43"/>
  <c r="M28" i="42"/>
  <c r="L42" i="42"/>
  <c r="S60" i="42"/>
  <c r="N112" i="42"/>
  <c r="O109" i="42" s="1"/>
  <c r="M113" i="42"/>
  <c r="N59" i="42"/>
  <c r="M61" i="42"/>
  <c r="H41" i="42"/>
  <c r="K53" i="42"/>
  <c r="I160" i="42"/>
  <c r="I169" i="42"/>
  <c r="I177" i="42" s="1"/>
  <c r="L157" i="42"/>
  <c r="L90" i="42"/>
  <c r="J175" i="42"/>
  <c r="I96" i="42"/>
  <c r="I44" i="42"/>
  <c r="I46" i="42"/>
  <c r="L127" i="42"/>
  <c r="L33" i="42" s="1"/>
  <c r="L35" i="42" s="1"/>
  <c r="K127" i="42"/>
  <c r="K33" i="42" s="1"/>
  <c r="K35" i="42"/>
  <c r="P67" i="42"/>
  <c r="Q66" i="42"/>
  <c r="J132" i="42"/>
  <c r="J134" i="42" s="1"/>
  <c r="J93" i="42" s="1"/>
  <c r="J94" i="42" s="1"/>
  <c r="J77" i="42"/>
  <c r="J37" i="42"/>
  <c r="J43" i="42"/>
  <c r="J131" i="42"/>
  <c r="I54" i="42"/>
  <c r="I56" i="42" s="1"/>
  <c r="I62" i="42" s="1"/>
  <c r="H99" i="42"/>
  <c r="K157" i="42"/>
  <c r="K90" i="42"/>
  <c r="L31" i="41"/>
  <c r="M28" i="41"/>
  <c r="M82" i="41" s="1"/>
  <c r="J132" i="41"/>
  <c r="J134" i="41" s="1"/>
  <c r="J93" i="41" s="1"/>
  <c r="J94" i="41" s="1"/>
  <c r="J37" i="41"/>
  <c r="J43" i="41"/>
  <c r="J77" i="41"/>
  <c r="I131" i="41"/>
  <c r="I136" i="41" s="1"/>
  <c r="H54" i="41"/>
  <c r="H56" i="41" s="1"/>
  <c r="H62" i="41" s="1"/>
  <c r="K175" i="41"/>
  <c r="K132" i="41"/>
  <c r="K134" i="41" s="1"/>
  <c r="K93" i="41" s="1"/>
  <c r="K94" i="41" s="1"/>
  <c r="K43" i="41"/>
  <c r="K77" i="41"/>
  <c r="K37" i="41"/>
  <c r="Q67" i="41"/>
  <c r="R66" i="41"/>
  <c r="J175" i="41"/>
  <c r="L127" i="41"/>
  <c r="L33" i="41" s="1"/>
  <c r="L35" i="41" s="1"/>
  <c r="K53" i="41"/>
  <c r="S60" i="41"/>
  <c r="S29" i="41" s="1"/>
  <c r="L157" i="41"/>
  <c r="L90" i="41"/>
  <c r="I83" i="41"/>
  <c r="I151" i="41"/>
  <c r="I158" i="41" s="1"/>
  <c r="K42" i="41"/>
  <c r="M45" i="41"/>
  <c r="H169" i="41"/>
  <c r="H177" i="41" s="1"/>
  <c r="H160" i="41"/>
  <c r="L113" i="41"/>
  <c r="L61" i="41"/>
  <c r="M59" i="41"/>
  <c r="N112" i="41"/>
  <c r="O109" i="41" s="1"/>
  <c r="H96" i="41"/>
  <c r="H99" i="41" s="1"/>
  <c r="H44" i="41"/>
  <c r="H46" i="41"/>
  <c r="G70" i="40"/>
  <c r="G71" i="40" s="1"/>
  <c r="G72" i="40" s="1"/>
  <c r="H98" i="40"/>
  <c r="J42" i="40"/>
  <c r="H41" i="40"/>
  <c r="J53" i="40"/>
  <c r="I83" i="40"/>
  <c r="I151" i="40"/>
  <c r="I158" i="40" s="1"/>
  <c r="L59" i="40"/>
  <c r="K113" i="40"/>
  <c r="K61" i="40"/>
  <c r="G179" i="40"/>
  <c r="M112" i="40"/>
  <c r="N109" i="40" s="1"/>
  <c r="M28" i="40"/>
  <c r="J175" i="40"/>
  <c r="J94" i="40"/>
  <c r="J77" i="40"/>
  <c r="J132" i="40"/>
  <c r="J134" i="40" s="1"/>
  <c r="J93" i="40" s="1"/>
  <c r="J43" i="40"/>
  <c r="J37" i="40"/>
  <c r="P67" i="40"/>
  <c r="Q66" i="40"/>
  <c r="L82" i="40"/>
  <c r="L31" i="40"/>
  <c r="L45" i="40"/>
  <c r="H169" i="40"/>
  <c r="H177" i="40" s="1"/>
  <c r="H179" i="40" s="1"/>
  <c r="H160" i="40"/>
  <c r="K127" i="40"/>
  <c r="K33" i="40" s="1"/>
  <c r="K35" i="40" s="1"/>
  <c r="S29" i="40"/>
  <c r="S60" i="40"/>
  <c r="H96" i="40"/>
  <c r="H46" i="40"/>
  <c r="H44" i="40"/>
  <c r="I136" i="40"/>
  <c r="K157" i="40"/>
  <c r="K90" i="40"/>
  <c r="J77" i="39"/>
  <c r="J132" i="39"/>
  <c r="J134" i="39" s="1"/>
  <c r="J93" i="39" s="1"/>
  <c r="J37" i="39"/>
  <c r="J43" i="39"/>
  <c r="M112" i="39"/>
  <c r="N109" i="39" s="1"/>
  <c r="I131" i="39"/>
  <c r="I136" i="39" s="1"/>
  <c r="H54" i="39"/>
  <c r="H56" i="39" s="1"/>
  <c r="H62" i="39" s="1"/>
  <c r="K113" i="39"/>
  <c r="L59" i="39"/>
  <c r="K61" i="39"/>
  <c r="S60" i="39"/>
  <c r="S29" i="39" s="1"/>
  <c r="G160" i="39"/>
  <c r="G169" i="39"/>
  <c r="G177" i="39" s="1"/>
  <c r="H83" i="39"/>
  <c r="H151" i="39"/>
  <c r="H158" i="39" s="1"/>
  <c r="K127" i="39"/>
  <c r="K33" i="39" s="1"/>
  <c r="K35" i="39" s="1"/>
  <c r="J53" i="39"/>
  <c r="P67" i="39"/>
  <c r="Q66" i="39"/>
  <c r="G41" i="39"/>
  <c r="J175" i="39"/>
  <c r="J94" i="39"/>
  <c r="G96" i="39"/>
  <c r="G99" i="39" s="1"/>
  <c r="G44" i="39"/>
  <c r="G46" i="39"/>
  <c r="L28" i="39"/>
  <c r="K157" i="39"/>
  <c r="K90" i="39"/>
  <c r="I151" i="39"/>
  <c r="I158" i="39" s="1"/>
  <c r="I83" i="39"/>
  <c r="I131" i="38"/>
  <c r="I136" i="38" s="1"/>
  <c r="H98" i="38"/>
  <c r="G70" i="38"/>
  <c r="G71" i="38" s="1"/>
  <c r="G72" i="38" s="1"/>
  <c r="J132" i="38"/>
  <c r="J134" i="38" s="1"/>
  <c r="J93" i="38" s="1"/>
  <c r="J94" i="38" s="1"/>
  <c r="J43" i="38"/>
  <c r="J77" i="38"/>
  <c r="J37" i="38"/>
  <c r="K127" i="38"/>
  <c r="K33" i="38" s="1"/>
  <c r="K35" i="38" s="1"/>
  <c r="M112" i="38"/>
  <c r="N109" i="38" s="1"/>
  <c r="M28" i="38"/>
  <c r="J175" i="38"/>
  <c r="K157" i="38"/>
  <c r="K90" i="38"/>
  <c r="Q67" i="38"/>
  <c r="R66" i="38"/>
  <c r="G179" i="38"/>
  <c r="H83" i="38"/>
  <c r="H151" i="38"/>
  <c r="H158" i="38" s="1"/>
  <c r="L28" i="38"/>
  <c r="J42" i="38"/>
  <c r="J53" i="38"/>
  <c r="S60" i="38"/>
  <c r="S29" i="38"/>
  <c r="I83" i="38"/>
  <c r="I151" i="38"/>
  <c r="I158" i="38" s="1"/>
  <c r="K113" i="38"/>
  <c r="L59" i="38"/>
  <c r="K61" i="38"/>
  <c r="G179" i="37"/>
  <c r="K113" i="37"/>
  <c r="L59" i="37"/>
  <c r="K61" i="37"/>
  <c r="I53" i="37"/>
  <c r="J175" i="37"/>
  <c r="I132" i="37"/>
  <c r="I134" i="37" s="1"/>
  <c r="I93" i="37" s="1"/>
  <c r="I94" i="37" s="1"/>
  <c r="I43" i="37"/>
  <c r="I77" i="37"/>
  <c r="I37" i="37"/>
  <c r="L82" i="37"/>
  <c r="L45" i="37"/>
  <c r="L31" i="37"/>
  <c r="H83" i="37"/>
  <c r="H151" i="37"/>
  <c r="H158" i="37" s="1"/>
  <c r="M112" i="37"/>
  <c r="N109" i="37" s="1"/>
  <c r="M28" i="37"/>
  <c r="H98" i="37"/>
  <c r="G70" i="37"/>
  <c r="G71" i="37" s="1"/>
  <c r="G72" i="37" s="1"/>
  <c r="K157" i="37"/>
  <c r="K90" i="37"/>
  <c r="S60" i="37"/>
  <c r="J42" i="37"/>
  <c r="G41" i="37"/>
  <c r="J77" i="37"/>
  <c r="J132" i="37"/>
  <c r="J134" i="37" s="1"/>
  <c r="J93" i="37" s="1"/>
  <c r="J94" i="37" s="1"/>
  <c r="J37" i="37"/>
  <c r="J43" i="37"/>
  <c r="P67" i="37"/>
  <c r="Q66" i="37"/>
  <c r="K127" i="37"/>
  <c r="K33" i="37" s="1"/>
  <c r="K35" i="37" s="1"/>
  <c r="I175" i="37"/>
  <c r="H136" i="37"/>
  <c r="L157" i="36"/>
  <c r="L90" i="36"/>
  <c r="S60" i="36"/>
  <c r="S29" i="36" s="1"/>
  <c r="I169" i="36"/>
  <c r="I177" i="36" s="1"/>
  <c r="I179" i="36" s="1"/>
  <c r="I160" i="36"/>
  <c r="K42" i="36"/>
  <c r="N112" i="36"/>
  <c r="O109" i="36" s="1"/>
  <c r="N28" i="36"/>
  <c r="P66" i="36"/>
  <c r="O67" i="36"/>
  <c r="L113" i="36"/>
  <c r="L61" i="36"/>
  <c r="M59" i="36"/>
  <c r="K53" i="36"/>
  <c r="K77" i="36"/>
  <c r="K132" i="36"/>
  <c r="K134" i="36" s="1"/>
  <c r="K93" i="36" s="1"/>
  <c r="K94" i="36" s="1"/>
  <c r="K43" i="36"/>
  <c r="K37" i="36"/>
  <c r="I96" i="36"/>
  <c r="I44" i="36"/>
  <c r="I46" i="36"/>
  <c r="K175" i="36"/>
  <c r="J151" i="36"/>
  <c r="J158" i="36" s="1"/>
  <c r="J83" i="36"/>
  <c r="H41" i="36"/>
  <c r="H99" i="36"/>
  <c r="M82" i="36"/>
  <c r="M45" i="36"/>
  <c r="M31" i="36"/>
  <c r="J131" i="36"/>
  <c r="J136" i="36" s="1"/>
  <c r="I54" i="36"/>
  <c r="I56" i="36" s="1"/>
  <c r="I62" i="36" s="1"/>
  <c r="L127" i="36"/>
  <c r="L33" i="36" s="1"/>
  <c r="L35" i="36" s="1"/>
  <c r="N28" i="27"/>
  <c r="L113" i="27"/>
  <c r="M59" i="27"/>
  <c r="L61" i="27"/>
  <c r="L42" i="27" s="1"/>
  <c r="O112" i="27"/>
  <c r="P109" i="27" s="1"/>
  <c r="C55" i="26"/>
  <c r="I175" i="27"/>
  <c r="I94" i="27"/>
  <c r="I151" i="27"/>
  <c r="I158" i="27" s="1"/>
  <c r="I83" i="27"/>
  <c r="J43" i="27"/>
  <c r="J37" i="27"/>
  <c r="J77" i="27"/>
  <c r="J132" i="27"/>
  <c r="J134" i="27" s="1"/>
  <c r="J93" i="27" s="1"/>
  <c r="L28" i="26"/>
  <c r="M25" i="26"/>
  <c r="M31" i="26"/>
  <c r="N30" i="26" s="1"/>
  <c r="M24" i="26"/>
  <c r="K28" i="26"/>
  <c r="L25" i="26"/>
  <c r="J90" i="27"/>
  <c r="J157" i="27"/>
  <c r="H151" i="27"/>
  <c r="H158" i="27" s="1"/>
  <c r="H83" i="27"/>
  <c r="H175" i="27"/>
  <c r="H94" i="27"/>
  <c r="Q66" i="27"/>
  <c r="P67" i="27"/>
  <c r="O11" i="26"/>
  <c r="P11" i="26"/>
  <c r="P67" i="25"/>
  <c r="O68" i="25"/>
  <c r="L36" i="14"/>
  <c r="L32" i="14"/>
  <c r="O43" i="14"/>
  <c r="Q32" i="8"/>
  <c r="T43" i="8"/>
  <c r="N16" i="14"/>
  <c r="M17" i="14"/>
  <c r="M22" i="14" s="1"/>
  <c r="M27" i="14" s="1"/>
  <c r="M31" i="14" s="1"/>
  <c r="N56" i="14"/>
  <c r="N58" i="14" s="1"/>
  <c r="N63" i="14" s="1"/>
  <c r="N45" i="14"/>
  <c r="N50" i="14" s="1"/>
  <c r="G2" i="14"/>
  <c r="P32" i="8"/>
  <c r="S43" i="8"/>
  <c r="S45" i="8" s="1"/>
  <c r="S50" i="8" s="1"/>
  <c r="U19" i="2"/>
  <c r="U20" i="2" s="1"/>
  <c r="U24" i="2" s="1"/>
  <c r="T20" i="2"/>
  <c r="T24" i="2" s="1"/>
  <c r="K132" i="44" l="1"/>
  <c r="K134" i="44" s="1"/>
  <c r="K93" i="44" s="1"/>
  <c r="K94" i="44" s="1"/>
  <c r="K77" i="44"/>
  <c r="K37" i="44"/>
  <c r="K43" i="44"/>
  <c r="N113" i="44"/>
  <c r="N61" i="44"/>
  <c r="O59" i="44"/>
  <c r="O112" i="44"/>
  <c r="P109" i="44" s="1"/>
  <c r="O28" i="44"/>
  <c r="J96" i="44"/>
  <c r="J46" i="44"/>
  <c r="J44" i="44"/>
  <c r="M42" i="44"/>
  <c r="H41" i="44"/>
  <c r="H99" i="44"/>
  <c r="J169" i="44"/>
  <c r="J177" i="44" s="1"/>
  <c r="J179" i="44" s="1"/>
  <c r="J160" i="44"/>
  <c r="J131" i="44"/>
  <c r="J136" i="44" s="1"/>
  <c r="I54" i="44"/>
  <c r="I56" i="44" s="1"/>
  <c r="I62" i="44" s="1"/>
  <c r="L77" i="44"/>
  <c r="L132" i="44"/>
  <c r="L134" i="44" s="1"/>
  <c r="L93" i="44" s="1"/>
  <c r="L94" i="44" s="1"/>
  <c r="L43" i="44"/>
  <c r="L37" i="44"/>
  <c r="M82" i="44"/>
  <c r="M45" i="44"/>
  <c r="M31" i="44"/>
  <c r="L53" i="44"/>
  <c r="S66" i="44"/>
  <c r="R67" i="44"/>
  <c r="T60" i="44"/>
  <c r="K175" i="44"/>
  <c r="L175" i="44"/>
  <c r="N82" i="44"/>
  <c r="N45" i="44"/>
  <c r="N31" i="44"/>
  <c r="H54" i="43"/>
  <c r="H56" i="43" s="1"/>
  <c r="H62" i="43" s="1"/>
  <c r="H41" i="43" s="1"/>
  <c r="L127" i="43"/>
  <c r="L33" i="43" s="1"/>
  <c r="L35" i="43" s="1"/>
  <c r="I83" i="43"/>
  <c r="I151" i="43"/>
  <c r="I158" i="43" s="1"/>
  <c r="L157" i="43"/>
  <c r="L90" i="43"/>
  <c r="K175" i="43"/>
  <c r="J53" i="43"/>
  <c r="Q67" i="43"/>
  <c r="R66" i="43"/>
  <c r="M82" i="43"/>
  <c r="M45" i="43"/>
  <c r="M31" i="43"/>
  <c r="T29" i="43"/>
  <c r="T60" i="43"/>
  <c r="I136" i="43"/>
  <c r="N112" i="43"/>
  <c r="O109" i="43" s="1"/>
  <c r="N28" i="43"/>
  <c r="S29" i="43"/>
  <c r="H160" i="43"/>
  <c r="H169" i="43"/>
  <c r="H177" i="43" s="1"/>
  <c r="K42" i="43"/>
  <c r="J151" i="43"/>
  <c r="J158" i="43" s="1"/>
  <c r="J83" i="43"/>
  <c r="H96" i="43"/>
  <c r="H99" i="43" s="1"/>
  <c r="H44" i="43"/>
  <c r="H46" i="43"/>
  <c r="L113" i="43"/>
  <c r="L61" i="43"/>
  <c r="M59" i="43"/>
  <c r="K77" i="43"/>
  <c r="K132" i="43"/>
  <c r="K134" i="43" s="1"/>
  <c r="K93" i="43" s="1"/>
  <c r="K94" i="43" s="1"/>
  <c r="K37" i="43"/>
  <c r="K43" i="43"/>
  <c r="K175" i="42"/>
  <c r="J83" i="42"/>
  <c r="J151" i="42"/>
  <c r="J158" i="42" s="1"/>
  <c r="N28" i="42"/>
  <c r="O112" i="42"/>
  <c r="P109" i="42" s="1"/>
  <c r="L53" i="42"/>
  <c r="T60" i="42"/>
  <c r="S29" i="42"/>
  <c r="I41" i="42"/>
  <c r="K77" i="42"/>
  <c r="K132" i="42"/>
  <c r="K134" i="42" s="1"/>
  <c r="K93" i="42" s="1"/>
  <c r="K94" i="42" s="1"/>
  <c r="K37" i="42"/>
  <c r="K43" i="42"/>
  <c r="I98" i="42"/>
  <c r="I99" i="42" s="1"/>
  <c r="H70" i="42"/>
  <c r="H71" i="42" s="1"/>
  <c r="H72" i="42" s="1"/>
  <c r="J136" i="42"/>
  <c r="L175" i="42"/>
  <c r="M42" i="42"/>
  <c r="Q67" i="42"/>
  <c r="R66" i="42"/>
  <c r="N113" i="42"/>
  <c r="O59" i="42"/>
  <c r="N61" i="42"/>
  <c r="L77" i="42"/>
  <c r="L132" i="42"/>
  <c r="L134" i="42" s="1"/>
  <c r="L93" i="42" s="1"/>
  <c r="L94" i="42" s="1"/>
  <c r="L43" i="42"/>
  <c r="L37" i="42"/>
  <c r="I179" i="42"/>
  <c r="M82" i="42"/>
  <c r="M45" i="42"/>
  <c r="M31" i="42"/>
  <c r="M31" i="41"/>
  <c r="M127" i="41" s="1"/>
  <c r="M33" i="41" s="1"/>
  <c r="M35" i="41" s="1"/>
  <c r="L77" i="41"/>
  <c r="L132" i="41"/>
  <c r="L134" i="41" s="1"/>
  <c r="L93" i="41" s="1"/>
  <c r="L94" i="41" s="1"/>
  <c r="L37" i="41"/>
  <c r="L43" i="41"/>
  <c r="M113" i="41"/>
  <c r="M61" i="41"/>
  <c r="N59" i="41"/>
  <c r="M157" i="41"/>
  <c r="M90" i="41"/>
  <c r="R67" i="41"/>
  <c r="S66" i="41"/>
  <c r="L42" i="41"/>
  <c r="H41" i="41"/>
  <c r="O112" i="41"/>
  <c r="P109" i="41" s="1"/>
  <c r="O28" i="41"/>
  <c r="L53" i="41"/>
  <c r="J131" i="41"/>
  <c r="J136" i="41" s="1"/>
  <c r="I54" i="41"/>
  <c r="I56" i="41" s="1"/>
  <c r="I62" i="41" s="1"/>
  <c r="I169" i="41"/>
  <c r="I177" i="41" s="1"/>
  <c r="I179" i="41" s="1"/>
  <c r="I160" i="41"/>
  <c r="J83" i="41"/>
  <c r="J151" i="41"/>
  <c r="J158" i="41" s="1"/>
  <c r="T29" i="41"/>
  <c r="T60" i="41"/>
  <c r="I96" i="41"/>
  <c r="I44" i="41"/>
  <c r="I46" i="41"/>
  <c r="K83" i="41"/>
  <c r="K151" i="41"/>
  <c r="K158" i="41" s="1"/>
  <c r="I98" i="41"/>
  <c r="H70" i="41"/>
  <c r="H71" i="41" s="1"/>
  <c r="H72" i="41" s="1"/>
  <c r="H179" i="41"/>
  <c r="L175" i="41"/>
  <c r="N28" i="41"/>
  <c r="L113" i="40"/>
  <c r="M59" i="40"/>
  <c r="L61" i="40"/>
  <c r="K132" i="40"/>
  <c r="K134" i="40" s="1"/>
  <c r="K93" i="40" s="1"/>
  <c r="K94" i="40" s="1"/>
  <c r="K37" i="40"/>
  <c r="K77" i="40"/>
  <c r="K43" i="40"/>
  <c r="I169" i="40"/>
  <c r="I177" i="40" s="1"/>
  <c r="I179" i="40" s="1"/>
  <c r="I160" i="40"/>
  <c r="K53" i="40"/>
  <c r="M82" i="40"/>
  <c r="M31" i="40"/>
  <c r="M45" i="40"/>
  <c r="N112" i="40"/>
  <c r="O109" i="40" s="1"/>
  <c r="N28" i="40"/>
  <c r="J131" i="40"/>
  <c r="J136" i="40" s="1"/>
  <c r="I54" i="40"/>
  <c r="I56" i="40" s="1"/>
  <c r="I62" i="40" s="1"/>
  <c r="J83" i="40"/>
  <c r="J151" i="40"/>
  <c r="J158" i="40" s="1"/>
  <c r="Q67" i="40"/>
  <c r="R66" i="40"/>
  <c r="K175" i="40"/>
  <c r="I44" i="40"/>
  <c r="I96" i="40"/>
  <c r="I46" i="40"/>
  <c r="H99" i="40"/>
  <c r="L127" i="40"/>
  <c r="L33" i="40" s="1"/>
  <c r="L35" i="40"/>
  <c r="K42" i="40"/>
  <c r="T60" i="40"/>
  <c r="L157" i="40"/>
  <c r="L90" i="40"/>
  <c r="H96" i="39"/>
  <c r="H99" i="39" s="1"/>
  <c r="H44" i="39"/>
  <c r="H46" i="39"/>
  <c r="H98" i="39"/>
  <c r="G70" i="39"/>
  <c r="G71" i="39" s="1"/>
  <c r="G72" i="39" s="1"/>
  <c r="I96" i="39"/>
  <c r="I44" i="39"/>
  <c r="I46" i="39"/>
  <c r="G179" i="39"/>
  <c r="J131" i="39"/>
  <c r="J136" i="39" s="1"/>
  <c r="I54" i="39"/>
  <c r="I56" i="39" s="1"/>
  <c r="I62" i="39" s="1"/>
  <c r="I169" i="39"/>
  <c r="I177" i="39" s="1"/>
  <c r="I179" i="39" s="1"/>
  <c r="I160" i="39"/>
  <c r="M28" i="39"/>
  <c r="J83" i="39"/>
  <c r="J151" i="39"/>
  <c r="J158" i="39" s="1"/>
  <c r="Q67" i="39"/>
  <c r="R66" i="39"/>
  <c r="N112" i="39"/>
  <c r="O109" i="39" s="1"/>
  <c r="K132" i="39"/>
  <c r="K134" i="39" s="1"/>
  <c r="K93" i="39" s="1"/>
  <c r="K94" i="39" s="1"/>
  <c r="K77" i="39"/>
  <c r="K37" i="39"/>
  <c r="K43" i="39"/>
  <c r="K175" i="39"/>
  <c r="T29" i="39"/>
  <c r="T60" i="39"/>
  <c r="L82" i="39"/>
  <c r="L31" i="39"/>
  <c r="L45" i="39"/>
  <c r="H41" i="39"/>
  <c r="K53" i="39"/>
  <c r="H169" i="39"/>
  <c r="H177" i="39" s="1"/>
  <c r="H179" i="39" s="1"/>
  <c r="H160" i="39"/>
  <c r="L113" i="39"/>
  <c r="L61" i="39"/>
  <c r="M59" i="39"/>
  <c r="K132" i="38"/>
  <c r="K134" i="38" s="1"/>
  <c r="K93" i="38" s="1"/>
  <c r="K94" i="38" s="1"/>
  <c r="K37" i="38"/>
  <c r="K43" i="38"/>
  <c r="K77" i="38"/>
  <c r="I96" i="38"/>
  <c r="I44" i="38"/>
  <c r="I46" i="38"/>
  <c r="L82" i="38"/>
  <c r="L45" i="38"/>
  <c r="L31" i="38"/>
  <c r="J83" i="38"/>
  <c r="J151" i="38"/>
  <c r="J158" i="38" s="1"/>
  <c r="H169" i="38"/>
  <c r="H177" i="38" s="1"/>
  <c r="H160" i="38"/>
  <c r="I169" i="38"/>
  <c r="I177" i="38" s="1"/>
  <c r="I179" i="38" s="1"/>
  <c r="I160" i="38"/>
  <c r="K175" i="38"/>
  <c r="T60" i="38"/>
  <c r="H96" i="38"/>
  <c r="H99" i="38" s="1"/>
  <c r="H46" i="38"/>
  <c r="H44" i="38"/>
  <c r="K42" i="38"/>
  <c r="K53" i="38"/>
  <c r="N112" i="38"/>
  <c r="O109" i="38" s="1"/>
  <c r="M82" i="38"/>
  <c r="M45" i="38"/>
  <c r="M31" i="38"/>
  <c r="L113" i="38"/>
  <c r="M59" i="38"/>
  <c r="L61" i="38"/>
  <c r="R67" i="38"/>
  <c r="S66" i="38"/>
  <c r="H41" i="38"/>
  <c r="J131" i="38"/>
  <c r="J136" i="38" s="1"/>
  <c r="I54" i="38"/>
  <c r="I56" i="38" s="1"/>
  <c r="I62" i="38" s="1"/>
  <c r="K77" i="37"/>
  <c r="K132" i="37"/>
  <c r="K134" i="37" s="1"/>
  <c r="K93" i="37" s="1"/>
  <c r="K94" i="37" s="1"/>
  <c r="K37" i="37"/>
  <c r="K43" i="37"/>
  <c r="K42" i="37"/>
  <c r="Q67" i="37"/>
  <c r="R66" i="37"/>
  <c r="L113" i="37"/>
  <c r="L61" i="37"/>
  <c r="M59" i="37"/>
  <c r="I131" i="37"/>
  <c r="I136" i="37" s="1"/>
  <c r="H54" i="37"/>
  <c r="H56" i="37" s="1"/>
  <c r="H62" i="37" s="1"/>
  <c r="N112" i="37"/>
  <c r="O109" i="37" s="1"/>
  <c r="N28" i="37"/>
  <c r="H160" i="37"/>
  <c r="H169" i="37"/>
  <c r="H177" i="37" s="1"/>
  <c r="K175" i="37"/>
  <c r="L127" i="37"/>
  <c r="L33" i="37" s="1"/>
  <c r="L35" i="37" s="1"/>
  <c r="M82" i="37"/>
  <c r="M31" i="37"/>
  <c r="M45" i="37"/>
  <c r="I83" i="37"/>
  <c r="I151" i="37"/>
  <c r="I158" i="37" s="1"/>
  <c r="T60" i="37"/>
  <c r="S29" i="37"/>
  <c r="H96" i="37"/>
  <c r="H99" i="37" s="1"/>
  <c r="H44" i="37"/>
  <c r="H46" i="37"/>
  <c r="J151" i="37"/>
  <c r="J158" i="37" s="1"/>
  <c r="J83" i="37"/>
  <c r="L157" i="37"/>
  <c r="L90" i="37"/>
  <c r="J53" i="37"/>
  <c r="L42" i="36"/>
  <c r="M127" i="36"/>
  <c r="M33" i="36" s="1"/>
  <c r="M35" i="36" s="1"/>
  <c r="K131" i="36"/>
  <c r="K136" i="36" s="1"/>
  <c r="J54" i="36"/>
  <c r="J56" i="36" s="1"/>
  <c r="J62" i="36" s="1"/>
  <c r="J169" i="36"/>
  <c r="J177" i="36" s="1"/>
  <c r="J160" i="36"/>
  <c r="K151" i="36"/>
  <c r="K158" i="36" s="1"/>
  <c r="K83" i="36"/>
  <c r="I41" i="36"/>
  <c r="M90" i="36"/>
  <c r="M157" i="36"/>
  <c r="P67" i="36"/>
  <c r="Q66" i="36"/>
  <c r="I98" i="36"/>
  <c r="I99" i="36" s="1"/>
  <c r="H70" i="36"/>
  <c r="H71" i="36" s="1"/>
  <c r="H72" i="36" s="1"/>
  <c r="N82" i="36"/>
  <c r="N31" i="36"/>
  <c r="N45" i="36"/>
  <c r="J96" i="36"/>
  <c r="J46" i="36"/>
  <c r="J44" i="36"/>
  <c r="L77" i="36"/>
  <c r="L132" i="36"/>
  <c r="L134" i="36" s="1"/>
  <c r="L93" i="36" s="1"/>
  <c r="L37" i="36"/>
  <c r="L43" i="36"/>
  <c r="L53" i="36"/>
  <c r="O112" i="36"/>
  <c r="P109" i="36" s="1"/>
  <c r="L175" i="36"/>
  <c r="L94" i="36"/>
  <c r="T60" i="36"/>
  <c r="T29" i="36"/>
  <c r="M113" i="36"/>
  <c r="N59" i="36"/>
  <c r="M61" i="36"/>
  <c r="M113" i="27"/>
  <c r="N59" i="27"/>
  <c r="M61" i="27"/>
  <c r="M42" i="27" s="1"/>
  <c r="O28" i="27"/>
  <c r="P112" i="27"/>
  <c r="Q109" i="27" s="1"/>
  <c r="H96" i="27"/>
  <c r="I96" i="27"/>
  <c r="I160" i="27"/>
  <c r="I169" i="27"/>
  <c r="I177" i="27" s="1"/>
  <c r="I179" i="27" s="1"/>
  <c r="L82" i="27"/>
  <c r="L45" i="27"/>
  <c r="L31" i="27"/>
  <c r="L127" i="27" s="1"/>
  <c r="L33" i="27" s="1"/>
  <c r="L35" i="27" s="1"/>
  <c r="J83" i="27"/>
  <c r="J151" i="27"/>
  <c r="J158" i="27" s="1"/>
  <c r="J175" i="27"/>
  <c r="J94" i="27"/>
  <c r="M28" i="26"/>
  <c r="H169" i="27"/>
  <c r="H177" i="27" s="1"/>
  <c r="H179" i="27" s="1"/>
  <c r="H160" i="27"/>
  <c r="K31" i="27"/>
  <c r="K127" i="27" s="1"/>
  <c r="K33" i="27" s="1"/>
  <c r="K35" i="27" s="1"/>
  <c r="K82" i="27"/>
  <c r="K45" i="27"/>
  <c r="H46" i="27"/>
  <c r="H44" i="27"/>
  <c r="N31" i="26"/>
  <c r="O30" i="26" s="1"/>
  <c r="N24" i="26"/>
  <c r="I46" i="27"/>
  <c r="I44" i="27"/>
  <c r="Q67" i="27"/>
  <c r="R66" i="27"/>
  <c r="C16" i="26"/>
  <c r="Q67" i="25"/>
  <c r="P68" i="25"/>
  <c r="M32" i="14"/>
  <c r="P43" i="14"/>
  <c r="P45" i="14" s="1"/>
  <c r="P50" i="14" s="1"/>
  <c r="O16" i="14"/>
  <c r="N17" i="14"/>
  <c r="N22" i="14" s="1"/>
  <c r="N27" i="14" s="1"/>
  <c r="N31" i="14" s="1"/>
  <c r="T44" i="18"/>
  <c r="T45" i="18" s="1"/>
  <c r="T50" i="18" s="1"/>
  <c r="C51" i="18" s="1"/>
  <c r="G3" i="18" s="1"/>
  <c r="T44" i="15"/>
  <c r="T45" i="15" s="1"/>
  <c r="T50" i="15" s="1"/>
  <c r="C51" i="15" s="1"/>
  <c r="G3" i="15" s="1"/>
  <c r="T44" i="9"/>
  <c r="T45" i="9" s="1"/>
  <c r="T50" i="9" s="1"/>
  <c r="C51" i="9" s="1"/>
  <c r="G3" i="9" s="1"/>
  <c r="T44" i="10"/>
  <c r="T45" i="10" s="1"/>
  <c r="T50" i="10" s="1"/>
  <c r="C51" i="10" s="1"/>
  <c r="G3" i="10" s="1"/>
  <c r="T44" i="6"/>
  <c r="T45" i="6" s="1"/>
  <c r="T50" i="6" s="1"/>
  <c r="C51" i="6" s="1"/>
  <c r="G3" i="6" s="1"/>
  <c r="T44" i="19"/>
  <c r="T45" i="19" s="1"/>
  <c r="T50" i="19" s="1"/>
  <c r="C51" i="19" s="1"/>
  <c r="G3" i="19" s="1"/>
  <c r="T44" i="13"/>
  <c r="T45" i="13" s="1"/>
  <c r="T50" i="13" s="1"/>
  <c r="C51" i="13" s="1"/>
  <c r="G3" i="13" s="1"/>
  <c r="T44" i="8"/>
  <c r="T45" i="8" s="1"/>
  <c r="T50" i="8" s="1"/>
  <c r="C51" i="8" s="1"/>
  <c r="G3" i="8" s="1"/>
  <c r="T44" i="14"/>
  <c r="T46" i="4"/>
  <c r="T51" i="4" s="1"/>
  <c r="C52" i="4" s="1"/>
  <c r="G3" i="4" s="1"/>
  <c r="T44" i="11"/>
  <c r="T45" i="11" s="1"/>
  <c r="T50" i="11" s="1"/>
  <c r="C51" i="11" s="1"/>
  <c r="G3" i="11" s="1"/>
  <c r="O45" i="14"/>
  <c r="O50" i="14" s="1"/>
  <c r="O56" i="14"/>
  <c r="O58" i="14" s="1"/>
  <c r="O63" i="14" s="1"/>
  <c r="C64" i="14" s="1"/>
  <c r="G4" i="14" s="1"/>
  <c r="I41" i="44" l="1"/>
  <c r="N42" i="44"/>
  <c r="K131" i="44"/>
  <c r="K136" i="44" s="1"/>
  <c r="J54" i="44"/>
  <c r="J56" i="44" s="1"/>
  <c r="J62" i="44" s="1"/>
  <c r="U60" i="44"/>
  <c r="C144" i="44" s="1"/>
  <c r="G144" i="44" s="1"/>
  <c r="U29" i="44"/>
  <c r="S67" i="44"/>
  <c r="T66" i="44"/>
  <c r="P112" i="44"/>
  <c r="Q109" i="44" s="1"/>
  <c r="P28" i="44"/>
  <c r="M53" i="44"/>
  <c r="N127" i="44"/>
  <c r="N33" i="44" s="1"/>
  <c r="N35" i="44" s="1"/>
  <c r="M127" i="44"/>
  <c r="M33" i="44" s="1"/>
  <c r="M35" i="44" s="1"/>
  <c r="N90" i="44"/>
  <c r="N157" i="44"/>
  <c r="M157" i="44"/>
  <c r="M90" i="44"/>
  <c r="T29" i="44"/>
  <c r="I98" i="44"/>
  <c r="I99" i="44" s="1"/>
  <c r="H70" i="44"/>
  <c r="H71" i="44" s="1"/>
  <c r="H72" i="44" s="1"/>
  <c r="K83" i="44"/>
  <c r="K151" i="44"/>
  <c r="K158" i="44" s="1"/>
  <c r="O82" i="44"/>
  <c r="O31" i="44"/>
  <c r="O45" i="44"/>
  <c r="L151" i="44"/>
  <c r="L158" i="44" s="1"/>
  <c r="L83" i="44"/>
  <c r="O113" i="44"/>
  <c r="O61" i="44"/>
  <c r="P59" i="44"/>
  <c r="I98" i="43"/>
  <c r="H70" i="43"/>
  <c r="H71" i="43" s="1"/>
  <c r="H72" i="43" s="1"/>
  <c r="K151" i="43"/>
  <c r="K158" i="43" s="1"/>
  <c r="K83" i="43"/>
  <c r="M90" i="43"/>
  <c r="M157" i="43"/>
  <c r="K53" i="43"/>
  <c r="M127" i="43"/>
  <c r="M33" i="43" s="1"/>
  <c r="M35" i="43" s="1"/>
  <c r="N82" i="43"/>
  <c r="N31" i="43"/>
  <c r="N45" i="43"/>
  <c r="L175" i="43"/>
  <c r="L42" i="43"/>
  <c r="J169" i="43"/>
  <c r="J177" i="43" s="1"/>
  <c r="J179" i="43" s="1"/>
  <c r="J160" i="43"/>
  <c r="J131" i="43"/>
  <c r="J136" i="43" s="1"/>
  <c r="I54" i="43"/>
  <c r="I56" i="43" s="1"/>
  <c r="I62" i="43" s="1"/>
  <c r="I169" i="43"/>
  <c r="I177" i="43" s="1"/>
  <c r="I179" i="43" s="1"/>
  <c r="I160" i="43"/>
  <c r="L77" i="43"/>
  <c r="L132" i="43"/>
  <c r="L134" i="43" s="1"/>
  <c r="L93" i="43" s="1"/>
  <c r="L94" i="43" s="1"/>
  <c r="L37" i="43"/>
  <c r="L43" i="43"/>
  <c r="H179" i="43"/>
  <c r="M113" i="43"/>
  <c r="M61" i="43"/>
  <c r="N59" i="43"/>
  <c r="J96" i="43"/>
  <c r="J44" i="43"/>
  <c r="J46" i="43"/>
  <c r="O112" i="43"/>
  <c r="P109" i="43" s="1"/>
  <c r="R67" i="43"/>
  <c r="S66" i="43"/>
  <c r="U60" i="43"/>
  <c r="C144" i="43" s="1"/>
  <c r="G144" i="43" s="1"/>
  <c r="I96" i="43"/>
  <c r="I44" i="43"/>
  <c r="I46" i="43"/>
  <c r="O113" i="42"/>
  <c r="O61" i="42"/>
  <c r="P59" i="42"/>
  <c r="J98" i="42"/>
  <c r="I70" i="42"/>
  <c r="I71" i="42" s="1"/>
  <c r="I72" i="42" s="1"/>
  <c r="K151" i="42"/>
  <c r="K158" i="42" s="1"/>
  <c r="K83" i="42"/>
  <c r="M53" i="42"/>
  <c r="K131" i="42"/>
  <c r="K136" i="42" s="1"/>
  <c r="J54" i="42"/>
  <c r="J56" i="42" s="1"/>
  <c r="J62" i="42" s="1"/>
  <c r="M157" i="42"/>
  <c r="M90" i="42"/>
  <c r="N42" i="42"/>
  <c r="O28" i="42"/>
  <c r="N82" i="42"/>
  <c r="N45" i="42"/>
  <c r="N31" i="42"/>
  <c r="R67" i="42"/>
  <c r="S66" i="42"/>
  <c r="J169" i="42"/>
  <c r="J177" i="42" s="1"/>
  <c r="J160" i="42"/>
  <c r="U60" i="42"/>
  <c r="C144" i="42" s="1"/>
  <c r="G144" i="42" s="1"/>
  <c r="U29" i="42"/>
  <c r="J96" i="42"/>
  <c r="J99" i="42" s="1"/>
  <c r="J44" i="42"/>
  <c r="J46" i="42"/>
  <c r="P112" i="42"/>
  <c r="Q109" i="42" s="1"/>
  <c r="T29" i="42"/>
  <c r="M127" i="42"/>
  <c r="M33" i="42" s="1"/>
  <c r="M35" i="42" s="1"/>
  <c r="L151" i="42"/>
  <c r="L158" i="42" s="1"/>
  <c r="L83" i="42"/>
  <c r="I99" i="41"/>
  <c r="I70" i="41" s="1"/>
  <c r="I71" i="41" s="1"/>
  <c r="I72" i="41" s="1"/>
  <c r="N113" i="41"/>
  <c r="O59" i="41"/>
  <c r="N61" i="41"/>
  <c r="I41" i="41"/>
  <c r="M42" i="41"/>
  <c r="K131" i="41"/>
  <c r="K136" i="41" s="1"/>
  <c r="J54" i="41"/>
  <c r="J56" i="41" s="1"/>
  <c r="J62" i="41" s="1"/>
  <c r="U60" i="41"/>
  <c r="C144" i="41" s="1"/>
  <c r="G144" i="41" s="1"/>
  <c r="M53" i="41"/>
  <c r="T66" i="41"/>
  <c r="S67" i="41"/>
  <c r="N82" i="41"/>
  <c r="N31" i="41"/>
  <c r="N45" i="41"/>
  <c r="M77" i="41"/>
  <c r="M37" i="41"/>
  <c r="M132" i="41"/>
  <c r="M134" i="41" s="1"/>
  <c r="M93" i="41" s="1"/>
  <c r="M94" i="41" s="1"/>
  <c r="M43" i="41"/>
  <c r="K169" i="41"/>
  <c r="K177" i="41" s="1"/>
  <c r="K179" i="41" s="1"/>
  <c r="K160" i="41"/>
  <c r="J169" i="41"/>
  <c r="J177" i="41" s="1"/>
  <c r="J160" i="41"/>
  <c r="O82" i="41"/>
  <c r="O45" i="41"/>
  <c r="O31" i="41"/>
  <c r="K46" i="41"/>
  <c r="K96" i="41"/>
  <c r="K44" i="41"/>
  <c r="J96" i="41"/>
  <c r="J44" i="41"/>
  <c r="J46" i="41"/>
  <c r="P112" i="41"/>
  <c r="Q109" i="41" s="1"/>
  <c r="M175" i="41"/>
  <c r="L151" i="41"/>
  <c r="L158" i="41" s="1"/>
  <c r="L83" i="41"/>
  <c r="L77" i="40"/>
  <c r="L132" i="40"/>
  <c r="L134" i="40" s="1"/>
  <c r="L93" i="40" s="1"/>
  <c r="L94" i="40" s="1"/>
  <c r="L43" i="40"/>
  <c r="L37" i="40"/>
  <c r="N82" i="40"/>
  <c r="N45" i="40"/>
  <c r="N31" i="40"/>
  <c r="M113" i="40"/>
  <c r="N59" i="40"/>
  <c r="M61" i="40"/>
  <c r="R67" i="40"/>
  <c r="S66" i="40"/>
  <c r="O112" i="40"/>
  <c r="P109" i="40" s="1"/>
  <c r="L175" i="40"/>
  <c r="H70" i="40"/>
  <c r="H71" i="40" s="1"/>
  <c r="H72" i="40" s="1"/>
  <c r="I98" i="40"/>
  <c r="I99" i="40" s="1"/>
  <c r="M127" i="40"/>
  <c r="M33" i="40" s="1"/>
  <c r="M35" i="40" s="1"/>
  <c r="U60" i="40"/>
  <c r="C144" i="40" s="1"/>
  <c r="G144" i="40" s="1"/>
  <c r="U29" i="40"/>
  <c r="J169" i="40"/>
  <c r="J177" i="40" s="1"/>
  <c r="J179" i="40" s="1"/>
  <c r="J160" i="40"/>
  <c r="M157" i="40"/>
  <c r="M90" i="40"/>
  <c r="K151" i="40"/>
  <c r="K158" i="40" s="1"/>
  <c r="K83" i="40"/>
  <c r="T29" i="40"/>
  <c r="J44" i="40"/>
  <c r="J46" i="40"/>
  <c r="J96" i="40"/>
  <c r="L53" i="40"/>
  <c r="I41" i="40"/>
  <c r="K131" i="40"/>
  <c r="K136" i="40" s="1"/>
  <c r="J54" i="40"/>
  <c r="J56" i="40" s="1"/>
  <c r="J62" i="40" s="1"/>
  <c r="L42" i="40"/>
  <c r="I98" i="39"/>
  <c r="I99" i="39" s="1"/>
  <c r="H70" i="39"/>
  <c r="H71" i="39" s="1"/>
  <c r="H72" i="39" s="1"/>
  <c r="L53" i="39"/>
  <c r="L90" i="39"/>
  <c r="L157" i="39"/>
  <c r="U60" i="39"/>
  <c r="C144" i="39" s="1"/>
  <c r="G144" i="39" s="1"/>
  <c r="N28" i="39"/>
  <c r="K151" i="39"/>
  <c r="K158" i="39" s="1"/>
  <c r="K83" i="39"/>
  <c r="O112" i="39"/>
  <c r="P109" i="39" s="1"/>
  <c r="M82" i="39"/>
  <c r="M31" i="39"/>
  <c r="M45" i="39"/>
  <c r="M61" i="39"/>
  <c r="M113" i="39"/>
  <c r="N59" i="39"/>
  <c r="R67" i="39"/>
  <c r="S66" i="39"/>
  <c r="I41" i="39"/>
  <c r="K131" i="39"/>
  <c r="K136" i="39" s="1"/>
  <c r="J54" i="39"/>
  <c r="J56" i="39" s="1"/>
  <c r="J62" i="39" s="1"/>
  <c r="J169" i="39"/>
  <c r="J177" i="39" s="1"/>
  <c r="J179" i="39" s="1"/>
  <c r="J160" i="39"/>
  <c r="L127" i="39"/>
  <c r="L33" i="39" s="1"/>
  <c r="L35" i="39" s="1"/>
  <c r="J96" i="39"/>
  <c r="J44" i="39"/>
  <c r="J46" i="39"/>
  <c r="S67" i="38"/>
  <c r="T66" i="38"/>
  <c r="N28" i="38"/>
  <c r="I98" i="38"/>
  <c r="I99" i="38" s="1"/>
  <c r="H70" i="38"/>
  <c r="H71" i="38" s="1"/>
  <c r="H72" i="38" s="1"/>
  <c r="U60" i="38"/>
  <c r="C144" i="38" s="1"/>
  <c r="G144" i="38" s="1"/>
  <c r="H179" i="38"/>
  <c r="I41" i="38"/>
  <c r="M113" i="38"/>
  <c r="M61" i="38"/>
  <c r="N59" i="38"/>
  <c r="T29" i="38"/>
  <c r="J169" i="38"/>
  <c r="J177" i="38" s="1"/>
  <c r="J179" i="38" s="1"/>
  <c r="J160" i="38"/>
  <c r="K151" i="38"/>
  <c r="K158" i="38" s="1"/>
  <c r="K83" i="38"/>
  <c r="L157" i="38"/>
  <c r="L90" i="38"/>
  <c r="J54" i="38"/>
  <c r="J56" i="38" s="1"/>
  <c r="J62" i="38" s="1"/>
  <c r="K131" i="38"/>
  <c r="K136" i="38" s="1"/>
  <c r="L53" i="38"/>
  <c r="J96" i="38"/>
  <c r="J44" i="38"/>
  <c r="J46" i="38"/>
  <c r="M90" i="38"/>
  <c r="M157" i="38"/>
  <c r="L42" i="38"/>
  <c r="M127" i="38"/>
  <c r="M33" i="38" s="1"/>
  <c r="M35" i="38" s="1"/>
  <c r="L127" i="38"/>
  <c r="L33" i="38" s="1"/>
  <c r="L35" i="38" s="1"/>
  <c r="O112" i="38"/>
  <c r="P109" i="38" s="1"/>
  <c r="O28" i="38"/>
  <c r="L77" i="37"/>
  <c r="L132" i="37"/>
  <c r="L134" i="37" s="1"/>
  <c r="L93" i="37" s="1"/>
  <c r="L94" i="37" s="1"/>
  <c r="L37" i="37"/>
  <c r="L43" i="37"/>
  <c r="K53" i="37"/>
  <c r="I98" i="37"/>
  <c r="H70" i="37"/>
  <c r="H71" i="37" s="1"/>
  <c r="H72" i="37" s="1"/>
  <c r="M127" i="37"/>
  <c r="M33" i="37" s="1"/>
  <c r="M35" i="37" s="1"/>
  <c r="R67" i="37"/>
  <c r="S66" i="37"/>
  <c r="M90" i="37"/>
  <c r="M157" i="37"/>
  <c r="N82" i="37"/>
  <c r="N31" i="37"/>
  <c r="N45" i="37"/>
  <c r="J131" i="37"/>
  <c r="J136" i="37" s="1"/>
  <c r="I54" i="37"/>
  <c r="I56" i="37" s="1"/>
  <c r="I62" i="37" s="1"/>
  <c r="U29" i="37"/>
  <c r="U60" i="37"/>
  <c r="C144" i="37" s="1"/>
  <c r="G144" i="37" s="1"/>
  <c r="O112" i="37"/>
  <c r="P109" i="37" s="1"/>
  <c r="O28" i="37"/>
  <c r="L175" i="37"/>
  <c r="J96" i="37"/>
  <c r="J44" i="37"/>
  <c r="J46" i="37"/>
  <c r="T29" i="37"/>
  <c r="H41" i="37"/>
  <c r="J169" i="37"/>
  <c r="J177" i="37" s="1"/>
  <c r="J179" i="37" s="1"/>
  <c r="J160" i="37"/>
  <c r="I169" i="37"/>
  <c r="I177" i="37" s="1"/>
  <c r="I179" i="37" s="1"/>
  <c r="I160" i="37"/>
  <c r="M113" i="37"/>
  <c r="M61" i="37"/>
  <c r="N59" i="37"/>
  <c r="I96" i="37"/>
  <c r="I44" i="37"/>
  <c r="I46" i="37"/>
  <c r="L42" i="37"/>
  <c r="H179" i="37"/>
  <c r="K151" i="37"/>
  <c r="K158" i="37" s="1"/>
  <c r="K83" i="37"/>
  <c r="J179" i="36"/>
  <c r="J98" i="36"/>
  <c r="J99" i="36" s="1"/>
  <c r="I70" i="36"/>
  <c r="I71" i="36" s="1"/>
  <c r="I72" i="36" s="1"/>
  <c r="M53" i="36"/>
  <c r="M175" i="36"/>
  <c r="J41" i="36"/>
  <c r="L131" i="36"/>
  <c r="L136" i="36" s="1"/>
  <c r="K54" i="36"/>
  <c r="K56" i="36" s="1"/>
  <c r="K62" i="36" s="1"/>
  <c r="U60" i="36"/>
  <c r="C144" i="36" s="1"/>
  <c r="G144" i="36" s="1"/>
  <c r="N90" i="36"/>
  <c r="N157" i="36"/>
  <c r="M132" i="36"/>
  <c r="M134" i="36" s="1"/>
  <c r="M93" i="36" s="1"/>
  <c r="M94" i="36" s="1"/>
  <c r="M77" i="36"/>
  <c r="M43" i="36"/>
  <c r="M37" i="36"/>
  <c r="L151" i="36"/>
  <c r="L158" i="36" s="1"/>
  <c r="L83" i="36"/>
  <c r="K96" i="36"/>
  <c r="K46" i="36"/>
  <c r="K44" i="36"/>
  <c r="N127" i="36"/>
  <c r="N33" i="36" s="1"/>
  <c r="N35" i="36" s="1"/>
  <c r="P112" i="36"/>
  <c r="Q109" i="36" s="1"/>
  <c r="P28" i="36"/>
  <c r="Q67" i="36"/>
  <c r="R66" i="36"/>
  <c r="K169" i="36"/>
  <c r="K177" i="36" s="1"/>
  <c r="K179" i="36" s="1"/>
  <c r="K160" i="36"/>
  <c r="M42" i="36"/>
  <c r="N61" i="36"/>
  <c r="N113" i="36"/>
  <c r="O59" i="36"/>
  <c r="O28" i="36"/>
  <c r="P28" i="27"/>
  <c r="Q112" i="27"/>
  <c r="R109" i="27" s="1"/>
  <c r="N113" i="27"/>
  <c r="N61" i="27"/>
  <c r="N42" i="27" s="1"/>
  <c r="O59" i="27"/>
  <c r="K90" i="27"/>
  <c r="K157" i="27"/>
  <c r="J169" i="27"/>
  <c r="J177" i="27" s="1"/>
  <c r="J179" i="27" s="1"/>
  <c r="J160" i="27"/>
  <c r="K77" i="27"/>
  <c r="K37" i="27"/>
  <c r="K43" i="27"/>
  <c r="K132" i="27"/>
  <c r="K134" i="27" s="1"/>
  <c r="K93" i="27" s="1"/>
  <c r="J46" i="27"/>
  <c r="J96" i="27"/>
  <c r="J44" i="27"/>
  <c r="O31" i="26"/>
  <c r="P30" i="26" s="1"/>
  <c r="O24" i="26"/>
  <c r="L43" i="27"/>
  <c r="L77" i="27"/>
  <c r="L132" i="27"/>
  <c r="L134" i="27" s="1"/>
  <c r="L93" i="27" s="1"/>
  <c r="L37" i="27"/>
  <c r="N25" i="26"/>
  <c r="N28" i="26" s="1"/>
  <c r="M31" i="27"/>
  <c r="M127" i="27" s="1"/>
  <c r="M33" i="27" s="1"/>
  <c r="M35" i="27" s="1"/>
  <c r="M45" i="27"/>
  <c r="M82" i="27"/>
  <c r="L157" i="27"/>
  <c r="L90" i="27"/>
  <c r="R67" i="27"/>
  <c r="S66" i="27"/>
  <c r="R67" i="25"/>
  <c r="Q68" i="25"/>
  <c r="N32" i="14"/>
  <c r="Q43" i="14"/>
  <c r="Q45" i="14" s="1"/>
  <c r="Q50" i="14" s="1"/>
  <c r="P16" i="14"/>
  <c r="O17" i="14"/>
  <c r="O22" i="14" s="1"/>
  <c r="O27" i="14" s="1"/>
  <c r="O31" i="14" s="1"/>
  <c r="M132" i="44" l="1"/>
  <c r="M134" i="44" s="1"/>
  <c r="M93" i="44" s="1"/>
  <c r="M94" i="44" s="1"/>
  <c r="M43" i="44"/>
  <c r="M77" i="44"/>
  <c r="M37" i="44"/>
  <c r="N132" i="44"/>
  <c r="N134" i="44" s="1"/>
  <c r="N93" i="44" s="1"/>
  <c r="N77" i="44"/>
  <c r="N43" i="44"/>
  <c r="N37" i="44"/>
  <c r="M175" i="44"/>
  <c r="N53" i="44"/>
  <c r="O127" i="44"/>
  <c r="O33" i="44" s="1"/>
  <c r="O35" i="44" s="1"/>
  <c r="O157" i="44"/>
  <c r="O90" i="44"/>
  <c r="P82" i="44"/>
  <c r="P31" i="44"/>
  <c r="P45" i="44"/>
  <c r="J41" i="44"/>
  <c r="L169" i="44"/>
  <c r="L177" i="44" s="1"/>
  <c r="L179" i="44" s="1"/>
  <c r="L160" i="44"/>
  <c r="P113" i="44"/>
  <c r="P61" i="44"/>
  <c r="Q59" i="44"/>
  <c r="K169" i="44"/>
  <c r="K177" i="44" s="1"/>
  <c r="K160" i="44"/>
  <c r="N175" i="44"/>
  <c r="N94" i="44"/>
  <c r="Q28" i="44"/>
  <c r="Q112" i="44"/>
  <c r="R109" i="44" s="1"/>
  <c r="L131" i="44"/>
  <c r="L136" i="44" s="1"/>
  <c r="K54" i="44"/>
  <c r="K56" i="44" s="1"/>
  <c r="K62" i="44" s="1"/>
  <c r="O42" i="44"/>
  <c r="K44" i="44"/>
  <c r="K96" i="44"/>
  <c r="K46" i="44"/>
  <c r="U66" i="44"/>
  <c r="U67" i="44" s="1"/>
  <c r="T67" i="44"/>
  <c r="L96" i="44"/>
  <c r="L46" i="44"/>
  <c r="L44" i="44"/>
  <c r="J98" i="44"/>
  <c r="J99" i="44" s="1"/>
  <c r="I70" i="44"/>
  <c r="I71" i="44" s="1"/>
  <c r="I72" i="44" s="1"/>
  <c r="L53" i="43"/>
  <c r="M42" i="43"/>
  <c r="O28" i="43"/>
  <c r="P112" i="43"/>
  <c r="Q109" i="43" s="1"/>
  <c r="P28" i="43"/>
  <c r="I41" i="43"/>
  <c r="M175" i="43"/>
  <c r="T66" i="43"/>
  <c r="S67" i="43"/>
  <c r="N127" i="43"/>
  <c r="N33" i="43" s="1"/>
  <c r="N35" i="43" s="1"/>
  <c r="K96" i="43"/>
  <c r="K46" i="43"/>
  <c r="K44" i="43"/>
  <c r="I99" i="43"/>
  <c r="N90" i="43"/>
  <c r="N157" i="43"/>
  <c r="K169" i="43"/>
  <c r="K177" i="43" s="1"/>
  <c r="K160" i="43"/>
  <c r="M77" i="43"/>
  <c r="M132" i="43"/>
  <c r="M134" i="43" s="1"/>
  <c r="M93" i="43" s="1"/>
  <c r="M94" i="43" s="1"/>
  <c r="M37" i="43"/>
  <c r="M43" i="43"/>
  <c r="K131" i="43"/>
  <c r="K136" i="43" s="1"/>
  <c r="J54" i="43"/>
  <c r="J56" i="43" s="1"/>
  <c r="J62" i="43" s="1"/>
  <c r="U29" i="43"/>
  <c r="N61" i="43"/>
  <c r="O59" i="43"/>
  <c r="N113" i="43"/>
  <c r="L151" i="43"/>
  <c r="L158" i="43" s="1"/>
  <c r="L83" i="43"/>
  <c r="M77" i="42"/>
  <c r="M132" i="42"/>
  <c r="M134" i="42" s="1"/>
  <c r="M93" i="42" s="1"/>
  <c r="M37" i="42"/>
  <c r="M43" i="42"/>
  <c r="Q112" i="42"/>
  <c r="R109" i="42" s="1"/>
  <c r="O82" i="42"/>
  <c r="O31" i="42"/>
  <c r="O45" i="42"/>
  <c r="N53" i="42"/>
  <c r="J179" i="42"/>
  <c r="K96" i="42"/>
  <c r="K99" i="42" s="1"/>
  <c r="K44" i="42"/>
  <c r="K46" i="42"/>
  <c r="K169" i="42"/>
  <c r="K177" i="42" s="1"/>
  <c r="K179" i="42" s="1"/>
  <c r="K160" i="42"/>
  <c r="L169" i="42"/>
  <c r="L177" i="42" s="1"/>
  <c r="L179" i="42" s="1"/>
  <c r="L160" i="42"/>
  <c r="K98" i="42"/>
  <c r="J70" i="42"/>
  <c r="J71" i="42" s="1"/>
  <c r="J72" i="42" s="1"/>
  <c r="M175" i="42"/>
  <c r="M94" i="42"/>
  <c r="L96" i="42"/>
  <c r="L44" i="42"/>
  <c r="L46" i="42"/>
  <c r="N127" i="42"/>
  <c r="N33" i="42" s="1"/>
  <c r="N35" i="42" s="1"/>
  <c r="S67" i="42"/>
  <c r="T66" i="42"/>
  <c r="J41" i="42"/>
  <c r="P113" i="42"/>
  <c r="P61" i="42"/>
  <c r="Q59" i="42"/>
  <c r="N90" i="42"/>
  <c r="N157" i="42"/>
  <c r="L131" i="42"/>
  <c r="L136" i="42" s="1"/>
  <c r="K54" i="42"/>
  <c r="K56" i="42" s="1"/>
  <c r="K62" i="42" s="1"/>
  <c r="O42" i="42"/>
  <c r="P28" i="42"/>
  <c r="J98" i="41"/>
  <c r="J99" i="41" s="1"/>
  <c r="L131" i="41"/>
  <c r="L136" i="41" s="1"/>
  <c r="K54" i="41"/>
  <c r="K56" i="41" s="1"/>
  <c r="K62" i="41" s="1"/>
  <c r="O90" i="41"/>
  <c r="O157" i="41"/>
  <c r="N53" i="41"/>
  <c r="L46" i="41"/>
  <c r="L96" i="41"/>
  <c r="L44" i="41"/>
  <c r="U29" i="41"/>
  <c r="M151" i="41"/>
  <c r="M158" i="41" s="1"/>
  <c r="M83" i="41"/>
  <c r="L160" i="41"/>
  <c r="L169" i="41"/>
  <c r="L177" i="41" s="1"/>
  <c r="L179" i="41" s="1"/>
  <c r="J179" i="41"/>
  <c r="N127" i="41"/>
  <c r="N33" i="41" s="1"/>
  <c r="N35" i="41" s="1"/>
  <c r="J41" i="41"/>
  <c r="N42" i="41"/>
  <c r="P28" i="41"/>
  <c r="O127" i="41"/>
  <c r="O33" i="41" s="1"/>
  <c r="O35" i="41" s="1"/>
  <c r="O113" i="41"/>
  <c r="O61" i="41"/>
  <c r="P59" i="41"/>
  <c r="N90" i="41"/>
  <c r="N157" i="41"/>
  <c r="Q112" i="41"/>
  <c r="R109" i="41" s="1"/>
  <c r="T67" i="41"/>
  <c r="U66" i="41"/>
  <c r="U67" i="41" s="1"/>
  <c r="I70" i="40"/>
  <c r="I71" i="40" s="1"/>
  <c r="I72" i="40" s="1"/>
  <c r="J98" i="40"/>
  <c r="N90" i="40"/>
  <c r="N157" i="40"/>
  <c r="M42" i="40"/>
  <c r="K46" i="40"/>
  <c r="K44" i="40"/>
  <c r="K96" i="40"/>
  <c r="N127" i="40"/>
  <c r="N33" i="40" s="1"/>
  <c r="N35" i="40" s="1"/>
  <c r="P112" i="40"/>
  <c r="Q109" i="40" s="1"/>
  <c r="K169" i="40"/>
  <c r="K177" i="40" s="1"/>
  <c r="K160" i="40"/>
  <c r="O28" i="40"/>
  <c r="T66" i="40"/>
  <c r="S67" i="40"/>
  <c r="M77" i="40"/>
  <c r="M132" i="40"/>
  <c r="M134" i="40" s="1"/>
  <c r="M93" i="40" s="1"/>
  <c r="M43" i="40"/>
  <c r="M37" i="40"/>
  <c r="J99" i="40"/>
  <c r="M53" i="40"/>
  <c r="J41" i="40"/>
  <c r="N113" i="40"/>
  <c r="N61" i="40"/>
  <c r="O59" i="40"/>
  <c r="L151" i="40"/>
  <c r="L158" i="40" s="1"/>
  <c r="L83" i="40"/>
  <c r="M175" i="40"/>
  <c r="M94" i="40"/>
  <c r="L131" i="40"/>
  <c r="L136" i="40" s="1"/>
  <c r="K54" i="40"/>
  <c r="K56" i="40" s="1"/>
  <c r="K62" i="40" s="1"/>
  <c r="L132" i="39"/>
  <c r="L134" i="39" s="1"/>
  <c r="L93" i="39" s="1"/>
  <c r="L94" i="39" s="1"/>
  <c r="L77" i="39"/>
  <c r="L37" i="39"/>
  <c r="L43" i="39"/>
  <c r="M127" i="39"/>
  <c r="M33" i="39" s="1"/>
  <c r="M35" i="39" s="1"/>
  <c r="M157" i="39"/>
  <c r="M90" i="39"/>
  <c r="U29" i="39"/>
  <c r="T66" i="39"/>
  <c r="S67" i="39"/>
  <c r="J98" i="39"/>
  <c r="J99" i="39" s="1"/>
  <c r="I70" i="39"/>
  <c r="I71" i="39" s="1"/>
  <c r="I72" i="39" s="1"/>
  <c r="O28" i="39"/>
  <c r="L175" i="39"/>
  <c r="N113" i="39"/>
  <c r="N61" i="39"/>
  <c r="O59" i="39"/>
  <c r="P112" i="39"/>
  <c r="Q109" i="39" s="1"/>
  <c r="M53" i="39"/>
  <c r="K96" i="39"/>
  <c r="K46" i="39"/>
  <c r="K44" i="39"/>
  <c r="J41" i="39"/>
  <c r="K169" i="39"/>
  <c r="K177" i="39" s="1"/>
  <c r="K160" i="39"/>
  <c r="L131" i="39"/>
  <c r="K54" i="39"/>
  <c r="K56" i="39" s="1"/>
  <c r="K62" i="39" s="1"/>
  <c r="N82" i="39"/>
  <c r="N31" i="39"/>
  <c r="N45" i="39"/>
  <c r="L132" i="38"/>
  <c r="L134" i="38" s="1"/>
  <c r="L93" i="38" s="1"/>
  <c r="L94" i="38" s="1"/>
  <c r="L37" i="38"/>
  <c r="L43" i="38"/>
  <c r="L77" i="38"/>
  <c r="J98" i="38"/>
  <c r="J99" i="38" s="1"/>
  <c r="I70" i="38"/>
  <c r="I71" i="38" s="1"/>
  <c r="I72" i="38" s="1"/>
  <c r="N113" i="38"/>
  <c r="O59" i="38"/>
  <c r="N61" i="38"/>
  <c r="L175" i="38"/>
  <c r="M42" i="38"/>
  <c r="U29" i="38"/>
  <c r="P112" i="38"/>
  <c r="Q109" i="38" s="1"/>
  <c r="K44" i="38"/>
  <c r="K46" i="38"/>
  <c r="K96" i="38"/>
  <c r="K169" i="38"/>
  <c r="K177" i="38" s="1"/>
  <c r="K179" i="38" s="1"/>
  <c r="K160" i="38"/>
  <c r="M175" i="38"/>
  <c r="M77" i="38"/>
  <c r="M132" i="38"/>
  <c r="M134" i="38" s="1"/>
  <c r="M93" i="38" s="1"/>
  <c r="M94" i="38" s="1"/>
  <c r="M43" i="38"/>
  <c r="M37" i="38"/>
  <c r="M53" i="38"/>
  <c r="N82" i="38"/>
  <c r="N45" i="38"/>
  <c r="N31" i="38"/>
  <c r="K54" i="38"/>
  <c r="K56" i="38" s="1"/>
  <c r="K62" i="38" s="1"/>
  <c r="L131" i="38"/>
  <c r="U66" i="38"/>
  <c r="U67" i="38" s="1"/>
  <c r="T67" i="38"/>
  <c r="O82" i="38"/>
  <c r="O45" i="38"/>
  <c r="O31" i="38"/>
  <c r="J41" i="38"/>
  <c r="I99" i="37"/>
  <c r="J98" i="37" s="1"/>
  <c r="J99" i="37" s="1"/>
  <c r="M77" i="37"/>
  <c r="M132" i="37"/>
  <c r="M134" i="37" s="1"/>
  <c r="M93" i="37" s="1"/>
  <c r="M94" i="37" s="1"/>
  <c r="M37" i="37"/>
  <c r="M43" i="37"/>
  <c r="K169" i="37"/>
  <c r="K177" i="37" s="1"/>
  <c r="K179" i="37" s="1"/>
  <c r="K160" i="37"/>
  <c r="O82" i="37"/>
  <c r="O45" i="37"/>
  <c r="O31" i="37"/>
  <c r="N127" i="37"/>
  <c r="N33" i="37" s="1"/>
  <c r="N35" i="37" s="1"/>
  <c r="N61" i="37"/>
  <c r="O59" i="37"/>
  <c r="N113" i="37"/>
  <c r="P112" i="37"/>
  <c r="Q109" i="37" s="1"/>
  <c r="N90" i="37"/>
  <c r="N157" i="37"/>
  <c r="L151" i="37"/>
  <c r="L158" i="37" s="1"/>
  <c r="L83" i="37"/>
  <c r="M42" i="37"/>
  <c r="L53" i="37"/>
  <c r="M175" i="37"/>
  <c r="I41" i="37"/>
  <c r="T66" i="37"/>
  <c r="S67" i="37"/>
  <c r="K131" i="37"/>
  <c r="K136" i="37" s="1"/>
  <c r="J54" i="37"/>
  <c r="J56" i="37" s="1"/>
  <c r="J62" i="37" s="1"/>
  <c r="K96" i="37"/>
  <c r="K46" i="37"/>
  <c r="K44" i="37"/>
  <c r="S66" i="36"/>
  <c r="R67" i="36"/>
  <c r="L169" i="36"/>
  <c r="L177" i="36" s="1"/>
  <c r="L179" i="36" s="1"/>
  <c r="L160" i="36"/>
  <c r="O82" i="36"/>
  <c r="O31" i="36"/>
  <c r="O45" i="36"/>
  <c r="O113" i="36"/>
  <c r="P59" i="36"/>
  <c r="O61" i="36"/>
  <c r="K41" i="36"/>
  <c r="L44" i="36"/>
  <c r="L96" i="36"/>
  <c r="L46" i="36"/>
  <c r="Q112" i="36"/>
  <c r="R109" i="36" s="1"/>
  <c r="N132" i="36"/>
  <c r="N134" i="36" s="1"/>
  <c r="N93" i="36" s="1"/>
  <c r="N94" i="36" s="1"/>
  <c r="N77" i="36"/>
  <c r="N37" i="36"/>
  <c r="N43" i="36"/>
  <c r="M131" i="36"/>
  <c r="M136" i="36" s="1"/>
  <c r="L54" i="36"/>
  <c r="L56" i="36" s="1"/>
  <c r="L62" i="36" s="1"/>
  <c r="N175" i="36"/>
  <c r="N53" i="36"/>
  <c r="M83" i="36"/>
  <c r="M151" i="36"/>
  <c r="M158" i="36" s="1"/>
  <c r="K98" i="36"/>
  <c r="K99" i="36" s="1"/>
  <c r="J70" i="36"/>
  <c r="J71" i="36" s="1"/>
  <c r="J72" i="36" s="1"/>
  <c r="U29" i="36"/>
  <c r="P82" i="36"/>
  <c r="P31" i="36"/>
  <c r="P45" i="36"/>
  <c r="N42" i="36"/>
  <c r="O113" i="27"/>
  <c r="O61" i="27"/>
  <c r="O42" i="27" s="1"/>
  <c r="P59" i="27"/>
  <c r="Q28" i="27"/>
  <c r="R112" i="27"/>
  <c r="S109" i="27" s="1"/>
  <c r="R28" i="27"/>
  <c r="K175" i="27"/>
  <c r="K94" i="27"/>
  <c r="P31" i="26"/>
  <c r="P24" i="26" s="1"/>
  <c r="P25" i="26"/>
  <c r="M77" i="27"/>
  <c r="M132" i="27"/>
  <c r="M134" i="27" s="1"/>
  <c r="M93" i="27" s="1"/>
  <c r="M43" i="27"/>
  <c r="M37" i="27"/>
  <c r="O25" i="26"/>
  <c r="O28" i="26" s="1"/>
  <c r="M157" i="27"/>
  <c r="M90" i="27"/>
  <c r="K151" i="27"/>
  <c r="K158" i="27" s="1"/>
  <c r="K83" i="27"/>
  <c r="N31" i="27"/>
  <c r="N127" i="27" s="1"/>
  <c r="N33" i="27" s="1"/>
  <c r="N35" i="27" s="1"/>
  <c r="N82" i="27"/>
  <c r="N45" i="27"/>
  <c r="L175" i="27"/>
  <c r="L94" i="27"/>
  <c r="L83" i="27"/>
  <c r="L151" i="27"/>
  <c r="L158" i="27" s="1"/>
  <c r="T66" i="27"/>
  <c r="S67" i="27"/>
  <c r="S67" i="25"/>
  <c r="R68" i="25"/>
  <c r="R43" i="14"/>
  <c r="R45" i="14" s="1"/>
  <c r="R50" i="14" s="1"/>
  <c r="O32" i="14"/>
  <c r="Q16" i="14"/>
  <c r="Q17" i="14" s="1"/>
  <c r="Q22" i="14" s="1"/>
  <c r="Q27" i="14" s="1"/>
  <c r="Q31" i="14" s="1"/>
  <c r="P17" i="14"/>
  <c r="P22" i="14" s="1"/>
  <c r="P27" i="14" s="1"/>
  <c r="P31" i="14" s="1"/>
  <c r="K179" i="44" l="1"/>
  <c r="M151" i="44"/>
  <c r="M158" i="44" s="1"/>
  <c r="M83" i="44"/>
  <c r="K41" i="44"/>
  <c r="Q61" i="44"/>
  <c r="R59" i="44"/>
  <c r="Q113" i="44"/>
  <c r="P127" i="44"/>
  <c r="P33" i="44" s="1"/>
  <c r="P35" i="44" s="1"/>
  <c r="L54" i="44"/>
  <c r="L56" i="44" s="1"/>
  <c r="L62" i="44" s="1"/>
  <c r="M131" i="44"/>
  <c r="M136" i="44" s="1"/>
  <c r="P42" i="44"/>
  <c r="P157" i="44"/>
  <c r="P90" i="44"/>
  <c r="C140" i="44"/>
  <c r="G140" i="44" s="1"/>
  <c r="R112" i="44"/>
  <c r="S109" i="44" s="1"/>
  <c r="R28" i="44"/>
  <c r="O175" i="44"/>
  <c r="Q82" i="44"/>
  <c r="Q45" i="44"/>
  <c r="Q31" i="44"/>
  <c r="K98" i="44"/>
  <c r="K99" i="44" s="1"/>
  <c r="J70" i="44"/>
  <c r="J71" i="44" s="1"/>
  <c r="J72" i="44" s="1"/>
  <c r="O43" i="44"/>
  <c r="O37" i="44"/>
  <c r="O132" i="44"/>
  <c r="O134" i="44" s="1"/>
  <c r="O93" i="44" s="1"/>
  <c r="O94" i="44" s="1"/>
  <c r="O77" i="44"/>
  <c r="N83" i="44"/>
  <c r="N151" i="44"/>
  <c r="N158" i="44" s="1"/>
  <c r="O53" i="44"/>
  <c r="N132" i="43"/>
  <c r="N134" i="43" s="1"/>
  <c r="N93" i="43" s="1"/>
  <c r="N94" i="43" s="1"/>
  <c r="N37" i="43"/>
  <c r="N43" i="43"/>
  <c r="N77" i="43"/>
  <c r="P82" i="43"/>
  <c r="P45" i="43"/>
  <c r="P31" i="43"/>
  <c r="L96" i="43"/>
  <c r="L46" i="43"/>
  <c r="L44" i="43"/>
  <c r="Q112" i="43"/>
  <c r="R109" i="43" s="1"/>
  <c r="Q28" i="43"/>
  <c r="L131" i="43"/>
  <c r="L136" i="43" s="1"/>
  <c r="K54" i="43"/>
  <c r="K56" i="43" s="1"/>
  <c r="K62" i="43" s="1"/>
  <c r="L169" i="43"/>
  <c r="L177" i="43" s="1"/>
  <c r="L179" i="43" s="1"/>
  <c r="L160" i="43"/>
  <c r="N175" i="43"/>
  <c r="T67" i="43"/>
  <c r="U66" i="43"/>
  <c r="U67" i="43" s="1"/>
  <c r="O82" i="43"/>
  <c r="O45" i="43"/>
  <c r="O31" i="43"/>
  <c r="K179" i="43"/>
  <c r="J98" i="43"/>
  <c r="J99" i="43" s="1"/>
  <c r="I70" i="43"/>
  <c r="I71" i="43" s="1"/>
  <c r="I72" i="43" s="1"/>
  <c r="N42" i="43"/>
  <c r="O113" i="43"/>
  <c r="O61" i="43"/>
  <c r="P59" i="43"/>
  <c r="M151" i="43"/>
  <c r="M158" i="43" s="1"/>
  <c r="M83" i="43"/>
  <c r="M53" i="43"/>
  <c r="J41" i="43"/>
  <c r="L98" i="42"/>
  <c r="L99" i="42" s="1"/>
  <c r="K70" i="42"/>
  <c r="K71" i="42" s="1"/>
  <c r="K72" i="42" s="1"/>
  <c r="M131" i="42"/>
  <c r="M136" i="42" s="1"/>
  <c r="L54" i="42"/>
  <c r="L56" i="42" s="1"/>
  <c r="L62" i="42" s="1"/>
  <c r="T67" i="42"/>
  <c r="U66" i="42"/>
  <c r="U67" i="42" s="1"/>
  <c r="O127" i="42"/>
  <c r="O33" i="42" s="1"/>
  <c r="O35" i="42"/>
  <c r="O90" i="42"/>
  <c r="O157" i="42"/>
  <c r="R112" i="42"/>
  <c r="S109" i="42" s="1"/>
  <c r="R28" i="42"/>
  <c r="Q113" i="42"/>
  <c r="Q61" i="42"/>
  <c r="R59" i="42"/>
  <c r="Q28" i="42"/>
  <c r="P42" i="42"/>
  <c r="N175" i="42"/>
  <c r="P82" i="42"/>
  <c r="P31" i="42"/>
  <c r="P45" i="42"/>
  <c r="O53" i="42"/>
  <c r="N77" i="42"/>
  <c r="N132" i="42"/>
  <c r="N134" i="42" s="1"/>
  <c r="N93" i="42" s="1"/>
  <c r="N94" i="42" s="1"/>
  <c r="N37" i="42"/>
  <c r="N43" i="42"/>
  <c r="K41" i="42"/>
  <c r="M151" i="42"/>
  <c r="M158" i="42" s="1"/>
  <c r="M83" i="42"/>
  <c r="Q28" i="41"/>
  <c r="Q31" i="41" s="1"/>
  <c r="K98" i="41"/>
  <c r="K99" i="41" s="1"/>
  <c r="K70" i="41" s="1"/>
  <c r="K71" i="41" s="1"/>
  <c r="K72" i="41" s="1"/>
  <c r="J70" i="41"/>
  <c r="J71" i="41" s="1"/>
  <c r="J72" i="41" s="1"/>
  <c r="O132" i="41"/>
  <c r="O134" i="41" s="1"/>
  <c r="O93" i="41" s="1"/>
  <c r="O94" i="41" s="1"/>
  <c r="O37" i="41"/>
  <c r="O77" i="41"/>
  <c r="O43" i="41"/>
  <c r="N132" i="41"/>
  <c r="N134" i="41" s="1"/>
  <c r="N93" i="41" s="1"/>
  <c r="N94" i="41" s="1"/>
  <c r="N77" i="41"/>
  <c r="N43" i="41"/>
  <c r="N37" i="41"/>
  <c r="P113" i="41"/>
  <c r="P61" i="41"/>
  <c r="Q59" i="41"/>
  <c r="O42" i="41"/>
  <c r="L54" i="41"/>
  <c r="L56" i="41" s="1"/>
  <c r="L62" i="41" s="1"/>
  <c r="M131" i="41"/>
  <c r="M136" i="41" s="1"/>
  <c r="C140" i="41"/>
  <c r="G140" i="41" s="1"/>
  <c r="M96" i="41"/>
  <c r="M46" i="41"/>
  <c r="M44" i="41"/>
  <c r="O53" i="41"/>
  <c r="N175" i="41"/>
  <c r="M169" i="41"/>
  <c r="M177" i="41" s="1"/>
  <c r="M179" i="41" s="1"/>
  <c r="M160" i="41"/>
  <c r="R112" i="41"/>
  <c r="S109" i="41" s="1"/>
  <c r="O175" i="41"/>
  <c r="P82" i="41"/>
  <c r="P45" i="41"/>
  <c r="P31" i="41"/>
  <c r="K41" i="41"/>
  <c r="O61" i="40"/>
  <c r="O113" i="40"/>
  <c r="P59" i="40"/>
  <c r="K98" i="40"/>
  <c r="J70" i="40"/>
  <c r="J71" i="40" s="1"/>
  <c r="J72" i="40" s="1"/>
  <c r="N42" i="40"/>
  <c r="M131" i="40"/>
  <c r="M136" i="40" s="1"/>
  <c r="L54" i="40"/>
  <c r="L56" i="40" s="1"/>
  <c r="L62" i="40" s="1"/>
  <c r="P28" i="40"/>
  <c r="K179" i="40"/>
  <c r="M151" i="40"/>
  <c r="M158" i="40" s="1"/>
  <c r="M83" i="40"/>
  <c r="Q112" i="40"/>
  <c r="R109" i="40" s="1"/>
  <c r="N53" i="40"/>
  <c r="N77" i="40"/>
  <c r="N132" i="40"/>
  <c r="N134" i="40" s="1"/>
  <c r="N93" i="40" s="1"/>
  <c r="N94" i="40" s="1"/>
  <c r="N43" i="40"/>
  <c r="N37" i="40"/>
  <c r="N175" i="40"/>
  <c r="L96" i="40"/>
  <c r="L46" i="40"/>
  <c r="L44" i="40"/>
  <c r="U66" i="40"/>
  <c r="U67" i="40" s="1"/>
  <c r="T67" i="40"/>
  <c r="K41" i="40"/>
  <c r="L169" i="40"/>
  <c r="L177" i="40" s="1"/>
  <c r="L179" i="40" s="1"/>
  <c r="L160" i="40"/>
  <c r="O82" i="40"/>
  <c r="O45" i="40"/>
  <c r="O31" i="40"/>
  <c r="K99" i="40"/>
  <c r="I70" i="37"/>
  <c r="I71" i="37" s="1"/>
  <c r="I72" i="37" s="1"/>
  <c r="M132" i="39"/>
  <c r="M134" i="39" s="1"/>
  <c r="M93" i="39" s="1"/>
  <c r="M94" i="39" s="1"/>
  <c r="M77" i="39"/>
  <c r="M37" i="39"/>
  <c r="M43" i="39"/>
  <c r="K98" i="39"/>
  <c r="K99" i="39" s="1"/>
  <c r="J70" i="39"/>
  <c r="J71" i="39" s="1"/>
  <c r="J72" i="39" s="1"/>
  <c r="N127" i="39"/>
  <c r="N33" i="39" s="1"/>
  <c r="N35" i="39" s="1"/>
  <c r="Q112" i="39"/>
  <c r="R109" i="39" s="1"/>
  <c r="Q28" i="39"/>
  <c r="O82" i="39"/>
  <c r="O45" i="39"/>
  <c r="O31" i="39"/>
  <c r="N90" i="39"/>
  <c r="N157" i="39"/>
  <c r="O113" i="39"/>
  <c r="O61" i="39"/>
  <c r="P59" i="39"/>
  <c r="K41" i="39"/>
  <c r="L136" i="39"/>
  <c r="K179" i="39"/>
  <c r="N53" i="39"/>
  <c r="T67" i="39"/>
  <c r="U66" i="39"/>
  <c r="U67" i="39" s="1"/>
  <c r="L151" i="39"/>
  <c r="L158" i="39" s="1"/>
  <c r="L83" i="39"/>
  <c r="P28" i="39"/>
  <c r="M175" i="39"/>
  <c r="L136" i="38"/>
  <c r="L54" i="38" s="1"/>
  <c r="L56" i="38" s="1"/>
  <c r="L62" i="38" s="1"/>
  <c r="K98" i="38"/>
  <c r="K99" i="38" s="1"/>
  <c r="J70" i="38"/>
  <c r="J71" i="38" s="1"/>
  <c r="J72" i="38" s="1"/>
  <c r="O90" i="38"/>
  <c r="O157" i="38"/>
  <c r="N90" i="38"/>
  <c r="N157" i="38"/>
  <c r="P28" i="38"/>
  <c r="N53" i="38"/>
  <c r="O113" i="38"/>
  <c r="O61" i="38"/>
  <c r="P59" i="38"/>
  <c r="L151" i="38"/>
  <c r="L158" i="38" s="1"/>
  <c r="L83" i="38"/>
  <c r="Q112" i="38"/>
  <c r="R109" i="38" s="1"/>
  <c r="K41" i="38"/>
  <c r="M131" i="38"/>
  <c r="M136" i="38" s="1"/>
  <c r="O127" i="38"/>
  <c r="O33" i="38" s="1"/>
  <c r="O35" i="38" s="1"/>
  <c r="C140" i="38"/>
  <c r="G140" i="38" s="1"/>
  <c r="N127" i="38"/>
  <c r="N33" i="38" s="1"/>
  <c r="N35" i="38" s="1"/>
  <c r="M151" i="38"/>
  <c r="M158" i="38" s="1"/>
  <c r="M83" i="38"/>
  <c r="N42" i="38"/>
  <c r="K98" i="37"/>
  <c r="K99" i="37" s="1"/>
  <c r="J70" i="37"/>
  <c r="J71" i="37" s="1"/>
  <c r="J72" i="37" s="1"/>
  <c r="O113" i="37"/>
  <c r="O61" i="37"/>
  <c r="P59" i="37"/>
  <c r="L96" i="37"/>
  <c r="L46" i="37"/>
  <c r="L44" i="37"/>
  <c r="N42" i="37"/>
  <c r="J41" i="37"/>
  <c r="L169" i="37"/>
  <c r="L177" i="37" s="1"/>
  <c r="L160" i="37"/>
  <c r="L131" i="37"/>
  <c r="L136" i="37" s="1"/>
  <c r="K54" i="37"/>
  <c r="K56" i="37" s="1"/>
  <c r="K62" i="37" s="1"/>
  <c r="N132" i="37"/>
  <c r="N134" i="37" s="1"/>
  <c r="N93" i="37" s="1"/>
  <c r="N94" i="37" s="1"/>
  <c r="N37" i="37"/>
  <c r="N77" i="37"/>
  <c r="N43" i="37"/>
  <c r="M53" i="37"/>
  <c r="N175" i="37"/>
  <c r="P28" i="37"/>
  <c r="O127" i="37"/>
  <c r="O33" i="37" s="1"/>
  <c r="O35" i="37" s="1"/>
  <c r="Q112" i="37"/>
  <c r="R109" i="37" s="1"/>
  <c r="Q28" i="37"/>
  <c r="T67" i="37"/>
  <c r="U66" i="37"/>
  <c r="U67" i="37" s="1"/>
  <c r="O90" i="37"/>
  <c r="O157" i="37"/>
  <c r="M151" i="37"/>
  <c r="M158" i="37" s="1"/>
  <c r="M83" i="37"/>
  <c r="L98" i="36"/>
  <c r="L99" i="36" s="1"/>
  <c r="K70" i="36"/>
  <c r="K71" i="36" s="1"/>
  <c r="K72" i="36" s="1"/>
  <c r="S67" i="36"/>
  <c r="T66" i="36"/>
  <c r="L41" i="36"/>
  <c r="N131" i="36"/>
  <c r="N136" i="36" s="1"/>
  <c r="M54" i="36"/>
  <c r="M56" i="36" s="1"/>
  <c r="M62" i="36" s="1"/>
  <c r="M169" i="36"/>
  <c r="M177" i="36" s="1"/>
  <c r="M179" i="36" s="1"/>
  <c r="M160" i="36"/>
  <c r="O127" i="36"/>
  <c r="O33" i="36" s="1"/>
  <c r="O35" i="36" s="1"/>
  <c r="R112" i="36"/>
  <c r="S109" i="36" s="1"/>
  <c r="R28" i="36"/>
  <c r="P127" i="36"/>
  <c r="P33" i="36" s="1"/>
  <c r="P35" i="36" s="1"/>
  <c r="M96" i="36"/>
  <c r="M46" i="36"/>
  <c r="M44" i="36"/>
  <c r="O157" i="36"/>
  <c r="O90" i="36"/>
  <c r="P157" i="36"/>
  <c r="P90" i="36"/>
  <c r="O53" i="36"/>
  <c r="N151" i="36"/>
  <c r="N158" i="36" s="1"/>
  <c r="N83" i="36"/>
  <c r="P113" i="36"/>
  <c r="P61" i="36"/>
  <c r="Q59" i="36"/>
  <c r="Q28" i="36"/>
  <c r="O42" i="36"/>
  <c r="Q31" i="27"/>
  <c r="Q127" i="27" s="1"/>
  <c r="Q33" i="27" s="1"/>
  <c r="Q35" i="27" s="1"/>
  <c r="Q45" i="27"/>
  <c r="Q82" i="27"/>
  <c r="R31" i="27"/>
  <c r="R127" i="27" s="1"/>
  <c r="R33" i="27" s="1"/>
  <c r="R35" i="27" s="1"/>
  <c r="R37" i="27" s="1"/>
  <c r="R82" i="27"/>
  <c r="R45" i="27"/>
  <c r="S112" i="27"/>
  <c r="T109" i="27" s="1"/>
  <c r="S28" i="27"/>
  <c r="P113" i="27"/>
  <c r="P61" i="27"/>
  <c r="P42" i="27" s="1"/>
  <c r="Q59" i="27"/>
  <c r="P28" i="26"/>
  <c r="C33" i="26" s="1"/>
  <c r="O31" i="27"/>
  <c r="O127" i="27" s="1"/>
  <c r="O33" i="27" s="1"/>
  <c r="O35" i="27" s="1"/>
  <c r="O45" i="27"/>
  <c r="O82" i="27"/>
  <c r="L169" i="27"/>
  <c r="L177" i="27" s="1"/>
  <c r="L179" i="27" s="1"/>
  <c r="L160" i="27"/>
  <c r="N132" i="27"/>
  <c r="N134" i="27" s="1"/>
  <c r="N93" i="27" s="1"/>
  <c r="N37" i="27"/>
  <c r="N43" i="27"/>
  <c r="N77" i="27"/>
  <c r="L46" i="27"/>
  <c r="L44" i="27"/>
  <c r="L96" i="27"/>
  <c r="P31" i="27"/>
  <c r="P127" i="27" s="1"/>
  <c r="P33" i="27" s="1"/>
  <c r="P35" i="27" s="1"/>
  <c r="P45" i="27"/>
  <c r="P82" i="27"/>
  <c r="N157" i="27"/>
  <c r="N90" i="27"/>
  <c r="N175" i="27" s="1"/>
  <c r="K46" i="27"/>
  <c r="K96" i="27"/>
  <c r="K44" i="27"/>
  <c r="M151" i="27"/>
  <c r="M158" i="27" s="1"/>
  <c r="M83" i="27"/>
  <c r="K160" i="27"/>
  <c r="K169" i="27"/>
  <c r="K177" i="27" s="1"/>
  <c r="K179" i="27" s="1"/>
  <c r="M175" i="27"/>
  <c r="M94" i="27"/>
  <c r="T67" i="27"/>
  <c r="U66" i="27"/>
  <c r="U67" i="27" s="1"/>
  <c r="T67" i="25"/>
  <c r="S68" i="25"/>
  <c r="P32" i="14"/>
  <c r="S43" i="14"/>
  <c r="S45" i="14" s="1"/>
  <c r="S50" i="14" s="1"/>
  <c r="Q32" i="14"/>
  <c r="T43" i="14"/>
  <c r="T45" i="14" s="1"/>
  <c r="T50" i="14" s="1"/>
  <c r="C51" i="14" s="1"/>
  <c r="G3" i="14" s="1"/>
  <c r="D60" i="25"/>
  <c r="L98" i="41" l="1"/>
  <c r="L99" i="41" s="1"/>
  <c r="O151" i="44"/>
  <c r="O158" i="44" s="1"/>
  <c r="O83" i="44"/>
  <c r="P175" i="44"/>
  <c r="P77" i="44"/>
  <c r="P132" i="44"/>
  <c r="P134" i="44" s="1"/>
  <c r="P93" i="44" s="1"/>
  <c r="P94" i="44" s="1"/>
  <c r="P43" i="44"/>
  <c r="P37" i="44"/>
  <c r="Q157" i="44"/>
  <c r="Q90" i="44"/>
  <c r="R113" i="44"/>
  <c r="S59" i="44"/>
  <c r="R61" i="44"/>
  <c r="Q42" i="44"/>
  <c r="K70" i="44"/>
  <c r="K71" i="44" s="1"/>
  <c r="K72" i="44" s="1"/>
  <c r="L98" i="44"/>
  <c r="L99" i="44" s="1"/>
  <c r="R82" i="44"/>
  <c r="R45" i="44"/>
  <c r="R31" i="44"/>
  <c r="N131" i="44"/>
  <c r="N136" i="44" s="1"/>
  <c r="M54" i="44"/>
  <c r="M56" i="44" s="1"/>
  <c r="M62" i="44" s="1"/>
  <c r="P53" i="44"/>
  <c r="S112" i="44"/>
  <c r="T109" i="44" s="1"/>
  <c r="L41" i="44"/>
  <c r="N169" i="44"/>
  <c r="N177" i="44" s="1"/>
  <c r="N179" i="44" s="1"/>
  <c r="N160" i="44"/>
  <c r="M46" i="44"/>
  <c r="M44" i="44"/>
  <c r="M96" i="44"/>
  <c r="N96" i="44"/>
  <c r="N44" i="44"/>
  <c r="N46" i="44"/>
  <c r="Q127" i="44"/>
  <c r="Q33" i="44" s="1"/>
  <c r="Q35" i="44" s="1"/>
  <c r="M169" i="44"/>
  <c r="M177" i="44" s="1"/>
  <c r="M160" i="44"/>
  <c r="P113" i="43"/>
  <c r="P61" i="43"/>
  <c r="Q59" i="43"/>
  <c r="O42" i="43"/>
  <c r="O127" i="43"/>
  <c r="O33" i="43" s="1"/>
  <c r="O35" i="43" s="1"/>
  <c r="N53" i="43"/>
  <c r="K41" i="43"/>
  <c r="P127" i="43"/>
  <c r="P33" i="43" s="1"/>
  <c r="P35" i="43" s="1"/>
  <c r="C140" i="43"/>
  <c r="G140" i="43" s="1"/>
  <c r="Q82" i="43"/>
  <c r="Q31" i="43"/>
  <c r="Q45" i="43"/>
  <c r="P157" i="43"/>
  <c r="P90" i="43"/>
  <c r="M169" i="43"/>
  <c r="M177" i="43" s="1"/>
  <c r="M160" i="43"/>
  <c r="O90" i="43"/>
  <c r="O157" i="43"/>
  <c r="R112" i="43"/>
  <c r="S109" i="43" s="1"/>
  <c r="N83" i="43"/>
  <c r="N151" i="43"/>
  <c r="N158" i="43" s="1"/>
  <c r="M131" i="43"/>
  <c r="M136" i="43" s="1"/>
  <c r="L54" i="43"/>
  <c r="L56" i="43" s="1"/>
  <c r="L62" i="43" s="1"/>
  <c r="M96" i="43"/>
  <c r="M44" i="43"/>
  <c r="M46" i="43"/>
  <c r="K98" i="43"/>
  <c r="K99" i="43" s="1"/>
  <c r="J70" i="43"/>
  <c r="J71" i="43" s="1"/>
  <c r="J72" i="43" s="1"/>
  <c r="M98" i="42"/>
  <c r="L70" i="42"/>
  <c r="L71" i="42" s="1"/>
  <c r="L72" i="42" s="1"/>
  <c r="P127" i="42"/>
  <c r="P33" i="42" s="1"/>
  <c r="P35" i="42" s="1"/>
  <c r="R113" i="42"/>
  <c r="R61" i="42"/>
  <c r="S59" i="42"/>
  <c r="O132" i="42"/>
  <c r="O134" i="42" s="1"/>
  <c r="O93" i="42" s="1"/>
  <c r="O94" i="42" s="1"/>
  <c r="O77" i="42"/>
  <c r="O37" i="42"/>
  <c r="O43" i="42"/>
  <c r="P90" i="42"/>
  <c r="P157" i="42"/>
  <c r="Q42" i="42"/>
  <c r="R82" i="42"/>
  <c r="R31" i="42"/>
  <c r="R45" i="42"/>
  <c r="M96" i="42"/>
  <c r="M99" i="42" s="1"/>
  <c r="M44" i="42"/>
  <c r="M46" i="42"/>
  <c r="N151" i="42"/>
  <c r="N158" i="42" s="1"/>
  <c r="N83" i="42"/>
  <c r="S112" i="42"/>
  <c r="T109" i="42" s="1"/>
  <c r="S28" i="42"/>
  <c r="L41" i="42"/>
  <c r="M169" i="42"/>
  <c r="M177" i="42" s="1"/>
  <c r="M179" i="42" s="1"/>
  <c r="M160" i="42"/>
  <c r="P53" i="42"/>
  <c r="N131" i="42"/>
  <c r="N136" i="42" s="1"/>
  <c r="M54" i="42"/>
  <c r="M56" i="42" s="1"/>
  <c r="M62" i="42" s="1"/>
  <c r="C140" i="42"/>
  <c r="G140" i="42" s="1"/>
  <c r="Q82" i="42"/>
  <c r="Q31" i="42"/>
  <c r="Q45" i="42"/>
  <c r="O175" i="42"/>
  <c r="Q82" i="41"/>
  <c r="Q157" i="41" s="1"/>
  <c r="Q45" i="41"/>
  <c r="M98" i="41"/>
  <c r="M99" i="41" s="1"/>
  <c r="L70" i="41"/>
  <c r="L71" i="41" s="1"/>
  <c r="L72" i="41" s="1"/>
  <c r="P127" i="41"/>
  <c r="P33" i="41" s="1"/>
  <c r="P35" i="41" s="1"/>
  <c r="R28" i="41"/>
  <c r="N131" i="41"/>
  <c r="N136" i="41" s="1"/>
  <c r="M54" i="41"/>
  <c r="M56" i="41" s="1"/>
  <c r="M62" i="41" s="1"/>
  <c r="S112" i="41"/>
  <c r="T109" i="41" s="1"/>
  <c r="L41" i="41"/>
  <c r="P53" i="41"/>
  <c r="P90" i="41"/>
  <c r="P157" i="41"/>
  <c r="N151" i="41"/>
  <c r="N158" i="41" s="1"/>
  <c r="N83" i="41"/>
  <c r="R59" i="41"/>
  <c r="Q61" i="41"/>
  <c r="Q113" i="41"/>
  <c r="O151" i="41"/>
  <c r="O158" i="41" s="1"/>
  <c r="O83" i="41"/>
  <c r="P42" i="41"/>
  <c r="Q127" i="41"/>
  <c r="Q33" i="41" s="1"/>
  <c r="Q35" i="41" s="1"/>
  <c r="O42" i="40"/>
  <c r="R112" i="40"/>
  <c r="S109" i="40" s="1"/>
  <c r="R28" i="40"/>
  <c r="N131" i="40"/>
  <c r="N136" i="40" s="1"/>
  <c r="M54" i="40"/>
  <c r="M56" i="40" s="1"/>
  <c r="M62" i="40" s="1"/>
  <c r="Q28" i="40"/>
  <c r="L98" i="40"/>
  <c r="L99" i="40" s="1"/>
  <c r="K70" i="40"/>
  <c r="K71" i="40" s="1"/>
  <c r="K72" i="40" s="1"/>
  <c r="M96" i="40"/>
  <c r="M44" i="40"/>
  <c r="M46" i="40"/>
  <c r="L41" i="40"/>
  <c r="N151" i="40"/>
  <c r="N158" i="40" s="1"/>
  <c r="N83" i="40"/>
  <c r="C140" i="40"/>
  <c r="G140" i="40" s="1"/>
  <c r="M169" i="40"/>
  <c r="M177" i="40" s="1"/>
  <c r="M179" i="40" s="1"/>
  <c r="M160" i="40"/>
  <c r="O90" i="40"/>
  <c r="O157" i="40"/>
  <c r="P61" i="40"/>
  <c r="P113" i="40"/>
  <c r="Q59" i="40"/>
  <c r="O127" i="40"/>
  <c r="O33" i="40" s="1"/>
  <c r="O35" i="40" s="1"/>
  <c r="O53" i="40"/>
  <c r="P82" i="40"/>
  <c r="P31" i="40"/>
  <c r="P45" i="40"/>
  <c r="N77" i="39"/>
  <c r="N132" i="39"/>
  <c r="N134" i="39" s="1"/>
  <c r="N93" i="39" s="1"/>
  <c r="N94" i="39" s="1"/>
  <c r="N37" i="39"/>
  <c r="N43" i="39"/>
  <c r="C140" i="39"/>
  <c r="G140" i="39" s="1"/>
  <c r="N175" i="39"/>
  <c r="O53" i="39"/>
  <c r="L98" i="39"/>
  <c r="K70" i="39"/>
  <c r="K71" i="39" s="1"/>
  <c r="K72" i="39" s="1"/>
  <c r="O127" i="39"/>
  <c r="O33" i="39" s="1"/>
  <c r="O35" i="39" s="1"/>
  <c r="L169" i="39"/>
  <c r="L177" i="39" s="1"/>
  <c r="L160" i="39"/>
  <c r="O157" i="39"/>
  <c r="O90" i="39"/>
  <c r="M131" i="39"/>
  <c r="M136" i="39" s="1"/>
  <c r="L54" i="39"/>
  <c r="L56" i="39" s="1"/>
  <c r="L62" i="39" s="1"/>
  <c r="P82" i="39"/>
  <c r="P45" i="39"/>
  <c r="P31" i="39"/>
  <c r="P113" i="39"/>
  <c r="P61" i="39"/>
  <c r="Q59" i="39"/>
  <c r="Q82" i="39"/>
  <c r="Q45" i="39"/>
  <c r="Q31" i="39"/>
  <c r="M83" i="39"/>
  <c r="M151" i="39"/>
  <c r="M158" i="39" s="1"/>
  <c r="L96" i="39"/>
  <c r="L46" i="39"/>
  <c r="L44" i="39"/>
  <c r="R112" i="39"/>
  <c r="S109" i="39" s="1"/>
  <c r="R28" i="39"/>
  <c r="O132" i="38"/>
  <c r="O134" i="38" s="1"/>
  <c r="O93" i="38" s="1"/>
  <c r="O94" i="38" s="1"/>
  <c r="O77" i="38"/>
  <c r="O37" i="38"/>
  <c r="O43" i="38"/>
  <c r="R112" i="38"/>
  <c r="S109" i="38" s="1"/>
  <c r="R28" i="38"/>
  <c r="P82" i="38"/>
  <c r="P31" i="38"/>
  <c r="P45" i="38"/>
  <c r="L46" i="38"/>
  <c r="L96" i="38"/>
  <c r="L44" i="38"/>
  <c r="M96" i="38"/>
  <c r="M46" i="38"/>
  <c r="M44" i="38"/>
  <c r="L41" i="38"/>
  <c r="L169" i="38"/>
  <c r="L177" i="38" s="1"/>
  <c r="L160" i="38"/>
  <c r="N175" i="38"/>
  <c r="M169" i="38"/>
  <c r="M177" i="38" s="1"/>
  <c r="M179" i="38" s="1"/>
  <c r="M160" i="38"/>
  <c r="N131" i="38"/>
  <c r="M54" i="38"/>
  <c r="M56" i="38" s="1"/>
  <c r="M62" i="38" s="1"/>
  <c r="P113" i="38"/>
  <c r="P61" i="38"/>
  <c r="Q59" i="38"/>
  <c r="N132" i="38"/>
  <c r="N134" i="38" s="1"/>
  <c r="N93" i="38" s="1"/>
  <c r="N94" i="38" s="1"/>
  <c r="N77" i="38"/>
  <c r="N37" i="38"/>
  <c r="N43" i="38"/>
  <c r="L98" i="38"/>
  <c r="K70" i="38"/>
  <c r="K71" i="38" s="1"/>
  <c r="K72" i="38" s="1"/>
  <c r="O42" i="38"/>
  <c r="O175" i="38"/>
  <c r="O53" i="38"/>
  <c r="Q28" i="38"/>
  <c r="K41" i="37"/>
  <c r="M131" i="37"/>
  <c r="M136" i="37" s="1"/>
  <c r="L54" i="37"/>
  <c r="L56" i="37" s="1"/>
  <c r="L62" i="37" s="1"/>
  <c r="R112" i="37"/>
  <c r="S109" i="37" s="1"/>
  <c r="R28" i="37"/>
  <c r="M96" i="37"/>
  <c r="M44" i="37"/>
  <c r="M46" i="37"/>
  <c r="L98" i="37"/>
  <c r="L99" i="37" s="1"/>
  <c r="K70" i="37"/>
  <c r="K71" i="37" s="1"/>
  <c r="K72" i="37" s="1"/>
  <c r="L179" i="37"/>
  <c r="P113" i="37"/>
  <c r="P61" i="37"/>
  <c r="Q59" i="37"/>
  <c r="M169" i="37"/>
  <c r="M177" i="37" s="1"/>
  <c r="M179" i="37" s="1"/>
  <c r="M160" i="37"/>
  <c r="O132" i="37"/>
  <c r="O134" i="37" s="1"/>
  <c r="O93" i="37" s="1"/>
  <c r="O94" i="37" s="1"/>
  <c r="O77" i="37"/>
  <c r="O37" i="37"/>
  <c r="O43" i="37"/>
  <c r="O42" i="37"/>
  <c r="Q82" i="37"/>
  <c r="Q45" i="37"/>
  <c r="Q31" i="37"/>
  <c r="N83" i="37"/>
  <c r="N151" i="37"/>
  <c r="N158" i="37" s="1"/>
  <c r="O175" i="37"/>
  <c r="P82" i="37"/>
  <c r="P45" i="37"/>
  <c r="P31" i="37"/>
  <c r="N53" i="37"/>
  <c r="C140" i="37"/>
  <c r="G140" i="37" s="1"/>
  <c r="P132" i="36"/>
  <c r="P134" i="36" s="1"/>
  <c r="P93" i="36" s="1"/>
  <c r="P94" i="36" s="1"/>
  <c r="P43" i="36"/>
  <c r="P37" i="36"/>
  <c r="P77" i="36"/>
  <c r="O131" i="36"/>
  <c r="N54" i="36"/>
  <c r="N56" i="36" s="1"/>
  <c r="N62" i="36" s="1"/>
  <c r="M41" i="36"/>
  <c r="S112" i="36"/>
  <c r="T109" i="36" s="1"/>
  <c r="O77" i="36"/>
  <c r="O37" i="36"/>
  <c r="O43" i="36"/>
  <c r="O132" i="36"/>
  <c r="O134" i="36" s="1"/>
  <c r="O93" i="36" s="1"/>
  <c r="O94" i="36" s="1"/>
  <c r="N96" i="36"/>
  <c r="N46" i="36"/>
  <c r="N44" i="36"/>
  <c r="T67" i="36"/>
  <c r="U66" i="36"/>
  <c r="U67" i="36" s="1"/>
  <c r="Q82" i="36"/>
  <c r="Q45" i="36"/>
  <c r="Q31" i="36"/>
  <c r="Q113" i="36"/>
  <c r="Q61" i="36"/>
  <c r="R59" i="36"/>
  <c r="P175" i="36"/>
  <c r="R82" i="36"/>
  <c r="R45" i="36"/>
  <c r="R31" i="36"/>
  <c r="O175" i="36"/>
  <c r="P53" i="36"/>
  <c r="P42" i="36"/>
  <c r="N169" i="36"/>
  <c r="N177" i="36" s="1"/>
  <c r="N179" i="36" s="1"/>
  <c r="N160" i="36"/>
  <c r="M98" i="36"/>
  <c r="M99" i="36" s="1"/>
  <c r="L70" i="36"/>
  <c r="L71" i="36" s="1"/>
  <c r="L72" i="36" s="1"/>
  <c r="R77" i="27"/>
  <c r="R151" i="27" s="1"/>
  <c r="R43" i="27"/>
  <c r="R132" i="27"/>
  <c r="R134" i="27" s="1"/>
  <c r="R93" i="27" s="1"/>
  <c r="Q132" i="27"/>
  <c r="Q134" i="27" s="1"/>
  <c r="Q93" i="27" s="1"/>
  <c r="Q77" i="27"/>
  <c r="Q43" i="27"/>
  <c r="Q37" i="27"/>
  <c r="S31" i="27"/>
  <c r="S127" i="27" s="1"/>
  <c r="S33" i="27" s="1"/>
  <c r="S35" i="27" s="1"/>
  <c r="S77" i="27" s="1"/>
  <c r="S82" i="27"/>
  <c r="S45" i="27"/>
  <c r="T112" i="27"/>
  <c r="U109" i="27" s="1"/>
  <c r="U112" i="27" s="1"/>
  <c r="U28" i="27" s="1"/>
  <c r="U31" i="27" s="1"/>
  <c r="R90" i="27"/>
  <c r="R175" i="27" s="1"/>
  <c r="R157" i="27"/>
  <c r="Q113" i="27"/>
  <c r="R59" i="27"/>
  <c r="Q61" i="27"/>
  <c r="Q42" i="27" s="1"/>
  <c r="Q157" i="27"/>
  <c r="Q90" i="27"/>
  <c r="Q175" i="27" s="1"/>
  <c r="N94" i="27"/>
  <c r="P157" i="27"/>
  <c r="P90" i="27"/>
  <c r="P175" i="27" s="1"/>
  <c r="O157" i="27"/>
  <c r="O90" i="27"/>
  <c r="O175" i="27" s="1"/>
  <c r="P77" i="27"/>
  <c r="P132" i="27"/>
  <c r="P134" i="27" s="1"/>
  <c r="P93" i="27" s="1"/>
  <c r="P43" i="27"/>
  <c r="P37" i="27"/>
  <c r="N151" i="27"/>
  <c r="N158" i="27" s="1"/>
  <c r="N83" i="27"/>
  <c r="M96" i="27"/>
  <c r="M46" i="27"/>
  <c r="M44" i="27"/>
  <c r="M160" i="27"/>
  <c r="M169" i="27"/>
  <c r="M177" i="27" s="1"/>
  <c r="M179" i="27" s="1"/>
  <c r="O43" i="27"/>
  <c r="O132" i="27"/>
  <c r="O134" i="27" s="1"/>
  <c r="O93" i="27" s="1"/>
  <c r="O37" i="27"/>
  <c r="O77" i="27"/>
  <c r="C140" i="27"/>
  <c r="G140" i="27" s="1"/>
  <c r="U67" i="25"/>
  <c r="U68" i="25" s="1"/>
  <c r="C120" i="25" s="1"/>
  <c r="T68" i="25"/>
  <c r="E60" i="25"/>
  <c r="D62" i="25"/>
  <c r="Q77" i="44" l="1"/>
  <c r="Q43" i="44"/>
  <c r="Q37" i="44"/>
  <c r="Q132" i="44"/>
  <c r="Q134" i="44" s="1"/>
  <c r="Q93" i="44" s="1"/>
  <c r="Q94" i="44" s="1"/>
  <c r="R127" i="44"/>
  <c r="R33" i="44" s="1"/>
  <c r="R35" i="44"/>
  <c r="O169" i="44"/>
  <c r="O177" i="44" s="1"/>
  <c r="O179" i="44" s="1"/>
  <c r="O160" i="44"/>
  <c r="M179" i="44"/>
  <c r="Q53" i="44"/>
  <c r="S113" i="44"/>
  <c r="S61" i="44"/>
  <c r="T59" i="44"/>
  <c r="M98" i="44"/>
  <c r="M99" i="44" s="1"/>
  <c r="L70" i="44"/>
  <c r="L71" i="44" s="1"/>
  <c r="L72" i="44" s="1"/>
  <c r="M41" i="44"/>
  <c r="O131" i="44"/>
  <c r="O136" i="44" s="1"/>
  <c r="N54" i="44"/>
  <c r="N56" i="44" s="1"/>
  <c r="N62" i="44" s="1"/>
  <c r="R42" i="44"/>
  <c r="P83" i="44"/>
  <c r="P151" i="44"/>
  <c r="P158" i="44" s="1"/>
  <c r="S28" i="44"/>
  <c r="R90" i="44"/>
  <c r="R157" i="44"/>
  <c r="Q175" i="44"/>
  <c r="O96" i="44"/>
  <c r="O46" i="44"/>
  <c r="O44" i="44"/>
  <c r="T112" i="44"/>
  <c r="U109" i="44" s="1"/>
  <c r="T28" i="44"/>
  <c r="O132" i="43"/>
  <c r="O134" i="43" s="1"/>
  <c r="O93" i="43" s="1"/>
  <c r="O94" i="43" s="1"/>
  <c r="O77" i="43"/>
  <c r="O37" i="43"/>
  <c r="O43" i="43"/>
  <c r="P42" i="43"/>
  <c r="L41" i="43"/>
  <c r="O175" i="43"/>
  <c r="Q127" i="43"/>
  <c r="Q33" i="43" s="1"/>
  <c r="Q35" i="43" s="1"/>
  <c r="N131" i="43"/>
  <c r="N136" i="43" s="1"/>
  <c r="M54" i="43"/>
  <c r="M56" i="43" s="1"/>
  <c r="M62" i="43" s="1"/>
  <c r="N169" i="43"/>
  <c r="N177" i="43" s="1"/>
  <c r="N179" i="43" s="1"/>
  <c r="N160" i="43"/>
  <c r="P37" i="43"/>
  <c r="P43" i="43"/>
  <c r="P77" i="43"/>
  <c r="P132" i="43"/>
  <c r="P134" i="43" s="1"/>
  <c r="P93" i="43" s="1"/>
  <c r="P94" i="43" s="1"/>
  <c r="N96" i="43"/>
  <c r="N44" i="43"/>
  <c r="N46" i="43"/>
  <c r="P175" i="43"/>
  <c r="L98" i="43"/>
  <c r="L99" i="43" s="1"/>
  <c r="K70" i="43"/>
  <c r="K71" i="43" s="1"/>
  <c r="K72" i="43" s="1"/>
  <c r="R28" i="43"/>
  <c r="M179" i="43"/>
  <c r="S112" i="43"/>
  <c r="T109" i="43" s="1"/>
  <c r="Q113" i="43"/>
  <c r="R59" i="43"/>
  <c r="Q61" i="43"/>
  <c r="O53" i="43"/>
  <c r="Q157" i="43"/>
  <c r="Q90" i="43"/>
  <c r="Q53" i="42"/>
  <c r="N96" i="42"/>
  <c r="N99" i="42" s="1"/>
  <c r="N46" i="42"/>
  <c r="N44" i="42"/>
  <c r="R157" i="42"/>
  <c r="R90" i="42"/>
  <c r="R42" i="42"/>
  <c r="N169" i="42"/>
  <c r="N177" i="42" s="1"/>
  <c r="N179" i="42" s="1"/>
  <c r="N160" i="42"/>
  <c r="S113" i="42"/>
  <c r="S61" i="42"/>
  <c r="T59" i="42"/>
  <c r="Q157" i="42"/>
  <c r="Q90" i="42"/>
  <c r="N98" i="42"/>
  <c r="M70" i="42"/>
  <c r="M71" i="42" s="1"/>
  <c r="M72" i="42" s="1"/>
  <c r="P175" i="42"/>
  <c r="P132" i="42"/>
  <c r="P134" i="42" s="1"/>
  <c r="P93" i="42" s="1"/>
  <c r="P94" i="42" s="1"/>
  <c r="P37" i="42"/>
  <c r="P43" i="42"/>
  <c r="P77" i="42"/>
  <c r="Q127" i="42"/>
  <c r="Q33" i="42" s="1"/>
  <c r="Q35" i="42"/>
  <c r="M41" i="42"/>
  <c r="S82" i="42"/>
  <c r="S45" i="42"/>
  <c r="S31" i="42"/>
  <c r="O131" i="42"/>
  <c r="O136" i="42" s="1"/>
  <c r="N54" i="42"/>
  <c r="N56" i="42" s="1"/>
  <c r="N62" i="42" s="1"/>
  <c r="T112" i="42"/>
  <c r="U109" i="42" s="1"/>
  <c r="R127" i="42"/>
  <c r="R33" i="42" s="1"/>
  <c r="R35" i="42" s="1"/>
  <c r="O83" i="42"/>
  <c r="O151" i="42"/>
  <c r="O158" i="42" s="1"/>
  <c r="Q90" i="41"/>
  <c r="Q175" i="41" s="1"/>
  <c r="S28" i="41"/>
  <c r="S82" i="41" s="1"/>
  <c r="O169" i="41"/>
  <c r="O177" i="41" s="1"/>
  <c r="O179" i="41" s="1"/>
  <c r="O160" i="41"/>
  <c r="P175" i="41"/>
  <c r="O131" i="41"/>
  <c r="O136" i="41" s="1"/>
  <c r="N54" i="41"/>
  <c r="N56" i="41" s="1"/>
  <c r="N62" i="41" s="1"/>
  <c r="Q53" i="41"/>
  <c r="Q42" i="41"/>
  <c r="Q132" i="41"/>
  <c r="Q134" i="41" s="1"/>
  <c r="Q93" i="41" s="1"/>
  <c r="Q43" i="41"/>
  <c r="Q77" i="41"/>
  <c r="Q37" i="41"/>
  <c r="S59" i="41"/>
  <c r="R61" i="41"/>
  <c r="R113" i="41"/>
  <c r="R82" i="41"/>
  <c r="R31" i="41"/>
  <c r="R45" i="41"/>
  <c r="N98" i="41"/>
  <c r="M70" i="41"/>
  <c r="M71" i="41" s="1"/>
  <c r="M72" i="41" s="1"/>
  <c r="P132" i="41"/>
  <c r="P134" i="41" s="1"/>
  <c r="P93" i="41" s="1"/>
  <c r="P94" i="41" s="1"/>
  <c r="P77" i="41"/>
  <c r="P37" i="41"/>
  <c r="P43" i="41"/>
  <c r="N96" i="41"/>
  <c r="N46" i="41"/>
  <c r="N44" i="41"/>
  <c r="N169" i="41"/>
  <c r="N177" i="41" s="1"/>
  <c r="N179" i="41" s="1"/>
  <c r="N160" i="41"/>
  <c r="T112" i="41"/>
  <c r="U109" i="41" s="1"/>
  <c r="O96" i="41"/>
  <c r="O44" i="41"/>
  <c r="O46" i="41"/>
  <c r="M41" i="41"/>
  <c r="P127" i="40"/>
  <c r="P33" i="40" s="1"/>
  <c r="P35" i="40" s="1"/>
  <c r="N96" i="40"/>
  <c r="N46" i="40"/>
  <c r="N44" i="40"/>
  <c r="P90" i="40"/>
  <c r="P157" i="40"/>
  <c r="P42" i="40"/>
  <c r="N169" i="40"/>
  <c r="N177" i="40" s="1"/>
  <c r="N179" i="40" s="1"/>
  <c r="N160" i="40"/>
  <c r="P53" i="40"/>
  <c r="Q82" i="40"/>
  <c r="Q45" i="40"/>
  <c r="Q31" i="40"/>
  <c r="O175" i="40"/>
  <c r="M41" i="40"/>
  <c r="O131" i="40"/>
  <c r="O136" i="40" s="1"/>
  <c r="N54" i="40"/>
  <c r="N56" i="40" s="1"/>
  <c r="N62" i="40" s="1"/>
  <c r="Q113" i="40"/>
  <c r="R59" i="40"/>
  <c r="Q61" i="40"/>
  <c r="M98" i="40"/>
  <c r="M99" i="40" s="1"/>
  <c r="L70" i="40"/>
  <c r="L71" i="40" s="1"/>
  <c r="L72" i="40" s="1"/>
  <c r="O132" i="40"/>
  <c r="O134" i="40" s="1"/>
  <c r="O93" i="40" s="1"/>
  <c r="O94" i="40" s="1"/>
  <c r="O37" i="40"/>
  <c r="O77" i="40"/>
  <c r="O43" i="40"/>
  <c r="R82" i="40"/>
  <c r="R45" i="40"/>
  <c r="R31" i="40"/>
  <c r="S112" i="40"/>
  <c r="T109" i="40" s="1"/>
  <c r="S28" i="40"/>
  <c r="L99" i="39"/>
  <c r="M98" i="39" s="1"/>
  <c r="O77" i="39"/>
  <c r="O37" i="39"/>
  <c r="O43" i="39"/>
  <c r="O132" i="39"/>
  <c r="O134" i="39" s="1"/>
  <c r="O93" i="39" s="1"/>
  <c r="O94" i="39" s="1"/>
  <c r="S112" i="39"/>
  <c r="T109" i="39" s="1"/>
  <c r="S28" i="39"/>
  <c r="Q127" i="39"/>
  <c r="Q33" i="39" s="1"/>
  <c r="Q35" i="39" s="1"/>
  <c r="L70" i="39"/>
  <c r="L71" i="39" s="1"/>
  <c r="L72" i="39" s="1"/>
  <c r="P127" i="39"/>
  <c r="P33" i="39" s="1"/>
  <c r="P35" i="39" s="1"/>
  <c r="P90" i="39"/>
  <c r="P157" i="39"/>
  <c r="R82" i="39"/>
  <c r="R45" i="39"/>
  <c r="R31" i="39"/>
  <c r="M96" i="39"/>
  <c r="M44" i="39"/>
  <c r="M46" i="39"/>
  <c r="L179" i="39"/>
  <c r="Q157" i="39"/>
  <c r="Q90" i="39"/>
  <c r="L41" i="39"/>
  <c r="Q113" i="39"/>
  <c r="R59" i="39"/>
  <c r="Q61" i="39"/>
  <c r="N131" i="39"/>
  <c r="N136" i="39" s="1"/>
  <c r="M54" i="39"/>
  <c r="M56" i="39" s="1"/>
  <c r="M62" i="39" s="1"/>
  <c r="O175" i="39"/>
  <c r="P53" i="39"/>
  <c r="M169" i="39"/>
  <c r="M177" i="39" s="1"/>
  <c r="M179" i="39" s="1"/>
  <c r="M160" i="39"/>
  <c r="N151" i="39"/>
  <c r="N158" i="39" s="1"/>
  <c r="N83" i="39"/>
  <c r="N83" i="38"/>
  <c r="N151" i="38"/>
  <c r="N158" i="38" s="1"/>
  <c r="P90" i="38"/>
  <c r="P157" i="38"/>
  <c r="R82" i="38"/>
  <c r="R31" i="38"/>
  <c r="R45" i="38"/>
  <c r="Q61" i="38"/>
  <c r="Q113" i="38"/>
  <c r="R59" i="38"/>
  <c r="S112" i="38"/>
  <c r="T109" i="38" s="1"/>
  <c r="S28" i="38"/>
  <c r="P42" i="38"/>
  <c r="Q82" i="38"/>
  <c r="Q45" i="38"/>
  <c r="Q31" i="38"/>
  <c r="L99" i="38"/>
  <c r="P53" i="38"/>
  <c r="M41" i="38"/>
  <c r="L179" i="38"/>
  <c r="O83" i="38"/>
  <c r="O151" i="38"/>
  <c r="O158" i="38" s="1"/>
  <c r="P127" i="38"/>
  <c r="P33" i="38" s="1"/>
  <c r="P35" i="38" s="1"/>
  <c r="N136" i="38"/>
  <c r="P42" i="37"/>
  <c r="M98" i="37"/>
  <c r="M99" i="37" s="1"/>
  <c r="L70" i="37"/>
  <c r="L71" i="37" s="1"/>
  <c r="L72" i="37" s="1"/>
  <c r="R82" i="37"/>
  <c r="R45" i="37"/>
  <c r="R31" i="37"/>
  <c r="N169" i="37"/>
  <c r="N177" i="37" s="1"/>
  <c r="N179" i="37" s="1"/>
  <c r="N160" i="37"/>
  <c r="O53" i="37"/>
  <c r="N96" i="37"/>
  <c r="N44" i="37"/>
  <c r="N46" i="37"/>
  <c r="O83" i="37"/>
  <c r="O151" i="37"/>
  <c r="O158" i="37" s="1"/>
  <c r="S112" i="37"/>
  <c r="T109" i="37" s="1"/>
  <c r="S28" i="37"/>
  <c r="P127" i="37"/>
  <c r="P33" i="37" s="1"/>
  <c r="P35" i="37" s="1"/>
  <c r="L41" i="37"/>
  <c r="Q157" i="37"/>
  <c r="Q90" i="37"/>
  <c r="N131" i="37"/>
  <c r="N136" i="37" s="1"/>
  <c r="M54" i="37"/>
  <c r="M56" i="37" s="1"/>
  <c r="M62" i="37" s="1"/>
  <c r="Q127" i="37"/>
  <c r="Q33" i="37" s="1"/>
  <c r="Q35" i="37" s="1"/>
  <c r="P157" i="37"/>
  <c r="P90" i="37"/>
  <c r="Q113" i="37"/>
  <c r="R59" i="37"/>
  <c r="Q61" i="37"/>
  <c r="O136" i="36"/>
  <c r="M70" i="36"/>
  <c r="M71" i="36" s="1"/>
  <c r="M72" i="36" s="1"/>
  <c r="N98" i="36"/>
  <c r="R113" i="36"/>
  <c r="R61" i="36"/>
  <c r="S59" i="36"/>
  <c r="T112" i="36"/>
  <c r="U109" i="36" s="1"/>
  <c r="T28" i="36"/>
  <c r="Q42" i="36"/>
  <c r="R127" i="36"/>
  <c r="R33" i="36" s="1"/>
  <c r="R35" i="36" s="1"/>
  <c r="N99" i="36"/>
  <c r="Q127" i="36"/>
  <c r="Q33" i="36" s="1"/>
  <c r="Q35" i="36" s="1"/>
  <c r="N41" i="36"/>
  <c r="R157" i="36"/>
  <c r="R90" i="36"/>
  <c r="O54" i="36"/>
  <c r="O56" i="36" s="1"/>
  <c r="O62" i="36" s="1"/>
  <c r="P131" i="36"/>
  <c r="P136" i="36" s="1"/>
  <c r="Q157" i="36"/>
  <c r="Q90" i="36"/>
  <c r="P83" i="36"/>
  <c r="P151" i="36"/>
  <c r="P158" i="36" s="1"/>
  <c r="C140" i="36"/>
  <c r="G140" i="36" s="1"/>
  <c r="O83" i="36"/>
  <c r="O151" i="36"/>
  <c r="O158" i="36" s="1"/>
  <c r="Q53" i="36"/>
  <c r="S28" i="36"/>
  <c r="R83" i="27"/>
  <c r="R46" i="27" s="1"/>
  <c r="R158" i="27"/>
  <c r="R160" i="27" s="1"/>
  <c r="S43" i="27"/>
  <c r="S37" i="27"/>
  <c r="S132" i="27"/>
  <c r="S134" i="27" s="1"/>
  <c r="S93" i="27" s="1"/>
  <c r="T28" i="27"/>
  <c r="T82" i="27" s="1"/>
  <c r="T157" i="27" s="1"/>
  <c r="Q94" i="27"/>
  <c r="S157" i="27"/>
  <c r="S90" i="27"/>
  <c r="S175" i="27" s="1"/>
  <c r="Q151" i="27"/>
  <c r="Q158" i="27" s="1"/>
  <c r="Q83" i="27"/>
  <c r="R113" i="27"/>
  <c r="S59" i="27"/>
  <c r="R61" i="27"/>
  <c r="R42" i="27" s="1"/>
  <c r="R94" i="27"/>
  <c r="P94" i="27"/>
  <c r="P151" i="27"/>
  <c r="P158" i="27" s="1"/>
  <c r="P83" i="27"/>
  <c r="O151" i="27"/>
  <c r="O158" i="27" s="1"/>
  <c r="O83" i="27"/>
  <c r="N96" i="27"/>
  <c r="N46" i="27"/>
  <c r="N44" i="27"/>
  <c r="O94" i="27"/>
  <c r="N160" i="27"/>
  <c r="N169" i="27"/>
  <c r="N177" i="27" s="1"/>
  <c r="N179" i="27" s="1"/>
  <c r="S83" i="27"/>
  <c r="S151" i="27"/>
  <c r="U82" i="27"/>
  <c r="U45" i="27"/>
  <c r="D63" i="25"/>
  <c r="D42" i="25"/>
  <c r="G120" i="25"/>
  <c r="E62" i="25"/>
  <c r="F60" i="25"/>
  <c r="T113" i="44" l="1"/>
  <c r="U59" i="44"/>
  <c r="T61" i="44"/>
  <c r="N41" i="44"/>
  <c r="S42" i="44"/>
  <c r="R132" i="44"/>
  <c r="R134" i="44" s="1"/>
  <c r="R93" i="44" s="1"/>
  <c r="R43" i="44"/>
  <c r="R77" i="44"/>
  <c r="R37" i="44"/>
  <c r="T82" i="44"/>
  <c r="T31" i="44"/>
  <c r="T45" i="44"/>
  <c r="R175" i="44"/>
  <c r="R94" i="44"/>
  <c r="P131" i="44"/>
  <c r="P136" i="44" s="1"/>
  <c r="O54" i="44"/>
  <c r="O56" i="44" s="1"/>
  <c r="O62" i="44" s="1"/>
  <c r="U112" i="44"/>
  <c r="U28" i="44"/>
  <c r="S82" i="44"/>
  <c r="S45" i="44"/>
  <c r="S31" i="44"/>
  <c r="R53" i="44"/>
  <c r="M70" i="44"/>
  <c r="M71" i="44" s="1"/>
  <c r="M72" i="44" s="1"/>
  <c r="N98" i="44"/>
  <c r="N99" i="44" s="1"/>
  <c r="P169" i="44"/>
  <c r="P177" i="44" s="1"/>
  <c r="P179" i="44" s="1"/>
  <c r="P160" i="44"/>
  <c r="P44" i="44"/>
  <c r="P46" i="44"/>
  <c r="P96" i="44"/>
  <c r="Q83" i="44"/>
  <c r="Q151" i="44"/>
  <c r="Q158" i="44" s="1"/>
  <c r="T112" i="43"/>
  <c r="U109" i="43" s="1"/>
  <c r="T28" i="43"/>
  <c r="P53" i="43"/>
  <c r="R82" i="43"/>
  <c r="R45" i="43"/>
  <c r="R31" i="43"/>
  <c r="O131" i="43"/>
  <c r="O136" i="43" s="1"/>
  <c r="N54" i="43"/>
  <c r="N56" i="43" s="1"/>
  <c r="N62" i="43" s="1"/>
  <c r="M41" i="43"/>
  <c r="Q42" i="43"/>
  <c r="P83" i="43"/>
  <c r="P151" i="43"/>
  <c r="P158" i="43" s="1"/>
  <c r="Q132" i="43"/>
  <c r="Q134" i="43" s="1"/>
  <c r="Q93" i="43" s="1"/>
  <c r="Q94" i="43" s="1"/>
  <c r="Q43" i="43"/>
  <c r="Q77" i="43"/>
  <c r="Q37" i="43"/>
  <c r="R113" i="43"/>
  <c r="S59" i="43"/>
  <c r="R61" i="43"/>
  <c r="M98" i="43"/>
  <c r="M99" i="43" s="1"/>
  <c r="L70" i="43"/>
  <c r="L71" i="43" s="1"/>
  <c r="L72" i="43" s="1"/>
  <c r="O83" i="43"/>
  <c r="O151" i="43"/>
  <c r="O158" i="43" s="1"/>
  <c r="Q175" i="43"/>
  <c r="S28" i="43"/>
  <c r="S42" i="42"/>
  <c r="Q175" i="42"/>
  <c r="R175" i="42"/>
  <c r="R94" i="42"/>
  <c r="S157" i="42"/>
  <c r="S90" i="42"/>
  <c r="T113" i="42"/>
  <c r="U59" i="42"/>
  <c r="T61" i="42"/>
  <c r="T28" i="42"/>
  <c r="S127" i="42"/>
  <c r="S33" i="42" s="1"/>
  <c r="S35" i="42"/>
  <c r="U112" i="42"/>
  <c r="U28" i="42" s="1"/>
  <c r="Q37" i="42"/>
  <c r="Q43" i="42"/>
  <c r="Q132" i="42"/>
  <c r="Q134" i="42" s="1"/>
  <c r="Q93" i="42" s="1"/>
  <c r="Q94" i="42" s="1"/>
  <c r="Q77" i="42"/>
  <c r="O98" i="42"/>
  <c r="N70" i="42"/>
  <c r="N71" i="42" s="1"/>
  <c r="N72" i="42" s="1"/>
  <c r="P83" i="42"/>
  <c r="P151" i="42"/>
  <c r="P158" i="42" s="1"/>
  <c r="O96" i="42"/>
  <c r="O46" i="42"/>
  <c r="O44" i="42"/>
  <c r="R132" i="42"/>
  <c r="R134" i="42" s="1"/>
  <c r="R93" i="42" s="1"/>
  <c r="R37" i="42"/>
  <c r="R43" i="42"/>
  <c r="R77" i="42"/>
  <c r="N41" i="42"/>
  <c r="R53" i="42"/>
  <c r="O169" i="42"/>
  <c r="O177" i="42" s="1"/>
  <c r="O179" i="42" s="1"/>
  <c r="O160" i="42"/>
  <c r="P131" i="42"/>
  <c r="P136" i="42" s="1"/>
  <c r="O54" i="42"/>
  <c r="O56" i="42" s="1"/>
  <c r="O62" i="42" s="1"/>
  <c r="Q94" i="41"/>
  <c r="S31" i="41"/>
  <c r="S127" i="41" s="1"/>
  <c r="S33" i="41" s="1"/>
  <c r="S45" i="41"/>
  <c r="N99" i="41"/>
  <c r="O98" i="41" s="1"/>
  <c r="O99" i="41" s="1"/>
  <c r="Q83" i="41"/>
  <c r="Q151" i="41"/>
  <c r="Q158" i="41" s="1"/>
  <c r="R53" i="41"/>
  <c r="T28" i="41"/>
  <c r="N41" i="41"/>
  <c r="R127" i="41"/>
  <c r="R33" i="41" s="1"/>
  <c r="R35" i="41" s="1"/>
  <c r="P131" i="41"/>
  <c r="P136" i="41" s="1"/>
  <c r="O54" i="41"/>
  <c r="O56" i="41" s="1"/>
  <c r="O62" i="41" s="1"/>
  <c r="R90" i="41"/>
  <c r="R157" i="41"/>
  <c r="S157" i="41"/>
  <c r="S90" i="41"/>
  <c r="U112" i="41"/>
  <c r="U28" i="41" s="1"/>
  <c r="P83" i="41"/>
  <c r="P151" i="41"/>
  <c r="P158" i="41" s="1"/>
  <c r="R42" i="41"/>
  <c r="T59" i="41"/>
  <c r="S61" i="41"/>
  <c r="S113" i="41"/>
  <c r="P132" i="40"/>
  <c r="P134" i="40" s="1"/>
  <c r="P93" i="40" s="1"/>
  <c r="P94" i="40" s="1"/>
  <c r="P43" i="40"/>
  <c r="P77" i="40"/>
  <c r="P37" i="40"/>
  <c r="Q42" i="40"/>
  <c r="R157" i="40"/>
  <c r="R90" i="40"/>
  <c r="R113" i="40"/>
  <c r="S59" i="40"/>
  <c r="R61" i="40"/>
  <c r="Q127" i="40"/>
  <c r="Q33" i="40" s="1"/>
  <c r="Q35" i="40" s="1"/>
  <c r="O83" i="40"/>
  <c r="O151" i="40"/>
  <c r="O158" i="40" s="1"/>
  <c r="N41" i="40"/>
  <c r="Q157" i="40"/>
  <c r="Q90" i="40"/>
  <c r="P175" i="40"/>
  <c r="T112" i="40"/>
  <c r="U109" i="40" s="1"/>
  <c r="Q53" i="40"/>
  <c r="S82" i="40"/>
  <c r="S45" i="40"/>
  <c r="S31" i="40"/>
  <c r="P131" i="40"/>
  <c r="O54" i="40"/>
  <c r="O56" i="40" s="1"/>
  <c r="O62" i="40" s="1"/>
  <c r="N98" i="40"/>
  <c r="N99" i="40" s="1"/>
  <c r="M70" i="40"/>
  <c r="M71" i="40" s="1"/>
  <c r="M72" i="40" s="1"/>
  <c r="R127" i="40"/>
  <c r="R33" i="40" s="1"/>
  <c r="R35" i="40" s="1"/>
  <c r="M41" i="39"/>
  <c r="R157" i="39"/>
  <c r="R90" i="39"/>
  <c r="S82" i="39"/>
  <c r="S45" i="39"/>
  <c r="S31" i="39"/>
  <c r="Q53" i="39"/>
  <c r="R113" i="39"/>
  <c r="S59" i="39"/>
  <c r="R61" i="39"/>
  <c r="P175" i="39"/>
  <c r="T112" i="39"/>
  <c r="U109" i="39" s="1"/>
  <c r="T28" i="39"/>
  <c r="P132" i="39"/>
  <c r="P134" i="39" s="1"/>
  <c r="P93" i="39" s="1"/>
  <c r="P94" i="39" s="1"/>
  <c r="P37" i="39"/>
  <c r="P43" i="39"/>
  <c r="P77" i="39"/>
  <c r="N54" i="39"/>
  <c r="N56" i="39" s="1"/>
  <c r="N62" i="39" s="1"/>
  <c r="O131" i="39"/>
  <c r="O136" i="39" s="1"/>
  <c r="Q175" i="39"/>
  <c r="N96" i="39"/>
  <c r="N44" i="39"/>
  <c r="N46" i="39"/>
  <c r="M99" i="39"/>
  <c r="Q132" i="39"/>
  <c r="Q134" i="39" s="1"/>
  <c r="Q93" i="39" s="1"/>
  <c r="Q94" i="39" s="1"/>
  <c r="Q43" i="39"/>
  <c r="Q77" i="39"/>
  <c r="Q37" i="39"/>
  <c r="N169" i="39"/>
  <c r="N177" i="39" s="1"/>
  <c r="N179" i="39" s="1"/>
  <c r="N160" i="39"/>
  <c r="R127" i="39"/>
  <c r="R33" i="39" s="1"/>
  <c r="R35" i="39" s="1"/>
  <c r="O83" i="39"/>
  <c r="O151" i="39"/>
  <c r="O158" i="39" s="1"/>
  <c r="P77" i="38"/>
  <c r="P37" i="38"/>
  <c r="P43" i="38"/>
  <c r="P132" i="38"/>
  <c r="P134" i="38" s="1"/>
  <c r="P93" i="38" s="1"/>
  <c r="P94" i="38" s="1"/>
  <c r="Q90" i="38"/>
  <c r="Q157" i="38"/>
  <c r="Q42" i="38"/>
  <c r="O131" i="38"/>
  <c r="O136" i="38" s="1"/>
  <c r="N54" i="38"/>
  <c r="N56" i="38" s="1"/>
  <c r="N62" i="38" s="1"/>
  <c r="R127" i="38"/>
  <c r="R33" i="38" s="1"/>
  <c r="R35" i="38" s="1"/>
  <c r="Q53" i="38"/>
  <c r="S82" i="38"/>
  <c r="S45" i="38"/>
  <c r="S31" i="38"/>
  <c r="R157" i="38"/>
  <c r="R90" i="38"/>
  <c r="T112" i="38"/>
  <c r="U109" i="38" s="1"/>
  <c r="O169" i="38"/>
  <c r="O177" i="38" s="1"/>
  <c r="O179" i="38" s="1"/>
  <c r="O160" i="38"/>
  <c r="M98" i="38"/>
  <c r="M99" i="38" s="1"/>
  <c r="L70" i="38"/>
  <c r="L71" i="38" s="1"/>
  <c r="L72" i="38" s="1"/>
  <c r="P175" i="38"/>
  <c r="O96" i="38"/>
  <c r="O46" i="38"/>
  <c r="O44" i="38"/>
  <c r="Q127" i="38"/>
  <c r="Q33" i="38" s="1"/>
  <c r="Q35" i="38" s="1"/>
  <c r="S59" i="38"/>
  <c r="R113" i="38"/>
  <c r="R61" i="38"/>
  <c r="N169" i="38"/>
  <c r="N177" i="38" s="1"/>
  <c r="N179" i="38" s="1"/>
  <c r="N160" i="38"/>
  <c r="N96" i="38"/>
  <c r="N44" i="38"/>
  <c r="N46" i="38"/>
  <c r="O96" i="37"/>
  <c r="O44" i="37"/>
  <c r="O46" i="37"/>
  <c r="R127" i="37"/>
  <c r="R33" i="37" s="1"/>
  <c r="R35" i="37" s="1"/>
  <c r="Q175" i="37"/>
  <c r="R157" i="37"/>
  <c r="R90" i="37"/>
  <c r="R113" i="37"/>
  <c r="S59" i="37"/>
  <c r="R61" i="37"/>
  <c r="P37" i="37"/>
  <c r="P43" i="37"/>
  <c r="P77" i="37"/>
  <c r="P132" i="37"/>
  <c r="P134" i="37" s="1"/>
  <c r="P93" i="37" s="1"/>
  <c r="P94" i="37" s="1"/>
  <c r="P53" i="37"/>
  <c r="Q132" i="37"/>
  <c r="Q134" i="37" s="1"/>
  <c r="Q93" i="37" s="1"/>
  <c r="Q94" i="37" s="1"/>
  <c r="Q43" i="37"/>
  <c r="Q77" i="37"/>
  <c r="Q37" i="37"/>
  <c r="N98" i="37"/>
  <c r="N99" i="37" s="1"/>
  <c r="M70" i="37"/>
  <c r="M71" i="37" s="1"/>
  <c r="M72" i="37" s="1"/>
  <c r="M41" i="37"/>
  <c r="S82" i="37"/>
  <c r="S31" i="37"/>
  <c r="S45" i="37"/>
  <c r="P175" i="37"/>
  <c r="Q42" i="37"/>
  <c r="O131" i="37"/>
  <c r="O136" i="37" s="1"/>
  <c r="N54" i="37"/>
  <c r="N56" i="37" s="1"/>
  <c r="N62" i="37" s="1"/>
  <c r="T112" i="37"/>
  <c r="U109" i="37" s="1"/>
  <c r="T28" i="37"/>
  <c r="O169" i="37"/>
  <c r="O177" i="37" s="1"/>
  <c r="O179" i="37" s="1"/>
  <c r="O160" i="37"/>
  <c r="R132" i="36"/>
  <c r="R134" i="36" s="1"/>
  <c r="R93" i="36" s="1"/>
  <c r="R94" i="36" s="1"/>
  <c r="R37" i="36"/>
  <c r="R43" i="36"/>
  <c r="R77" i="36"/>
  <c r="Q132" i="36"/>
  <c r="Q134" i="36" s="1"/>
  <c r="Q93" i="36" s="1"/>
  <c r="Q77" i="36"/>
  <c r="Q37" i="36"/>
  <c r="Q43" i="36"/>
  <c r="S82" i="36"/>
  <c r="S45" i="36"/>
  <c r="S31" i="36"/>
  <c r="P160" i="36"/>
  <c r="P169" i="36"/>
  <c r="P177" i="36" s="1"/>
  <c r="P179" i="36" s="1"/>
  <c r="P44" i="36"/>
  <c r="P46" i="36"/>
  <c r="P96" i="36"/>
  <c r="T82" i="36"/>
  <c r="T31" i="36"/>
  <c r="T45" i="36"/>
  <c r="R53" i="36"/>
  <c r="Q175" i="36"/>
  <c r="Q94" i="36"/>
  <c r="U112" i="36"/>
  <c r="U28" i="36" s="1"/>
  <c r="O169" i="36"/>
  <c r="O177" i="36" s="1"/>
  <c r="O179" i="36" s="1"/>
  <c r="O160" i="36"/>
  <c r="Q131" i="36"/>
  <c r="P54" i="36"/>
  <c r="P56" i="36" s="1"/>
  <c r="P62" i="36" s="1"/>
  <c r="O98" i="36"/>
  <c r="N70" i="36"/>
  <c r="N71" i="36" s="1"/>
  <c r="N72" i="36" s="1"/>
  <c r="R42" i="36"/>
  <c r="S113" i="36"/>
  <c r="T59" i="36"/>
  <c r="S61" i="36"/>
  <c r="O96" i="36"/>
  <c r="O46" i="36"/>
  <c r="O44" i="36"/>
  <c r="O41" i="36"/>
  <c r="R175" i="36"/>
  <c r="R44" i="27"/>
  <c r="R96" i="27"/>
  <c r="R169" i="27"/>
  <c r="R177" i="27" s="1"/>
  <c r="R179" i="27" s="1"/>
  <c r="S94" i="27"/>
  <c r="S96" i="27" s="1"/>
  <c r="T31" i="27"/>
  <c r="T127" i="27" s="1"/>
  <c r="T33" i="27" s="1"/>
  <c r="T35" i="27" s="1"/>
  <c r="T45" i="27"/>
  <c r="S113" i="27"/>
  <c r="T59" i="27"/>
  <c r="S61" i="27"/>
  <c r="S42" i="27" s="1"/>
  <c r="S158" i="27"/>
  <c r="S160" i="27" s="1"/>
  <c r="Q169" i="27"/>
  <c r="Q177" i="27" s="1"/>
  <c r="Q179" i="27" s="1"/>
  <c r="Q160" i="27"/>
  <c r="Q96" i="27"/>
  <c r="Q46" i="27"/>
  <c r="Q44" i="27"/>
  <c r="T90" i="27"/>
  <c r="T175" i="27" s="1"/>
  <c r="O169" i="27"/>
  <c r="O177" i="27" s="1"/>
  <c r="O179" i="27" s="1"/>
  <c r="O160" i="27"/>
  <c r="O46" i="27"/>
  <c r="O44" i="27"/>
  <c r="O96" i="27"/>
  <c r="P96" i="27"/>
  <c r="P44" i="27"/>
  <c r="P46" i="27"/>
  <c r="P169" i="27"/>
  <c r="P177" i="27" s="1"/>
  <c r="P179" i="27" s="1"/>
  <c r="P160" i="27"/>
  <c r="S46" i="27"/>
  <c r="S44" i="27"/>
  <c r="U127" i="27"/>
  <c r="U33" i="27" s="1"/>
  <c r="U35" i="27" s="1"/>
  <c r="U90" i="27"/>
  <c r="U157" i="27"/>
  <c r="E63" i="25"/>
  <c r="E73" i="25" s="1"/>
  <c r="E42" i="25"/>
  <c r="F62" i="25"/>
  <c r="G60" i="25"/>
  <c r="P136" i="40" l="1"/>
  <c r="S53" i="44"/>
  <c r="S127" i="44"/>
  <c r="S33" i="44" s="1"/>
  <c r="S35" i="44" s="1"/>
  <c r="Q131" i="44"/>
  <c r="Q136" i="44" s="1"/>
  <c r="P54" i="44"/>
  <c r="P56" i="44" s="1"/>
  <c r="P62" i="44" s="1"/>
  <c r="S157" i="44"/>
  <c r="S90" i="44"/>
  <c r="T127" i="44"/>
  <c r="T33" i="44" s="1"/>
  <c r="T35" i="44" s="1"/>
  <c r="T157" i="44"/>
  <c r="T90" i="44"/>
  <c r="Q160" i="44"/>
  <c r="Q169" i="44"/>
  <c r="Q177" i="44" s="1"/>
  <c r="Q179" i="44" s="1"/>
  <c r="O98" i="44"/>
  <c r="O99" i="44" s="1"/>
  <c r="N70" i="44"/>
  <c r="N71" i="44" s="1"/>
  <c r="N72" i="44" s="1"/>
  <c r="T42" i="44"/>
  <c r="U82" i="44"/>
  <c r="U31" i="44"/>
  <c r="U45" i="44"/>
  <c r="Q44" i="44"/>
  <c r="Q96" i="44"/>
  <c r="Q46" i="44"/>
  <c r="O41" i="44"/>
  <c r="R151" i="44"/>
  <c r="R158" i="44" s="1"/>
  <c r="R83" i="44"/>
  <c r="U113" i="44"/>
  <c r="U61" i="44"/>
  <c r="N98" i="43"/>
  <c r="N99" i="43" s="1"/>
  <c r="M70" i="43"/>
  <c r="M71" i="43" s="1"/>
  <c r="M72" i="43" s="1"/>
  <c r="O54" i="43"/>
  <c r="O56" i="43" s="1"/>
  <c r="O62" i="43" s="1"/>
  <c r="P131" i="43"/>
  <c r="P136" i="43" s="1"/>
  <c r="R42" i="43"/>
  <c r="P160" i="43"/>
  <c r="P169" i="43"/>
  <c r="P177" i="43" s="1"/>
  <c r="P179" i="43" s="1"/>
  <c r="R127" i="43"/>
  <c r="R33" i="43" s="1"/>
  <c r="R35" i="43" s="1"/>
  <c r="R157" i="43"/>
  <c r="R90" i="43"/>
  <c r="P96" i="43"/>
  <c r="P44" i="43"/>
  <c r="P46" i="43"/>
  <c r="S82" i="43"/>
  <c r="S45" i="43"/>
  <c r="S31" i="43"/>
  <c r="S113" i="43"/>
  <c r="T59" i="43"/>
  <c r="S61" i="43"/>
  <c r="O169" i="43"/>
  <c r="O177" i="43" s="1"/>
  <c r="O179" i="43" s="1"/>
  <c r="O160" i="43"/>
  <c r="Q53" i="43"/>
  <c r="O96" i="43"/>
  <c r="O44" i="43"/>
  <c r="O46" i="43"/>
  <c r="Q83" i="43"/>
  <c r="Q151" i="43"/>
  <c r="Q158" i="43" s="1"/>
  <c r="T82" i="43"/>
  <c r="T31" i="43"/>
  <c r="T45" i="43"/>
  <c r="N41" i="43"/>
  <c r="U112" i="43"/>
  <c r="U28" i="43" s="1"/>
  <c r="P169" i="42"/>
  <c r="P177" i="42" s="1"/>
  <c r="P179" i="42" s="1"/>
  <c r="P160" i="42"/>
  <c r="U82" i="42"/>
  <c r="U45" i="42"/>
  <c r="U31" i="42"/>
  <c r="S175" i="42"/>
  <c r="O41" i="42"/>
  <c r="R83" i="42"/>
  <c r="R151" i="42"/>
  <c r="R158" i="42" s="1"/>
  <c r="P96" i="42"/>
  <c r="P44" i="42"/>
  <c r="P46" i="42"/>
  <c r="Q83" i="42"/>
  <c r="Q151" i="42"/>
  <c r="Q158" i="42" s="1"/>
  <c r="T82" i="42"/>
  <c r="T45" i="42"/>
  <c r="T31" i="42"/>
  <c r="S53" i="42"/>
  <c r="T42" i="42"/>
  <c r="P54" i="42"/>
  <c r="P56" i="42" s="1"/>
  <c r="P62" i="42" s="1"/>
  <c r="Q131" i="42"/>
  <c r="Q136" i="42" s="1"/>
  <c r="U113" i="42"/>
  <c r="U61" i="42"/>
  <c r="S77" i="42"/>
  <c r="S132" i="42"/>
  <c r="S134" i="42" s="1"/>
  <c r="S93" i="42" s="1"/>
  <c r="S94" i="42" s="1"/>
  <c r="S37" i="42"/>
  <c r="S43" i="42"/>
  <c r="O99" i="42"/>
  <c r="N70" i="41"/>
  <c r="N71" i="41" s="1"/>
  <c r="N72" i="41" s="1"/>
  <c r="S35" i="41"/>
  <c r="S77" i="41" s="1"/>
  <c r="U82" i="41"/>
  <c r="U31" i="41"/>
  <c r="U45" i="41"/>
  <c r="P98" i="41"/>
  <c r="O70" i="41"/>
  <c r="O71" i="41" s="1"/>
  <c r="O72" i="41" s="1"/>
  <c r="R132" i="41"/>
  <c r="R134" i="41" s="1"/>
  <c r="R93" i="41" s="1"/>
  <c r="R94" i="41" s="1"/>
  <c r="R77" i="41"/>
  <c r="R37" i="41"/>
  <c r="R43" i="41"/>
  <c r="S175" i="41"/>
  <c r="P169" i="41"/>
  <c r="P177" i="41" s="1"/>
  <c r="P179" i="41" s="1"/>
  <c r="P160" i="41"/>
  <c r="T82" i="41"/>
  <c r="T45" i="41"/>
  <c r="T31" i="41"/>
  <c r="P96" i="41"/>
  <c r="P46" i="41"/>
  <c r="P44" i="41"/>
  <c r="R175" i="41"/>
  <c r="S42" i="41"/>
  <c r="O41" i="41"/>
  <c r="S53" i="41"/>
  <c r="T113" i="41"/>
  <c r="U59" i="41"/>
  <c r="T61" i="41"/>
  <c r="Q131" i="41"/>
  <c r="Q136" i="41" s="1"/>
  <c r="P54" i="41"/>
  <c r="P56" i="41" s="1"/>
  <c r="P62" i="41" s="1"/>
  <c r="Q169" i="41"/>
  <c r="Q177" i="41" s="1"/>
  <c r="Q179" i="41" s="1"/>
  <c r="Q160" i="41"/>
  <c r="Q96" i="41"/>
  <c r="Q44" i="41"/>
  <c r="Q46" i="41"/>
  <c r="Q132" i="40"/>
  <c r="Q134" i="40" s="1"/>
  <c r="Q93" i="40" s="1"/>
  <c r="Q94" i="40" s="1"/>
  <c r="Q43" i="40"/>
  <c r="Q77" i="40"/>
  <c r="Q37" i="40"/>
  <c r="R77" i="40"/>
  <c r="R43" i="40"/>
  <c r="R37" i="40"/>
  <c r="R132" i="40"/>
  <c r="R134" i="40" s="1"/>
  <c r="R93" i="40" s="1"/>
  <c r="R94" i="40" s="1"/>
  <c r="S157" i="40"/>
  <c r="S90" i="40"/>
  <c r="T59" i="40"/>
  <c r="S113" i="40"/>
  <c r="S61" i="40"/>
  <c r="O98" i="40"/>
  <c r="N70" i="40"/>
  <c r="N71" i="40" s="1"/>
  <c r="N72" i="40" s="1"/>
  <c r="R53" i="40"/>
  <c r="R175" i="40"/>
  <c r="T28" i="40"/>
  <c r="O169" i="40"/>
  <c r="O177" i="40" s="1"/>
  <c r="O179" i="40" s="1"/>
  <c r="O160" i="40"/>
  <c r="O41" i="40"/>
  <c r="Q131" i="40"/>
  <c r="Q136" i="40" s="1"/>
  <c r="P54" i="40"/>
  <c r="P56" i="40" s="1"/>
  <c r="P62" i="40" s="1"/>
  <c r="U112" i="40"/>
  <c r="U28" i="40" s="1"/>
  <c r="O96" i="40"/>
  <c r="O46" i="40"/>
  <c r="O44" i="40"/>
  <c r="S127" i="40"/>
  <c r="S33" i="40" s="1"/>
  <c r="S35" i="40" s="1"/>
  <c r="Q175" i="40"/>
  <c r="R42" i="40"/>
  <c r="P83" i="40"/>
  <c r="P151" i="40"/>
  <c r="P158" i="40" s="1"/>
  <c r="R77" i="39"/>
  <c r="R132" i="39"/>
  <c r="R134" i="39" s="1"/>
  <c r="R93" i="39" s="1"/>
  <c r="R94" i="39" s="1"/>
  <c r="R37" i="39"/>
  <c r="R43" i="39"/>
  <c r="R175" i="39"/>
  <c r="O160" i="39"/>
  <c r="O169" i="39"/>
  <c r="O177" i="39" s="1"/>
  <c r="O179" i="39" s="1"/>
  <c r="P131" i="39"/>
  <c r="P136" i="39" s="1"/>
  <c r="O54" i="39"/>
  <c r="O56" i="39" s="1"/>
  <c r="O62" i="39" s="1"/>
  <c r="O96" i="39"/>
  <c r="O44" i="39"/>
  <c r="O46" i="39"/>
  <c r="N41" i="39"/>
  <c r="S157" i="39"/>
  <c r="S90" i="39"/>
  <c r="M70" i="39"/>
  <c r="M71" i="39" s="1"/>
  <c r="M72" i="39" s="1"/>
  <c r="N98" i="39"/>
  <c r="N99" i="39" s="1"/>
  <c r="P83" i="39"/>
  <c r="P151" i="39"/>
  <c r="P158" i="39" s="1"/>
  <c r="S113" i="39"/>
  <c r="T59" i="39"/>
  <c r="S61" i="39"/>
  <c r="T82" i="39"/>
  <c r="T31" i="39"/>
  <c r="T45" i="39"/>
  <c r="R53" i="39"/>
  <c r="Q151" i="39"/>
  <c r="Q158" i="39" s="1"/>
  <c r="Q83" i="39"/>
  <c r="U112" i="39"/>
  <c r="U28" i="39" s="1"/>
  <c r="S127" i="39"/>
  <c r="S33" i="39" s="1"/>
  <c r="S35" i="39" s="1"/>
  <c r="S157" i="38"/>
  <c r="S90" i="38"/>
  <c r="Q132" i="38"/>
  <c r="Q134" i="38" s="1"/>
  <c r="Q93" i="38" s="1"/>
  <c r="Q94" i="38" s="1"/>
  <c r="Q77" i="38"/>
  <c r="Q37" i="38"/>
  <c r="Q43" i="38"/>
  <c r="T28" i="38"/>
  <c r="R53" i="38"/>
  <c r="Q175" i="38"/>
  <c r="N98" i="38"/>
  <c r="N99" i="38" s="1"/>
  <c r="M70" i="38"/>
  <c r="M71" i="38" s="1"/>
  <c r="M72" i="38" s="1"/>
  <c r="U112" i="38"/>
  <c r="U28" i="38" s="1"/>
  <c r="R132" i="38"/>
  <c r="R134" i="38" s="1"/>
  <c r="R93" i="38" s="1"/>
  <c r="R94" i="38" s="1"/>
  <c r="R77" i="38"/>
  <c r="R43" i="38"/>
  <c r="R37" i="38"/>
  <c r="R42" i="38"/>
  <c r="R175" i="38"/>
  <c r="N41" i="38"/>
  <c r="S113" i="38"/>
  <c r="T59" i="38"/>
  <c r="S61" i="38"/>
  <c r="S127" i="38"/>
  <c r="S33" i="38" s="1"/>
  <c r="S35" i="38" s="1"/>
  <c r="P131" i="38"/>
  <c r="P136" i="38" s="1"/>
  <c r="O54" i="38"/>
  <c r="O56" i="38" s="1"/>
  <c r="O62" i="38" s="1"/>
  <c r="P83" i="38"/>
  <c r="P151" i="38"/>
  <c r="P158" i="38" s="1"/>
  <c r="N70" i="37"/>
  <c r="N71" i="37" s="1"/>
  <c r="N72" i="37" s="1"/>
  <c r="O98" i="37"/>
  <c r="O99" i="37" s="1"/>
  <c r="P83" i="37"/>
  <c r="P151" i="37"/>
  <c r="P158" i="37" s="1"/>
  <c r="U112" i="37"/>
  <c r="U28" i="37"/>
  <c r="S127" i="37"/>
  <c r="S33" i="37" s="1"/>
  <c r="S35" i="37" s="1"/>
  <c r="R42" i="37"/>
  <c r="R77" i="37"/>
  <c r="R132" i="37"/>
  <c r="R134" i="37" s="1"/>
  <c r="R93" i="37" s="1"/>
  <c r="R94" i="37" s="1"/>
  <c r="R37" i="37"/>
  <c r="R43" i="37"/>
  <c r="N41" i="37"/>
  <c r="S157" i="37"/>
  <c r="S90" i="37"/>
  <c r="S113" i="37"/>
  <c r="T59" i="37"/>
  <c r="S61" i="37"/>
  <c r="Q83" i="37"/>
  <c r="Q151" i="37"/>
  <c r="Q158" i="37" s="1"/>
  <c r="O54" i="37"/>
  <c r="O56" i="37" s="1"/>
  <c r="O62" i="37" s="1"/>
  <c r="P131" i="37"/>
  <c r="P136" i="37" s="1"/>
  <c r="Q53" i="37"/>
  <c r="R175" i="37"/>
  <c r="T82" i="37"/>
  <c r="T31" i="37"/>
  <c r="T45" i="37"/>
  <c r="Q136" i="36"/>
  <c r="R131" i="36" s="1"/>
  <c r="R136" i="36" s="1"/>
  <c r="U82" i="36"/>
  <c r="U45" i="36"/>
  <c r="U31" i="36"/>
  <c r="O99" i="36"/>
  <c r="P41" i="36"/>
  <c r="Q151" i="36"/>
  <c r="Q158" i="36" s="1"/>
  <c r="Q83" i="36"/>
  <c r="T113" i="36"/>
  <c r="T61" i="36"/>
  <c r="U59" i="36"/>
  <c r="S127" i="36"/>
  <c r="S33" i="36" s="1"/>
  <c r="S35" i="36" s="1"/>
  <c r="R151" i="36"/>
  <c r="R158" i="36" s="1"/>
  <c r="R83" i="36"/>
  <c r="T127" i="36"/>
  <c r="T33" i="36" s="1"/>
  <c r="T35" i="36" s="1"/>
  <c r="S53" i="36"/>
  <c r="S42" i="36"/>
  <c r="T157" i="36"/>
  <c r="T90" i="36"/>
  <c r="S157" i="36"/>
  <c r="S90" i="36"/>
  <c r="S169" i="27"/>
  <c r="S177" i="27" s="1"/>
  <c r="S179" i="27" s="1"/>
  <c r="T132" i="27"/>
  <c r="T134" i="27" s="1"/>
  <c r="T93" i="27" s="1"/>
  <c r="T94" i="27" s="1"/>
  <c r="T77" i="27"/>
  <c r="T37" i="27"/>
  <c r="T43" i="27"/>
  <c r="T61" i="27"/>
  <c r="T42" i="27" s="1"/>
  <c r="U59" i="27"/>
  <c r="T113" i="27"/>
  <c r="U175" i="27"/>
  <c r="U132" i="27"/>
  <c r="U134" i="27" s="1"/>
  <c r="U93" i="27" s="1"/>
  <c r="U94" i="27" s="1"/>
  <c r="U77" i="27"/>
  <c r="U37" i="27"/>
  <c r="U43" i="27"/>
  <c r="F63" i="25"/>
  <c r="F73" i="25" s="1"/>
  <c r="G28" i="25"/>
  <c r="G46" i="25" s="1"/>
  <c r="H60" i="25"/>
  <c r="G62" i="25"/>
  <c r="G43" i="25" s="1"/>
  <c r="Q54" i="36" l="1"/>
  <c r="Q56" i="36" s="1"/>
  <c r="Q62" i="36" s="1"/>
  <c r="T77" i="44"/>
  <c r="T132" i="44"/>
  <c r="T134" i="44" s="1"/>
  <c r="T93" i="44" s="1"/>
  <c r="T94" i="44" s="1"/>
  <c r="T43" i="44"/>
  <c r="T37" i="44"/>
  <c r="S132" i="44"/>
  <c r="S134" i="44" s="1"/>
  <c r="S93" i="44" s="1"/>
  <c r="S94" i="44" s="1"/>
  <c r="S37" i="44"/>
  <c r="S43" i="44"/>
  <c r="S77" i="44"/>
  <c r="U42" i="44"/>
  <c r="P41" i="44"/>
  <c r="R131" i="44"/>
  <c r="R136" i="44" s="1"/>
  <c r="Q54" i="44"/>
  <c r="Q56" i="44" s="1"/>
  <c r="Q62" i="44" s="1"/>
  <c r="R96" i="44"/>
  <c r="R46" i="44"/>
  <c r="R44" i="44"/>
  <c r="U127" i="44"/>
  <c r="U33" i="44" s="1"/>
  <c r="U35" i="44" s="1"/>
  <c r="T175" i="44"/>
  <c r="R169" i="44"/>
  <c r="R177" i="44" s="1"/>
  <c r="R179" i="44" s="1"/>
  <c r="R160" i="44"/>
  <c r="U157" i="44"/>
  <c r="U90" i="44"/>
  <c r="T53" i="44"/>
  <c r="O70" i="44"/>
  <c r="O71" i="44" s="1"/>
  <c r="O72" i="44" s="1"/>
  <c r="P98" i="44"/>
  <c r="P99" i="44" s="1"/>
  <c r="S175" i="44"/>
  <c r="U82" i="43"/>
  <c r="U31" i="43"/>
  <c r="U45" i="43"/>
  <c r="T127" i="43"/>
  <c r="T33" i="43" s="1"/>
  <c r="T35" i="43" s="1"/>
  <c r="R53" i="43"/>
  <c r="S157" i="43"/>
  <c r="S90" i="43"/>
  <c r="T157" i="43"/>
  <c r="T90" i="43"/>
  <c r="Q169" i="43"/>
  <c r="Q177" i="43" s="1"/>
  <c r="Q179" i="43" s="1"/>
  <c r="Q160" i="43"/>
  <c r="Q96" i="43"/>
  <c r="Q44" i="43"/>
  <c r="Q46" i="43"/>
  <c r="S42" i="43"/>
  <c r="T113" i="43"/>
  <c r="T61" i="43"/>
  <c r="U59" i="43"/>
  <c r="R175" i="43"/>
  <c r="Q131" i="43"/>
  <c r="Q136" i="43" s="1"/>
  <c r="P54" i="43"/>
  <c r="P56" i="43" s="1"/>
  <c r="P62" i="43" s="1"/>
  <c r="O41" i="43"/>
  <c r="S127" i="43"/>
  <c r="S33" i="43" s="1"/>
  <c r="S35" i="43" s="1"/>
  <c r="R77" i="43"/>
  <c r="R132" i="43"/>
  <c r="R134" i="43" s="1"/>
  <c r="R93" i="43" s="1"/>
  <c r="R94" i="43" s="1"/>
  <c r="R37" i="43"/>
  <c r="R43" i="43"/>
  <c r="N70" i="43"/>
  <c r="N71" i="43" s="1"/>
  <c r="N72" i="43" s="1"/>
  <c r="O98" i="43"/>
  <c r="O99" i="43" s="1"/>
  <c r="Q44" i="42"/>
  <c r="Q96" i="42"/>
  <c r="Q46" i="42"/>
  <c r="P98" i="42"/>
  <c r="P99" i="42" s="1"/>
  <c r="O70" i="42"/>
  <c r="O71" i="42" s="1"/>
  <c r="O72" i="42" s="1"/>
  <c r="U127" i="42"/>
  <c r="U33" i="42" s="1"/>
  <c r="U35" i="42" s="1"/>
  <c r="S151" i="42"/>
  <c r="S158" i="42" s="1"/>
  <c r="S83" i="42"/>
  <c r="T53" i="42"/>
  <c r="P41" i="42"/>
  <c r="U42" i="42"/>
  <c r="T127" i="42"/>
  <c r="T33" i="42" s="1"/>
  <c r="T35" i="42" s="1"/>
  <c r="R169" i="42"/>
  <c r="R177" i="42" s="1"/>
  <c r="R179" i="42" s="1"/>
  <c r="R160" i="42"/>
  <c r="U157" i="42"/>
  <c r="U90" i="42"/>
  <c r="R96" i="42"/>
  <c r="R44" i="42"/>
  <c r="R46" i="42"/>
  <c r="Q169" i="42"/>
  <c r="Q177" i="42" s="1"/>
  <c r="Q179" i="42" s="1"/>
  <c r="Q160" i="42"/>
  <c r="R131" i="42"/>
  <c r="R136" i="42" s="1"/>
  <c r="Q54" i="42"/>
  <c r="Q56" i="42" s="1"/>
  <c r="Q62" i="42" s="1"/>
  <c r="T157" i="42"/>
  <c r="T90" i="42"/>
  <c r="P99" i="41"/>
  <c r="Q98" i="41" s="1"/>
  <c r="Q99" i="41" s="1"/>
  <c r="S132" i="41"/>
  <c r="S134" i="41" s="1"/>
  <c r="S93" i="41" s="1"/>
  <c r="S94" i="41" s="1"/>
  <c r="S43" i="41"/>
  <c r="S37" i="41"/>
  <c r="T127" i="41"/>
  <c r="T33" i="41" s="1"/>
  <c r="T35" i="41" s="1"/>
  <c r="R83" i="41"/>
  <c r="R151" i="41"/>
  <c r="R158" i="41" s="1"/>
  <c r="T53" i="41"/>
  <c r="T157" i="41"/>
  <c r="T90" i="41"/>
  <c r="P41" i="41"/>
  <c r="R131" i="41"/>
  <c r="R136" i="41" s="1"/>
  <c r="Q54" i="41"/>
  <c r="Q56" i="41" s="1"/>
  <c r="Q62" i="41" s="1"/>
  <c r="S151" i="41"/>
  <c r="S158" i="41" s="1"/>
  <c r="S83" i="41"/>
  <c r="T42" i="41"/>
  <c r="U127" i="41"/>
  <c r="U33" i="41" s="1"/>
  <c r="U35" i="41" s="1"/>
  <c r="U113" i="41"/>
  <c r="U61" i="41"/>
  <c r="U157" i="41"/>
  <c r="U90" i="41"/>
  <c r="U82" i="40"/>
  <c r="U45" i="40"/>
  <c r="U31" i="40"/>
  <c r="S53" i="40"/>
  <c r="P169" i="40"/>
  <c r="P177" i="40" s="1"/>
  <c r="P179" i="40" s="1"/>
  <c r="P160" i="40"/>
  <c r="S77" i="40"/>
  <c r="S132" i="40"/>
  <c r="S134" i="40" s="1"/>
  <c r="S93" i="40" s="1"/>
  <c r="S94" i="40" s="1"/>
  <c r="S37" i="40"/>
  <c r="S43" i="40"/>
  <c r="P96" i="40"/>
  <c r="P46" i="40"/>
  <c r="P44" i="40"/>
  <c r="R83" i="40"/>
  <c r="R151" i="40"/>
  <c r="R158" i="40" s="1"/>
  <c r="T82" i="40"/>
  <c r="T31" i="40"/>
  <c r="T45" i="40"/>
  <c r="T113" i="40"/>
  <c r="T61" i="40"/>
  <c r="U59" i="40"/>
  <c r="Q83" i="40"/>
  <c r="Q151" i="40"/>
  <c r="Q158" i="40" s="1"/>
  <c r="Q54" i="40"/>
  <c r="Q56" i="40" s="1"/>
  <c r="Q62" i="40" s="1"/>
  <c r="R131" i="40"/>
  <c r="R136" i="40" s="1"/>
  <c r="O99" i="40"/>
  <c r="S42" i="40"/>
  <c r="P41" i="40"/>
  <c r="S175" i="40"/>
  <c r="S77" i="39"/>
  <c r="S132" i="39"/>
  <c r="S134" i="39" s="1"/>
  <c r="S93" i="39" s="1"/>
  <c r="S94" i="39" s="1"/>
  <c r="S37" i="39"/>
  <c r="S43" i="39"/>
  <c r="U82" i="39"/>
  <c r="U45" i="39"/>
  <c r="U31" i="39"/>
  <c r="O41" i="39"/>
  <c r="O98" i="39"/>
  <c r="N70" i="39"/>
  <c r="N71" i="39" s="1"/>
  <c r="N72" i="39" s="1"/>
  <c r="Q96" i="39"/>
  <c r="Q44" i="39"/>
  <c r="Q46" i="39"/>
  <c r="S53" i="39"/>
  <c r="T127" i="39"/>
  <c r="T33" i="39" s="1"/>
  <c r="T35" i="39" s="1"/>
  <c r="P96" i="39"/>
  <c r="P44" i="39"/>
  <c r="P46" i="39"/>
  <c r="P169" i="39"/>
  <c r="P177" i="39" s="1"/>
  <c r="P179" i="39" s="1"/>
  <c r="P160" i="39"/>
  <c r="T90" i="39"/>
  <c r="T157" i="39"/>
  <c r="O99" i="39"/>
  <c r="Q169" i="39"/>
  <c r="Q177" i="39" s="1"/>
  <c r="Q179" i="39" s="1"/>
  <c r="Q160" i="39"/>
  <c r="T113" i="39"/>
  <c r="T61" i="39"/>
  <c r="U59" i="39"/>
  <c r="S175" i="39"/>
  <c r="Q131" i="39"/>
  <c r="Q136" i="39" s="1"/>
  <c r="P54" i="39"/>
  <c r="P56" i="39" s="1"/>
  <c r="P62" i="39" s="1"/>
  <c r="R83" i="39"/>
  <c r="R151" i="39"/>
  <c r="R158" i="39" s="1"/>
  <c r="U82" i="38"/>
  <c r="U31" i="38"/>
  <c r="U45" i="38"/>
  <c r="T82" i="38"/>
  <c r="T45" i="38"/>
  <c r="T31" i="38"/>
  <c r="O98" i="38"/>
  <c r="O99" i="38" s="1"/>
  <c r="N70" i="38"/>
  <c r="N71" i="38" s="1"/>
  <c r="N72" i="38" s="1"/>
  <c r="S77" i="38"/>
  <c r="S37" i="38"/>
  <c r="S132" i="38"/>
  <c r="S134" i="38" s="1"/>
  <c r="S93" i="38" s="1"/>
  <c r="S94" i="38" s="1"/>
  <c r="S43" i="38"/>
  <c r="Q83" i="38"/>
  <c r="Q151" i="38"/>
  <c r="Q158" i="38" s="1"/>
  <c r="S42" i="38"/>
  <c r="T113" i="38"/>
  <c r="U59" i="38"/>
  <c r="T61" i="38"/>
  <c r="P46" i="38"/>
  <c r="P96" i="38"/>
  <c r="P44" i="38"/>
  <c r="O41" i="38"/>
  <c r="R83" i="38"/>
  <c r="R151" i="38"/>
  <c r="R158" i="38" s="1"/>
  <c r="S175" i="38"/>
  <c r="P169" i="38"/>
  <c r="P177" i="38" s="1"/>
  <c r="P179" i="38" s="1"/>
  <c r="P160" i="38"/>
  <c r="Q131" i="38"/>
  <c r="Q136" i="38" s="1"/>
  <c r="P54" i="38"/>
  <c r="P56" i="38" s="1"/>
  <c r="P62" i="38" s="1"/>
  <c r="S53" i="38"/>
  <c r="T127" i="37"/>
  <c r="T33" i="37" s="1"/>
  <c r="T35" i="37" s="1"/>
  <c r="T157" i="37"/>
  <c r="T90" i="37"/>
  <c r="U82" i="37"/>
  <c r="U45" i="37"/>
  <c r="U31" i="37"/>
  <c r="Q169" i="37"/>
  <c r="Q177" i="37" s="1"/>
  <c r="Q179" i="37" s="1"/>
  <c r="Q160" i="37"/>
  <c r="Q96" i="37"/>
  <c r="Q44" i="37"/>
  <c r="Q46" i="37"/>
  <c r="P160" i="37"/>
  <c r="P169" i="37"/>
  <c r="P177" i="37" s="1"/>
  <c r="P179" i="37" s="1"/>
  <c r="O41" i="37"/>
  <c r="R151" i="37"/>
  <c r="R158" i="37" s="1"/>
  <c r="R83" i="37"/>
  <c r="P96" i="37"/>
  <c r="P44" i="37"/>
  <c r="P46" i="37"/>
  <c r="S77" i="37"/>
  <c r="S132" i="37"/>
  <c r="S134" i="37" s="1"/>
  <c r="S93" i="37" s="1"/>
  <c r="S94" i="37" s="1"/>
  <c r="S37" i="37"/>
  <c r="S43" i="37"/>
  <c r="S42" i="37"/>
  <c r="T113" i="37"/>
  <c r="T61" i="37"/>
  <c r="U59" i="37"/>
  <c r="R53" i="37"/>
  <c r="S175" i="37"/>
  <c r="P98" i="37"/>
  <c r="O70" i="37"/>
  <c r="O71" i="37" s="1"/>
  <c r="O72" i="37" s="1"/>
  <c r="Q131" i="37"/>
  <c r="Q136" i="37" s="1"/>
  <c r="P54" i="37"/>
  <c r="P56" i="37" s="1"/>
  <c r="P62" i="37" s="1"/>
  <c r="U113" i="36"/>
  <c r="U61" i="36"/>
  <c r="S131" i="36"/>
  <c r="R54" i="36"/>
  <c r="R56" i="36" s="1"/>
  <c r="R62" i="36" s="1"/>
  <c r="T42" i="36"/>
  <c r="P98" i="36"/>
  <c r="P99" i="36" s="1"/>
  <c r="O70" i="36"/>
  <c r="O71" i="36" s="1"/>
  <c r="O72" i="36" s="1"/>
  <c r="R169" i="36"/>
  <c r="R177" i="36" s="1"/>
  <c r="R179" i="36" s="1"/>
  <c r="R160" i="36"/>
  <c r="Q41" i="36"/>
  <c r="T77" i="36"/>
  <c r="T132" i="36"/>
  <c r="T134" i="36" s="1"/>
  <c r="T93" i="36" s="1"/>
  <c r="T94" i="36" s="1"/>
  <c r="T37" i="36"/>
  <c r="T43" i="36"/>
  <c r="U127" i="36"/>
  <c r="U33" i="36" s="1"/>
  <c r="U35" i="36" s="1"/>
  <c r="T53" i="36"/>
  <c r="Q96" i="36"/>
  <c r="Q44" i="36"/>
  <c r="Q46" i="36"/>
  <c r="S77" i="36"/>
  <c r="S132" i="36"/>
  <c r="S134" i="36" s="1"/>
  <c r="S93" i="36" s="1"/>
  <c r="S94" i="36" s="1"/>
  <c r="S43" i="36"/>
  <c r="S37" i="36"/>
  <c r="S175" i="36"/>
  <c r="T175" i="36"/>
  <c r="R96" i="36"/>
  <c r="R46" i="36"/>
  <c r="R44" i="36"/>
  <c r="Q169" i="36"/>
  <c r="Q177" i="36" s="1"/>
  <c r="Q179" i="36" s="1"/>
  <c r="Q160" i="36"/>
  <c r="U90" i="36"/>
  <c r="U157" i="36"/>
  <c r="T83" i="27"/>
  <c r="T151" i="27"/>
  <c r="T158" i="27" s="1"/>
  <c r="U61" i="27"/>
  <c r="U42" i="27" s="1"/>
  <c r="U113" i="27"/>
  <c r="U151" i="27"/>
  <c r="U158" i="27" s="1"/>
  <c r="U83" i="27"/>
  <c r="F42" i="25"/>
  <c r="G32" i="25"/>
  <c r="G108" i="25" s="1"/>
  <c r="G34" i="25" s="1"/>
  <c r="G15" i="26"/>
  <c r="G83" i="25"/>
  <c r="H28" i="25"/>
  <c r="H46" i="25" s="1"/>
  <c r="I60" i="25"/>
  <c r="H62" i="25"/>
  <c r="H43" i="25" s="1"/>
  <c r="S83" i="44" l="1"/>
  <c r="S151" i="44"/>
  <c r="S158" i="44" s="1"/>
  <c r="Q41" i="44"/>
  <c r="U77" i="44"/>
  <c r="U132" i="44"/>
  <c r="U134" i="44" s="1"/>
  <c r="U93" i="44" s="1"/>
  <c r="U94" i="44" s="1"/>
  <c r="U43" i="44"/>
  <c r="U37" i="44"/>
  <c r="Q98" i="44"/>
  <c r="Q99" i="44" s="1"/>
  <c r="P70" i="44"/>
  <c r="P71" i="44" s="1"/>
  <c r="P72" i="44" s="1"/>
  <c r="U53" i="44"/>
  <c r="U175" i="44"/>
  <c r="S131" i="44"/>
  <c r="S136" i="44" s="1"/>
  <c r="R54" i="44"/>
  <c r="R56" i="44" s="1"/>
  <c r="R62" i="44" s="1"/>
  <c r="T151" i="44"/>
  <c r="T158" i="44" s="1"/>
  <c r="T83" i="44"/>
  <c r="S77" i="43"/>
  <c r="S132" i="43"/>
  <c r="S134" i="43" s="1"/>
  <c r="S93" i="43" s="1"/>
  <c r="S94" i="43" s="1"/>
  <c r="S37" i="43"/>
  <c r="S43" i="43"/>
  <c r="P98" i="43"/>
  <c r="P99" i="43" s="1"/>
  <c r="O70" i="43"/>
  <c r="O71" i="43" s="1"/>
  <c r="O72" i="43" s="1"/>
  <c r="T77" i="43"/>
  <c r="T132" i="43"/>
  <c r="T134" i="43" s="1"/>
  <c r="T93" i="43" s="1"/>
  <c r="T94" i="43" s="1"/>
  <c r="T37" i="43"/>
  <c r="T43" i="43"/>
  <c r="R151" i="43"/>
  <c r="R158" i="43" s="1"/>
  <c r="R83" i="43"/>
  <c r="U113" i="43"/>
  <c r="U61" i="43"/>
  <c r="S53" i="43"/>
  <c r="T42" i="43"/>
  <c r="T175" i="43"/>
  <c r="P41" i="43"/>
  <c r="U127" i="43"/>
  <c r="U33" i="43" s="1"/>
  <c r="U35" i="43" s="1"/>
  <c r="R131" i="43"/>
  <c r="R136" i="43" s="1"/>
  <c r="Q54" i="43"/>
  <c r="Q56" i="43" s="1"/>
  <c r="Q62" i="43" s="1"/>
  <c r="S175" i="43"/>
  <c r="U90" i="43"/>
  <c r="U157" i="43"/>
  <c r="U77" i="42"/>
  <c r="U132" i="42"/>
  <c r="U134" i="42" s="1"/>
  <c r="U93" i="42" s="1"/>
  <c r="U94" i="42" s="1"/>
  <c r="U37" i="42"/>
  <c r="U43" i="42"/>
  <c r="U175" i="42"/>
  <c r="S169" i="42"/>
  <c r="S177" i="42" s="1"/>
  <c r="S179" i="42" s="1"/>
  <c r="S160" i="42"/>
  <c r="T175" i="42"/>
  <c r="Q41" i="42"/>
  <c r="S131" i="42"/>
  <c r="S136" i="42" s="1"/>
  <c r="R54" i="42"/>
  <c r="R56" i="42" s="1"/>
  <c r="R62" i="42" s="1"/>
  <c r="Q98" i="42"/>
  <c r="Q99" i="42" s="1"/>
  <c r="P70" i="42"/>
  <c r="P71" i="42" s="1"/>
  <c r="P72" i="42" s="1"/>
  <c r="T77" i="42"/>
  <c r="T132" i="42"/>
  <c r="T134" i="42" s="1"/>
  <c r="T93" i="42" s="1"/>
  <c r="T94" i="42" s="1"/>
  <c r="T43" i="42"/>
  <c r="T37" i="42"/>
  <c r="U53" i="42"/>
  <c r="S96" i="42"/>
  <c r="S44" i="42"/>
  <c r="S46" i="42"/>
  <c r="P70" i="41"/>
  <c r="P71" i="41" s="1"/>
  <c r="P72" i="41" s="1"/>
  <c r="Q70" i="41"/>
  <c r="Q71" i="41" s="1"/>
  <c r="Q72" i="41" s="1"/>
  <c r="R98" i="41"/>
  <c r="T77" i="41"/>
  <c r="T37" i="41"/>
  <c r="T132" i="41"/>
  <c r="T134" i="41" s="1"/>
  <c r="T93" i="41" s="1"/>
  <c r="T94" i="41" s="1"/>
  <c r="T43" i="41"/>
  <c r="U53" i="41"/>
  <c r="S169" i="41"/>
  <c r="S177" i="41" s="1"/>
  <c r="S179" i="41" s="1"/>
  <c r="S160" i="41"/>
  <c r="U42" i="41"/>
  <c r="Q41" i="41"/>
  <c r="R169" i="41"/>
  <c r="R177" i="41" s="1"/>
  <c r="R179" i="41" s="1"/>
  <c r="R160" i="41"/>
  <c r="R54" i="41"/>
  <c r="R56" i="41" s="1"/>
  <c r="R62" i="41" s="1"/>
  <c r="S131" i="41"/>
  <c r="S136" i="41" s="1"/>
  <c r="R96" i="41"/>
  <c r="R44" i="41"/>
  <c r="R46" i="41"/>
  <c r="S46" i="41"/>
  <c r="S44" i="41"/>
  <c r="S96" i="41"/>
  <c r="U77" i="41"/>
  <c r="U37" i="41"/>
  <c r="U132" i="41"/>
  <c r="U134" i="41" s="1"/>
  <c r="U93" i="41" s="1"/>
  <c r="U94" i="41" s="1"/>
  <c r="U43" i="41"/>
  <c r="U175" i="41"/>
  <c r="T175" i="41"/>
  <c r="S131" i="40"/>
  <c r="S136" i="40" s="1"/>
  <c r="R54" i="40"/>
  <c r="R56" i="40" s="1"/>
  <c r="R62" i="40" s="1"/>
  <c r="T157" i="40"/>
  <c r="T90" i="40"/>
  <c r="Q169" i="40"/>
  <c r="Q177" i="40" s="1"/>
  <c r="Q179" i="40" s="1"/>
  <c r="Q160" i="40"/>
  <c r="R169" i="40"/>
  <c r="R177" i="40" s="1"/>
  <c r="R179" i="40" s="1"/>
  <c r="R160" i="40"/>
  <c r="S83" i="40"/>
  <c r="S151" i="40"/>
  <c r="S158" i="40" s="1"/>
  <c r="Q96" i="40"/>
  <c r="Q44" i="40"/>
  <c r="Q46" i="40"/>
  <c r="R96" i="40"/>
  <c r="R44" i="40"/>
  <c r="R46" i="40"/>
  <c r="P98" i="40"/>
  <c r="P99" i="40" s="1"/>
  <c r="O70" i="40"/>
  <c r="O71" i="40" s="1"/>
  <c r="O72" i="40" s="1"/>
  <c r="U127" i="40"/>
  <c r="U33" i="40" s="1"/>
  <c r="U35" i="40" s="1"/>
  <c r="Q41" i="40"/>
  <c r="U157" i="40"/>
  <c r="U90" i="40"/>
  <c r="U113" i="40"/>
  <c r="U61" i="40"/>
  <c r="T42" i="40"/>
  <c r="T127" i="40"/>
  <c r="T33" i="40" s="1"/>
  <c r="T35" i="40" s="1"/>
  <c r="T53" i="40"/>
  <c r="R169" i="39"/>
  <c r="R177" i="39" s="1"/>
  <c r="R179" i="39" s="1"/>
  <c r="R160" i="39"/>
  <c r="U127" i="39"/>
  <c r="U33" i="39" s="1"/>
  <c r="U35" i="39"/>
  <c r="R96" i="39"/>
  <c r="R44" i="39"/>
  <c r="R46" i="39"/>
  <c r="P41" i="39"/>
  <c r="U157" i="39"/>
  <c r="U90" i="39"/>
  <c r="P98" i="39"/>
  <c r="P99" i="39" s="1"/>
  <c r="O70" i="39"/>
  <c r="O71" i="39" s="1"/>
  <c r="O72" i="39" s="1"/>
  <c r="T132" i="39"/>
  <c r="T134" i="39" s="1"/>
  <c r="T93" i="39" s="1"/>
  <c r="T94" i="39" s="1"/>
  <c r="T37" i="39"/>
  <c r="T77" i="39"/>
  <c r="T43" i="39"/>
  <c r="R131" i="39"/>
  <c r="R136" i="39" s="1"/>
  <c r="Q54" i="39"/>
  <c r="Q56" i="39" s="1"/>
  <c r="Q62" i="39" s="1"/>
  <c r="T175" i="39"/>
  <c r="T53" i="39"/>
  <c r="U61" i="39"/>
  <c r="U113" i="39"/>
  <c r="S151" i="39"/>
  <c r="S158" i="39" s="1"/>
  <c r="S83" i="39"/>
  <c r="R131" i="38"/>
  <c r="R136" i="38" s="1"/>
  <c r="Q54" i="38"/>
  <c r="Q56" i="38" s="1"/>
  <c r="Q62" i="38" s="1"/>
  <c r="P98" i="38"/>
  <c r="O70" i="38"/>
  <c r="O71" i="38" s="1"/>
  <c r="O72" i="38" s="1"/>
  <c r="P41" i="38"/>
  <c r="Q169" i="38"/>
  <c r="Q177" i="38" s="1"/>
  <c r="Q179" i="38" s="1"/>
  <c r="Q160" i="38"/>
  <c r="T127" i="38"/>
  <c r="T33" i="38" s="1"/>
  <c r="T35" i="38" s="1"/>
  <c r="Q96" i="38"/>
  <c r="Q44" i="38"/>
  <c r="Q46" i="38"/>
  <c r="T157" i="38"/>
  <c r="T90" i="38"/>
  <c r="P99" i="38"/>
  <c r="T42" i="38"/>
  <c r="R169" i="38"/>
  <c r="R177" i="38" s="1"/>
  <c r="R179" i="38" s="1"/>
  <c r="R160" i="38"/>
  <c r="U113" i="38"/>
  <c r="U61" i="38"/>
  <c r="U127" i="38"/>
  <c r="U33" i="38" s="1"/>
  <c r="U35" i="38" s="1"/>
  <c r="T53" i="38"/>
  <c r="R96" i="38"/>
  <c r="R44" i="38"/>
  <c r="R46" i="38"/>
  <c r="S151" i="38"/>
  <c r="S158" i="38" s="1"/>
  <c r="S83" i="38"/>
  <c r="U90" i="38"/>
  <c r="U157" i="38"/>
  <c r="T77" i="37"/>
  <c r="T132" i="37"/>
  <c r="T134" i="37" s="1"/>
  <c r="T93" i="37" s="1"/>
  <c r="T94" i="37" s="1"/>
  <c r="T37" i="37"/>
  <c r="T43" i="37"/>
  <c r="S53" i="37"/>
  <c r="U127" i="37"/>
  <c r="U33" i="37" s="1"/>
  <c r="U35" i="37" s="1"/>
  <c r="P41" i="37"/>
  <c r="U113" i="37"/>
  <c r="U61" i="37"/>
  <c r="S151" i="37"/>
  <c r="S158" i="37" s="1"/>
  <c r="S83" i="37"/>
  <c r="R169" i="37"/>
  <c r="R177" i="37" s="1"/>
  <c r="R179" i="37" s="1"/>
  <c r="R160" i="37"/>
  <c r="T175" i="37"/>
  <c r="T42" i="37"/>
  <c r="P99" i="37"/>
  <c r="R131" i="37"/>
  <c r="R136" i="37" s="1"/>
  <c r="Q54" i="37"/>
  <c r="Q56" i="37" s="1"/>
  <c r="Q62" i="37" s="1"/>
  <c r="U90" i="37"/>
  <c r="U157" i="37"/>
  <c r="R96" i="37"/>
  <c r="R44" i="37"/>
  <c r="R46" i="37"/>
  <c r="U132" i="36"/>
  <c r="U134" i="36" s="1"/>
  <c r="U93" i="36" s="1"/>
  <c r="U94" i="36" s="1"/>
  <c r="U77" i="36"/>
  <c r="U37" i="36"/>
  <c r="U43" i="36"/>
  <c r="R41" i="36"/>
  <c r="S151" i="36"/>
  <c r="S158" i="36" s="1"/>
  <c r="S83" i="36"/>
  <c r="T151" i="36"/>
  <c r="T158" i="36" s="1"/>
  <c r="T83" i="36"/>
  <c r="U53" i="36"/>
  <c r="S136" i="36"/>
  <c r="U42" i="36"/>
  <c r="Q98" i="36"/>
  <c r="Q99" i="36" s="1"/>
  <c r="P70" i="36"/>
  <c r="P71" i="36" s="1"/>
  <c r="P72" i="36" s="1"/>
  <c r="U175" i="36"/>
  <c r="T160" i="27"/>
  <c r="T169" i="27"/>
  <c r="T177" i="27" s="1"/>
  <c r="T179" i="27" s="1"/>
  <c r="T96" i="27"/>
  <c r="T44" i="27"/>
  <c r="T46" i="27"/>
  <c r="U169" i="27"/>
  <c r="U177" i="27" s="1"/>
  <c r="U96" i="27"/>
  <c r="U46" i="27"/>
  <c r="U44" i="27"/>
  <c r="G91" i="25"/>
  <c r="G155" i="25" s="1"/>
  <c r="G137" i="25"/>
  <c r="H32" i="25"/>
  <c r="H15" i="26"/>
  <c r="H83" i="25"/>
  <c r="I28" i="25"/>
  <c r="I46" i="25" s="1"/>
  <c r="J60" i="25"/>
  <c r="I62" i="25"/>
  <c r="I43" i="25" s="1"/>
  <c r="U151" i="44" l="1"/>
  <c r="U158" i="44" s="1"/>
  <c r="U83" i="44"/>
  <c r="T131" i="44"/>
  <c r="T136" i="44" s="1"/>
  <c r="S54" i="44"/>
  <c r="S56" i="44" s="1"/>
  <c r="S62" i="44" s="1"/>
  <c r="T96" i="44"/>
  <c r="T46" i="44"/>
  <c r="T44" i="44"/>
  <c r="S169" i="44"/>
  <c r="S177" i="44" s="1"/>
  <c r="S179" i="44" s="1"/>
  <c r="S160" i="44"/>
  <c r="T169" i="44"/>
  <c r="T177" i="44" s="1"/>
  <c r="T179" i="44" s="1"/>
  <c r="T160" i="44"/>
  <c r="R98" i="44"/>
  <c r="R99" i="44" s="1"/>
  <c r="Q70" i="44"/>
  <c r="Q71" i="44" s="1"/>
  <c r="Q72" i="44" s="1"/>
  <c r="S44" i="44"/>
  <c r="S46" i="44"/>
  <c r="S96" i="44"/>
  <c r="R41" i="44"/>
  <c r="U77" i="43"/>
  <c r="U132" i="43"/>
  <c r="U134" i="43" s="1"/>
  <c r="U93" i="43" s="1"/>
  <c r="U94" i="43" s="1"/>
  <c r="U37" i="43"/>
  <c r="U43" i="43"/>
  <c r="T151" i="43"/>
  <c r="T158" i="43" s="1"/>
  <c r="T83" i="43"/>
  <c r="U175" i="43"/>
  <c r="U42" i="43"/>
  <c r="Q98" i="43"/>
  <c r="Q99" i="43" s="1"/>
  <c r="P70" i="43"/>
  <c r="P71" i="43" s="1"/>
  <c r="P72" i="43" s="1"/>
  <c r="R96" i="43"/>
  <c r="R44" i="43"/>
  <c r="R46" i="43"/>
  <c r="Q41" i="43"/>
  <c r="R169" i="43"/>
  <c r="R177" i="43" s="1"/>
  <c r="R179" i="43" s="1"/>
  <c r="R160" i="43"/>
  <c r="S131" i="43"/>
  <c r="S136" i="43" s="1"/>
  <c r="R54" i="43"/>
  <c r="R56" i="43" s="1"/>
  <c r="R62" i="43" s="1"/>
  <c r="T53" i="43"/>
  <c r="S151" i="43"/>
  <c r="S158" i="43" s="1"/>
  <c r="S83" i="43"/>
  <c r="U151" i="42"/>
  <c r="U158" i="42" s="1"/>
  <c r="U83" i="42"/>
  <c r="R98" i="42"/>
  <c r="R99" i="42" s="1"/>
  <c r="Q70" i="42"/>
  <c r="Q71" i="42" s="1"/>
  <c r="Q72" i="42" s="1"/>
  <c r="T151" i="42"/>
  <c r="T158" i="42" s="1"/>
  <c r="T83" i="42"/>
  <c r="R41" i="42"/>
  <c r="T131" i="42"/>
  <c r="T136" i="42" s="1"/>
  <c r="S54" i="42"/>
  <c r="S56" i="42" s="1"/>
  <c r="S62" i="42" s="1"/>
  <c r="R99" i="41"/>
  <c r="R70" i="41" s="1"/>
  <c r="R71" i="41" s="1"/>
  <c r="R72" i="41" s="1"/>
  <c r="T151" i="41"/>
  <c r="T158" i="41" s="1"/>
  <c r="T83" i="41"/>
  <c r="T131" i="41"/>
  <c r="T136" i="41" s="1"/>
  <c r="S54" i="41"/>
  <c r="S56" i="41" s="1"/>
  <c r="S62" i="41" s="1"/>
  <c r="U151" i="41"/>
  <c r="U158" i="41" s="1"/>
  <c r="U83" i="41"/>
  <c r="R41" i="41"/>
  <c r="T77" i="40"/>
  <c r="T132" i="40"/>
  <c r="T134" i="40" s="1"/>
  <c r="T93" i="40" s="1"/>
  <c r="T43" i="40"/>
  <c r="T37" i="40"/>
  <c r="Q98" i="40"/>
  <c r="Q99" i="40" s="1"/>
  <c r="P70" i="40"/>
  <c r="P71" i="40" s="1"/>
  <c r="P72" i="40" s="1"/>
  <c r="U42" i="40"/>
  <c r="S160" i="40"/>
  <c r="S169" i="40"/>
  <c r="S177" i="40" s="1"/>
  <c r="S179" i="40" s="1"/>
  <c r="S46" i="40"/>
  <c r="S44" i="40"/>
  <c r="S96" i="40"/>
  <c r="T131" i="40"/>
  <c r="S54" i="40"/>
  <c r="S56" i="40" s="1"/>
  <c r="S62" i="40" s="1"/>
  <c r="U53" i="40"/>
  <c r="U175" i="40"/>
  <c r="R41" i="40"/>
  <c r="U77" i="40"/>
  <c r="U132" i="40"/>
  <c r="U134" i="40" s="1"/>
  <c r="U93" i="40" s="1"/>
  <c r="U94" i="40" s="1"/>
  <c r="U43" i="40"/>
  <c r="U37" i="40"/>
  <c r="T175" i="40"/>
  <c r="T94" i="40"/>
  <c r="Q98" i="39"/>
  <c r="Q99" i="39" s="1"/>
  <c r="P70" i="39"/>
  <c r="P71" i="39" s="1"/>
  <c r="P72" i="39" s="1"/>
  <c r="S96" i="39"/>
  <c r="S46" i="39"/>
  <c r="S44" i="39"/>
  <c r="Q41" i="39"/>
  <c r="U175" i="39"/>
  <c r="S131" i="39"/>
  <c r="S136" i="39" s="1"/>
  <c r="R54" i="39"/>
  <c r="R56" i="39" s="1"/>
  <c r="R62" i="39" s="1"/>
  <c r="T151" i="39"/>
  <c r="T158" i="39" s="1"/>
  <c r="T83" i="39"/>
  <c r="S169" i="39"/>
  <c r="S177" i="39" s="1"/>
  <c r="S179" i="39" s="1"/>
  <c r="S160" i="39"/>
  <c r="U132" i="39"/>
  <c r="U134" i="39" s="1"/>
  <c r="U93" i="39" s="1"/>
  <c r="U94" i="39" s="1"/>
  <c r="U37" i="39"/>
  <c r="U77" i="39"/>
  <c r="U43" i="39"/>
  <c r="U53" i="39"/>
  <c r="U77" i="38"/>
  <c r="U132" i="38"/>
  <c r="U134" i="38" s="1"/>
  <c r="U93" i="38" s="1"/>
  <c r="U94" i="38" s="1"/>
  <c r="U43" i="38"/>
  <c r="U37" i="38"/>
  <c r="T132" i="38"/>
  <c r="T134" i="38" s="1"/>
  <c r="T93" i="38" s="1"/>
  <c r="T94" i="38" s="1"/>
  <c r="T77" i="38"/>
  <c r="T37" i="38"/>
  <c r="T43" i="38"/>
  <c r="U175" i="38"/>
  <c r="Q98" i="38"/>
  <c r="P70" i="38"/>
  <c r="P71" i="38" s="1"/>
  <c r="P72" i="38" s="1"/>
  <c r="S44" i="38"/>
  <c r="S46" i="38"/>
  <c r="S96" i="38"/>
  <c r="T175" i="38"/>
  <c r="S169" i="38"/>
  <c r="S177" i="38" s="1"/>
  <c r="S179" i="38" s="1"/>
  <c r="S160" i="38"/>
  <c r="U42" i="38"/>
  <c r="Q99" i="38"/>
  <c r="U53" i="38"/>
  <c r="Q41" i="38"/>
  <c r="S131" i="38"/>
  <c r="S136" i="38" s="1"/>
  <c r="R54" i="38"/>
  <c r="R56" i="38" s="1"/>
  <c r="R62" i="38" s="1"/>
  <c r="U175" i="37"/>
  <c r="Q41" i="37"/>
  <c r="T53" i="37"/>
  <c r="U42" i="37"/>
  <c r="S96" i="37"/>
  <c r="S46" i="37"/>
  <c r="S44" i="37"/>
  <c r="U77" i="37"/>
  <c r="U132" i="37"/>
  <c r="U134" i="37" s="1"/>
  <c r="U93" i="37" s="1"/>
  <c r="U94" i="37" s="1"/>
  <c r="U37" i="37"/>
  <c r="U43" i="37"/>
  <c r="S131" i="37"/>
  <c r="S136" i="37" s="1"/>
  <c r="R54" i="37"/>
  <c r="R56" i="37" s="1"/>
  <c r="R62" i="37" s="1"/>
  <c r="Q98" i="37"/>
  <c r="Q99" i="37" s="1"/>
  <c r="P70" i="37"/>
  <c r="P71" i="37" s="1"/>
  <c r="P72" i="37" s="1"/>
  <c r="S169" i="37"/>
  <c r="S177" i="37" s="1"/>
  <c r="S179" i="37" s="1"/>
  <c r="S160" i="37"/>
  <c r="T151" i="37"/>
  <c r="T158" i="37" s="1"/>
  <c r="T83" i="37"/>
  <c r="R98" i="36"/>
  <c r="R99" i="36" s="1"/>
  <c r="Q70" i="36"/>
  <c r="Q71" i="36" s="1"/>
  <c r="Q72" i="36" s="1"/>
  <c r="S169" i="36"/>
  <c r="S177" i="36" s="1"/>
  <c r="S179" i="36" s="1"/>
  <c r="S160" i="36"/>
  <c r="T131" i="36"/>
  <c r="T136" i="36" s="1"/>
  <c r="S54" i="36"/>
  <c r="S56" i="36" s="1"/>
  <c r="S62" i="36" s="1"/>
  <c r="T44" i="36"/>
  <c r="T96" i="36"/>
  <c r="T46" i="36"/>
  <c r="S96" i="36"/>
  <c r="S46" i="36"/>
  <c r="S44" i="36"/>
  <c r="T169" i="36"/>
  <c r="T177" i="36" s="1"/>
  <c r="T179" i="36" s="1"/>
  <c r="T160" i="36"/>
  <c r="U83" i="36"/>
  <c r="U151" i="36"/>
  <c r="U158" i="36" s="1"/>
  <c r="H91" i="25"/>
  <c r="H155" i="25" s="1"/>
  <c r="H137" i="25"/>
  <c r="I32" i="25"/>
  <c r="I15" i="26"/>
  <c r="H108" i="25"/>
  <c r="H34" i="25" s="1"/>
  <c r="H36" i="25" s="1"/>
  <c r="H44" i="25" s="1"/>
  <c r="I83" i="25"/>
  <c r="J28" i="25"/>
  <c r="J46" i="25" s="1"/>
  <c r="J62" i="25"/>
  <c r="J43" i="25" s="1"/>
  <c r="K60" i="25"/>
  <c r="S41" i="44" l="1"/>
  <c r="T54" i="44"/>
  <c r="T56" i="44" s="1"/>
  <c r="T62" i="44" s="1"/>
  <c r="U131" i="44"/>
  <c r="U136" i="44" s="1"/>
  <c r="U54" i="44" s="1"/>
  <c r="U56" i="44" s="1"/>
  <c r="U62" i="44" s="1"/>
  <c r="S98" i="44"/>
  <c r="S99" i="44" s="1"/>
  <c r="R70" i="44"/>
  <c r="R71" i="44" s="1"/>
  <c r="R72" i="44" s="1"/>
  <c r="U46" i="44"/>
  <c r="U44" i="44"/>
  <c r="U96" i="44"/>
  <c r="U169" i="44"/>
  <c r="U177" i="44" s="1"/>
  <c r="C163" i="44"/>
  <c r="S169" i="43"/>
  <c r="S177" i="43" s="1"/>
  <c r="S179" i="43" s="1"/>
  <c r="S160" i="43"/>
  <c r="U53" i="43"/>
  <c r="T96" i="43"/>
  <c r="T46" i="43"/>
  <c r="T44" i="43"/>
  <c r="R41" i="43"/>
  <c r="T169" i="43"/>
  <c r="T177" i="43" s="1"/>
  <c r="T179" i="43" s="1"/>
  <c r="T160" i="43"/>
  <c r="T131" i="43"/>
  <c r="T136" i="43" s="1"/>
  <c r="S54" i="43"/>
  <c r="S56" i="43" s="1"/>
  <c r="S62" i="43" s="1"/>
  <c r="R98" i="43"/>
  <c r="R99" i="43" s="1"/>
  <c r="Q70" i="43"/>
  <c r="Q71" i="43" s="1"/>
  <c r="Q72" i="43" s="1"/>
  <c r="S96" i="43"/>
  <c r="S46" i="43"/>
  <c r="S44" i="43"/>
  <c r="U151" i="43"/>
  <c r="U158" i="43" s="1"/>
  <c r="U83" i="43"/>
  <c r="T96" i="42"/>
  <c r="T44" i="42"/>
  <c r="T46" i="42"/>
  <c r="T169" i="42"/>
  <c r="T177" i="42" s="1"/>
  <c r="T179" i="42" s="1"/>
  <c r="T160" i="42"/>
  <c r="S41" i="42"/>
  <c r="S98" i="42"/>
  <c r="S99" i="42" s="1"/>
  <c r="R70" i="42"/>
  <c r="R71" i="42" s="1"/>
  <c r="R72" i="42" s="1"/>
  <c r="U131" i="42"/>
  <c r="U136" i="42" s="1"/>
  <c r="U54" i="42" s="1"/>
  <c r="U56" i="42" s="1"/>
  <c r="U62" i="42" s="1"/>
  <c r="T54" i="42"/>
  <c r="T56" i="42" s="1"/>
  <c r="T62" i="42" s="1"/>
  <c r="U96" i="42"/>
  <c r="U44" i="42"/>
  <c r="U46" i="42"/>
  <c r="U169" i="42"/>
  <c r="U177" i="42" s="1"/>
  <c r="C163" i="42"/>
  <c r="S98" i="41"/>
  <c r="S99" i="41" s="1"/>
  <c r="S70" i="41" s="1"/>
  <c r="S71" i="41" s="1"/>
  <c r="S72" i="41" s="1"/>
  <c r="S41" i="41"/>
  <c r="U131" i="41"/>
  <c r="U136" i="41" s="1"/>
  <c r="U54" i="41" s="1"/>
  <c r="U56" i="41" s="1"/>
  <c r="U62" i="41" s="1"/>
  <c r="T54" i="41"/>
  <c r="T56" i="41" s="1"/>
  <c r="T62" i="41" s="1"/>
  <c r="T160" i="41"/>
  <c r="T169" i="41"/>
  <c r="T177" i="41" s="1"/>
  <c r="T179" i="41" s="1"/>
  <c r="U44" i="41"/>
  <c r="U96" i="41"/>
  <c r="U46" i="41"/>
  <c r="T46" i="41"/>
  <c r="T44" i="41"/>
  <c r="T96" i="41"/>
  <c r="U169" i="41"/>
  <c r="U177" i="41" s="1"/>
  <c r="C163" i="41"/>
  <c r="Q70" i="40"/>
  <c r="Q71" i="40" s="1"/>
  <c r="Q72" i="40" s="1"/>
  <c r="R98" i="40"/>
  <c r="R99" i="40" s="1"/>
  <c r="T151" i="40"/>
  <c r="T158" i="40" s="1"/>
  <c r="T83" i="40"/>
  <c r="U151" i="40"/>
  <c r="U158" i="40" s="1"/>
  <c r="U83" i="40"/>
  <c r="S41" i="40"/>
  <c r="T136" i="40"/>
  <c r="T96" i="39"/>
  <c r="T46" i="39"/>
  <c r="T44" i="39"/>
  <c r="T169" i="39"/>
  <c r="T177" i="39" s="1"/>
  <c r="T179" i="39" s="1"/>
  <c r="T160" i="39"/>
  <c r="R41" i="39"/>
  <c r="U83" i="39"/>
  <c r="U151" i="39"/>
  <c r="U158" i="39" s="1"/>
  <c r="T131" i="39"/>
  <c r="T136" i="39" s="1"/>
  <c r="S54" i="39"/>
  <c r="S56" i="39" s="1"/>
  <c r="S62" i="39" s="1"/>
  <c r="R98" i="39"/>
  <c r="R99" i="39" s="1"/>
  <c r="Q70" i="39"/>
  <c r="Q71" i="39" s="1"/>
  <c r="Q72" i="39" s="1"/>
  <c r="U151" i="38"/>
  <c r="U158" i="38" s="1"/>
  <c r="U83" i="38"/>
  <c r="Q70" i="38"/>
  <c r="Q71" i="38" s="1"/>
  <c r="Q72" i="38" s="1"/>
  <c r="R98" i="38"/>
  <c r="R99" i="38" s="1"/>
  <c r="T151" i="38"/>
  <c r="T158" i="38" s="1"/>
  <c r="T83" i="38"/>
  <c r="T131" i="38"/>
  <c r="T136" i="38" s="1"/>
  <c r="S54" i="38"/>
  <c r="S56" i="38" s="1"/>
  <c r="S62" i="38" s="1"/>
  <c r="R41" i="38"/>
  <c r="T96" i="37"/>
  <c r="T46" i="37"/>
  <c r="T44" i="37"/>
  <c r="U53" i="37"/>
  <c r="T131" i="37"/>
  <c r="T136" i="37" s="1"/>
  <c r="S54" i="37"/>
  <c r="S56" i="37" s="1"/>
  <c r="S62" i="37" s="1"/>
  <c r="T169" i="37"/>
  <c r="T177" i="37" s="1"/>
  <c r="T179" i="37" s="1"/>
  <c r="T160" i="37"/>
  <c r="U151" i="37"/>
  <c r="U158" i="37" s="1"/>
  <c r="U83" i="37"/>
  <c r="R98" i="37"/>
  <c r="R99" i="37" s="1"/>
  <c r="Q70" i="37"/>
  <c r="Q71" i="37" s="1"/>
  <c r="Q72" i="37" s="1"/>
  <c r="R41" i="37"/>
  <c r="U96" i="36"/>
  <c r="U44" i="36"/>
  <c r="U46" i="36"/>
  <c r="U169" i="36"/>
  <c r="U177" i="36" s="1"/>
  <c r="C163" i="36"/>
  <c r="U131" i="36"/>
  <c r="U136" i="36" s="1"/>
  <c r="U54" i="36" s="1"/>
  <c r="U56" i="36" s="1"/>
  <c r="U62" i="36" s="1"/>
  <c r="T54" i="36"/>
  <c r="T56" i="36" s="1"/>
  <c r="T62" i="36" s="1"/>
  <c r="S41" i="36"/>
  <c r="S98" i="36"/>
  <c r="S99" i="36" s="1"/>
  <c r="R70" i="36"/>
  <c r="R71" i="36" s="1"/>
  <c r="R72" i="36" s="1"/>
  <c r="I91" i="25"/>
  <c r="I155" i="25" s="1"/>
  <c r="I137" i="25"/>
  <c r="J32" i="25"/>
  <c r="J15" i="26"/>
  <c r="H78" i="25"/>
  <c r="H113" i="25"/>
  <c r="H114" i="25" s="1"/>
  <c r="H93" i="25" s="1"/>
  <c r="H38" i="25"/>
  <c r="I108" i="25"/>
  <c r="I34" i="25" s="1"/>
  <c r="I36" i="25" s="1"/>
  <c r="I44" i="25" s="1"/>
  <c r="J83" i="25"/>
  <c r="K28" i="25"/>
  <c r="K46" i="25" s="1"/>
  <c r="K62" i="25"/>
  <c r="K43" i="25" s="1"/>
  <c r="L60" i="25"/>
  <c r="T98" i="44" l="1"/>
  <c r="T99" i="44" s="1"/>
  <c r="S70" i="44"/>
  <c r="S71" i="44" s="1"/>
  <c r="S72" i="44" s="1"/>
  <c r="C182" i="44"/>
  <c r="T41" i="44"/>
  <c r="U41" i="44"/>
  <c r="S98" i="43"/>
  <c r="S99" i="43" s="1"/>
  <c r="R70" i="43"/>
  <c r="R71" i="43" s="1"/>
  <c r="R72" i="43" s="1"/>
  <c r="S41" i="43"/>
  <c r="U96" i="43"/>
  <c r="U44" i="43"/>
  <c r="U46" i="43"/>
  <c r="U131" i="43"/>
  <c r="U136" i="43" s="1"/>
  <c r="U54" i="43" s="1"/>
  <c r="U56" i="43" s="1"/>
  <c r="U62" i="43" s="1"/>
  <c r="T54" i="43"/>
  <c r="T56" i="43" s="1"/>
  <c r="T62" i="43" s="1"/>
  <c r="U169" i="43"/>
  <c r="U177" i="43" s="1"/>
  <c r="C163" i="43"/>
  <c r="T98" i="42"/>
  <c r="T99" i="42" s="1"/>
  <c r="S70" i="42"/>
  <c r="S71" i="42" s="1"/>
  <c r="S72" i="42" s="1"/>
  <c r="C182" i="42"/>
  <c r="T41" i="42"/>
  <c r="U41" i="42"/>
  <c r="T98" i="41"/>
  <c r="T99" i="41" s="1"/>
  <c r="U98" i="41" s="1"/>
  <c r="U99" i="41" s="1"/>
  <c r="U70" i="41" s="1"/>
  <c r="C182" i="41"/>
  <c r="U41" i="41"/>
  <c r="T41" i="41"/>
  <c r="U44" i="40"/>
  <c r="U96" i="40"/>
  <c r="U46" i="40"/>
  <c r="S98" i="40"/>
  <c r="S99" i="40" s="1"/>
  <c r="R70" i="40"/>
  <c r="R71" i="40" s="1"/>
  <c r="R72" i="40" s="1"/>
  <c r="T96" i="40"/>
  <c r="T46" i="40"/>
  <c r="T44" i="40"/>
  <c r="T169" i="40"/>
  <c r="T177" i="40" s="1"/>
  <c r="T179" i="40" s="1"/>
  <c r="T160" i="40"/>
  <c r="U169" i="40"/>
  <c r="U177" i="40" s="1"/>
  <c r="C163" i="40"/>
  <c r="U131" i="40"/>
  <c r="U136" i="40" s="1"/>
  <c r="U54" i="40" s="1"/>
  <c r="U56" i="40" s="1"/>
  <c r="U62" i="40" s="1"/>
  <c r="T54" i="40"/>
  <c r="T56" i="40" s="1"/>
  <c r="T62" i="40" s="1"/>
  <c r="S98" i="39"/>
  <c r="S99" i="39" s="1"/>
  <c r="R70" i="39"/>
  <c r="R71" i="39" s="1"/>
  <c r="R72" i="39" s="1"/>
  <c r="U131" i="39"/>
  <c r="U136" i="39" s="1"/>
  <c r="U54" i="39" s="1"/>
  <c r="U56" i="39" s="1"/>
  <c r="U62" i="39" s="1"/>
  <c r="T54" i="39"/>
  <c r="T56" i="39" s="1"/>
  <c r="T62" i="39" s="1"/>
  <c r="S41" i="39"/>
  <c r="U169" i="39"/>
  <c r="U177" i="39" s="1"/>
  <c r="C163" i="39"/>
  <c r="U96" i="39"/>
  <c r="U44" i="39"/>
  <c r="U46" i="39"/>
  <c r="T169" i="38"/>
  <c r="T177" i="38" s="1"/>
  <c r="T179" i="38" s="1"/>
  <c r="T160" i="38"/>
  <c r="R70" i="38"/>
  <c r="R71" i="38" s="1"/>
  <c r="R72" i="38" s="1"/>
  <c r="S98" i="38"/>
  <c r="S99" i="38" s="1"/>
  <c r="T46" i="38"/>
  <c r="T96" i="38"/>
  <c r="T44" i="38"/>
  <c r="S41" i="38"/>
  <c r="U96" i="38"/>
  <c r="U46" i="38"/>
  <c r="U44" i="38"/>
  <c r="U131" i="38"/>
  <c r="U136" i="38" s="1"/>
  <c r="U54" i="38" s="1"/>
  <c r="U56" i="38" s="1"/>
  <c r="U62" i="38" s="1"/>
  <c r="T54" i="38"/>
  <c r="T56" i="38" s="1"/>
  <c r="T62" i="38" s="1"/>
  <c r="U169" i="38"/>
  <c r="U177" i="38" s="1"/>
  <c r="C163" i="38"/>
  <c r="S98" i="37"/>
  <c r="S99" i="37" s="1"/>
  <c r="R70" i="37"/>
  <c r="R71" i="37" s="1"/>
  <c r="R72" i="37" s="1"/>
  <c r="S41" i="37"/>
  <c r="U96" i="37"/>
  <c r="U44" i="37"/>
  <c r="U46" i="37"/>
  <c r="U169" i="37"/>
  <c r="U177" i="37" s="1"/>
  <c r="C163" i="37"/>
  <c r="U131" i="37"/>
  <c r="U136" i="37" s="1"/>
  <c r="U54" i="37" s="1"/>
  <c r="U56" i="37" s="1"/>
  <c r="U62" i="37" s="1"/>
  <c r="T54" i="37"/>
  <c r="T56" i="37" s="1"/>
  <c r="T62" i="37" s="1"/>
  <c r="T98" i="36"/>
  <c r="T99" i="36" s="1"/>
  <c r="S70" i="36"/>
  <c r="S71" i="36" s="1"/>
  <c r="S72" i="36" s="1"/>
  <c r="U41" i="36"/>
  <c r="C182" i="36"/>
  <c r="T41" i="36"/>
  <c r="H131" i="25"/>
  <c r="J91" i="25"/>
  <c r="J155" i="25" s="1"/>
  <c r="J137" i="25"/>
  <c r="H94" i="25"/>
  <c r="K32" i="25"/>
  <c r="K15" i="26"/>
  <c r="H84" i="25"/>
  <c r="I113" i="25"/>
  <c r="I114" i="25" s="1"/>
  <c r="I93" i="25" s="1"/>
  <c r="I78" i="25"/>
  <c r="I38" i="25"/>
  <c r="L28" i="25"/>
  <c r="L46" i="25" s="1"/>
  <c r="K83" i="25"/>
  <c r="J108" i="25"/>
  <c r="J34" i="25" s="1"/>
  <c r="J36" i="25" s="1"/>
  <c r="J44" i="25" s="1"/>
  <c r="L62" i="25"/>
  <c r="L43" i="25" s="1"/>
  <c r="M60" i="25"/>
  <c r="M28" i="25" s="1"/>
  <c r="M46" i="25" s="1"/>
  <c r="U98" i="44" l="1"/>
  <c r="U99" i="44" s="1"/>
  <c r="U70" i="44" s="1"/>
  <c r="T70" i="44"/>
  <c r="T71" i="44" s="1"/>
  <c r="T72" i="44" s="1"/>
  <c r="U41" i="43"/>
  <c r="T98" i="43"/>
  <c r="T99" i="43" s="1"/>
  <c r="S70" i="43"/>
  <c r="S71" i="43" s="1"/>
  <c r="S72" i="43" s="1"/>
  <c r="C182" i="43"/>
  <c r="T41" i="43"/>
  <c r="U98" i="42"/>
  <c r="U99" i="42" s="1"/>
  <c r="U70" i="42" s="1"/>
  <c r="T70" i="42"/>
  <c r="T71" i="42" s="1"/>
  <c r="T72" i="42" s="1"/>
  <c r="T70" i="41"/>
  <c r="T71" i="41" s="1"/>
  <c r="T72" i="41" s="1"/>
  <c r="C142" i="41"/>
  <c r="G142" i="41" s="1"/>
  <c r="G143" i="41" s="1"/>
  <c r="U71" i="41"/>
  <c r="U72" i="41" s="1"/>
  <c r="U41" i="40"/>
  <c r="T98" i="40"/>
  <c r="T99" i="40" s="1"/>
  <c r="S70" i="40"/>
  <c r="S71" i="40" s="1"/>
  <c r="S72" i="40" s="1"/>
  <c r="T41" i="40"/>
  <c r="C182" i="40"/>
  <c r="C182" i="39"/>
  <c r="T41" i="39"/>
  <c r="U41" i="39"/>
  <c r="T98" i="39"/>
  <c r="T99" i="39" s="1"/>
  <c r="S70" i="39"/>
  <c r="S71" i="39" s="1"/>
  <c r="S72" i="39" s="1"/>
  <c r="C182" i="38"/>
  <c r="T41" i="38"/>
  <c r="U41" i="38"/>
  <c r="T98" i="38"/>
  <c r="T99" i="38" s="1"/>
  <c r="S70" i="38"/>
  <c r="S71" i="38" s="1"/>
  <c r="S72" i="38" s="1"/>
  <c r="U41" i="37"/>
  <c r="T98" i="37"/>
  <c r="T99" i="37" s="1"/>
  <c r="S70" i="37"/>
  <c r="S71" i="37" s="1"/>
  <c r="S72" i="37" s="1"/>
  <c r="T41" i="37"/>
  <c r="C182" i="37"/>
  <c r="U98" i="36"/>
  <c r="U99" i="36" s="1"/>
  <c r="U70" i="36" s="1"/>
  <c r="T70" i="36"/>
  <c r="T71" i="36" s="1"/>
  <c r="T72" i="36" s="1"/>
  <c r="H47" i="25"/>
  <c r="H45" i="25"/>
  <c r="K91" i="25"/>
  <c r="K155" i="25" s="1"/>
  <c r="K137" i="25"/>
  <c r="I131" i="25"/>
  <c r="I138" i="25" s="1"/>
  <c r="H96" i="25"/>
  <c r="I94" i="25"/>
  <c r="M32" i="25"/>
  <c r="M15" i="26"/>
  <c r="L32" i="25"/>
  <c r="L15" i="26"/>
  <c r="I84" i="25"/>
  <c r="M83" i="25"/>
  <c r="L83" i="25"/>
  <c r="J38" i="25"/>
  <c r="J78" i="25"/>
  <c r="J113" i="25"/>
  <c r="J114" i="25" s="1"/>
  <c r="J93" i="25" s="1"/>
  <c r="K108" i="25"/>
  <c r="K34" i="25" s="1"/>
  <c r="K36" i="25" s="1"/>
  <c r="K44" i="25" s="1"/>
  <c r="M62" i="25"/>
  <c r="M43" i="25" s="1"/>
  <c r="N60" i="25"/>
  <c r="N28" i="25" s="1"/>
  <c r="N46" i="25" s="1"/>
  <c r="C142" i="44" l="1"/>
  <c r="G142" i="44" s="1"/>
  <c r="G143" i="44" s="1"/>
  <c r="U71" i="44"/>
  <c r="U72" i="44" s="1"/>
  <c r="U98" i="43"/>
  <c r="U99" i="43" s="1"/>
  <c r="U70" i="43" s="1"/>
  <c r="T70" i="43"/>
  <c r="T71" i="43" s="1"/>
  <c r="T72" i="43" s="1"/>
  <c r="C142" i="42"/>
  <c r="G142" i="42" s="1"/>
  <c r="G143" i="42" s="1"/>
  <c r="U71" i="42"/>
  <c r="U72" i="42" s="1"/>
  <c r="G145" i="41"/>
  <c r="U178" i="41" s="1"/>
  <c r="U179" i="41" s="1"/>
  <c r="C181" i="41" s="1"/>
  <c r="U159" i="41"/>
  <c r="U160" i="41" s="1"/>
  <c r="C162" i="41" s="1"/>
  <c r="U98" i="40"/>
  <c r="U99" i="40" s="1"/>
  <c r="U70" i="40" s="1"/>
  <c r="T70" i="40"/>
  <c r="T71" i="40" s="1"/>
  <c r="T72" i="40" s="1"/>
  <c r="U98" i="39"/>
  <c r="U99" i="39" s="1"/>
  <c r="U70" i="39" s="1"/>
  <c r="T70" i="39"/>
  <c r="T71" i="39" s="1"/>
  <c r="T72" i="39" s="1"/>
  <c r="U98" i="38"/>
  <c r="U99" i="38" s="1"/>
  <c r="U70" i="38" s="1"/>
  <c r="T70" i="38"/>
  <c r="T71" i="38" s="1"/>
  <c r="T72" i="38" s="1"/>
  <c r="U98" i="37"/>
  <c r="U99" i="37" s="1"/>
  <c r="U70" i="37" s="1"/>
  <c r="T70" i="37"/>
  <c r="T71" i="37" s="1"/>
  <c r="T72" i="37" s="1"/>
  <c r="C142" i="36"/>
  <c r="G142" i="36" s="1"/>
  <c r="G143" i="36" s="1"/>
  <c r="U71" i="36"/>
  <c r="U72" i="36" s="1"/>
  <c r="I47" i="25"/>
  <c r="I45" i="25"/>
  <c r="I140" i="25"/>
  <c r="I149" i="25"/>
  <c r="I157" i="25" s="1"/>
  <c r="I159" i="25" s="1"/>
  <c r="L91" i="25"/>
  <c r="L155" i="25" s="1"/>
  <c r="L137" i="25"/>
  <c r="M91" i="25"/>
  <c r="M155" i="25" s="1"/>
  <c r="M137" i="25"/>
  <c r="J131" i="25"/>
  <c r="J138" i="25" s="1"/>
  <c r="I96" i="25"/>
  <c r="J94" i="25"/>
  <c r="N32" i="25"/>
  <c r="N15" i="26"/>
  <c r="J84" i="25"/>
  <c r="M108" i="25"/>
  <c r="M34" i="25" s="1"/>
  <c r="M36" i="25" s="1"/>
  <c r="M44" i="25" s="1"/>
  <c r="N83" i="25"/>
  <c r="L108" i="25"/>
  <c r="L34" i="25" s="1"/>
  <c r="L36" i="25" s="1"/>
  <c r="L44" i="25" s="1"/>
  <c r="K113" i="25"/>
  <c r="K114" i="25" s="1"/>
  <c r="K93" i="25" s="1"/>
  <c r="K38" i="25"/>
  <c r="K78" i="25"/>
  <c r="N62" i="25"/>
  <c r="N43" i="25" s="1"/>
  <c r="O60" i="25"/>
  <c r="U159" i="44" l="1"/>
  <c r="U160" i="44" s="1"/>
  <c r="C162" i="44" s="1"/>
  <c r="G145" i="44"/>
  <c r="U178" i="44" s="1"/>
  <c r="U179" i="44" s="1"/>
  <c r="C181" i="44" s="1"/>
  <c r="C142" i="43"/>
  <c r="G142" i="43" s="1"/>
  <c r="G143" i="43" s="1"/>
  <c r="U71" i="43"/>
  <c r="U72" i="43" s="1"/>
  <c r="G145" i="42"/>
  <c r="U178" i="42" s="1"/>
  <c r="U179" i="42" s="1"/>
  <c r="C181" i="42" s="1"/>
  <c r="U159" i="42"/>
  <c r="U160" i="42" s="1"/>
  <c r="C162" i="42" s="1"/>
  <c r="C183" i="41"/>
  <c r="D183" i="41" s="1"/>
  <c r="D181" i="41"/>
  <c r="J7" i="41"/>
  <c r="D182" i="41"/>
  <c r="D162" i="41"/>
  <c r="C164" i="41"/>
  <c r="D164" i="41" s="1"/>
  <c r="J5" i="41"/>
  <c r="D163" i="41"/>
  <c r="C142" i="40"/>
  <c r="G142" i="40" s="1"/>
  <c r="G143" i="40" s="1"/>
  <c r="U71" i="40"/>
  <c r="U72" i="40" s="1"/>
  <c r="C142" i="39"/>
  <c r="G142" i="39" s="1"/>
  <c r="G143" i="39" s="1"/>
  <c r="U71" i="39"/>
  <c r="U72" i="39" s="1"/>
  <c r="C142" i="38"/>
  <c r="G142" i="38" s="1"/>
  <c r="G143" i="38" s="1"/>
  <c r="U71" i="38"/>
  <c r="U72" i="38" s="1"/>
  <c r="C142" i="37"/>
  <c r="G142" i="37" s="1"/>
  <c r="G143" i="37" s="1"/>
  <c r="U71" i="37"/>
  <c r="U72" i="37" s="1"/>
  <c r="G145" i="36"/>
  <c r="U178" i="36" s="1"/>
  <c r="U179" i="36" s="1"/>
  <c r="C181" i="36" s="1"/>
  <c r="U159" i="36"/>
  <c r="U160" i="36" s="1"/>
  <c r="C162" i="36" s="1"/>
  <c r="J45" i="25"/>
  <c r="J47" i="25"/>
  <c r="J140" i="25"/>
  <c r="J149" i="25"/>
  <c r="J157" i="25" s="1"/>
  <c r="J159" i="25" s="1"/>
  <c r="N91" i="25"/>
  <c r="N155" i="25" s="1"/>
  <c r="N137" i="25"/>
  <c r="K131" i="25"/>
  <c r="K138" i="25" s="1"/>
  <c r="J96" i="25"/>
  <c r="K94" i="25"/>
  <c r="K84" i="25"/>
  <c r="L78" i="25"/>
  <c r="L113" i="25"/>
  <c r="L114" i="25" s="1"/>
  <c r="L93" i="25" s="1"/>
  <c r="L38" i="25"/>
  <c r="N108" i="25"/>
  <c r="N34" i="25" s="1"/>
  <c r="N36" i="25" s="1"/>
  <c r="N44" i="25" s="1"/>
  <c r="M38" i="25"/>
  <c r="M113" i="25"/>
  <c r="M114" i="25" s="1"/>
  <c r="M93" i="25" s="1"/>
  <c r="M78" i="25"/>
  <c r="O28" i="25"/>
  <c r="O46" i="25" s="1"/>
  <c r="P60" i="25"/>
  <c r="P28" i="25" s="1"/>
  <c r="P46" i="25" s="1"/>
  <c r="O62" i="25"/>
  <c r="O43" i="25" s="1"/>
  <c r="C183" i="44" l="1"/>
  <c r="D183" i="44" s="1"/>
  <c r="D181" i="44"/>
  <c r="J7" i="44"/>
  <c r="D182" i="44"/>
  <c r="D162" i="44"/>
  <c r="C164" i="44"/>
  <c r="D164" i="44" s="1"/>
  <c r="J5" i="44"/>
  <c r="D163" i="44"/>
  <c r="G145" i="43"/>
  <c r="U178" i="43" s="1"/>
  <c r="U179" i="43" s="1"/>
  <c r="C181" i="43" s="1"/>
  <c r="U159" i="43"/>
  <c r="U160" i="43" s="1"/>
  <c r="C162" i="43" s="1"/>
  <c r="D162" i="42"/>
  <c r="C164" i="42"/>
  <c r="D164" i="42" s="1"/>
  <c r="J5" i="42"/>
  <c r="D163" i="42"/>
  <c r="C183" i="42"/>
  <c r="D183" i="42" s="1"/>
  <c r="D181" i="42"/>
  <c r="J7" i="42"/>
  <c r="D182" i="42"/>
  <c r="G145" i="40"/>
  <c r="U178" i="40" s="1"/>
  <c r="U179" i="40" s="1"/>
  <c r="C181" i="40" s="1"/>
  <c r="U159" i="40"/>
  <c r="U160" i="40" s="1"/>
  <c r="C162" i="40" s="1"/>
  <c r="G145" i="39"/>
  <c r="U178" i="39" s="1"/>
  <c r="U179" i="39" s="1"/>
  <c r="C181" i="39" s="1"/>
  <c r="U159" i="39"/>
  <c r="U160" i="39" s="1"/>
  <c r="C162" i="39" s="1"/>
  <c r="G145" i="38"/>
  <c r="U178" i="38" s="1"/>
  <c r="U179" i="38" s="1"/>
  <c r="C181" i="38" s="1"/>
  <c r="U159" i="38"/>
  <c r="U160" i="38" s="1"/>
  <c r="C162" i="38" s="1"/>
  <c r="G145" i="37"/>
  <c r="U178" i="37" s="1"/>
  <c r="U179" i="37" s="1"/>
  <c r="C181" i="37" s="1"/>
  <c r="U159" i="37"/>
  <c r="U160" i="37" s="1"/>
  <c r="C162" i="37" s="1"/>
  <c r="D162" i="36"/>
  <c r="C164" i="36"/>
  <c r="D164" i="36" s="1"/>
  <c r="J5" i="36"/>
  <c r="D163" i="36"/>
  <c r="D181" i="36"/>
  <c r="C183" i="36"/>
  <c r="D183" i="36" s="1"/>
  <c r="J7" i="36"/>
  <c r="D182" i="36"/>
  <c r="K47" i="25"/>
  <c r="K45" i="25"/>
  <c r="K149" i="25"/>
  <c r="K157" i="25" s="1"/>
  <c r="K159" i="25" s="1"/>
  <c r="K140" i="25"/>
  <c r="M131" i="25"/>
  <c r="M138" i="25" s="1"/>
  <c r="L131" i="25"/>
  <c r="L138" i="25" s="1"/>
  <c r="K96" i="25"/>
  <c r="L94" i="25"/>
  <c r="M94" i="25"/>
  <c r="P32" i="25"/>
  <c r="P15" i="26"/>
  <c r="O32" i="25"/>
  <c r="O15" i="26"/>
  <c r="M84" i="25"/>
  <c r="L84" i="25"/>
  <c r="N78" i="25"/>
  <c r="N113" i="25"/>
  <c r="N114" i="25" s="1"/>
  <c r="N93" i="25" s="1"/>
  <c r="N38" i="25"/>
  <c r="P83" i="25"/>
  <c r="O83" i="25"/>
  <c r="Q60" i="25"/>
  <c r="P62" i="25"/>
  <c r="P43" i="25" s="1"/>
  <c r="D162" i="43" l="1"/>
  <c r="C164" i="43"/>
  <c r="D164" i="43" s="1"/>
  <c r="J5" i="43"/>
  <c r="D163" i="43"/>
  <c r="D181" i="43"/>
  <c r="C183" i="43"/>
  <c r="D183" i="43" s="1"/>
  <c r="J7" i="43"/>
  <c r="D182" i="43"/>
  <c r="D162" i="40"/>
  <c r="C164" i="40"/>
  <c r="D164" i="40" s="1"/>
  <c r="J5" i="40"/>
  <c r="D163" i="40"/>
  <c r="C183" i="40"/>
  <c r="D183" i="40" s="1"/>
  <c r="D181" i="40"/>
  <c r="J7" i="40"/>
  <c r="D182" i="40"/>
  <c r="C183" i="39"/>
  <c r="D183" i="39" s="1"/>
  <c r="D181" i="39"/>
  <c r="J7" i="39"/>
  <c r="D182" i="39"/>
  <c r="C164" i="39"/>
  <c r="D164" i="39" s="1"/>
  <c r="J5" i="39"/>
  <c r="D162" i="39"/>
  <c r="D163" i="39"/>
  <c r="D162" i="38"/>
  <c r="C164" i="38"/>
  <c r="D164" i="38" s="1"/>
  <c r="J5" i="38"/>
  <c r="D163" i="38"/>
  <c r="C183" i="38"/>
  <c r="D183" i="38" s="1"/>
  <c r="D181" i="38"/>
  <c r="J7" i="38"/>
  <c r="D182" i="38"/>
  <c r="D162" i="37"/>
  <c r="C164" i="37"/>
  <c r="D164" i="37" s="1"/>
  <c r="J5" i="37"/>
  <c r="D163" i="37"/>
  <c r="D181" i="37"/>
  <c r="C183" i="37"/>
  <c r="D183" i="37" s="1"/>
  <c r="J7" i="37"/>
  <c r="D182" i="37"/>
  <c r="M45" i="25"/>
  <c r="M47" i="25"/>
  <c r="L45" i="25"/>
  <c r="L47" i="25"/>
  <c r="L149" i="25"/>
  <c r="L157" i="25" s="1"/>
  <c r="L159" i="25" s="1"/>
  <c r="L140" i="25"/>
  <c r="M149" i="25"/>
  <c r="M157" i="25" s="1"/>
  <c r="M159" i="25" s="1"/>
  <c r="M140" i="25"/>
  <c r="P91" i="25"/>
  <c r="P155" i="25" s="1"/>
  <c r="P137" i="25"/>
  <c r="O91" i="25"/>
  <c r="O155" i="25" s="1"/>
  <c r="O137" i="25"/>
  <c r="N131" i="25"/>
  <c r="N138" i="25" s="1"/>
  <c r="L96" i="25"/>
  <c r="N94" i="25"/>
  <c r="M96" i="25"/>
  <c r="N84" i="25"/>
  <c r="P108" i="25"/>
  <c r="P34" i="25" s="1"/>
  <c r="P36" i="25" s="1"/>
  <c r="P44" i="25" s="1"/>
  <c r="O108" i="25"/>
  <c r="O34" i="25" s="1"/>
  <c r="O36" i="25" s="1"/>
  <c r="O44" i="25" s="1"/>
  <c r="Q28" i="25"/>
  <c r="Q62" i="25"/>
  <c r="Q43" i="25" s="1"/>
  <c r="R60" i="25"/>
  <c r="R28" i="25" s="1"/>
  <c r="R32" i="25" l="1"/>
  <c r="R46" i="25"/>
  <c r="Q32" i="25"/>
  <c r="Q46" i="25"/>
  <c r="N45" i="25"/>
  <c r="N47" i="25"/>
  <c r="N149" i="25"/>
  <c r="N157" i="25" s="1"/>
  <c r="N159" i="25" s="1"/>
  <c r="N140" i="25"/>
  <c r="N96" i="25"/>
  <c r="O113" i="25"/>
  <c r="O114" i="25" s="1"/>
  <c r="O93" i="25" s="1"/>
  <c r="O78" i="25"/>
  <c r="O38" i="25"/>
  <c r="Q83" i="25"/>
  <c r="P38" i="25"/>
  <c r="P78" i="25"/>
  <c r="P113" i="25"/>
  <c r="P114" i="25" s="1"/>
  <c r="P93" i="25" s="1"/>
  <c r="R83" i="25"/>
  <c r="R62" i="25"/>
  <c r="R43" i="25" s="1"/>
  <c r="S60" i="25"/>
  <c r="Q91" i="25" l="1"/>
  <c r="Q155" i="25" s="1"/>
  <c r="Q137" i="25"/>
  <c r="R91" i="25"/>
  <c r="R155" i="25" s="1"/>
  <c r="R137" i="25"/>
  <c r="O131" i="25"/>
  <c r="O138" i="25" s="1"/>
  <c r="P131" i="25"/>
  <c r="P138" i="25" s="1"/>
  <c r="P94" i="25"/>
  <c r="O94" i="25"/>
  <c r="O84" i="25"/>
  <c r="P84" i="25"/>
  <c r="Q108" i="25"/>
  <c r="Q34" i="25" s="1"/>
  <c r="Q36" i="25" s="1"/>
  <c r="Q44" i="25" s="1"/>
  <c r="R108" i="25"/>
  <c r="R34" i="25" s="1"/>
  <c r="R36" i="25" s="1"/>
  <c r="R44" i="25" s="1"/>
  <c r="S28" i="25"/>
  <c r="S62" i="25"/>
  <c r="S43" i="25" s="1"/>
  <c r="T60" i="25"/>
  <c r="S32" i="25" l="1"/>
  <c r="S46" i="25"/>
  <c r="P45" i="25"/>
  <c r="P47" i="25"/>
  <c r="O45" i="25"/>
  <c r="O47" i="25"/>
  <c r="P149" i="25"/>
  <c r="P157" i="25" s="1"/>
  <c r="P159" i="25" s="1"/>
  <c r="P140" i="25"/>
  <c r="O140" i="25"/>
  <c r="O149" i="25"/>
  <c r="O157" i="25" s="1"/>
  <c r="O159" i="25" s="1"/>
  <c r="P96" i="25"/>
  <c r="O96" i="25"/>
  <c r="R38" i="25"/>
  <c r="R78" i="25"/>
  <c r="R113" i="25"/>
  <c r="R114" i="25" s="1"/>
  <c r="R93" i="25" s="1"/>
  <c r="Q113" i="25"/>
  <c r="Q114" i="25" s="1"/>
  <c r="Q93" i="25" s="1"/>
  <c r="Q38" i="25"/>
  <c r="Q78" i="25"/>
  <c r="S83" i="25"/>
  <c r="T28" i="25"/>
  <c r="U60" i="25"/>
  <c r="U62" i="25" s="1"/>
  <c r="U43" i="25" s="1"/>
  <c r="T62" i="25"/>
  <c r="T43" i="25" s="1"/>
  <c r="G36" i="25"/>
  <c r="G44" i="25" s="1"/>
  <c r="T32" i="25" l="1"/>
  <c r="T46" i="25"/>
  <c r="Q131" i="25"/>
  <c r="Q138" i="25" s="1"/>
  <c r="R131" i="25"/>
  <c r="R138" i="25" s="1"/>
  <c r="S91" i="25"/>
  <c r="S155" i="25" s="1"/>
  <c r="S137" i="25"/>
  <c r="Q94" i="25"/>
  <c r="R94" i="25"/>
  <c r="Q84" i="25"/>
  <c r="R84" i="25"/>
  <c r="T83" i="25"/>
  <c r="S108" i="25"/>
  <c r="S34" i="25" s="1"/>
  <c r="S36" i="25" s="1"/>
  <c r="S44" i="25" s="1"/>
  <c r="U28" i="25"/>
  <c r="G113" i="25"/>
  <c r="G78" i="25"/>
  <c r="G131" i="25" s="1"/>
  <c r="G38" i="25"/>
  <c r="U32" i="25" l="1"/>
  <c r="U46" i="25"/>
  <c r="R45" i="25"/>
  <c r="R47" i="25"/>
  <c r="Q47" i="25"/>
  <c r="Q45" i="25"/>
  <c r="R149" i="25"/>
  <c r="R157" i="25" s="1"/>
  <c r="R159" i="25" s="1"/>
  <c r="R140" i="25"/>
  <c r="Q140" i="25"/>
  <c r="Q149" i="25"/>
  <c r="Q157" i="25" s="1"/>
  <c r="Q159" i="25" s="1"/>
  <c r="T91" i="25"/>
  <c r="T155" i="25" s="1"/>
  <c r="T137" i="25"/>
  <c r="Q96" i="25"/>
  <c r="R96" i="25"/>
  <c r="G84" i="25"/>
  <c r="S78" i="25"/>
  <c r="S113" i="25"/>
  <c r="S114" i="25" s="1"/>
  <c r="S93" i="25" s="1"/>
  <c r="S38" i="25"/>
  <c r="U83" i="25"/>
  <c r="T108" i="25"/>
  <c r="T34" i="25" s="1"/>
  <c r="T36" i="25" s="1"/>
  <c r="T44" i="25" s="1"/>
  <c r="G114" i="25"/>
  <c r="G93" i="25" s="1"/>
  <c r="G45" i="25" l="1"/>
  <c r="G47" i="25"/>
  <c r="S131" i="25"/>
  <c r="S138" i="25" s="1"/>
  <c r="U91" i="25"/>
  <c r="U155" i="25" s="1"/>
  <c r="U137" i="25"/>
  <c r="S94" i="25"/>
  <c r="G94" i="25"/>
  <c r="S84" i="25"/>
  <c r="U108" i="25"/>
  <c r="U34" i="25" s="1"/>
  <c r="U36" i="25" s="1"/>
  <c r="U44" i="25" s="1"/>
  <c r="T38" i="25"/>
  <c r="T78" i="25"/>
  <c r="T113" i="25"/>
  <c r="T114" i="25" s="1"/>
  <c r="T93" i="25" s="1"/>
  <c r="G116" i="25"/>
  <c r="H112" i="25" s="1"/>
  <c r="H116" i="25" s="1"/>
  <c r="S45" i="25" l="1"/>
  <c r="S47" i="25"/>
  <c r="S149" i="25"/>
  <c r="S157" i="25" s="1"/>
  <c r="S159" i="25" s="1"/>
  <c r="S140" i="25"/>
  <c r="T131" i="25"/>
  <c r="T138" i="25" s="1"/>
  <c r="G96" i="25"/>
  <c r="G99" i="25" s="1"/>
  <c r="S96" i="25"/>
  <c r="T94" i="25"/>
  <c r="T84" i="25"/>
  <c r="U78" i="25"/>
  <c r="U113" i="25"/>
  <c r="U114" i="25" s="1"/>
  <c r="U93" i="25" s="1"/>
  <c r="U38" i="25"/>
  <c r="G55" i="25"/>
  <c r="G57" i="25" s="1"/>
  <c r="G63" i="25" s="1"/>
  <c r="G42" i="25" s="1"/>
  <c r="H55" i="25"/>
  <c r="H57" i="25" s="1"/>
  <c r="H63" i="25" s="1"/>
  <c r="H42" i="25" s="1"/>
  <c r="I112" i="25"/>
  <c r="I116" i="25" s="1"/>
  <c r="T47" i="25" l="1"/>
  <c r="T45" i="25"/>
  <c r="T149" i="25"/>
  <c r="T157" i="25" s="1"/>
  <c r="T159" i="25" s="1"/>
  <c r="T140" i="25"/>
  <c r="U131" i="25"/>
  <c r="U138" i="25" s="1"/>
  <c r="T96" i="25"/>
  <c r="H98" i="25"/>
  <c r="H99" i="25" s="1"/>
  <c r="G71" i="25"/>
  <c r="G72" i="25" s="1"/>
  <c r="G73" i="25" s="1"/>
  <c r="U94" i="25"/>
  <c r="U84" i="25"/>
  <c r="I55" i="25"/>
  <c r="I57" i="25" s="1"/>
  <c r="I63" i="25" s="1"/>
  <c r="I42" i="25" s="1"/>
  <c r="J112" i="25"/>
  <c r="J116" i="25" s="1"/>
  <c r="U45" i="25" l="1"/>
  <c r="U47" i="25"/>
  <c r="U149" i="25"/>
  <c r="U157" i="25" s="1"/>
  <c r="U96" i="25"/>
  <c r="I98" i="25"/>
  <c r="H71" i="25"/>
  <c r="H72" i="25" s="1"/>
  <c r="H73" i="25" s="1"/>
  <c r="K112" i="25"/>
  <c r="K116" i="25" s="1"/>
  <c r="J55" i="25"/>
  <c r="J57" i="25" s="1"/>
  <c r="J63" i="25" s="1"/>
  <c r="J42" i="25" s="1"/>
  <c r="I99" i="25" l="1"/>
  <c r="L112" i="25"/>
  <c r="L116" i="25" s="1"/>
  <c r="K55" i="25"/>
  <c r="K57" i="25" s="1"/>
  <c r="K63" i="25" s="1"/>
  <c r="K42" i="25" s="1"/>
  <c r="I71" i="25" l="1"/>
  <c r="I72" i="25" s="1"/>
  <c r="I73" i="25" s="1"/>
  <c r="J98" i="25"/>
  <c r="M112" i="25"/>
  <c r="M116" i="25" s="1"/>
  <c r="L55" i="25"/>
  <c r="L57" i="25" s="1"/>
  <c r="L63" i="25" s="1"/>
  <c r="L42" i="25" s="1"/>
  <c r="J99" i="25" l="1"/>
  <c r="N112" i="25"/>
  <c r="N116" i="25" s="1"/>
  <c r="M55" i="25"/>
  <c r="M57" i="25" s="1"/>
  <c r="M63" i="25" s="1"/>
  <c r="M42" i="25" s="1"/>
  <c r="K98" i="25" l="1"/>
  <c r="J71" i="25"/>
  <c r="J72" i="25" s="1"/>
  <c r="J73" i="25" s="1"/>
  <c r="O112" i="25"/>
  <c r="O116" i="25" s="1"/>
  <c r="N55" i="25"/>
  <c r="N57" i="25" s="1"/>
  <c r="N63" i="25" s="1"/>
  <c r="N42" i="25" s="1"/>
  <c r="K99" i="25" l="1"/>
  <c r="P112" i="25"/>
  <c r="P116" i="25" s="1"/>
  <c r="O55" i="25"/>
  <c r="O57" i="25" s="1"/>
  <c r="O63" i="25" s="1"/>
  <c r="O42" i="25" s="1"/>
  <c r="L98" i="25" l="1"/>
  <c r="K71" i="25"/>
  <c r="K72" i="25" s="1"/>
  <c r="K73" i="25" s="1"/>
  <c r="Q112" i="25"/>
  <c r="Q116" i="25" s="1"/>
  <c r="P55" i="25"/>
  <c r="P57" i="25" s="1"/>
  <c r="P63" i="25" s="1"/>
  <c r="P42" i="25" s="1"/>
  <c r="L99" i="25" l="1"/>
  <c r="R112" i="25"/>
  <c r="R116" i="25" s="1"/>
  <c r="Q55" i="25"/>
  <c r="Q57" i="25" s="1"/>
  <c r="Q63" i="25" s="1"/>
  <c r="Q42" i="25" s="1"/>
  <c r="L71" i="25" l="1"/>
  <c r="L72" i="25" s="1"/>
  <c r="L73" i="25" s="1"/>
  <c r="M98" i="25"/>
  <c r="S112" i="25"/>
  <c r="S116" i="25" s="1"/>
  <c r="R55" i="25"/>
  <c r="R57" i="25" s="1"/>
  <c r="R63" i="25" s="1"/>
  <c r="R42" i="25" s="1"/>
  <c r="M99" i="25" l="1"/>
  <c r="T112" i="25"/>
  <c r="T116" i="25" s="1"/>
  <c r="S55" i="25"/>
  <c r="S57" i="25" s="1"/>
  <c r="S63" i="25" s="1"/>
  <c r="S42" i="25" s="1"/>
  <c r="N98" i="25" l="1"/>
  <c r="M71" i="25"/>
  <c r="M72" i="25" s="1"/>
  <c r="M73" i="25" s="1"/>
  <c r="U112" i="25"/>
  <c r="U116" i="25" s="1"/>
  <c r="U55" i="25" s="1"/>
  <c r="U57" i="25" s="1"/>
  <c r="U63" i="25" s="1"/>
  <c r="U42" i="25" s="1"/>
  <c r="T55" i="25"/>
  <c r="T57" i="25" s="1"/>
  <c r="T63" i="25" s="1"/>
  <c r="T42" i="25" s="1"/>
  <c r="D71" i="25"/>
  <c r="D72" i="25" s="1"/>
  <c r="D73" i="25" s="1"/>
  <c r="N99" i="25" l="1"/>
  <c r="O98" i="25" l="1"/>
  <c r="N71" i="25"/>
  <c r="N72" i="25" s="1"/>
  <c r="N73" i="25" s="1"/>
  <c r="O99" i="25" l="1"/>
  <c r="O71" i="25" l="1"/>
  <c r="O72" i="25" s="1"/>
  <c r="O73" i="25" s="1"/>
  <c r="P98" i="25"/>
  <c r="P99" i="25" l="1"/>
  <c r="Q98" i="25" l="1"/>
  <c r="P71" i="25"/>
  <c r="P72" i="25" s="1"/>
  <c r="P73" i="25" s="1"/>
  <c r="Q99" i="25" l="1"/>
  <c r="Q71" i="25" l="1"/>
  <c r="Q72" i="25" s="1"/>
  <c r="Q73" i="25" s="1"/>
  <c r="R98" i="25"/>
  <c r="R99" i="25" l="1"/>
  <c r="S98" i="25" l="1"/>
  <c r="R71" i="25"/>
  <c r="R72" i="25" s="1"/>
  <c r="R73" i="25" s="1"/>
  <c r="S99" i="25" l="1"/>
  <c r="S71" i="25" l="1"/>
  <c r="S72" i="25" s="1"/>
  <c r="S73" i="25" s="1"/>
  <c r="T98" i="25"/>
  <c r="T99" i="25" l="1"/>
  <c r="T71" i="25" l="1"/>
  <c r="T72" i="25" s="1"/>
  <c r="T73" i="25" s="1"/>
  <c r="U98" i="25"/>
  <c r="U99" i="25" l="1"/>
  <c r="U71" i="25" s="1"/>
  <c r="U72" i="25" l="1"/>
  <c r="U73" i="25" s="1"/>
  <c r="C122" i="25"/>
  <c r="G122" i="25" l="1"/>
  <c r="D138" i="25"/>
  <c r="D149" i="25" l="1"/>
  <c r="D157" i="25" s="1"/>
  <c r="D159" i="25" s="1"/>
  <c r="D140" i="25"/>
  <c r="G123" i="25"/>
  <c r="U139" i="25" l="1"/>
  <c r="U140" i="25" s="1"/>
  <c r="H138" i="25"/>
  <c r="G138" i="25"/>
  <c r="G125" i="25"/>
  <c r="U158" i="25" s="1"/>
  <c r="U159" i="25" s="1"/>
  <c r="G140" i="25" l="1"/>
  <c r="C143" i="25"/>
  <c r="G149" i="25"/>
  <c r="G157" i="25" s="1"/>
  <c r="H149" i="25"/>
  <c r="H157" i="25" s="1"/>
  <c r="H159" i="25" s="1"/>
  <c r="H140" i="25"/>
  <c r="C162" i="25" l="1"/>
  <c r="G159" i="25"/>
  <c r="C161" i="25" s="1"/>
  <c r="J7" i="25" s="1"/>
  <c r="C142" i="25"/>
  <c r="C163" i="25" l="1"/>
  <c r="J5" i="25"/>
  <c r="C144" i="25"/>
  <c r="F35" i="27"/>
  <c r="F132" i="27" s="1"/>
  <c r="F136" i="27" s="1"/>
  <c r="G131" i="27" l="1"/>
  <c r="F54" i="27"/>
  <c r="F77" i="27"/>
  <c r="F37" i="27"/>
  <c r="F83" i="27" l="1"/>
  <c r="F151" i="27"/>
  <c r="F158" i="27" s="1"/>
  <c r="G136" i="27"/>
  <c r="G54" i="27" s="1"/>
  <c r="F169" i="27" l="1"/>
  <c r="F177" i="27" s="1"/>
  <c r="F160" i="27"/>
  <c r="C163" i="27"/>
  <c r="H131" i="27"/>
  <c r="H136" i="27" s="1"/>
  <c r="H54" i="27" s="1"/>
  <c r="F179" i="27" l="1"/>
  <c r="F188" i="27"/>
  <c r="G188" i="27" s="1"/>
  <c r="W178" i="27"/>
  <c r="C182" i="27"/>
  <c r="I131" i="27"/>
  <c r="I136" i="27" l="1"/>
  <c r="J131" i="27" s="1"/>
  <c r="J136" i="27" l="1"/>
  <c r="J54" i="27" s="1"/>
  <c r="I54" i="27"/>
  <c r="K131" i="27" l="1"/>
  <c r="K136" i="27" s="1"/>
  <c r="L131" i="27" l="1"/>
  <c r="L136" i="27" s="1"/>
  <c r="K54" i="27"/>
  <c r="L54" i="27" l="1"/>
  <c r="M131" i="27"/>
  <c r="M136" i="27" s="1"/>
  <c r="N131" i="27" l="1"/>
  <c r="N136" i="27" s="1"/>
  <c r="M54" i="27"/>
  <c r="O131" i="27" l="1"/>
  <c r="O136" i="27" s="1"/>
  <c r="N54" i="27"/>
  <c r="O54" i="27" l="1"/>
  <c r="P131" i="27"/>
  <c r="P136" i="27" s="1"/>
  <c r="Q131" i="27" l="1"/>
  <c r="Q136" i="27" s="1"/>
  <c r="P54" i="27"/>
  <c r="R131" i="27" l="1"/>
  <c r="R136" i="27" s="1"/>
  <c r="Q54" i="27"/>
  <c r="R54" i="27" l="1"/>
  <c r="S131" i="27"/>
  <c r="S136" i="27" s="1"/>
  <c r="T131" i="27" l="1"/>
  <c r="T136" i="27" s="1"/>
  <c r="S54" i="27"/>
  <c r="T54" i="27" l="1"/>
  <c r="U131" i="27"/>
  <c r="U136" i="27" l="1"/>
  <c r="U54" i="27" s="1"/>
  <c r="Q5" i="27" l="1"/>
  <c r="Q6" i="27"/>
  <c r="Q7" i="27" l="1"/>
  <c r="O6" i="27"/>
  <c r="N6" i="27"/>
  <c r="P6" i="27"/>
  <c r="D92" i="27" l="1"/>
  <c r="N8" i="27"/>
  <c r="F92" i="27"/>
  <c r="P8" i="27"/>
  <c r="E92" i="27"/>
  <c r="O8" i="27"/>
  <c r="F187" i="27" l="1"/>
  <c r="F189" i="27" s="1"/>
  <c r="F190" i="27" s="1"/>
  <c r="F94" i="27"/>
  <c r="F96" i="27" s="1"/>
  <c r="E187" i="27"/>
  <c r="E189" i="27" s="1"/>
  <c r="E190" i="27" s="1"/>
  <c r="E94" i="27"/>
  <c r="E96" i="27" s="1"/>
  <c r="D187" i="27"/>
  <c r="D53" i="27"/>
  <c r="D94" i="27"/>
  <c r="D96" i="27" s="1"/>
  <c r="D99" i="27" s="1"/>
  <c r="D70" i="27" l="1"/>
  <c r="D71" i="27" s="1"/>
  <c r="E98" i="27"/>
  <c r="E99" i="27" s="1"/>
  <c r="E53" i="27"/>
  <c r="D56" i="27"/>
  <c r="D62" i="27" s="1"/>
  <c r="G187" i="27"/>
  <c r="G189" i="27" s="1"/>
  <c r="D189" i="27"/>
  <c r="D190" i="27" s="1"/>
  <c r="F98" i="27" l="1"/>
  <c r="F99" i="27" s="1"/>
  <c r="E70" i="27"/>
  <c r="E71" i="27" s="1"/>
  <c r="D72" i="27"/>
  <c r="D41" i="27"/>
  <c r="F53" i="27"/>
  <c r="E56" i="27"/>
  <c r="E62" i="27" s="1"/>
  <c r="E41" i="27" l="1"/>
  <c r="E72" i="27"/>
  <c r="G53" i="27"/>
  <c r="F56" i="27"/>
  <c r="F62" i="27" s="1"/>
  <c r="F41" i="27" s="1"/>
  <c r="F70" i="27"/>
  <c r="F71" i="27" s="1"/>
  <c r="G98" i="27"/>
  <c r="G99" i="27" s="1"/>
  <c r="F72" i="27" l="1"/>
  <c r="G70" i="27"/>
  <c r="G71" i="27" s="1"/>
  <c r="H98" i="27"/>
  <c r="H99" i="27" s="1"/>
  <c r="H53" i="27"/>
  <c r="G56" i="27"/>
  <c r="G62" i="27" s="1"/>
  <c r="G41" i="27" s="1"/>
  <c r="I53" i="27" l="1"/>
  <c r="H56" i="27"/>
  <c r="H62" i="27" s="1"/>
  <c r="H41" i="27" s="1"/>
  <c r="I98" i="27"/>
  <c r="I99" i="27" s="1"/>
  <c r="H70" i="27"/>
  <c r="H71" i="27" s="1"/>
  <c r="H72" i="27" s="1"/>
  <c r="G72" i="27"/>
  <c r="I70" i="27" l="1"/>
  <c r="I71" i="27" s="1"/>
  <c r="J98" i="27"/>
  <c r="J99" i="27" s="1"/>
  <c r="J53" i="27"/>
  <c r="I56" i="27"/>
  <c r="I62" i="27" s="1"/>
  <c r="K53" i="27" l="1"/>
  <c r="J56" i="27"/>
  <c r="J62" i="27" s="1"/>
  <c r="I41" i="27"/>
  <c r="I72" i="27"/>
  <c r="K98" i="27"/>
  <c r="K99" i="27" s="1"/>
  <c r="J70" i="27"/>
  <c r="J71" i="27" s="1"/>
  <c r="K70" i="27" l="1"/>
  <c r="K71" i="27" s="1"/>
  <c r="L98" i="27"/>
  <c r="L99" i="27" s="1"/>
  <c r="J41" i="27"/>
  <c r="J72" i="27"/>
  <c r="L53" i="27"/>
  <c r="K56" i="27"/>
  <c r="K62" i="27" s="1"/>
  <c r="K41" i="27" l="1"/>
  <c r="K72" i="27"/>
  <c r="M53" i="27"/>
  <c r="L56" i="27"/>
  <c r="L62" i="27" s="1"/>
  <c r="L70" i="27"/>
  <c r="L71" i="27" s="1"/>
  <c r="M98" i="27"/>
  <c r="M99" i="27" s="1"/>
  <c r="M70" i="27" l="1"/>
  <c r="M71" i="27" s="1"/>
  <c r="N98" i="27"/>
  <c r="N99" i="27" s="1"/>
  <c r="L41" i="27"/>
  <c r="L72" i="27"/>
  <c r="N53" i="27"/>
  <c r="M56" i="27"/>
  <c r="M62" i="27" s="1"/>
  <c r="M41" i="27" l="1"/>
  <c r="M72" i="27"/>
  <c r="O53" i="27"/>
  <c r="N56" i="27"/>
  <c r="N62" i="27" s="1"/>
  <c r="N70" i="27"/>
  <c r="N71" i="27" s="1"/>
  <c r="O98" i="27"/>
  <c r="O99" i="27" s="1"/>
  <c r="N41" i="27" l="1"/>
  <c r="N72" i="27"/>
  <c r="P98" i="27"/>
  <c r="P99" i="27" s="1"/>
  <c r="O70" i="27"/>
  <c r="O71" i="27" s="1"/>
  <c r="P53" i="27"/>
  <c r="O56" i="27"/>
  <c r="O62" i="27" s="1"/>
  <c r="O41" i="27" l="1"/>
  <c r="O72" i="27"/>
  <c r="Q53" i="27"/>
  <c r="P56" i="27"/>
  <c r="P62" i="27" s="1"/>
  <c r="P70" i="27"/>
  <c r="P71" i="27" s="1"/>
  <c r="Q98" i="27"/>
  <c r="Q99" i="27" s="1"/>
  <c r="Q70" i="27" l="1"/>
  <c r="Q71" i="27" s="1"/>
  <c r="R98" i="27"/>
  <c r="R99" i="27" s="1"/>
  <c r="P41" i="27"/>
  <c r="P72" i="27"/>
  <c r="R53" i="27"/>
  <c r="Q56" i="27"/>
  <c r="Q62" i="27" s="1"/>
  <c r="Q41" i="27" l="1"/>
  <c r="Q72" i="27"/>
  <c r="S53" i="27"/>
  <c r="R56" i="27"/>
  <c r="R62" i="27" s="1"/>
  <c r="S98" i="27"/>
  <c r="S99" i="27" s="1"/>
  <c r="R70" i="27"/>
  <c r="R71" i="27" s="1"/>
  <c r="R41" i="27" l="1"/>
  <c r="R72" i="27"/>
  <c r="S70" i="27"/>
  <c r="S71" i="27" s="1"/>
  <c r="T98" i="27"/>
  <c r="T99" i="27" s="1"/>
  <c r="T53" i="27"/>
  <c r="S56" i="27"/>
  <c r="S62" i="27" s="1"/>
  <c r="U98" i="27" l="1"/>
  <c r="U99" i="27" s="1"/>
  <c r="U70" i="27" s="1"/>
  <c r="T70" i="27"/>
  <c r="T71" i="27" s="1"/>
  <c r="S41" i="27"/>
  <c r="S72" i="27"/>
  <c r="U53" i="27"/>
  <c r="U56" i="27" s="1"/>
  <c r="U62" i="27" s="1"/>
  <c r="T56" i="27"/>
  <c r="T62" i="27" s="1"/>
  <c r="T41" i="27" l="1"/>
  <c r="T72" i="27"/>
  <c r="U41" i="27"/>
  <c r="U71" i="27"/>
  <c r="U72" i="27" s="1"/>
  <c r="C142" i="27"/>
  <c r="G142" i="27" s="1"/>
  <c r="G143" i="27" s="1"/>
  <c r="U159" i="27" l="1"/>
  <c r="U160" i="27" s="1"/>
  <c r="C162" i="27" s="1"/>
  <c r="G145" i="27"/>
  <c r="U178" i="27" s="1"/>
  <c r="U179" i="27" s="1"/>
  <c r="C181" i="27" s="1"/>
  <c r="C183" i="27" l="1"/>
  <c r="D183" i="27" s="1"/>
  <c r="D182" i="27"/>
  <c r="D181" i="27"/>
  <c r="J7" i="27"/>
  <c r="C164" i="27"/>
  <c r="D164" i="27" s="1"/>
  <c r="D163" i="27"/>
  <c r="J5" i="27"/>
  <c r="D162" i="27"/>
</calcChain>
</file>

<file path=xl/sharedStrings.xml><?xml version="1.0" encoding="utf-8"?>
<sst xmlns="http://schemas.openxmlformats.org/spreadsheetml/2006/main" count="2958" uniqueCount="327">
  <si>
    <t>Projected Profitability Statement  - Nava Bharat Energy India Ltd. (Rs. in Million)</t>
  </si>
  <si>
    <t>Liabilities</t>
  </si>
  <si>
    <t xml:space="preserve"> Equity </t>
  </si>
  <si>
    <t>Borrowed Funds</t>
  </si>
  <si>
    <t>Total Borrowed Funds</t>
  </si>
  <si>
    <t>Total Liabilities</t>
  </si>
  <si>
    <t>Assets</t>
  </si>
  <si>
    <t>Less: Accumulated Depreciation</t>
  </si>
  <si>
    <t>Net Fixed Assets</t>
  </si>
  <si>
    <t>Cash Balance</t>
  </si>
  <si>
    <t>Total Assets</t>
  </si>
  <si>
    <t>Change in Current Assets</t>
  </si>
  <si>
    <t>Change in Current Liabilities</t>
  </si>
  <si>
    <t>Change in Net Current Assets</t>
  </si>
  <si>
    <t>For year ended on March 31,</t>
  </si>
  <si>
    <t>Capacity (MW)</t>
  </si>
  <si>
    <t>Plant Load Factor</t>
  </si>
  <si>
    <t>Actual Generation (million units)</t>
  </si>
  <si>
    <t>Auxiliary Consumption (million units)</t>
  </si>
  <si>
    <t>Units available for sale (million units)</t>
  </si>
  <si>
    <t>Avg Merchant tariff (Rs. per unit)</t>
  </si>
  <si>
    <t>Revenue</t>
  </si>
  <si>
    <t>Expenditure</t>
  </si>
  <si>
    <t>Cost of fuel</t>
  </si>
  <si>
    <t>Operation &amp; Maintenance</t>
  </si>
  <si>
    <t>Total Expenditure</t>
  </si>
  <si>
    <t>PBDIT</t>
  </si>
  <si>
    <t>Interest</t>
  </si>
  <si>
    <t>Term Loan</t>
  </si>
  <si>
    <t>Working Capital</t>
  </si>
  <si>
    <t>Depreciation</t>
  </si>
  <si>
    <t>Profit Before Tax (PBT)</t>
  </si>
  <si>
    <t>Taxes:</t>
  </si>
  <si>
    <t>Current</t>
  </si>
  <si>
    <t>Deferred</t>
  </si>
  <si>
    <t>Profit After Tax (PAT)</t>
  </si>
  <si>
    <t>Gross cash accruals</t>
  </si>
  <si>
    <t>Scenario</t>
  </si>
  <si>
    <t>Average DSCR</t>
  </si>
  <si>
    <t>Hard Costs</t>
  </si>
  <si>
    <t>Interest Rate</t>
  </si>
  <si>
    <t>Cost of Fuel</t>
  </si>
  <si>
    <t>Principal Repayment (Long Term)</t>
  </si>
  <si>
    <t>Debt Service Coverage Ratio</t>
  </si>
  <si>
    <t>IRR Calculations</t>
  </si>
  <si>
    <t>For the year ended on March 31,</t>
  </si>
  <si>
    <t>Inflows</t>
  </si>
  <si>
    <t>PAT + Interest + Depreciation</t>
  </si>
  <si>
    <t>Terminal Value</t>
  </si>
  <si>
    <t>Total inflows</t>
  </si>
  <si>
    <t>Outflows</t>
  </si>
  <si>
    <t>Capex (net of IDC &amp; Margin Money)</t>
  </si>
  <si>
    <t>Net Current assets</t>
  </si>
  <si>
    <t>Total Outflows</t>
  </si>
  <si>
    <t>Net Cash Flow (post Tax)</t>
  </si>
  <si>
    <t>IRR (Post Tax) 15 years</t>
  </si>
  <si>
    <t>IRR (Post Tax) 10 years</t>
  </si>
  <si>
    <t>Current Assets (Excluding Cash Balance)</t>
  </si>
  <si>
    <t>IRR (2027)</t>
  </si>
  <si>
    <t>IRR (2022)</t>
  </si>
  <si>
    <t xml:space="preserve">   Paloncha</t>
  </si>
  <si>
    <t xml:space="preserve">   Dharmavaram</t>
  </si>
  <si>
    <t>Average Coal Consumption</t>
  </si>
  <si>
    <t>Coal Consumption (Million Tonne)</t>
  </si>
  <si>
    <t xml:space="preserve">     Imported Coal Consumption (Indonesia)</t>
  </si>
  <si>
    <t xml:space="preserve">     Domestic Coal Consumption (SCCL)</t>
  </si>
  <si>
    <t xml:space="preserve">     Escalation Cost</t>
  </si>
  <si>
    <t xml:space="preserve">     Imported Price of Coal (2009)</t>
  </si>
  <si>
    <t>Coal Cost (2012)</t>
  </si>
  <si>
    <t xml:space="preserve">     Domestic Price of Coal (2009)</t>
  </si>
  <si>
    <t>Coal Price (2012)</t>
  </si>
  <si>
    <t>Average Price of Coal</t>
  </si>
  <si>
    <t>Capex (net of Margin Money)</t>
  </si>
  <si>
    <t>Net Current assets (Excluding Cash)</t>
  </si>
  <si>
    <t>Interest Coverage Ratio</t>
  </si>
  <si>
    <t>Fixed Assets Coverage Ratio</t>
  </si>
  <si>
    <t xml:space="preserve"> Reserves and Surplus </t>
  </si>
  <si>
    <t xml:space="preserve"> Long-Term Debt </t>
  </si>
  <si>
    <t xml:space="preserve"> Working Capital Borrowings </t>
  </si>
  <si>
    <t>Coal Consumption (Million Tonnes)</t>
  </si>
  <si>
    <t>Actual Generation (Million Units)</t>
  </si>
  <si>
    <t>Auxiliary Consumption (Million Units)</t>
  </si>
  <si>
    <t>Units Available for Sale (Million Units)</t>
  </si>
  <si>
    <t>Average Merchant Tariff (Rs. per Unit)</t>
  </si>
  <si>
    <t>Operation and Maintenance</t>
  </si>
  <si>
    <t>Profit before Depreciation, Interest, and Tax</t>
  </si>
  <si>
    <t>Profit before Tax (PBT)</t>
  </si>
  <si>
    <t>Profit after Tax (PAT)</t>
  </si>
  <si>
    <t>Gross Cash Accruals</t>
  </si>
  <si>
    <t>Principal Repayment (Long-Term)</t>
  </si>
  <si>
    <t>Total Inflows</t>
  </si>
  <si>
    <t>Net Current Assets (Excluding Cash)</t>
  </si>
  <si>
    <t>Net Current Assets</t>
  </si>
  <si>
    <t>Net Cash Flow (after Tax)</t>
  </si>
  <si>
    <t>IRR (after Tax) 15 years</t>
  </si>
  <si>
    <t>IRR (after Tax) 10 years</t>
  </si>
  <si>
    <t>For Year Ended March 31,</t>
  </si>
  <si>
    <t>Capex (Net of Margin Money)</t>
  </si>
  <si>
    <t>Net Cash Flow (before Tax)</t>
  </si>
  <si>
    <t>IRR (before Tax) 15 years</t>
  </si>
  <si>
    <t>For the year ended March 31,</t>
  </si>
  <si>
    <t>Capex (Net of IDC and Margin Money)</t>
  </si>
  <si>
    <t>Gross Fixed Assets Including Capital Work in Progress</t>
  </si>
  <si>
    <t>Capex (Net of IDC &amp; Margin Money)</t>
  </si>
  <si>
    <t>Units available for Sale (Million Units)</t>
  </si>
  <si>
    <t>Capex (Net of Interest During Construction and Margin Money)</t>
  </si>
  <si>
    <t>Projected Profitability Statement  - Nava Bharat Energy India Ltd. (INR Millions)</t>
  </si>
  <si>
    <t>Shareholders' Funds</t>
  </si>
  <si>
    <t>Net Worth</t>
  </si>
  <si>
    <t>For Year Ended March 31</t>
  </si>
  <si>
    <t>As on March 31</t>
  </si>
  <si>
    <t>Average Merchant Tariff (INR per Unit)</t>
  </si>
  <si>
    <t>Deferred Tax Assets</t>
  </si>
  <si>
    <t>For year ended March 31</t>
  </si>
  <si>
    <t>Comments</t>
  </si>
  <si>
    <t>CAPITAL STRUCTURE</t>
  </si>
  <si>
    <t>% Debt</t>
  </si>
  <si>
    <t>% Equity</t>
  </si>
  <si>
    <t>COST OF DEBT 
("Kd")</t>
  </si>
  <si>
    <t>Kd pre-tax</t>
  </si>
  <si>
    <t xml:space="preserve">Tax rate </t>
  </si>
  <si>
    <t>Kd (after-tax)</t>
  </si>
  <si>
    <t>COST OF EQUITY
("Ke")</t>
  </si>
  <si>
    <t>Beta (Levered)</t>
  </si>
  <si>
    <t>Equity Market Risk Premium</t>
  </si>
  <si>
    <t>Ke</t>
  </si>
  <si>
    <t>Beta Estimates</t>
  </si>
  <si>
    <r>
      <t>Beta Unevered (</t>
    </r>
    <r>
      <rPr>
        <sz val="10"/>
        <rFont val="Symbol"/>
        <family val="1"/>
        <charset val="2"/>
      </rPr>
      <t>b</t>
    </r>
    <r>
      <rPr>
        <sz val="10"/>
        <rFont val="Calibri"/>
        <family val="2"/>
      </rPr>
      <t>u)</t>
    </r>
  </si>
  <si>
    <t>Target D/E</t>
  </si>
  <si>
    <r>
      <t>Beta Re-levered (</t>
    </r>
    <r>
      <rPr>
        <sz val="10"/>
        <rFont val="Symbol"/>
        <family val="1"/>
        <charset val="2"/>
      </rPr>
      <t>b</t>
    </r>
    <r>
      <rPr>
        <sz val="10"/>
        <rFont val="Calibri"/>
        <family val="2"/>
      </rPr>
      <t>e)</t>
    </r>
  </si>
  <si>
    <r>
      <t>b</t>
    </r>
    <r>
      <rPr>
        <sz val="11"/>
        <rFont val="Calibri"/>
        <family val="2"/>
      </rPr>
      <t xml:space="preserve">e = </t>
    </r>
    <r>
      <rPr>
        <sz val="11"/>
        <rFont val="Symbol"/>
        <family val="1"/>
        <charset val="2"/>
      </rPr>
      <t>b</t>
    </r>
    <r>
      <rPr>
        <sz val="11"/>
        <rFont val="Calibri"/>
        <family val="2"/>
      </rPr>
      <t>u x [1 + ((1 - tx %) x D/E)]</t>
    </r>
  </si>
  <si>
    <t>WACC</t>
  </si>
  <si>
    <t>Cost of Capital</t>
  </si>
  <si>
    <t>Exhibit 4</t>
  </si>
  <si>
    <t>Assumption provided</t>
  </si>
  <si>
    <t>From "Beta Estimates" section</t>
  </si>
  <si>
    <t>India Country Risk Premium (10-Yr Bond)</t>
  </si>
  <si>
    <t>10-Year US Treasury Bond Rate</t>
  </si>
  <si>
    <t>D/E</t>
  </si>
  <si>
    <t>NBVL WACC</t>
  </si>
  <si>
    <t xml:space="preserve">D/E </t>
  </si>
  <si>
    <r>
      <t>b</t>
    </r>
    <r>
      <rPr>
        <sz val="10"/>
        <rFont val="Calibri"/>
        <family val="2"/>
      </rPr>
      <t xml:space="preserve">u = </t>
    </r>
    <r>
      <rPr>
        <sz val="10"/>
        <rFont val="Symbol"/>
        <family val="1"/>
        <charset val="2"/>
      </rPr>
      <t>b</t>
    </r>
    <r>
      <rPr>
        <sz val="10"/>
        <rFont val="Calibri"/>
        <family val="2"/>
      </rPr>
      <t>e / [1 + ( (1 - tx %) x D/E)]</t>
    </r>
  </si>
  <si>
    <t>Stockholders' Equity</t>
  </si>
  <si>
    <t>INR Millions</t>
  </si>
  <si>
    <t>Minority Interest</t>
  </si>
  <si>
    <t>Interest Expense</t>
  </si>
  <si>
    <t>KSK Energy Ventures</t>
  </si>
  <si>
    <t>NTPC Limited</t>
  </si>
  <si>
    <t>Debt % of Total Capitalization</t>
  </si>
  <si>
    <t>Financial 
Debt</t>
  </si>
  <si>
    <t>Avg. 
Interest Cost</t>
  </si>
  <si>
    <t>Total Capitalization</t>
  </si>
  <si>
    <t>Reliance Power Limited</t>
  </si>
  <si>
    <t>NA</t>
  </si>
  <si>
    <t>Tata Power</t>
  </si>
  <si>
    <t>Adani Power</t>
  </si>
  <si>
    <t>Operating Results (EBIT)</t>
  </si>
  <si>
    <t>Beta</t>
  </si>
  <si>
    <t>EBIT/Interest Coverage</t>
  </si>
  <si>
    <t>NM</t>
  </si>
  <si>
    <t>MIN</t>
  </si>
  <si>
    <t>MAX</t>
  </si>
  <si>
    <t>Beta 2020 (5 Yrs)</t>
  </si>
  <si>
    <t>Based on case financials</t>
  </si>
  <si>
    <t>control</t>
  </si>
  <si>
    <t>Fees</t>
  </si>
  <si>
    <t>Total</t>
  </si>
  <si>
    <t>TIR</t>
  </si>
  <si>
    <t>NBVL D/E</t>
  </si>
  <si>
    <t>D/E scenarios for project</t>
  </si>
  <si>
    <t>Average of comparables</t>
  </si>
  <si>
    <r>
      <t>Beta Levered (</t>
    </r>
    <r>
      <rPr>
        <sz val="10"/>
        <rFont val="Symbol"/>
        <family val="1"/>
        <charset val="2"/>
      </rPr>
      <t>b</t>
    </r>
    <r>
      <rPr>
        <sz val="10"/>
        <rFont val="Calibri"/>
        <family val="2"/>
      </rPr>
      <t>e)</t>
    </r>
  </si>
  <si>
    <t>Con mayor deuda, podria subir el costo Kd</t>
  </si>
  <si>
    <t>WACC NAVA BHARAT PROJECT</t>
  </si>
  <si>
    <t>P&amp;L</t>
  </si>
  <si>
    <t>Operating Assumptions</t>
  </si>
  <si>
    <t>Projected Cash Flow Statement  - Nava Bharat Energy India Ltd. (INR Millions)</t>
  </si>
  <si>
    <t>Beginning Cash Balance</t>
  </si>
  <si>
    <t>Ending Cash Balance</t>
  </si>
  <si>
    <t>Change in Cash Balance</t>
  </si>
  <si>
    <t>Operating Cash Flow</t>
  </si>
  <si>
    <t>Financing Cash Flow</t>
  </si>
  <si>
    <t>Total Financing Cash Flow</t>
  </si>
  <si>
    <t>Total Operating Cash Flow</t>
  </si>
  <si>
    <t>Capex</t>
  </si>
  <si>
    <t>Control</t>
  </si>
  <si>
    <t xml:space="preserve">Increase in Working Capital Borrowings </t>
  </si>
  <si>
    <t>Interest Expense on Term Loan</t>
  </si>
  <si>
    <t>Interest Expense on Working Capital</t>
  </si>
  <si>
    <t>Expenditures</t>
  </si>
  <si>
    <t>Long-Term Debt Raised</t>
  </si>
  <si>
    <t>Equity Capital Raised</t>
  </si>
  <si>
    <t>% of Revenues</t>
  </si>
  <si>
    <t>Supporting Calculations</t>
  </si>
  <si>
    <t>% of Pre-Tax</t>
  </si>
  <si>
    <t>Current Tax</t>
  </si>
  <si>
    <t>Deferred Tax</t>
  </si>
  <si>
    <t>Gross Fixed Assets</t>
  </si>
  <si>
    <t>Reserves and Surplus - Beginning Balance</t>
  </si>
  <si>
    <t>% Dividend-Pay-out</t>
  </si>
  <si>
    <t>Reserves and Surplus - Ending Balance</t>
  </si>
  <si>
    <t>repago?</t>
  </si>
  <si>
    <t>Commitment fee</t>
  </si>
  <si>
    <t>Underwriting fee</t>
  </si>
  <si>
    <t>Principal repayments</t>
  </si>
  <si>
    <t>Principal drawdowns</t>
  </si>
  <si>
    <t>Debt Beginning Balance</t>
  </si>
  <si>
    <t>Debt Ending Balance</t>
  </si>
  <si>
    <t>Source: Exhibit 3 and 4.</t>
  </si>
  <si>
    <t>la TIR del prestamo es mayor a 12%, all in.</t>
  </si>
  <si>
    <t>Other Financial Results</t>
  </si>
  <si>
    <t>LOAN ANALYSIS</t>
  </si>
  <si>
    <t>interest expense - control</t>
  </si>
  <si>
    <t>principal - control</t>
  </si>
  <si>
    <t>Case Figures</t>
  </si>
  <si>
    <t>Revised Figures</t>
  </si>
  <si>
    <t>P/E</t>
  </si>
  <si>
    <t>EPS</t>
  </si>
  <si>
    <t>Profit After-Tax</t>
  </si>
  <si>
    <t># Shares</t>
  </si>
  <si>
    <t>Stock Price</t>
  </si>
  <si>
    <t>Source: Companies' annual reports. Stock prices as of 6/30/2009.</t>
  </si>
  <si>
    <t>Split estimado</t>
  </si>
  <si>
    <t>EXHIBIT 9:   FINANCIAL INFORMATION OF SELECTED INDIAN POWER GENERATION COMPANIES</t>
  </si>
  <si>
    <t>Net Working Capital</t>
  </si>
  <si>
    <t>Working Capital Debt</t>
  </si>
  <si>
    <t>Tax Credits</t>
  </si>
  <si>
    <t>% Recovery</t>
  </si>
  <si>
    <t>Yr 2027 Nominal</t>
  </si>
  <si>
    <t>Yr 2027 Realized</t>
  </si>
  <si>
    <t>Change in Current Assets (Excl. Cash Balance)</t>
  </si>
  <si>
    <t>Change in Deferred Tax Assets</t>
  </si>
  <si>
    <t>Current Assets (Excluding Cash Balance):</t>
  </si>
  <si>
    <t>Current Tax:</t>
  </si>
  <si>
    <t>Reserves and Surplus (in Shareholders' Funds):</t>
  </si>
  <si>
    <t>Terminal Value:</t>
  </si>
  <si>
    <t>Operating Terminal Value (FCFF) …........................................................................................................................................</t>
  </si>
  <si>
    <t>Net Terminal Value (FCFE) …........................................................................................................................................</t>
  </si>
  <si>
    <t>IRR Calculations - Project IRR</t>
  </si>
  <si>
    <t>IRR Calculations - Shareholders' TIR</t>
  </si>
  <si>
    <t>Working Capital Debt Repayments</t>
  </si>
  <si>
    <t>Long-Term Debt Repayments</t>
  </si>
  <si>
    <t>IRR - Total Project</t>
  </si>
  <si>
    <t>IRR - Years 2013-2027</t>
  </si>
  <si>
    <t>IRR - Attributable to Terminal Value</t>
  </si>
  <si>
    <t>Interest payments (1)</t>
  </si>
  <si>
    <t>(1) Interest expenses of first 3 years, of INR 1,590 million, are included in the total project budget (Exhibit 3) and assumed to be capitalized into Fixed Assets.</t>
  </si>
  <si>
    <t>Free Cash Flow to Firm (FCFF)</t>
  </si>
  <si>
    <t>Total Operating Cash Flow (FCFF)</t>
  </si>
  <si>
    <t>Total FCFF with Terminal Value</t>
  </si>
  <si>
    <t>Total FCFE with Terminal Value</t>
  </si>
  <si>
    <t>Debt %</t>
  </si>
  <si>
    <t>IRR Project</t>
  </si>
  <si>
    <t>Cash Available for Equity Holders (FCFE)</t>
  </si>
  <si>
    <t>Free Cash Flow to Equity (FCFEE)</t>
  </si>
  <si>
    <t>Dividends Paid - Minimum (Implied)</t>
  </si>
  <si>
    <t>Dividends - Minimum (Implied in Case Model)</t>
  </si>
  <si>
    <t>Working Capital Margin</t>
  </si>
  <si>
    <t>Operating Assumtptions</t>
  </si>
  <si>
    <t>IRR Shareholders</t>
  </si>
  <si>
    <t>Cost of Equity (Ke)</t>
  </si>
  <si>
    <t>Financing Assumtptions &amp; Results</t>
  </si>
  <si>
    <t>Merchant Tariff Annual Escalation %</t>
  </si>
  <si>
    <t>Debt Interest Rate</t>
  </si>
  <si>
    <t>Financial Ratios</t>
  </si>
  <si>
    <t>Debt / Total Capitalization</t>
  </si>
  <si>
    <t>EBITDA</t>
  </si>
  <si>
    <t>Debt / EBITDA</t>
  </si>
  <si>
    <t>Interest Coverage (EBIT)</t>
  </si>
  <si>
    <t>Interest Coverage (FCFF)</t>
  </si>
  <si>
    <t>Debt Service Coverage (PAT + D&amp;A + Interest)</t>
  </si>
  <si>
    <t>Debt Service Coverage (FCFF)</t>
  </si>
  <si>
    <t>Profit before Depreciation, Interest &amp; Tax (EBIT)</t>
  </si>
  <si>
    <t>control Loan principal</t>
  </si>
  <si>
    <t>Working Capital Debt:</t>
  </si>
  <si>
    <t>Beginning Working Capital Debt</t>
  </si>
  <si>
    <t>Increase in Working Capital Debt</t>
  </si>
  <si>
    <t>Ending Working Capital Debt</t>
  </si>
  <si>
    <t xml:space="preserve">   % of Change in Current Assets (Assumes Initial Debt Repayment in 3 Yrs)</t>
  </si>
  <si>
    <t>Reconciliation of Equity Contributions</t>
  </si>
  <si>
    <t>Total Equity Contributions …............................................................................</t>
  </si>
  <si>
    <t>Cash Available for Equity Holders (FCFE) ….......................................................</t>
  </si>
  <si>
    <t>MW</t>
  </si>
  <si>
    <t>Billion</t>
  </si>
  <si>
    <t>INR Million/MW</t>
  </si>
  <si>
    <t>Interest adjustments Every 2 Yrs (2)</t>
  </si>
  <si>
    <t>(2) Interest rate may be adjusted every 2 years starting on FY 2013.</t>
  </si>
  <si>
    <t>Revised Figures - Future Rate Increases</t>
  </si>
  <si>
    <t>Debt</t>
  </si>
  <si>
    <t>Equity</t>
  </si>
  <si>
    <t>TOTAL</t>
  </si>
  <si>
    <t>Sources of Capital</t>
  </si>
  <si>
    <t>%</t>
  </si>
  <si>
    <t>Capital Structure Mix</t>
  </si>
  <si>
    <t>Long Term Debt:</t>
  </si>
  <si>
    <t>Beginning Long Term Debt</t>
  </si>
  <si>
    <t>Increase in Long Term Debt</t>
  </si>
  <si>
    <t>Long Term Debt Repayments</t>
  </si>
  <si>
    <t>Ending Long Term Debt</t>
  </si>
  <si>
    <t>Loan Fees - Commitment Fee</t>
  </si>
  <si>
    <t>Loan Fees - Underwriting Fee</t>
  </si>
  <si>
    <t>Total Loan Fees</t>
  </si>
  <si>
    <t>Loan Fees (Charged directly to Shareholders' Equity)</t>
  </si>
  <si>
    <t>Initial Equity Contributions</t>
  </si>
  <si>
    <t>Cost of Fuel Factor (for Sensitivity)</t>
  </si>
  <si>
    <t>Loan principal</t>
  </si>
  <si>
    <t>Control Equity Contribution</t>
  </si>
  <si>
    <t>Terminal Value (on FCFF)</t>
  </si>
  <si>
    <t>Terminal Value (on FCFEE)</t>
  </si>
  <si>
    <t>Differ.: Loan Fees (assumed funded with Initial Equity Contributions) …........................................................................................</t>
  </si>
  <si>
    <t>Operating Data (Based on Exhibit 5)</t>
  </si>
  <si>
    <t>Based on Ex. 5</t>
  </si>
  <si>
    <t>Power Capacity Additions</t>
  </si>
  <si>
    <t>Total Market:</t>
  </si>
  <si>
    <t>NB Plant Expansion:</t>
  </si>
  <si>
    <t>of market capacity addition</t>
  </si>
  <si>
    <t>LF Break-even for Project IRR</t>
  </si>
  <si>
    <t>LF Break-even for Equity IRR</t>
  </si>
  <si>
    <t>No puede bajar de 80% LF!!</t>
  </si>
  <si>
    <t>Nava Bharat Ventures Ltd</t>
  </si>
  <si>
    <t>AVG - ALL</t>
  </si>
  <si>
    <t>AVG - SMALL CAP</t>
  </si>
  <si>
    <t>PROJECT WACC</t>
  </si>
  <si>
    <t>el UW fee deberia negociarse ser pagada con los desembolsos, se asume conservadoramente que se paga todo upfront</t>
  </si>
  <si>
    <t>Se asume la inclusion de los interest tax shields en FCFF</t>
  </si>
  <si>
    <t>Fixed Assets Coverage</t>
  </si>
  <si>
    <t>Interest Coverage (EBITDA)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</si>
</sst>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0.0000"/>
    <numFmt numFmtId="166" formatCode="0.0000000000"/>
    <numFmt numFmtId="167" formatCode="_(* #,##0.0_);_(* \(#,##0.0\);_(* &quot;-&quot;??_);_(@_)"/>
    <numFmt numFmtId="168" formatCode="_(* #,##0_);_(* \(#,##0\);_(* &quot;-&quot;??_);_(@_)"/>
    <numFmt numFmtId="169" formatCode="#,##0.00_ ;\-#,##0.00\ "/>
    <numFmt numFmtId="170" formatCode="0.0%"/>
    <numFmt numFmtId="171" formatCode="_(* #,##0.000_);_(* \(#,##0.000\);_(* &quot;-&quot;??_);_(@_)"/>
  </numFmts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Helv"/>
    </font>
    <font>
      <b/>
      <sz val="16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5"/>
      <color indexed="9"/>
      <name val="Calibri"/>
      <family val="2"/>
    </font>
    <font>
      <b/>
      <sz val="14"/>
      <color indexed="9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sz val="14"/>
      <name val="Calibri"/>
      <family val="2"/>
    </font>
    <font>
      <sz val="11"/>
      <name val="Calibri"/>
      <family val="2"/>
    </font>
    <font>
      <sz val="14"/>
      <color indexed="9"/>
      <name val="Calibri"/>
      <family val="2"/>
    </font>
    <font>
      <b/>
      <sz val="14"/>
      <color indexed="12"/>
      <name val="Calibri"/>
      <family val="2"/>
    </font>
    <font>
      <b/>
      <sz val="11"/>
      <name val="Calibri"/>
      <family val="2"/>
    </font>
    <font>
      <sz val="13"/>
      <color indexed="12"/>
      <name val="Calibri"/>
      <family val="2"/>
    </font>
    <font>
      <sz val="13"/>
      <name val="Calibri"/>
      <family val="2"/>
    </font>
    <font>
      <b/>
      <sz val="15"/>
      <name val="Calibri"/>
      <family val="2"/>
    </font>
    <font>
      <sz val="15"/>
      <name val="Calibri"/>
      <family val="2"/>
    </font>
    <font>
      <b/>
      <u/>
      <sz val="10"/>
      <name val="Calibri"/>
      <family val="2"/>
    </font>
    <font>
      <sz val="10"/>
      <name val="Symbol"/>
      <family val="1"/>
      <charset val="2"/>
    </font>
    <font>
      <sz val="11"/>
      <color indexed="12"/>
      <name val="Calibri"/>
      <family val="2"/>
    </font>
    <font>
      <sz val="11"/>
      <name val="Symbol"/>
      <family val="1"/>
      <charset val="2"/>
    </font>
    <font>
      <sz val="10"/>
      <name val="Symbol"/>
      <family val="1"/>
      <charset val="2"/>
    </font>
    <font>
      <sz val="9"/>
      <color theme="1"/>
      <name val="Calibri"/>
      <family val="2"/>
      <scheme val="minor"/>
    </font>
    <font>
      <i/>
      <sz val="10"/>
      <name val="Calibri"/>
      <family val="2"/>
    </font>
    <font>
      <b/>
      <u/>
      <sz val="12"/>
      <name val="Calibri"/>
      <family val="2"/>
    </font>
    <font>
      <b/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</font>
    <font>
      <u/>
      <sz val="11"/>
      <name val="Calibri"/>
      <family val="2"/>
    </font>
    <font>
      <b/>
      <sz val="12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i/>
      <sz val="10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rgb="FF002060"/>
      <name val="Calibri"/>
      <family val="2"/>
    </font>
    <font>
      <b/>
      <sz val="14"/>
      <color rgb="FF00206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8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/>
    <xf numFmtId="0" fontId="16" fillId="0" borderId="0"/>
    <xf numFmtId="0" fontId="16" fillId="0" borderId="0">
      <alignment horizontal="right"/>
    </xf>
    <xf numFmtId="0" fontId="16" fillId="0" borderId="0"/>
    <xf numFmtId="9" fontId="16" fillId="0" borderId="0" applyFont="0" applyFill="0" applyBorder="0" applyAlignment="0" applyProtection="0"/>
  </cellStyleXfs>
  <cellXfs count="516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4" fontId="3" fillId="0" borderId="11" xfId="0" applyNumberFormat="1" applyFont="1" applyBorder="1" applyAlignment="1">
      <alignment horizontal="right" vertical="center"/>
    </xf>
    <xf numFmtId="4" fontId="3" fillId="0" borderId="12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4" fontId="0" fillId="0" borderId="0" xfId="0" applyNumberFormat="1"/>
    <xf numFmtId="3" fontId="0" fillId="0" borderId="0" xfId="0" applyNumberFormat="1"/>
    <xf numFmtId="0" fontId="1" fillId="2" borderId="13" xfId="0" applyFont="1" applyFill="1" applyBorder="1" applyAlignment="1">
      <alignment horizontal="left"/>
    </xf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0" fontId="1" fillId="2" borderId="17" xfId="0" applyFont="1" applyFill="1" applyBorder="1" applyAlignment="1">
      <alignment horizontal="left"/>
    </xf>
    <xf numFmtId="3" fontId="0" fillId="0" borderId="18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1" fillId="2" borderId="19" xfId="0" applyFont="1" applyFill="1" applyBorder="1" applyAlignment="1">
      <alignment horizontal="left"/>
    </xf>
    <xf numFmtId="3" fontId="0" fillId="0" borderId="2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4" fillId="2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0" fontId="0" fillId="0" borderId="0" xfId="0" applyFill="1"/>
    <xf numFmtId="0" fontId="3" fillId="0" borderId="7" xfId="0" applyFont="1" applyFill="1" applyBorder="1" applyAlignment="1">
      <alignment vertical="center"/>
    </xf>
    <xf numFmtId="9" fontId="3" fillId="0" borderId="8" xfId="0" applyNumberFormat="1" applyFont="1" applyFill="1" applyBorder="1" applyAlignment="1">
      <alignment horizontal="right" vertical="center"/>
    </xf>
    <xf numFmtId="9" fontId="3" fillId="0" borderId="9" xfId="0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9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vertical="center"/>
    </xf>
    <xf numFmtId="1" fontId="3" fillId="0" borderId="8" xfId="0" applyNumberFormat="1" applyFont="1" applyFill="1" applyBorder="1" applyAlignment="1">
      <alignment vertical="center"/>
    </xf>
    <xf numFmtId="2" fontId="3" fillId="0" borderId="8" xfId="0" applyNumberFormat="1" applyFont="1" applyFill="1" applyBorder="1" applyAlignment="1">
      <alignment vertical="center"/>
    </xf>
    <xf numFmtId="2" fontId="3" fillId="0" borderId="9" xfId="0" applyNumberFormat="1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" fillId="2" borderId="22" xfId="0" applyFont="1" applyFill="1" applyBorder="1"/>
    <xf numFmtId="0" fontId="0" fillId="2" borderId="23" xfId="0" applyFill="1" applyBorder="1"/>
    <xf numFmtId="0" fontId="0" fillId="0" borderId="4" xfId="0" applyBorder="1"/>
    <xf numFmtId="9" fontId="0" fillId="0" borderId="6" xfId="0" applyNumberFormat="1" applyBorder="1"/>
    <xf numFmtId="0" fontId="1" fillId="2" borderId="21" xfId="0" applyFont="1" applyFill="1" applyBorder="1"/>
    <xf numFmtId="0" fontId="0" fillId="0" borderId="7" xfId="0" applyBorder="1"/>
    <xf numFmtId="2" fontId="0" fillId="0" borderId="9" xfId="0" applyNumberFormat="1" applyBorder="1"/>
    <xf numFmtId="0" fontId="1" fillId="2" borderId="10" xfId="0" applyFont="1" applyFill="1" applyBorder="1"/>
    <xf numFmtId="10" fontId="0" fillId="0" borderId="9" xfId="0" applyNumberFormat="1" applyBorder="1"/>
    <xf numFmtId="0" fontId="0" fillId="0" borderId="10" xfId="0" applyBorder="1"/>
    <xf numFmtId="2" fontId="0" fillId="0" borderId="12" xfId="0" applyNumberFormat="1" applyBorder="1"/>
    <xf numFmtId="0" fontId="1" fillId="0" borderId="0" xfId="0" applyFont="1"/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 applyAlignment="1">
      <alignment horizontal="right" vertical="center"/>
    </xf>
    <xf numFmtId="3" fontId="0" fillId="0" borderId="0" xfId="0" applyNumberFormat="1" applyFill="1"/>
    <xf numFmtId="9" fontId="5" fillId="0" borderId="8" xfId="0" applyNumberFormat="1" applyFont="1" applyFill="1" applyBorder="1" applyAlignment="1">
      <alignment horizontal="right" vertical="center"/>
    </xf>
    <xf numFmtId="9" fontId="5" fillId="0" borderId="9" xfId="0" applyNumberFormat="1" applyFont="1" applyFill="1" applyBorder="1" applyAlignment="1">
      <alignment horizontal="right" vertical="center"/>
    </xf>
    <xf numFmtId="1" fontId="5" fillId="0" borderId="8" xfId="0" applyNumberFormat="1" applyFont="1" applyFill="1" applyBorder="1" applyAlignment="1">
      <alignment horizontal="right" vertical="center"/>
    </xf>
    <xf numFmtId="1" fontId="5" fillId="0" borderId="9" xfId="0" applyNumberFormat="1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vertical="center"/>
    </xf>
    <xf numFmtId="2" fontId="5" fillId="0" borderId="8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right" vertical="center"/>
    </xf>
    <xf numFmtId="4" fontId="0" fillId="0" borderId="0" xfId="0" applyNumberFormat="1" applyFill="1"/>
    <xf numFmtId="0" fontId="2" fillId="0" borderId="21" xfId="0" applyFont="1" applyFill="1" applyBorder="1" applyAlignment="1">
      <alignment vertical="center"/>
    </xf>
    <xf numFmtId="1" fontId="6" fillId="0" borderId="8" xfId="0" applyNumberFormat="1" applyFont="1" applyFill="1" applyBorder="1" applyAlignment="1">
      <alignment horizontal="right" vertical="center"/>
    </xf>
    <xf numFmtId="1" fontId="6" fillId="0" borderId="9" xfId="0" applyNumberFormat="1" applyFont="1" applyFill="1" applyBorder="1" applyAlignment="1">
      <alignment horizontal="right" vertical="center"/>
    </xf>
    <xf numFmtId="0" fontId="4" fillId="0" borderId="21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vertical="center"/>
    </xf>
    <xf numFmtId="1" fontId="6" fillId="0" borderId="8" xfId="0" applyNumberFormat="1" applyFont="1" applyFill="1" applyBorder="1" applyAlignment="1">
      <alignment vertical="center"/>
    </xf>
    <xf numFmtId="1" fontId="6" fillId="0" borderId="9" xfId="0" applyNumberFormat="1" applyFont="1" applyFill="1" applyBorder="1" applyAlignment="1">
      <alignment vertical="center"/>
    </xf>
    <xf numFmtId="1" fontId="7" fillId="0" borderId="24" xfId="0" applyNumberFormat="1" applyFont="1" applyFill="1" applyBorder="1" applyAlignment="1">
      <alignment vertical="center"/>
    </xf>
    <xf numFmtId="1" fontId="3" fillId="0" borderId="24" xfId="0" applyNumberFormat="1" applyFont="1" applyFill="1" applyBorder="1" applyAlignment="1">
      <alignment vertical="center"/>
    </xf>
    <xf numFmtId="1" fontId="7" fillId="0" borderId="25" xfId="0" applyNumberFormat="1" applyFont="1" applyFill="1" applyBorder="1" applyAlignment="1">
      <alignment vertical="center"/>
    </xf>
    <xf numFmtId="2" fontId="3" fillId="0" borderId="24" xfId="0" applyNumberFormat="1" applyFont="1" applyFill="1" applyBorder="1" applyAlignment="1">
      <alignment vertical="center"/>
    </xf>
    <xf numFmtId="2" fontId="7" fillId="0" borderId="24" xfId="0" applyNumberFormat="1" applyFont="1" applyFill="1" applyBorder="1" applyAlignment="1">
      <alignment vertical="center"/>
    </xf>
    <xf numFmtId="2" fontId="7" fillId="0" borderId="25" xfId="0" applyNumberFormat="1" applyFont="1" applyFill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1" fontId="3" fillId="0" borderId="18" xfId="0" applyNumberFormat="1" applyFont="1" applyBorder="1" applyAlignment="1">
      <alignment horizontal="right" vertical="center"/>
    </xf>
    <xf numFmtId="1" fontId="3" fillId="0" borderId="8" xfId="0" applyNumberFormat="1" applyFont="1" applyBorder="1" applyAlignment="1">
      <alignment horizontal="right" vertical="center"/>
    </xf>
    <xf numFmtId="1" fontId="3" fillId="0" borderId="9" xfId="0" applyNumberFormat="1" applyFont="1" applyBorder="1" applyAlignment="1">
      <alignment horizontal="right" vertical="center"/>
    </xf>
    <xf numFmtId="0" fontId="3" fillId="0" borderId="30" xfId="0" applyFont="1" applyBorder="1" applyAlignment="1">
      <alignment vertical="center"/>
    </xf>
    <xf numFmtId="1" fontId="3" fillId="0" borderId="31" xfId="0" applyNumberFormat="1" applyFont="1" applyBorder="1" applyAlignment="1">
      <alignment vertical="center"/>
    </xf>
    <xf numFmtId="1" fontId="3" fillId="0" borderId="24" xfId="0" applyNumberFormat="1" applyFont="1" applyBorder="1" applyAlignment="1">
      <alignment vertical="center"/>
    </xf>
    <xf numFmtId="1" fontId="3" fillId="0" borderId="27" xfId="0" applyNumberFormat="1" applyFont="1" applyBorder="1" applyAlignment="1">
      <alignment horizontal="right" vertical="center"/>
    </xf>
    <xf numFmtId="1" fontId="3" fillId="0" borderId="2" xfId="0" applyNumberFormat="1" applyFont="1" applyBorder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3" fontId="3" fillId="0" borderId="18" xfId="0" applyNumberFormat="1" applyFont="1" applyFill="1" applyBorder="1" applyAlignment="1">
      <alignment horizontal="right" vertical="center"/>
    </xf>
    <xf numFmtId="3" fontId="3" fillId="0" borderId="8" xfId="0" applyNumberFormat="1" applyFont="1" applyFill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3" fontId="3" fillId="0" borderId="24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2" fillId="0" borderId="13" xfId="0" applyFont="1" applyBorder="1" applyAlignment="1">
      <alignment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2" fillId="0" borderId="19" xfId="0" applyFont="1" applyBorder="1" applyAlignment="1">
      <alignment vertical="center"/>
    </xf>
    <xf numFmtId="1" fontId="3" fillId="0" borderId="20" xfId="0" applyNumberFormat="1" applyFont="1" applyBorder="1" applyAlignment="1">
      <alignment horizontal="right" vertical="center"/>
    </xf>
    <xf numFmtId="1" fontId="3" fillId="0" borderId="11" xfId="0" applyNumberFormat="1" applyFont="1" applyBorder="1" applyAlignment="1">
      <alignment horizontal="right" vertical="center"/>
    </xf>
    <xf numFmtId="1" fontId="3" fillId="0" borderId="12" xfId="0" applyNumberFormat="1" applyFont="1" applyBorder="1" applyAlignment="1">
      <alignment horizontal="right" vertical="center"/>
    </xf>
    <xf numFmtId="0" fontId="2" fillId="0" borderId="32" xfId="0" applyFont="1" applyBorder="1" applyAlignment="1">
      <alignment vertical="center"/>
    </xf>
    <xf numFmtId="10" fontId="2" fillId="0" borderId="26" xfId="0" applyNumberFormat="1" applyFont="1" applyBorder="1" applyAlignment="1">
      <alignment horizontal="right" vertical="center"/>
    </xf>
    <xf numFmtId="0" fontId="8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" fontId="3" fillId="0" borderId="25" xfId="0" applyNumberFormat="1" applyFont="1" applyBorder="1" applyAlignment="1">
      <alignment vertical="center"/>
    </xf>
    <xf numFmtId="0" fontId="0" fillId="0" borderId="0" xfId="0" applyFont="1" applyFill="1"/>
    <xf numFmtId="10" fontId="0" fillId="0" borderId="0" xfId="0" applyNumberFormat="1"/>
    <xf numFmtId="1" fontId="2" fillId="0" borderId="8" xfId="0" applyNumberFormat="1" applyFont="1" applyFill="1" applyBorder="1" applyAlignment="1">
      <alignment horizontal="right" vertical="center"/>
    </xf>
    <xf numFmtId="1" fontId="2" fillId="0" borderId="9" xfId="0" applyNumberFormat="1" applyFont="1" applyFill="1" applyBorder="1" applyAlignment="1">
      <alignment horizontal="right" vertical="center"/>
    </xf>
    <xf numFmtId="1" fontId="2" fillId="0" borderId="8" xfId="0" applyNumberFormat="1" applyFont="1" applyFill="1" applyBorder="1" applyAlignment="1">
      <alignment vertical="center"/>
    </xf>
    <xf numFmtId="0" fontId="0" fillId="2" borderId="36" xfId="0" applyFill="1" applyBorder="1"/>
    <xf numFmtId="0" fontId="0" fillId="2" borderId="37" xfId="0" applyFill="1" applyBorder="1"/>
    <xf numFmtId="2" fontId="0" fillId="0" borderId="13" xfId="0" applyNumberFormat="1" applyBorder="1"/>
    <xf numFmtId="10" fontId="0" fillId="0" borderId="30" xfId="0" applyNumberFormat="1" applyBorder="1"/>
    <xf numFmtId="10" fontId="0" fillId="0" borderId="19" xfId="0" applyNumberFormat="1" applyBorder="1"/>
    <xf numFmtId="165" fontId="3" fillId="0" borderId="8" xfId="0" applyNumberFormat="1" applyFont="1" applyFill="1" applyBorder="1" applyAlignment="1">
      <alignment vertical="center"/>
    </xf>
    <xf numFmtId="166" fontId="0" fillId="0" borderId="0" xfId="0" applyNumberFormat="1" applyFill="1"/>
    <xf numFmtId="0" fontId="2" fillId="0" borderId="22" xfId="0" applyFont="1" applyFill="1" applyBorder="1" applyAlignment="1">
      <alignment vertical="center"/>
    </xf>
    <xf numFmtId="0" fontId="0" fillId="0" borderId="16" xfId="0" applyFont="1" applyFill="1" applyBorder="1"/>
    <xf numFmtId="0" fontId="0" fillId="0" borderId="7" xfId="0" applyFill="1" applyBorder="1"/>
    <xf numFmtId="4" fontId="0" fillId="0" borderId="9" xfId="0" applyNumberFormat="1" applyFill="1" applyBorder="1"/>
    <xf numFmtId="0" fontId="1" fillId="0" borderId="7" xfId="0" applyFont="1" applyFill="1" applyBorder="1" applyAlignment="1">
      <alignment horizontal="center"/>
    </xf>
    <xf numFmtId="0" fontId="0" fillId="0" borderId="9" xfId="0" applyFill="1" applyBorder="1"/>
    <xf numFmtId="0" fontId="9" fillId="0" borderId="7" xfId="0" applyFont="1" applyFill="1" applyBorder="1"/>
    <xf numFmtId="3" fontId="0" fillId="0" borderId="9" xfId="0" applyNumberFormat="1" applyFill="1" applyBorder="1"/>
    <xf numFmtId="9" fontId="0" fillId="0" borderId="9" xfId="0" applyNumberFormat="1" applyFill="1" applyBorder="1"/>
    <xf numFmtId="0" fontId="0" fillId="0" borderId="10" xfId="0" applyFill="1" applyBorder="1"/>
    <xf numFmtId="0" fontId="0" fillId="0" borderId="12" xfId="0" applyFill="1" applyBorder="1"/>
    <xf numFmtId="0" fontId="1" fillId="0" borderId="22" xfId="0" applyFont="1" applyFill="1" applyBorder="1"/>
    <xf numFmtId="0" fontId="0" fillId="0" borderId="16" xfId="0" applyFill="1" applyBorder="1"/>
    <xf numFmtId="3" fontId="1" fillId="0" borderId="9" xfId="0" applyNumberFormat="1" applyFont="1" applyFill="1" applyBorder="1"/>
    <xf numFmtId="0" fontId="1" fillId="0" borderId="12" xfId="0" applyFont="1" applyFill="1" applyBorder="1"/>
    <xf numFmtId="3" fontId="1" fillId="0" borderId="38" xfId="0" applyNumberFormat="1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3" fontId="0" fillId="0" borderId="6" xfId="0" applyNumberFormat="1" applyFill="1" applyBorder="1"/>
    <xf numFmtId="9" fontId="0" fillId="0" borderId="40" xfId="0" applyNumberFormat="1" applyFill="1" applyBorder="1"/>
    <xf numFmtId="1" fontId="0" fillId="0" borderId="0" xfId="0" applyNumberFormat="1" applyFill="1"/>
    <xf numFmtId="2" fontId="0" fillId="0" borderId="13" xfId="0" applyNumberFormat="1" applyFill="1" applyBorder="1"/>
    <xf numFmtId="10" fontId="0" fillId="0" borderId="30" xfId="0" applyNumberFormat="1" applyFill="1" applyBorder="1"/>
    <xf numFmtId="0" fontId="0" fillId="0" borderId="23" xfId="0" applyFill="1" applyBorder="1"/>
    <xf numFmtId="0" fontId="1" fillId="0" borderId="21" xfId="0" applyFont="1" applyFill="1" applyBorder="1"/>
    <xf numFmtId="0" fontId="0" fillId="0" borderId="36" xfId="0" applyFill="1" applyBorder="1"/>
    <xf numFmtId="164" fontId="7" fillId="0" borderId="24" xfId="1" applyFont="1" applyFill="1" applyBorder="1" applyAlignment="1">
      <alignment vertical="center"/>
    </xf>
    <xf numFmtId="164" fontId="3" fillId="0" borderId="24" xfId="1" applyFont="1" applyFill="1" applyBorder="1" applyAlignment="1">
      <alignment vertical="center"/>
    </xf>
    <xf numFmtId="164" fontId="7" fillId="0" borderId="25" xfId="1" applyFont="1" applyFill="1" applyBorder="1" applyAlignment="1">
      <alignment vertical="center"/>
    </xf>
    <xf numFmtId="164" fontId="3" fillId="0" borderId="11" xfId="1" applyFont="1" applyFill="1" applyBorder="1" applyAlignment="1">
      <alignment horizontal="right" vertical="center"/>
    </xf>
    <xf numFmtId="167" fontId="3" fillId="0" borderId="24" xfId="1" applyNumberFormat="1" applyFont="1" applyFill="1" applyBorder="1" applyAlignment="1">
      <alignment vertical="center"/>
    </xf>
    <xf numFmtId="167" fontId="3" fillId="0" borderId="11" xfId="1" applyNumberFormat="1" applyFont="1" applyFill="1" applyBorder="1" applyAlignment="1">
      <alignment horizontal="right" vertical="center"/>
    </xf>
    <xf numFmtId="168" fontId="5" fillId="0" borderId="5" xfId="1" applyNumberFormat="1" applyFont="1" applyFill="1" applyBorder="1" applyAlignment="1">
      <alignment horizontal="right" vertical="center"/>
    </xf>
    <xf numFmtId="168" fontId="5" fillId="0" borderId="6" xfId="1" applyNumberFormat="1" applyFont="1" applyFill="1" applyBorder="1" applyAlignment="1">
      <alignment horizontal="right" vertical="center"/>
    </xf>
    <xf numFmtId="168" fontId="5" fillId="0" borderId="8" xfId="1" applyNumberFormat="1" applyFont="1" applyFill="1" applyBorder="1" applyAlignment="1">
      <alignment horizontal="right" vertical="center"/>
    </xf>
    <xf numFmtId="168" fontId="5" fillId="0" borderId="9" xfId="1" applyNumberFormat="1" applyFont="1" applyFill="1" applyBorder="1" applyAlignment="1">
      <alignment horizontal="right" vertical="center"/>
    </xf>
    <xf numFmtId="168" fontId="6" fillId="0" borderId="8" xfId="1" applyNumberFormat="1" applyFont="1" applyFill="1" applyBorder="1" applyAlignment="1">
      <alignment horizontal="right" vertical="center"/>
    </xf>
    <xf numFmtId="168" fontId="6" fillId="0" borderId="9" xfId="1" applyNumberFormat="1" applyFont="1" applyFill="1" applyBorder="1" applyAlignment="1">
      <alignment horizontal="right" vertical="center"/>
    </xf>
    <xf numFmtId="168" fontId="3" fillId="0" borderId="8" xfId="1" applyNumberFormat="1" applyFont="1" applyFill="1" applyBorder="1" applyAlignment="1">
      <alignment vertical="center"/>
    </xf>
    <xf numFmtId="168" fontId="3" fillId="0" borderId="9" xfId="1" applyNumberFormat="1" applyFont="1" applyFill="1" applyBorder="1" applyAlignment="1">
      <alignment vertical="center"/>
    </xf>
    <xf numFmtId="168" fontId="2" fillId="0" borderId="8" xfId="1" applyNumberFormat="1" applyFont="1" applyFill="1" applyBorder="1" applyAlignment="1">
      <alignment horizontal="right" vertical="center"/>
    </xf>
    <xf numFmtId="168" fontId="3" fillId="0" borderId="8" xfId="1" applyNumberFormat="1" applyFont="1" applyFill="1" applyBorder="1" applyAlignment="1">
      <alignment horizontal="right" vertical="center"/>
    </xf>
    <xf numFmtId="168" fontId="3" fillId="0" borderId="9" xfId="1" applyNumberFormat="1" applyFont="1" applyFill="1" applyBorder="1" applyAlignment="1">
      <alignment horizontal="right" vertical="center"/>
    </xf>
    <xf numFmtId="168" fontId="2" fillId="0" borderId="8" xfId="1" applyNumberFormat="1" applyFont="1" applyFill="1" applyBorder="1" applyAlignment="1">
      <alignment vertical="center"/>
    </xf>
    <xf numFmtId="168" fontId="6" fillId="0" borderId="8" xfId="1" applyNumberFormat="1" applyFont="1" applyFill="1" applyBorder="1" applyAlignment="1">
      <alignment vertical="center"/>
    </xf>
    <xf numFmtId="168" fontId="6" fillId="0" borderId="9" xfId="1" applyNumberFormat="1" applyFont="1" applyFill="1" applyBorder="1" applyAlignment="1">
      <alignment vertical="center"/>
    </xf>
    <xf numFmtId="168" fontId="7" fillId="0" borderId="24" xfId="1" applyNumberFormat="1" applyFont="1" applyFill="1" applyBorder="1" applyAlignment="1">
      <alignment vertical="center"/>
    </xf>
    <xf numFmtId="168" fontId="3" fillId="0" borderId="24" xfId="1" applyNumberFormat="1" applyFont="1" applyFill="1" applyBorder="1" applyAlignment="1">
      <alignment vertical="center"/>
    </xf>
    <xf numFmtId="168" fontId="7" fillId="0" borderId="25" xfId="1" applyNumberFormat="1" applyFont="1" applyFill="1" applyBorder="1" applyAlignment="1">
      <alignment vertical="center"/>
    </xf>
    <xf numFmtId="164" fontId="5" fillId="0" borderId="8" xfId="1" applyNumberFormat="1" applyFont="1" applyFill="1" applyBorder="1" applyAlignment="1">
      <alignment horizontal="right" vertical="center"/>
    </xf>
    <xf numFmtId="164" fontId="5" fillId="0" borderId="9" xfId="1" applyNumberFormat="1" applyFont="1" applyFill="1" applyBorder="1" applyAlignment="1">
      <alignment horizontal="right" vertical="center"/>
    </xf>
    <xf numFmtId="164" fontId="3" fillId="0" borderId="12" xfId="1" applyFont="1" applyFill="1" applyBorder="1" applyAlignment="1">
      <alignment horizontal="right" vertical="center"/>
    </xf>
    <xf numFmtId="168" fontId="2" fillId="0" borderId="29" xfId="1" applyNumberFormat="1" applyFont="1" applyBorder="1" applyAlignment="1">
      <alignment vertical="center"/>
    </xf>
    <xf numFmtId="168" fontId="3" fillId="0" borderId="5" xfId="1" applyNumberFormat="1" applyFont="1" applyBorder="1" applyAlignment="1">
      <alignment vertical="center"/>
    </xf>
    <xf numFmtId="168" fontId="3" fillId="0" borderId="6" xfId="1" applyNumberFormat="1" applyFont="1" applyBorder="1" applyAlignment="1">
      <alignment vertical="center"/>
    </xf>
    <xf numFmtId="168" fontId="3" fillId="0" borderId="18" xfId="1" applyNumberFormat="1" applyFont="1" applyBorder="1" applyAlignment="1">
      <alignment horizontal="right" vertical="center"/>
    </xf>
    <xf numFmtId="168" fontId="3" fillId="0" borderId="8" xfId="1" applyNumberFormat="1" applyFont="1" applyBorder="1" applyAlignment="1">
      <alignment horizontal="right" vertical="center"/>
    </xf>
    <xf numFmtId="168" fontId="3" fillId="0" borderId="9" xfId="1" applyNumberFormat="1" applyFont="1" applyBorder="1" applyAlignment="1">
      <alignment horizontal="right" vertical="center"/>
    </xf>
    <xf numFmtId="168" fontId="3" fillId="0" borderId="31" xfId="1" applyNumberFormat="1" applyFont="1" applyBorder="1" applyAlignment="1">
      <alignment vertical="center"/>
    </xf>
    <xf numFmtId="168" fontId="3" fillId="0" borderId="24" xfId="1" applyNumberFormat="1" applyFont="1" applyBorder="1" applyAlignment="1">
      <alignment vertical="center"/>
    </xf>
    <xf numFmtId="168" fontId="3" fillId="0" borderId="27" xfId="1" applyNumberFormat="1" applyFont="1" applyBorder="1" applyAlignment="1">
      <alignment horizontal="right" vertical="center"/>
    </xf>
    <xf numFmtId="168" fontId="3" fillId="0" borderId="2" xfId="1" applyNumberFormat="1" applyFont="1" applyBorder="1" applyAlignment="1">
      <alignment horizontal="right" vertical="center"/>
    </xf>
    <xf numFmtId="168" fontId="3" fillId="0" borderId="3" xfId="1" applyNumberFormat="1" applyFont="1" applyBorder="1" applyAlignment="1">
      <alignment horizontal="right" vertical="center"/>
    </xf>
    <xf numFmtId="168" fontId="3" fillId="0" borderId="18" xfId="1" applyNumberFormat="1" applyFont="1" applyFill="1" applyBorder="1" applyAlignment="1">
      <alignment horizontal="right" vertical="center"/>
    </xf>
    <xf numFmtId="168" fontId="3" fillId="0" borderId="31" xfId="1" applyNumberFormat="1" applyFont="1" applyBorder="1" applyAlignment="1">
      <alignment horizontal="right" vertical="center"/>
    </xf>
    <xf numFmtId="168" fontId="3" fillId="0" borderId="24" xfId="1" applyNumberFormat="1" applyFont="1" applyBorder="1" applyAlignment="1">
      <alignment horizontal="right" vertical="center"/>
    </xf>
    <xf numFmtId="168" fontId="3" fillId="0" borderId="25" xfId="1" applyNumberFormat="1" applyFont="1" applyBorder="1" applyAlignment="1">
      <alignment horizontal="right" vertical="center"/>
    </xf>
    <xf numFmtId="168" fontId="3" fillId="0" borderId="14" xfId="1" applyNumberFormat="1" applyFont="1" applyBorder="1" applyAlignment="1">
      <alignment horizontal="right" vertical="center"/>
    </xf>
    <xf numFmtId="168" fontId="3" fillId="0" borderId="15" xfId="1" applyNumberFormat="1" applyFont="1" applyBorder="1" applyAlignment="1">
      <alignment horizontal="right" vertical="center"/>
    </xf>
    <xf numFmtId="168" fontId="3" fillId="0" borderId="16" xfId="1" applyNumberFormat="1" applyFont="1" applyBorder="1" applyAlignment="1">
      <alignment horizontal="right" vertical="center"/>
    </xf>
    <xf numFmtId="168" fontId="3" fillId="0" borderId="20" xfId="1" applyNumberFormat="1" applyFont="1" applyBorder="1" applyAlignment="1">
      <alignment horizontal="right" vertical="center"/>
    </xf>
    <xf numFmtId="168" fontId="3" fillId="0" borderId="11" xfId="1" applyNumberFormat="1" applyFont="1" applyBorder="1" applyAlignment="1">
      <alignment horizontal="right" vertical="center"/>
    </xf>
    <xf numFmtId="168" fontId="3" fillId="0" borderId="12" xfId="1" applyNumberFormat="1" applyFont="1" applyBorder="1" applyAlignment="1">
      <alignment horizontal="right" vertical="center"/>
    </xf>
    <xf numFmtId="168" fontId="3" fillId="0" borderId="25" xfId="1" applyNumberFormat="1" applyFont="1" applyBorder="1" applyAlignment="1">
      <alignment vertical="center"/>
    </xf>
    <xf numFmtId="0" fontId="14" fillId="0" borderId="44" xfId="3" applyFont="1" applyBorder="1"/>
    <xf numFmtId="0" fontId="15" fillId="0" borderId="44" xfId="3" applyFont="1" applyBorder="1"/>
    <xf numFmtId="0" fontId="15" fillId="0" borderId="0" xfId="3" applyFont="1"/>
    <xf numFmtId="0" fontId="17" fillId="0" borderId="0" xfId="4" applyFont="1"/>
    <xf numFmtId="0" fontId="18" fillId="3" borderId="0" xfId="4" applyFont="1" applyFill="1" applyAlignment="1">
      <alignment horizontal="centerContinuous" vertical="center" wrapText="1"/>
    </xf>
    <xf numFmtId="0" fontId="19" fillId="3" borderId="0" xfId="4" applyFont="1" applyFill="1" applyAlignment="1">
      <alignment horizontal="centerContinuous" vertical="center" wrapText="1"/>
    </xf>
    <xf numFmtId="0" fontId="20" fillId="0" borderId="5" xfId="4" applyFont="1" applyBorder="1" applyAlignment="1">
      <alignment horizontal="center" vertical="center" wrapText="1"/>
    </xf>
    <xf numFmtId="0" fontId="16" fillId="0" borderId="0" xfId="5">
      <alignment horizontal="right"/>
    </xf>
    <xf numFmtId="0" fontId="20" fillId="4" borderId="0" xfId="4" applyFont="1" applyFill="1"/>
    <xf numFmtId="0" fontId="22" fillId="4" borderId="0" xfId="4" applyFont="1" applyFill="1"/>
    <xf numFmtId="9" fontId="20" fillId="4" borderId="0" xfId="4" applyNumberFormat="1" applyFont="1" applyFill="1"/>
    <xf numFmtId="0" fontId="22" fillId="0" borderId="0" xfId="4" applyFont="1"/>
    <xf numFmtId="0" fontId="23" fillId="0" borderId="0" xfId="4" applyFont="1"/>
    <xf numFmtId="9" fontId="23" fillId="0" borderId="0" xfId="4" applyNumberFormat="1" applyFont="1"/>
    <xf numFmtId="9" fontId="25" fillId="4" borderId="0" xfId="4" applyNumberFormat="1" applyFont="1" applyFill="1"/>
    <xf numFmtId="0" fontId="26" fillId="0" borderId="0" xfId="4" applyFont="1"/>
    <xf numFmtId="10" fontId="27" fillId="0" borderId="0" xfId="4" applyNumberFormat="1" applyFont="1"/>
    <xf numFmtId="10" fontId="28" fillId="0" borderId="0" xfId="4" applyNumberFormat="1" applyFont="1"/>
    <xf numFmtId="9" fontId="27" fillId="0" borderId="45" xfId="4" applyNumberFormat="1" applyFont="1" applyBorder="1"/>
    <xf numFmtId="10" fontId="28" fillId="0" borderId="45" xfId="4" applyNumberFormat="1" applyFont="1" applyBorder="1"/>
    <xf numFmtId="0" fontId="29" fillId="4" borderId="0" xfId="4" applyFont="1" applyFill="1"/>
    <xf numFmtId="0" fontId="30" fillId="4" borderId="0" xfId="4" applyFont="1" applyFill="1"/>
    <xf numFmtId="10" fontId="29" fillId="4" borderId="0" xfId="7" applyNumberFormat="1" applyFont="1" applyFill="1"/>
    <xf numFmtId="0" fontId="30" fillId="0" borderId="0" xfId="4" applyFont="1"/>
    <xf numFmtId="0" fontId="21" fillId="0" borderId="0" xfId="4" applyFont="1"/>
    <xf numFmtId="169" fontId="28" fillId="0" borderId="0" xfId="4" applyNumberFormat="1" applyFont="1"/>
    <xf numFmtId="0" fontId="23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0" fontId="29" fillId="4" borderId="0" xfId="4" applyFont="1" applyFill="1" applyAlignment="1">
      <alignment vertical="center"/>
    </xf>
    <xf numFmtId="0" fontId="30" fillId="4" borderId="0" xfId="4" applyFont="1" applyFill="1" applyAlignment="1">
      <alignment vertical="center"/>
    </xf>
    <xf numFmtId="10" fontId="29" fillId="4" borderId="0" xfId="4" applyNumberFormat="1" applyFont="1" applyFill="1" applyAlignment="1">
      <alignment vertical="center"/>
    </xf>
    <xf numFmtId="0" fontId="30" fillId="0" borderId="0" xfId="4" applyFont="1" applyAlignment="1">
      <alignment vertical="center"/>
    </xf>
    <xf numFmtId="0" fontId="26" fillId="0" borderId="0" xfId="4" applyFont="1" applyAlignment="1">
      <alignment vertical="center"/>
    </xf>
    <xf numFmtId="170" fontId="26" fillId="0" borderId="0" xfId="4" applyNumberFormat="1" applyFont="1" applyAlignment="1">
      <alignment vertical="center"/>
    </xf>
    <xf numFmtId="0" fontId="31" fillId="0" borderId="0" xfId="4" applyFont="1"/>
    <xf numFmtId="169" fontId="33" fillId="0" borderId="0" xfId="4" applyNumberFormat="1" applyFont="1"/>
    <xf numFmtId="169" fontId="23" fillId="0" borderId="0" xfId="4" applyNumberFormat="1" applyFont="1"/>
    <xf numFmtId="9" fontId="23" fillId="0" borderId="0" xfId="7" applyFont="1"/>
    <xf numFmtId="169" fontId="26" fillId="0" borderId="0" xfId="4" applyNumberFormat="1" applyFont="1"/>
    <xf numFmtId="0" fontId="34" fillId="0" borderId="0" xfId="4" applyFont="1" applyAlignment="1">
      <alignment vertical="center"/>
    </xf>
    <xf numFmtId="0" fontId="18" fillId="5" borderId="0" xfId="4" applyFont="1" applyFill="1" applyAlignment="1">
      <alignment horizontal="centerContinuous" vertical="center"/>
    </xf>
    <xf numFmtId="0" fontId="29" fillId="0" borderId="0" xfId="4" applyFont="1" applyAlignment="1">
      <alignment vertical="center"/>
    </xf>
    <xf numFmtId="0" fontId="21" fillId="0" borderId="45" xfId="4" applyFont="1" applyBorder="1" applyAlignment="1">
      <alignment vertical="center"/>
    </xf>
    <xf numFmtId="9" fontId="23" fillId="0" borderId="0" xfId="2" applyFont="1"/>
    <xf numFmtId="0" fontId="35" fillId="0" borderId="0" xfId="4" applyFont="1" applyAlignment="1">
      <alignment vertical="center"/>
    </xf>
    <xf numFmtId="164" fontId="33" fillId="0" borderId="0" xfId="1" applyFont="1"/>
    <xf numFmtId="170" fontId="0" fillId="0" borderId="0" xfId="2" applyNumberFormat="1" applyFont="1"/>
    <xf numFmtId="0" fontId="0" fillId="0" borderId="0" xfId="0" applyAlignment="1">
      <alignment horizontal="center" wrapText="1"/>
    </xf>
    <xf numFmtId="0" fontId="0" fillId="0" borderId="45" xfId="0" applyBorder="1" applyAlignment="1">
      <alignment horizontal="center" wrapText="1"/>
    </xf>
    <xf numFmtId="164" fontId="0" fillId="0" borderId="0" xfId="1" applyFon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0" fontId="2" fillId="0" borderId="0" xfId="0" applyFont="1"/>
    <xf numFmtId="0" fontId="36" fillId="0" borderId="0" xfId="0" applyFont="1"/>
    <xf numFmtId="9" fontId="0" fillId="0" borderId="0" xfId="0" applyNumberFormat="1"/>
    <xf numFmtId="168" fontId="0" fillId="0" borderId="0" xfId="0" applyNumberFormat="1" applyFill="1"/>
    <xf numFmtId="0" fontId="37" fillId="0" borderId="0" xfId="4" applyFont="1"/>
    <xf numFmtId="0" fontId="38" fillId="0" borderId="0" xfId="4" applyFont="1"/>
    <xf numFmtId="168" fontId="17" fillId="0" borderId="0" xfId="1" applyNumberFormat="1" applyFont="1"/>
    <xf numFmtId="168" fontId="37" fillId="0" borderId="0" xfId="1" applyNumberFormat="1" applyFont="1"/>
    <xf numFmtId="168" fontId="17" fillId="0" borderId="0" xfId="4" applyNumberFormat="1" applyFont="1" applyAlignment="1">
      <alignment vertical="center"/>
    </xf>
    <xf numFmtId="0" fontId="12" fillId="0" borderId="45" xfId="0" applyFont="1" applyBorder="1" applyAlignment="1">
      <alignment horizontal="center" wrapText="1"/>
    </xf>
    <xf numFmtId="0" fontId="12" fillId="0" borderId="0" xfId="0" applyFont="1"/>
    <xf numFmtId="164" fontId="12" fillId="0" borderId="0" xfId="1" applyFont="1"/>
    <xf numFmtId="0" fontId="1" fillId="7" borderId="0" xfId="0" applyFont="1" applyFill="1"/>
    <xf numFmtId="170" fontId="1" fillId="7" borderId="0" xfId="2" applyNumberFormat="1" applyFont="1" applyFill="1"/>
    <xf numFmtId="167" fontId="1" fillId="7" borderId="0" xfId="1" applyNumberFormat="1" applyFont="1" applyFill="1"/>
    <xf numFmtId="164" fontId="1" fillId="7" borderId="0" xfId="1" applyNumberFormat="1" applyFont="1" applyFill="1"/>
    <xf numFmtId="0" fontId="1" fillId="6" borderId="0" xfId="0" applyFont="1" applyFill="1"/>
    <xf numFmtId="168" fontId="1" fillId="6" borderId="0" xfId="1" applyNumberFormat="1" applyFont="1" applyFill="1"/>
    <xf numFmtId="168" fontId="1" fillId="6" borderId="0" xfId="1" applyNumberFormat="1" applyFont="1" applyFill="1" applyAlignment="1">
      <alignment horizontal="right"/>
    </xf>
    <xf numFmtId="170" fontId="1" fillId="6" borderId="0" xfId="2" applyNumberFormat="1" applyFont="1" applyFill="1"/>
    <xf numFmtId="167" fontId="1" fillId="6" borderId="0" xfId="1" applyNumberFormat="1" applyFont="1" applyFill="1"/>
    <xf numFmtId="164" fontId="1" fillId="6" borderId="0" xfId="1" applyFont="1" applyFill="1"/>
    <xf numFmtId="168" fontId="1" fillId="7" borderId="0" xfId="1" applyNumberFormat="1" applyFont="1" applyFill="1" applyAlignment="1">
      <alignment horizontal="left"/>
    </xf>
    <xf numFmtId="0" fontId="10" fillId="2" borderId="2" xfId="0" applyFont="1" applyFill="1" applyBorder="1" applyAlignment="1">
      <alignment horizontal="centerContinuous" vertical="center"/>
    </xf>
    <xf numFmtId="0" fontId="10" fillId="2" borderId="3" xfId="0" applyFont="1" applyFill="1" applyBorder="1" applyAlignment="1">
      <alignment horizontal="centerContinuous" vertical="center"/>
    </xf>
    <xf numFmtId="0" fontId="2" fillId="2" borderId="33" xfId="0" applyFont="1" applyFill="1" applyBorder="1" applyAlignment="1">
      <alignment horizontal="centerContinuous" vertical="center"/>
    </xf>
    <xf numFmtId="0" fontId="2" fillId="2" borderId="34" xfId="0" applyFont="1" applyFill="1" applyBorder="1" applyAlignment="1">
      <alignment horizontal="centerContinuous" vertical="center"/>
    </xf>
    <xf numFmtId="0" fontId="2" fillId="2" borderId="35" xfId="0" applyFont="1" applyFill="1" applyBorder="1" applyAlignment="1">
      <alignment horizontal="centerContinuous" vertical="center"/>
    </xf>
    <xf numFmtId="0" fontId="39" fillId="2" borderId="1" xfId="0" applyFont="1" applyFill="1" applyBorder="1" applyAlignment="1">
      <alignment horizontal="centerContinuous" vertical="center"/>
    </xf>
    <xf numFmtId="0" fontId="40" fillId="0" borderId="21" xfId="0" applyFont="1" applyFill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8" fontId="2" fillId="0" borderId="8" xfId="1" applyNumberFormat="1" applyFont="1" applyBorder="1" applyAlignment="1">
      <alignment horizontal="right" vertical="center"/>
    </xf>
    <xf numFmtId="168" fontId="2" fillId="0" borderId="9" xfId="1" applyNumberFormat="1" applyFont="1" applyBorder="1" applyAlignment="1">
      <alignment horizontal="right" vertical="center"/>
    </xf>
    <xf numFmtId="0" fontId="12" fillId="0" borderId="0" xfId="0" applyFont="1" applyFill="1"/>
    <xf numFmtId="0" fontId="39" fillId="0" borderId="41" xfId="0" applyFont="1" applyBorder="1" applyAlignment="1">
      <alignment horizontal="centerContinuous" vertical="center"/>
    </xf>
    <xf numFmtId="0" fontId="39" fillId="0" borderId="42" xfId="0" applyFont="1" applyBorder="1" applyAlignment="1">
      <alignment horizontal="centerContinuous" vertical="center"/>
    </xf>
    <xf numFmtId="0" fontId="39" fillId="0" borderId="43" xfId="0" applyFont="1" applyBorder="1" applyAlignment="1">
      <alignment horizontal="centerContinuous" vertical="center"/>
    </xf>
    <xf numFmtId="0" fontId="3" fillId="0" borderId="7" xfId="0" applyFont="1" applyBorder="1" applyAlignment="1">
      <alignment horizontal="left" vertical="center"/>
    </xf>
    <xf numFmtId="0" fontId="4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Border="1"/>
    <xf numFmtId="0" fontId="0" fillId="0" borderId="0" xfId="0" applyBorder="1"/>
    <xf numFmtId="168" fontId="11" fillId="0" borderId="0" xfId="1" applyNumberFormat="1" applyFont="1" applyBorder="1" applyAlignment="1">
      <alignment horizontal="right" vertical="center"/>
    </xf>
    <xf numFmtId="168" fontId="11" fillId="0" borderId="0" xfId="1" applyNumberFormat="1" applyFont="1" applyFill="1" applyBorder="1" applyAlignment="1">
      <alignment horizontal="right" vertical="center"/>
    </xf>
    <xf numFmtId="168" fontId="11" fillId="0" borderId="0" xfId="1" applyNumberFormat="1" applyFont="1" applyBorder="1"/>
    <xf numFmtId="4" fontId="44" fillId="0" borderId="0" xfId="0" applyNumberFormat="1" applyFont="1"/>
    <xf numFmtId="0" fontId="10" fillId="0" borderId="7" xfId="0" applyFont="1" applyFill="1" applyBorder="1" applyAlignment="1">
      <alignment vertical="center"/>
    </xf>
    <xf numFmtId="9" fontId="11" fillId="0" borderId="0" xfId="2" applyFont="1" applyBorder="1" applyAlignment="1">
      <alignment horizontal="right" vertical="center"/>
    </xf>
    <xf numFmtId="9" fontId="45" fillId="0" borderId="0" xfId="2" applyFont="1" applyBorder="1" applyAlignment="1">
      <alignment horizontal="right" vertical="center"/>
    </xf>
    <xf numFmtId="9" fontId="0" fillId="0" borderId="0" xfId="2" applyFont="1" applyBorder="1"/>
    <xf numFmtId="9" fontId="0" fillId="0" borderId="0" xfId="2" applyFont="1" applyFill="1"/>
    <xf numFmtId="9" fontId="45" fillId="0" borderId="0" xfId="2" applyFont="1" applyBorder="1"/>
    <xf numFmtId="0" fontId="46" fillId="0" borderId="0" xfId="0" applyFont="1" applyAlignment="1">
      <alignment horizontal="left"/>
    </xf>
    <xf numFmtId="164" fontId="44" fillId="0" borderId="0" xfId="1" applyFont="1"/>
    <xf numFmtId="0" fontId="44" fillId="0" borderId="0" xfId="0" applyFont="1" applyAlignment="1">
      <alignment horizontal="left"/>
    </xf>
    <xf numFmtId="0" fontId="43" fillId="0" borderId="0" xfId="0" applyFont="1"/>
    <xf numFmtId="4" fontId="46" fillId="0" borderId="0" xfId="0" applyNumberFormat="1" applyFont="1"/>
    <xf numFmtId="164" fontId="46" fillId="0" borderId="0" xfId="1" applyFont="1"/>
    <xf numFmtId="0" fontId="0" fillId="0" borderId="0" xfId="0" applyFont="1" applyFill="1" applyAlignment="1">
      <alignment horizontal="left"/>
    </xf>
    <xf numFmtId="0" fontId="41" fillId="0" borderId="21" xfId="0" applyFont="1" applyFill="1" applyBorder="1" applyAlignment="1">
      <alignment vertical="center"/>
    </xf>
    <xf numFmtId="0" fontId="0" fillId="0" borderId="45" xfId="0" applyFill="1" applyBorder="1"/>
    <xf numFmtId="9" fontId="45" fillId="0" borderId="45" xfId="2" applyFont="1" applyFill="1" applyBorder="1"/>
    <xf numFmtId="168" fontId="7" fillId="0" borderId="8" xfId="1" applyNumberFormat="1" applyFont="1" applyBorder="1" applyAlignment="1">
      <alignment horizontal="right" vertical="center"/>
    </xf>
    <xf numFmtId="168" fontId="48" fillId="0" borderId="9" xfId="1" applyNumberFormat="1" applyFont="1" applyFill="1" applyBorder="1" applyAlignment="1">
      <alignment horizontal="right" vertical="center"/>
    </xf>
    <xf numFmtId="0" fontId="49" fillId="0" borderId="0" xfId="4" applyFont="1"/>
    <xf numFmtId="164" fontId="17" fillId="0" borderId="0" xfId="4" applyNumberFormat="1" applyFont="1" applyAlignment="1">
      <alignment vertical="center"/>
    </xf>
    <xf numFmtId="0" fontId="50" fillId="0" borderId="0" xfId="4" applyFont="1"/>
    <xf numFmtId="0" fontId="23" fillId="0" borderId="45" xfId="4" applyFont="1" applyBorder="1"/>
    <xf numFmtId="168" fontId="23" fillId="0" borderId="0" xfId="1" applyNumberFormat="1" applyFont="1"/>
    <xf numFmtId="168" fontId="23" fillId="0" borderId="45" xfId="1" applyNumberFormat="1" applyFont="1" applyBorder="1"/>
    <xf numFmtId="168" fontId="26" fillId="0" borderId="0" xfId="4" applyNumberFormat="1" applyFont="1" applyAlignment="1">
      <alignment vertical="center"/>
    </xf>
    <xf numFmtId="168" fontId="23" fillId="0" borderId="0" xfId="4" applyNumberFormat="1" applyFont="1" applyAlignment="1">
      <alignment vertical="center"/>
    </xf>
    <xf numFmtId="0" fontId="51" fillId="6" borderId="0" xfId="4" applyFont="1" applyFill="1" applyAlignment="1">
      <alignment vertical="center"/>
    </xf>
    <xf numFmtId="0" fontId="21" fillId="6" borderId="0" xfId="4" applyFont="1" applyFill="1" applyAlignment="1">
      <alignment vertical="center"/>
    </xf>
    <xf numFmtId="170" fontId="51" fillId="6" borderId="0" xfId="2" applyNumberFormat="1" applyFont="1" applyFill="1" applyAlignment="1">
      <alignment vertical="center"/>
    </xf>
    <xf numFmtId="164" fontId="23" fillId="0" borderId="0" xfId="4" applyNumberFormat="1" applyFont="1"/>
    <xf numFmtId="168" fontId="0" fillId="0" borderId="0" xfId="1" applyNumberFormat="1" applyFont="1" applyFill="1" applyAlignment="1">
      <alignment horizontal="right"/>
    </xf>
    <xf numFmtId="168" fontId="0" fillId="0" borderId="0" xfId="1" applyNumberFormat="1" applyFont="1" applyFill="1"/>
    <xf numFmtId="0" fontId="10" fillId="0" borderId="28" xfId="0" applyFont="1" applyBorder="1" applyAlignment="1">
      <alignment vertical="center"/>
    </xf>
    <xf numFmtId="0" fontId="0" fillId="0" borderId="45" xfId="0" applyFont="1" applyFill="1" applyBorder="1" applyAlignment="1">
      <alignment horizontal="center" wrapText="1"/>
    </xf>
    <xf numFmtId="9" fontId="45" fillId="0" borderId="0" xfId="0" applyNumberFormat="1" applyFont="1" applyFill="1"/>
    <xf numFmtId="168" fontId="0" fillId="0" borderId="45" xfId="0" applyNumberFormat="1" applyFill="1" applyBorder="1"/>
    <xf numFmtId="168" fontId="1" fillId="0" borderId="0" xfId="0" applyNumberFormat="1" applyFont="1" applyFill="1"/>
    <xf numFmtId="0" fontId="1" fillId="0" borderId="0" xfId="0" applyFont="1" applyFill="1"/>
    <xf numFmtId="0" fontId="42" fillId="0" borderId="0" xfId="0" applyFont="1" applyFill="1" applyAlignment="1">
      <alignment horizontal="left"/>
    </xf>
    <xf numFmtId="168" fontId="2" fillId="0" borderId="14" xfId="1" applyNumberFormat="1" applyFont="1" applyBorder="1" applyAlignment="1">
      <alignment horizontal="right" vertical="center"/>
    </xf>
    <xf numFmtId="168" fontId="2" fillId="0" borderId="20" xfId="1" applyNumberFormat="1" applyFont="1" applyBorder="1" applyAlignment="1">
      <alignment horizontal="right" vertical="center"/>
    </xf>
    <xf numFmtId="168" fontId="2" fillId="0" borderId="12" xfId="1" applyNumberFormat="1" applyFont="1" applyBorder="1" applyAlignment="1">
      <alignment horizontal="right" vertical="center"/>
    </xf>
    <xf numFmtId="168" fontId="2" fillId="0" borderId="16" xfId="1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8" fontId="2" fillId="0" borderId="42" xfId="1" applyNumberFormat="1" applyFont="1" applyBorder="1" applyAlignment="1">
      <alignment horizontal="right" vertical="center"/>
    </xf>
    <xf numFmtId="0" fontId="2" fillId="0" borderId="42" xfId="0" applyFont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10" fontId="2" fillId="8" borderId="0" xfId="0" applyNumberFormat="1" applyFont="1" applyFill="1" applyBorder="1" applyAlignment="1">
      <alignment horizontal="right" vertical="center"/>
    </xf>
    <xf numFmtId="0" fontId="2" fillId="7" borderId="0" xfId="0" applyFont="1" applyFill="1" applyBorder="1" applyAlignment="1">
      <alignment vertical="center"/>
    </xf>
    <xf numFmtId="10" fontId="2" fillId="7" borderId="0" xfId="0" applyNumberFormat="1" applyFont="1" applyFill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10" fontId="45" fillId="0" borderId="9" xfId="0" applyNumberFormat="1" applyFont="1" applyBorder="1"/>
    <xf numFmtId="9" fontId="45" fillId="0" borderId="6" xfId="0" applyNumberFormat="1" applyFont="1" applyBorder="1"/>
    <xf numFmtId="0" fontId="1" fillId="2" borderId="1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35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7" xfId="0" applyBorder="1"/>
    <xf numFmtId="0" fontId="0" fillId="0" borderId="51" xfId="0" applyBorder="1"/>
    <xf numFmtId="0" fontId="0" fillId="0" borderId="52" xfId="0" applyBorder="1"/>
    <xf numFmtId="0" fontId="0" fillId="0" borderId="21" xfId="0" applyBorder="1"/>
    <xf numFmtId="168" fontId="0" fillId="0" borderId="9" xfId="1" applyNumberFormat="1" applyFont="1" applyBorder="1"/>
    <xf numFmtId="164" fontId="45" fillId="0" borderId="12" xfId="1" applyFont="1" applyBorder="1"/>
    <xf numFmtId="9" fontId="45" fillId="0" borderId="6" xfId="2" applyFont="1" applyBorder="1"/>
    <xf numFmtId="10" fontId="53" fillId="0" borderId="9" xfId="2" applyNumberFormat="1" applyFont="1" applyBorder="1"/>
    <xf numFmtId="2" fontId="45" fillId="0" borderId="0" xfId="0" applyNumberFormat="1" applyFont="1" applyBorder="1"/>
    <xf numFmtId="168" fontId="54" fillId="0" borderId="8" xfId="1" applyNumberFormat="1" applyFont="1" applyFill="1" applyBorder="1" applyAlignment="1">
      <alignment horizontal="right" vertical="center"/>
    </xf>
    <xf numFmtId="168" fontId="54" fillId="0" borderId="9" xfId="1" applyNumberFormat="1" applyFont="1" applyFill="1" applyBorder="1" applyAlignment="1">
      <alignment horizontal="right" vertical="center"/>
    </xf>
    <xf numFmtId="164" fontId="0" fillId="0" borderId="9" xfId="1" applyNumberFormat="1" applyFont="1" applyBorder="1"/>
    <xf numFmtId="170" fontId="0" fillId="0" borderId="9" xfId="2" applyNumberFormat="1" applyFont="1" applyBorder="1"/>
    <xf numFmtId="0" fontId="3" fillId="0" borderId="25" xfId="0" applyFont="1" applyFill="1" applyBorder="1" applyAlignment="1">
      <alignment vertical="center"/>
    </xf>
    <xf numFmtId="168" fontId="2" fillId="0" borderId="24" xfId="1" applyNumberFormat="1" applyFont="1" applyFill="1" applyBorder="1" applyAlignment="1">
      <alignment vertical="center"/>
    </xf>
    <xf numFmtId="0" fontId="55" fillId="0" borderId="21" xfId="0" applyFont="1" applyFill="1" applyBorder="1" applyAlignment="1">
      <alignment vertical="center"/>
    </xf>
    <xf numFmtId="9" fontId="3" fillId="0" borderId="24" xfId="2" applyFont="1" applyFill="1" applyBorder="1" applyAlignment="1">
      <alignment vertical="center"/>
    </xf>
    <xf numFmtId="9" fontId="3" fillId="0" borderId="25" xfId="2" applyFont="1" applyFill="1" applyBorder="1" applyAlignment="1">
      <alignment vertical="center"/>
    </xf>
    <xf numFmtId="167" fontId="3" fillId="0" borderId="25" xfId="1" applyNumberFormat="1" applyFont="1" applyFill="1" applyBorder="1" applyAlignment="1">
      <alignment vertical="center"/>
    </xf>
    <xf numFmtId="167" fontId="3" fillId="0" borderId="12" xfId="1" applyNumberFormat="1" applyFont="1" applyFill="1" applyBorder="1" applyAlignment="1">
      <alignment horizontal="right" vertical="center"/>
    </xf>
    <xf numFmtId="10" fontId="53" fillId="0" borderId="12" xfId="2" applyNumberFormat="1" applyFont="1" applyBorder="1"/>
    <xf numFmtId="168" fontId="2" fillId="0" borderId="9" xfId="1" applyNumberFormat="1" applyFont="1" applyFill="1" applyBorder="1" applyAlignment="1">
      <alignment vertical="center"/>
    </xf>
    <xf numFmtId="171" fontId="3" fillId="0" borderId="8" xfId="1" applyNumberFormat="1" applyFont="1" applyBorder="1" applyAlignment="1">
      <alignment horizontal="right" vertical="center"/>
    </xf>
    <xf numFmtId="168" fontId="56" fillId="0" borderId="8" xfId="1" applyNumberFormat="1" applyFont="1" applyBorder="1" applyAlignment="1">
      <alignment horizontal="right" vertical="center"/>
    </xf>
    <xf numFmtId="168" fontId="0" fillId="0" borderId="0" xfId="0" applyNumberFormat="1"/>
    <xf numFmtId="168" fontId="43" fillId="0" borderId="0" xfId="0" applyNumberFormat="1" applyFont="1"/>
    <xf numFmtId="168" fontId="56" fillId="0" borderId="8" xfId="1" applyNumberFormat="1" applyFont="1" applyFill="1" applyBorder="1" applyAlignment="1">
      <alignment horizontal="right" vertical="center"/>
    </xf>
    <xf numFmtId="168" fontId="52" fillId="0" borderId="53" xfId="1" applyNumberFormat="1" applyFont="1" applyBorder="1"/>
    <xf numFmtId="168" fontId="52" fillId="0" borderId="54" xfId="1" applyNumberFormat="1" applyFont="1" applyBorder="1"/>
    <xf numFmtId="168" fontId="52" fillId="0" borderId="55" xfId="1" applyNumberFormat="1" applyFont="1" applyBorder="1"/>
    <xf numFmtId="0" fontId="2" fillId="0" borderId="45" xfId="0" applyFont="1" applyFill="1" applyBorder="1" applyAlignment="1">
      <alignment horizontal="right" vertical="center"/>
    </xf>
    <xf numFmtId="168" fontId="45" fillId="0" borderId="45" xfId="1" applyNumberFormat="1" applyFont="1" applyBorder="1" applyAlignment="1">
      <alignment horizontal="right" vertical="center"/>
    </xf>
    <xf numFmtId="168" fontId="53" fillId="0" borderId="0" xfId="2" applyNumberFormat="1" applyFont="1" applyBorder="1" applyAlignment="1">
      <alignment horizontal="right" vertical="center"/>
    </xf>
    <xf numFmtId="168" fontId="56" fillId="0" borderId="9" xfId="1" applyNumberFormat="1" applyFont="1" applyBorder="1" applyAlignment="1">
      <alignment horizontal="right" vertical="center"/>
    </xf>
    <xf numFmtId="9" fontId="47" fillId="8" borderId="0" xfId="0" applyNumberFormat="1" applyFont="1" applyFill="1" applyBorder="1" applyAlignment="1">
      <alignment horizontal="right" vertical="center"/>
    </xf>
    <xf numFmtId="9" fontId="47" fillId="7" borderId="0" xfId="0" applyNumberFormat="1" applyFont="1" applyFill="1" applyBorder="1" applyAlignment="1">
      <alignment horizontal="right" vertical="center"/>
    </xf>
    <xf numFmtId="0" fontId="57" fillId="0" borderId="0" xfId="0" applyFont="1" applyFill="1"/>
    <xf numFmtId="0" fontId="46" fillId="0" borderId="0" xfId="0" applyFont="1" applyFill="1"/>
    <xf numFmtId="0" fontId="57" fillId="0" borderId="0" xfId="0" applyFont="1" applyFill="1" applyAlignment="1">
      <alignment horizontal="center"/>
    </xf>
    <xf numFmtId="168" fontId="46" fillId="0" borderId="0" xfId="0" applyNumberFormat="1" applyFont="1" applyFill="1"/>
    <xf numFmtId="168" fontId="46" fillId="0" borderId="45" xfId="0" applyNumberFormat="1" applyFont="1" applyFill="1" applyBorder="1"/>
    <xf numFmtId="164" fontId="0" fillId="0" borderId="0" xfId="1" applyFont="1" applyFill="1"/>
    <xf numFmtId="164" fontId="46" fillId="0" borderId="0" xfId="1" applyFont="1" applyFill="1"/>
    <xf numFmtId="164" fontId="0" fillId="0" borderId="0" xfId="1" applyNumberFormat="1" applyFont="1" applyFill="1"/>
    <xf numFmtId="0" fontId="9" fillId="0" borderId="0" xfId="0" applyFont="1"/>
    <xf numFmtId="168" fontId="52" fillId="0" borderId="0" xfId="1" applyNumberFormat="1" applyFont="1" applyBorder="1"/>
    <xf numFmtId="10" fontId="33" fillId="0" borderId="0" xfId="4" applyNumberFormat="1" applyFont="1" applyAlignment="1">
      <alignment horizontal="right"/>
    </xf>
    <xf numFmtId="170" fontId="52" fillId="0" borderId="0" xfId="2" applyNumberFormat="1" applyFont="1" applyBorder="1"/>
    <xf numFmtId="10" fontId="23" fillId="0" borderId="0" xfId="4" applyNumberFormat="1" applyFont="1" applyAlignment="1">
      <alignment horizontal="right"/>
    </xf>
    <xf numFmtId="0" fontId="9" fillId="0" borderId="48" xfId="0" applyFont="1" applyBorder="1"/>
    <xf numFmtId="0" fontId="1" fillId="0" borderId="0" xfId="0" applyFont="1" applyAlignment="1">
      <alignment horizontal="center"/>
    </xf>
    <xf numFmtId="168" fontId="1" fillId="0" borderId="9" xfId="1" applyNumberFormat="1" applyFont="1" applyBorder="1" applyAlignment="1">
      <alignment horizontal="center"/>
    </xf>
    <xf numFmtId="0" fontId="0" fillId="0" borderId="18" xfId="0" applyBorder="1"/>
    <xf numFmtId="9" fontId="53" fillId="0" borderId="6" xfId="2" applyFont="1" applyBorder="1" applyAlignment="1">
      <alignment horizontal="center"/>
    </xf>
    <xf numFmtId="9" fontId="46" fillId="0" borderId="0" xfId="2" applyFont="1"/>
    <xf numFmtId="9" fontId="58" fillId="0" borderId="0" xfId="2" applyFont="1"/>
    <xf numFmtId="168" fontId="46" fillId="0" borderId="0" xfId="1" applyNumberFormat="1" applyFont="1" applyBorder="1"/>
    <xf numFmtId="168" fontId="56" fillId="0" borderId="9" xfId="1" applyNumberFormat="1" applyFont="1" applyFill="1" applyBorder="1" applyAlignment="1">
      <alignment horizontal="right" vertical="center"/>
    </xf>
    <xf numFmtId="168" fontId="11" fillId="0" borderId="57" xfId="1" applyNumberFormat="1" applyFont="1" applyBorder="1"/>
    <xf numFmtId="0" fontId="0" fillId="0" borderId="45" xfId="0" applyBorder="1"/>
    <xf numFmtId="10" fontId="53" fillId="0" borderId="6" xfId="2" applyNumberFormat="1" applyFont="1" applyBorder="1"/>
    <xf numFmtId="10" fontId="45" fillId="0" borderId="12" xfId="0" applyNumberFormat="1" applyFont="1" applyBorder="1"/>
    <xf numFmtId="168" fontId="3" fillId="0" borderId="58" xfId="1" applyNumberFormat="1" applyFont="1" applyBorder="1" applyAlignment="1">
      <alignment horizontal="right" vertical="center"/>
    </xf>
    <xf numFmtId="168" fontId="56" fillId="0" borderId="58" xfId="1" applyNumberFormat="1" applyFont="1" applyBorder="1" applyAlignment="1">
      <alignment horizontal="right" vertical="center"/>
    </xf>
    <xf numFmtId="9" fontId="58" fillId="0" borderId="37" xfId="2" applyFont="1" applyBorder="1"/>
    <xf numFmtId="9" fontId="58" fillId="0" borderId="52" xfId="2" applyFont="1" applyBorder="1"/>
    <xf numFmtId="9" fontId="46" fillId="0" borderId="20" xfId="2" applyFont="1" applyBorder="1"/>
    <xf numFmtId="164" fontId="45" fillId="0" borderId="6" xfId="1" applyNumberFormat="1" applyFont="1" applyBorder="1"/>
    <xf numFmtId="9" fontId="45" fillId="0" borderId="12" xfId="2" applyFont="1" applyBorder="1"/>
    <xf numFmtId="0" fontId="0" fillId="0" borderId="46" xfId="0" applyBorder="1"/>
    <xf numFmtId="168" fontId="0" fillId="0" borderId="6" xfId="1" applyNumberFormat="1" applyFont="1" applyBorder="1"/>
    <xf numFmtId="170" fontId="45" fillId="0" borderId="12" xfId="2" applyNumberFormat="1" applyFont="1" applyBorder="1"/>
    <xf numFmtId="0" fontId="0" fillId="0" borderId="59" xfId="0" applyBorder="1"/>
    <xf numFmtId="0" fontId="0" fillId="0" borderId="57" xfId="0" applyBorder="1"/>
    <xf numFmtId="0" fontId="0" fillId="0" borderId="20" xfId="0" applyBorder="1"/>
    <xf numFmtId="9" fontId="53" fillId="0" borderId="12" xfId="2" applyFont="1" applyBorder="1" applyAlignment="1">
      <alignment horizontal="center"/>
    </xf>
    <xf numFmtId="9" fontId="53" fillId="0" borderId="56" xfId="2" applyFont="1" applyBorder="1" applyAlignment="1">
      <alignment horizontal="center"/>
    </xf>
    <xf numFmtId="0" fontId="4" fillId="10" borderId="21" xfId="0" applyFont="1" applyFill="1" applyBorder="1" applyAlignment="1">
      <alignment vertical="center"/>
    </xf>
    <xf numFmtId="168" fontId="59" fillId="10" borderId="24" xfId="1" applyNumberFormat="1" applyFont="1" applyFill="1" applyBorder="1" applyAlignment="1">
      <alignment vertical="center"/>
    </xf>
    <xf numFmtId="9" fontId="2" fillId="10" borderId="24" xfId="2" applyFont="1" applyFill="1" applyBorder="1" applyAlignment="1">
      <alignment vertical="center"/>
    </xf>
    <xf numFmtId="9" fontId="2" fillId="10" borderId="25" xfId="2" applyFont="1" applyFill="1" applyBorder="1" applyAlignment="1">
      <alignment vertical="center"/>
    </xf>
    <xf numFmtId="164" fontId="2" fillId="10" borderId="24" xfId="1" applyFont="1" applyFill="1" applyBorder="1" applyAlignment="1">
      <alignment vertical="center"/>
    </xf>
    <xf numFmtId="168" fontId="2" fillId="10" borderId="24" xfId="1" applyNumberFormat="1" applyFont="1" applyFill="1" applyBorder="1" applyAlignment="1">
      <alignment vertical="center"/>
    </xf>
    <xf numFmtId="167" fontId="59" fillId="10" borderId="24" xfId="1" applyNumberFormat="1" applyFont="1" applyFill="1" applyBorder="1" applyAlignment="1">
      <alignment vertical="center"/>
    </xf>
    <xf numFmtId="167" fontId="2" fillId="10" borderId="24" xfId="1" applyNumberFormat="1" applyFont="1" applyFill="1" applyBorder="1" applyAlignment="1">
      <alignment vertical="center"/>
    </xf>
    <xf numFmtId="167" fontId="2" fillId="10" borderId="25" xfId="1" applyNumberFormat="1" applyFont="1" applyFill="1" applyBorder="1" applyAlignment="1">
      <alignment vertical="center"/>
    </xf>
    <xf numFmtId="0" fontId="42" fillId="0" borderId="0" xfId="0" applyFont="1"/>
    <xf numFmtId="9" fontId="60" fillId="9" borderId="12" xfId="2" applyFont="1" applyFill="1" applyBorder="1"/>
    <xf numFmtId="0" fontId="2" fillId="9" borderId="10" xfId="0" applyFont="1" applyFill="1" applyBorder="1"/>
    <xf numFmtId="164" fontId="60" fillId="9" borderId="12" xfId="1" applyFont="1" applyFill="1" applyBorder="1"/>
    <xf numFmtId="10" fontId="12" fillId="0" borderId="6" xfId="2" applyNumberFormat="1" applyFont="1" applyBorder="1"/>
    <xf numFmtId="0" fontId="12" fillId="0" borderId="48" xfId="0" applyFont="1" applyBorder="1"/>
    <xf numFmtId="10" fontId="12" fillId="0" borderId="0" xfId="0" applyNumberFormat="1" applyFont="1"/>
    <xf numFmtId="0" fontId="2" fillId="9" borderId="48" xfId="0" applyFont="1" applyFill="1" applyBorder="1"/>
    <xf numFmtId="0" fontId="2" fillId="9" borderId="47" xfId="0" applyFont="1" applyFill="1" applyBorder="1"/>
    <xf numFmtId="9" fontId="60" fillId="9" borderId="6" xfId="0" applyNumberFormat="1" applyFont="1" applyFill="1" applyBorder="1"/>
    <xf numFmtId="167" fontId="54" fillId="10" borderId="24" xfId="1" applyNumberFormat="1" applyFont="1" applyFill="1" applyBorder="1" applyAlignment="1">
      <alignment vertical="center"/>
    </xf>
    <xf numFmtId="0" fontId="1" fillId="9" borderId="50" xfId="0" applyFont="1" applyFill="1" applyBorder="1"/>
    <xf numFmtId="0" fontId="1" fillId="9" borderId="52" xfId="0" applyFont="1" applyFill="1" applyBorder="1"/>
    <xf numFmtId="10" fontId="61" fillId="9" borderId="12" xfId="2" applyNumberFormat="1" applyFont="1" applyFill="1" applyBorder="1"/>
    <xf numFmtId="0" fontId="2" fillId="9" borderId="50" xfId="0" applyFont="1" applyFill="1" applyBorder="1"/>
    <xf numFmtId="0" fontId="2" fillId="9" borderId="52" xfId="0" applyFont="1" applyFill="1" applyBorder="1"/>
    <xf numFmtId="10" fontId="60" fillId="9" borderId="12" xfId="0" applyNumberFormat="1" applyFont="1" applyFill="1" applyBorder="1"/>
    <xf numFmtId="0" fontId="62" fillId="8" borderId="0" xfId="4" applyFont="1" applyFill="1" applyAlignment="1">
      <alignment horizontal="centerContinuous" vertical="center"/>
    </xf>
    <xf numFmtId="0" fontId="63" fillId="8" borderId="0" xfId="4" applyFont="1" applyFill="1" applyAlignment="1">
      <alignment horizontal="centerContinuous" vertical="center"/>
    </xf>
    <xf numFmtId="167" fontId="0" fillId="0" borderId="0" xfId="0" applyNumberFormat="1" applyFill="1"/>
    <xf numFmtId="0" fontId="12" fillId="0" borderId="45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9" fillId="3" borderId="0" xfId="4" applyFont="1" applyFill="1" applyAlignment="1">
      <alignment horizontal="center" vertical="center" wrapText="1"/>
    </xf>
    <xf numFmtId="0" fontId="24" fillId="3" borderId="0" xfId="6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8" fontId="11" fillId="0" borderId="18" xfId="1" applyNumberFormat="1" applyFont="1" applyBorder="1" applyAlignment="1">
      <alignment horizontal="right" vertical="center"/>
    </xf>
    <xf numFmtId="168" fontId="1" fillId="0" borderId="29" xfId="1" applyNumberFormat="1" applyFont="1" applyBorder="1" applyAlignment="1">
      <alignment vertical="center"/>
    </xf>
    <xf numFmtId="168" fontId="11" fillId="0" borderId="5" xfId="1" applyNumberFormat="1" applyFont="1" applyBorder="1" applyAlignment="1">
      <alignment vertical="center"/>
    </xf>
    <xf numFmtId="168" fontId="11" fillId="0" borderId="8" xfId="1" applyNumberFormat="1" applyFont="1" applyBorder="1" applyAlignment="1">
      <alignment horizontal="right" vertical="center"/>
    </xf>
    <xf numFmtId="168" fontId="1" fillId="0" borderId="14" xfId="1" applyNumberFormat="1" applyFont="1" applyBorder="1" applyAlignment="1">
      <alignment horizontal="right" vertical="center"/>
    </xf>
    <xf numFmtId="168" fontId="11" fillId="0" borderId="31" xfId="1" applyNumberFormat="1" applyFont="1" applyBorder="1" applyAlignment="1">
      <alignment vertical="center"/>
    </xf>
    <xf numFmtId="168" fontId="11" fillId="0" borderId="24" xfId="1" applyNumberFormat="1" applyFont="1" applyBorder="1" applyAlignment="1">
      <alignment vertical="center"/>
    </xf>
    <xf numFmtId="168" fontId="1" fillId="0" borderId="20" xfId="1" applyNumberFormat="1" applyFont="1" applyBorder="1" applyAlignment="1">
      <alignment horizontal="right" vertical="center"/>
    </xf>
    <xf numFmtId="168" fontId="1" fillId="0" borderId="8" xfId="1" applyNumberFormat="1" applyFont="1" applyBorder="1" applyAlignment="1">
      <alignment horizontal="right" vertical="center"/>
    </xf>
  </cellXfs>
  <cellStyles count="8">
    <cellStyle name="Millares" xfId="1" builtinId="3"/>
    <cellStyle name="Normal" xfId="0" builtinId="0"/>
    <cellStyle name="Normal 2" xfId="5" xr:uid="{799A29D4-912E-4B70-BC8B-4AADA5D710E9}"/>
    <cellStyle name="Normal_Beta_empresas privadas_30 jun-1 jul 2011" xfId="4" xr:uid="{A6D3FBEC-1EC7-4C2A-A021-B5D797F89B96}"/>
    <cellStyle name="Normal_Perdigao-Sadia_analisis" xfId="6" xr:uid="{221F68DC-5803-45B1-946D-A5BE2CC9A00A}"/>
    <cellStyle name="Normal_Roche-Genentech_analisis" xfId="3" xr:uid="{DD0E1D6A-C1A6-411B-BEBE-30130EC6B6F8}"/>
    <cellStyle name="Porcentaje" xfId="2" builtinId="5"/>
    <cellStyle name="Porcentaje 2" xfId="7" xr:uid="{C4159BE7-9F4F-4EE9-80B2-B96CB8608F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1126-6592-4822-A779-4DD2DD08CF84}">
  <dimension ref="A1:S60"/>
  <sheetViews>
    <sheetView showGridLines="0" zoomScale="89" zoomScaleNormal="84" workbookViewId="0">
      <selection activeCell="E1" sqref="E1"/>
    </sheetView>
  </sheetViews>
  <sheetFormatPr baseColWidth="10" defaultColWidth="8.6328125" defaultRowHeight="13" x14ac:dyDescent="0.3"/>
  <cols>
    <col min="1" max="1" width="28.81640625" style="223" customWidth="1"/>
    <col min="2" max="242" width="8.6328125" style="223"/>
    <col min="243" max="243" width="13.81640625" style="223" customWidth="1"/>
    <col min="244" max="244" width="0.453125" style="223" customWidth="1"/>
    <col min="245" max="245" width="26.26953125" style="223" customWidth="1"/>
    <col min="246" max="246" width="1.453125" style="223" customWidth="1"/>
    <col min="247" max="247" width="13.54296875" style="223" customWidth="1"/>
    <col min="248" max="248" width="1.453125" style="223" customWidth="1"/>
    <col min="249" max="249" width="24.08984375" style="223" customWidth="1"/>
    <col min="250" max="250" width="1.453125" style="223" customWidth="1"/>
    <col min="251" max="253" width="13.54296875" style="223" customWidth="1"/>
    <col min="254" max="254" width="1.453125" style="223" customWidth="1"/>
    <col min="255" max="255" width="24.36328125" style="223" customWidth="1"/>
    <col min="256" max="498" width="8.6328125" style="223"/>
    <col min="499" max="499" width="13.81640625" style="223" customWidth="1"/>
    <col min="500" max="500" width="0.453125" style="223" customWidth="1"/>
    <col min="501" max="501" width="26.26953125" style="223" customWidth="1"/>
    <col min="502" max="502" width="1.453125" style="223" customWidth="1"/>
    <col min="503" max="503" width="13.54296875" style="223" customWidth="1"/>
    <col min="504" max="504" width="1.453125" style="223" customWidth="1"/>
    <col min="505" max="505" width="24.08984375" style="223" customWidth="1"/>
    <col min="506" max="506" width="1.453125" style="223" customWidth="1"/>
    <col min="507" max="509" width="13.54296875" style="223" customWidth="1"/>
    <col min="510" max="510" width="1.453125" style="223" customWidth="1"/>
    <col min="511" max="511" width="24.36328125" style="223" customWidth="1"/>
    <col min="512" max="754" width="8.6328125" style="223"/>
    <col min="755" max="755" width="13.81640625" style="223" customWidth="1"/>
    <col min="756" max="756" width="0.453125" style="223" customWidth="1"/>
    <col min="757" max="757" width="26.26953125" style="223" customWidth="1"/>
    <col min="758" max="758" width="1.453125" style="223" customWidth="1"/>
    <col min="759" max="759" width="13.54296875" style="223" customWidth="1"/>
    <col min="760" max="760" width="1.453125" style="223" customWidth="1"/>
    <col min="761" max="761" width="24.08984375" style="223" customWidth="1"/>
    <col min="762" max="762" width="1.453125" style="223" customWidth="1"/>
    <col min="763" max="765" width="13.54296875" style="223" customWidth="1"/>
    <col min="766" max="766" width="1.453125" style="223" customWidth="1"/>
    <col min="767" max="767" width="24.36328125" style="223" customWidth="1"/>
    <col min="768" max="1010" width="8.6328125" style="223"/>
    <col min="1011" max="1011" width="13.81640625" style="223" customWidth="1"/>
    <col min="1012" max="1012" width="0.453125" style="223" customWidth="1"/>
    <col min="1013" max="1013" width="26.26953125" style="223" customWidth="1"/>
    <col min="1014" max="1014" width="1.453125" style="223" customWidth="1"/>
    <col min="1015" max="1015" width="13.54296875" style="223" customWidth="1"/>
    <col min="1016" max="1016" width="1.453125" style="223" customWidth="1"/>
    <col min="1017" max="1017" width="24.08984375" style="223" customWidth="1"/>
    <col min="1018" max="1018" width="1.453125" style="223" customWidth="1"/>
    <col min="1019" max="1021" width="13.54296875" style="223" customWidth="1"/>
    <col min="1022" max="1022" width="1.453125" style="223" customWidth="1"/>
    <col min="1023" max="1023" width="24.36328125" style="223" customWidth="1"/>
    <col min="1024" max="1266" width="8.6328125" style="223"/>
    <col min="1267" max="1267" width="13.81640625" style="223" customWidth="1"/>
    <col min="1268" max="1268" width="0.453125" style="223" customWidth="1"/>
    <col min="1269" max="1269" width="26.26953125" style="223" customWidth="1"/>
    <col min="1270" max="1270" width="1.453125" style="223" customWidth="1"/>
    <col min="1271" max="1271" width="13.54296875" style="223" customWidth="1"/>
    <col min="1272" max="1272" width="1.453125" style="223" customWidth="1"/>
    <col min="1273" max="1273" width="24.08984375" style="223" customWidth="1"/>
    <col min="1274" max="1274" width="1.453125" style="223" customWidth="1"/>
    <col min="1275" max="1277" width="13.54296875" style="223" customWidth="1"/>
    <col min="1278" max="1278" width="1.453125" style="223" customWidth="1"/>
    <col min="1279" max="1279" width="24.36328125" style="223" customWidth="1"/>
    <col min="1280" max="1522" width="8.6328125" style="223"/>
    <col min="1523" max="1523" width="13.81640625" style="223" customWidth="1"/>
    <col min="1524" max="1524" width="0.453125" style="223" customWidth="1"/>
    <col min="1525" max="1525" width="26.26953125" style="223" customWidth="1"/>
    <col min="1526" max="1526" width="1.453125" style="223" customWidth="1"/>
    <col min="1527" max="1527" width="13.54296875" style="223" customWidth="1"/>
    <col min="1528" max="1528" width="1.453125" style="223" customWidth="1"/>
    <col min="1529" max="1529" width="24.08984375" style="223" customWidth="1"/>
    <col min="1530" max="1530" width="1.453125" style="223" customWidth="1"/>
    <col min="1531" max="1533" width="13.54296875" style="223" customWidth="1"/>
    <col min="1534" max="1534" width="1.453125" style="223" customWidth="1"/>
    <col min="1535" max="1535" width="24.36328125" style="223" customWidth="1"/>
    <col min="1536" max="1778" width="8.6328125" style="223"/>
    <col min="1779" max="1779" width="13.81640625" style="223" customWidth="1"/>
    <col min="1780" max="1780" width="0.453125" style="223" customWidth="1"/>
    <col min="1781" max="1781" width="26.26953125" style="223" customWidth="1"/>
    <col min="1782" max="1782" width="1.453125" style="223" customWidth="1"/>
    <col min="1783" max="1783" width="13.54296875" style="223" customWidth="1"/>
    <col min="1784" max="1784" width="1.453125" style="223" customWidth="1"/>
    <col min="1785" max="1785" width="24.08984375" style="223" customWidth="1"/>
    <col min="1786" max="1786" width="1.453125" style="223" customWidth="1"/>
    <col min="1787" max="1789" width="13.54296875" style="223" customWidth="1"/>
    <col min="1790" max="1790" width="1.453125" style="223" customWidth="1"/>
    <col min="1791" max="1791" width="24.36328125" style="223" customWidth="1"/>
    <col min="1792" max="2034" width="8.6328125" style="223"/>
    <col min="2035" max="2035" width="13.81640625" style="223" customWidth="1"/>
    <col min="2036" max="2036" width="0.453125" style="223" customWidth="1"/>
    <col min="2037" max="2037" width="26.26953125" style="223" customWidth="1"/>
    <col min="2038" max="2038" width="1.453125" style="223" customWidth="1"/>
    <col min="2039" max="2039" width="13.54296875" style="223" customWidth="1"/>
    <col min="2040" max="2040" width="1.453125" style="223" customWidth="1"/>
    <col min="2041" max="2041" width="24.08984375" style="223" customWidth="1"/>
    <col min="2042" max="2042" width="1.453125" style="223" customWidth="1"/>
    <col min="2043" max="2045" width="13.54296875" style="223" customWidth="1"/>
    <col min="2046" max="2046" width="1.453125" style="223" customWidth="1"/>
    <col min="2047" max="2047" width="24.36328125" style="223" customWidth="1"/>
    <col min="2048" max="2290" width="8.6328125" style="223"/>
    <col min="2291" max="2291" width="13.81640625" style="223" customWidth="1"/>
    <col min="2292" max="2292" width="0.453125" style="223" customWidth="1"/>
    <col min="2293" max="2293" width="26.26953125" style="223" customWidth="1"/>
    <col min="2294" max="2294" width="1.453125" style="223" customWidth="1"/>
    <col min="2295" max="2295" width="13.54296875" style="223" customWidth="1"/>
    <col min="2296" max="2296" width="1.453125" style="223" customWidth="1"/>
    <col min="2297" max="2297" width="24.08984375" style="223" customWidth="1"/>
    <col min="2298" max="2298" width="1.453125" style="223" customWidth="1"/>
    <col min="2299" max="2301" width="13.54296875" style="223" customWidth="1"/>
    <col min="2302" max="2302" width="1.453125" style="223" customWidth="1"/>
    <col min="2303" max="2303" width="24.36328125" style="223" customWidth="1"/>
    <col min="2304" max="2546" width="8.6328125" style="223"/>
    <col min="2547" max="2547" width="13.81640625" style="223" customWidth="1"/>
    <col min="2548" max="2548" width="0.453125" style="223" customWidth="1"/>
    <col min="2549" max="2549" width="26.26953125" style="223" customWidth="1"/>
    <col min="2550" max="2550" width="1.453125" style="223" customWidth="1"/>
    <col min="2551" max="2551" width="13.54296875" style="223" customWidth="1"/>
    <col min="2552" max="2552" width="1.453125" style="223" customWidth="1"/>
    <col min="2553" max="2553" width="24.08984375" style="223" customWidth="1"/>
    <col min="2554" max="2554" width="1.453125" style="223" customWidth="1"/>
    <col min="2555" max="2557" width="13.54296875" style="223" customWidth="1"/>
    <col min="2558" max="2558" width="1.453125" style="223" customWidth="1"/>
    <col min="2559" max="2559" width="24.36328125" style="223" customWidth="1"/>
    <col min="2560" max="2802" width="8.6328125" style="223"/>
    <col min="2803" max="2803" width="13.81640625" style="223" customWidth="1"/>
    <col min="2804" max="2804" width="0.453125" style="223" customWidth="1"/>
    <col min="2805" max="2805" width="26.26953125" style="223" customWidth="1"/>
    <col min="2806" max="2806" width="1.453125" style="223" customWidth="1"/>
    <col min="2807" max="2807" width="13.54296875" style="223" customWidth="1"/>
    <col min="2808" max="2808" width="1.453125" style="223" customWidth="1"/>
    <col min="2809" max="2809" width="24.08984375" style="223" customWidth="1"/>
    <col min="2810" max="2810" width="1.453125" style="223" customWidth="1"/>
    <col min="2811" max="2813" width="13.54296875" style="223" customWidth="1"/>
    <col min="2814" max="2814" width="1.453125" style="223" customWidth="1"/>
    <col min="2815" max="2815" width="24.36328125" style="223" customWidth="1"/>
    <col min="2816" max="3058" width="8.6328125" style="223"/>
    <col min="3059" max="3059" width="13.81640625" style="223" customWidth="1"/>
    <col min="3060" max="3060" width="0.453125" style="223" customWidth="1"/>
    <col min="3061" max="3061" width="26.26953125" style="223" customWidth="1"/>
    <col min="3062" max="3062" width="1.453125" style="223" customWidth="1"/>
    <col min="3063" max="3063" width="13.54296875" style="223" customWidth="1"/>
    <col min="3064" max="3064" width="1.453125" style="223" customWidth="1"/>
    <col min="3065" max="3065" width="24.08984375" style="223" customWidth="1"/>
    <col min="3066" max="3066" width="1.453125" style="223" customWidth="1"/>
    <col min="3067" max="3069" width="13.54296875" style="223" customWidth="1"/>
    <col min="3070" max="3070" width="1.453125" style="223" customWidth="1"/>
    <col min="3071" max="3071" width="24.36328125" style="223" customWidth="1"/>
    <col min="3072" max="3314" width="8.6328125" style="223"/>
    <col min="3315" max="3315" width="13.81640625" style="223" customWidth="1"/>
    <col min="3316" max="3316" width="0.453125" style="223" customWidth="1"/>
    <col min="3317" max="3317" width="26.26953125" style="223" customWidth="1"/>
    <col min="3318" max="3318" width="1.453125" style="223" customWidth="1"/>
    <col min="3319" max="3319" width="13.54296875" style="223" customWidth="1"/>
    <col min="3320" max="3320" width="1.453125" style="223" customWidth="1"/>
    <col min="3321" max="3321" width="24.08984375" style="223" customWidth="1"/>
    <col min="3322" max="3322" width="1.453125" style="223" customWidth="1"/>
    <col min="3323" max="3325" width="13.54296875" style="223" customWidth="1"/>
    <col min="3326" max="3326" width="1.453125" style="223" customWidth="1"/>
    <col min="3327" max="3327" width="24.36328125" style="223" customWidth="1"/>
    <col min="3328" max="3570" width="8.6328125" style="223"/>
    <col min="3571" max="3571" width="13.81640625" style="223" customWidth="1"/>
    <col min="3572" max="3572" width="0.453125" style="223" customWidth="1"/>
    <col min="3573" max="3573" width="26.26953125" style="223" customWidth="1"/>
    <col min="3574" max="3574" width="1.453125" style="223" customWidth="1"/>
    <col min="3575" max="3575" width="13.54296875" style="223" customWidth="1"/>
    <col min="3576" max="3576" width="1.453125" style="223" customWidth="1"/>
    <col min="3577" max="3577" width="24.08984375" style="223" customWidth="1"/>
    <col min="3578" max="3578" width="1.453125" style="223" customWidth="1"/>
    <col min="3579" max="3581" width="13.54296875" style="223" customWidth="1"/>
    <col min="3582" max="3582" width="1.453125" style="223" customWidth="1"/>
    <col min="3583" max="3583" width="24.36328125" style="223" customWidth="1"/>
    <col min="3584" max="3826" width="8.6328125" style="223"/>
    <col min="3827" max="3827" width="13.81640625" style="223" customWidth="1"/>
    <col min="3828" max="3828" width="0.453125" style="223" customWidth="1"/>
    <col min="3829" max="3829" width="26.26953125" style="223" customWidth="1"/>
    <col min="3830" max="3830" width="1.453125" style="223" customWidth="1"/>
    <col min="3831" max="3831" width="13.54296875" style="223" customWidth="1"/>
    <col min="3832" max="3832" width="1.453125" style="223" customWidth="1"/>
    <col min="3833" max="3833" width="24.08984375" style="223" customWidth="1"/>
    <col min="3834" max="3834" width="1.453125" style="223" customWidth="1"/>
    <col min="3835" max="3837" width="13.54296875" style="223" customWidth="1"/>
    <col min="3838" max="3838" width="1.453125" style="223" customWidth="1"/>
    <col min="3839" max="3839" width="24.36328125" style="223" customWidth="1"/>
    <col min="3840" max="4082" width="8.6328125" style="223"/>
    <col min="4083" max="4083" width="13.81640625" style="223" customWidth="1"/>
    <col min="4084" max="4084" width="0.453125" style="223" customWidth="1"/>
    <col min="4085" max="4085" width="26.26953125" style="223" customWidth="1"/>
    <col min="4086" max="4086" width="1.453125" style="223" customWidth="1"/>
    <col min="4087" max="4087" width="13.54296875" style="223" customWidth="1"/>
    <col min="4088" max="4088" width="1.453125" style="223" customWidth="1"/>
    <col min="4089" max="4089" width="24.08984375" style="223" customWidth="1"/>
    <col min="4090" max="4090" width="1.453125" style="223" customWidth="1"/>
    <col min="4091" max="4093" width="13.54296875" style="223" customWidth="1"/>
    <col min="4094" max="4094" width="1.453125" style="223" customWidth="1"/>
    <col min="4095" max="4095" width="24.36328125" style="223" customWidth="1"/>
    <col min="4096" max="4338" width="8.6328125" style="223"/>
    <col min="4339" max="4339" width="13.81640625" style="223" customWidth="1"/>
    <col min="4340" max="4340" width="0.453125" style="223" customWidth="1"/>
    <col min="4341" max="4341" width="26.26953125" style="223" customWidth="1"/>
    <col min="4342" max="4342" width="1.453125" style="223" customWidth="1"/>
    <col min="4343" max="4343" width="13.54296875" style="223" customWidth="1"/>
    <col min="4344" max="4344" width="1.453125" style="223" customWidth="1"/>
    <col min="4345" max="4345" width="24.08984375" style="223" customWidth="1"/>
    <col min="4346" max="4346" width="1.453125" style="223" customWidth="1"/>
    <col min="4347" max="4349" width="13.54296875" style="223" customWidth="1"/>
    <col min="4350" max="4350" width="1.453125" style="223" customWidth="1"/>
    <col min="4351" max="4351" width="24.36328125" style="223" customWidth="1"/>
    <col min="4352" max="4594" width="8.6328125" style="223"/>
    <col min="4595" max="4595" width="13.81640625" style="223" customWidth="1"/>
    <col min="4596" max="4596" width="0.453125" style="223" customWidth="1"/>
    <col min="4597" max="4597" width="26.26953125" style="223" customWidth="1"/>
    <col min="4598" max="4598" width="1.453125" style="223" customWidth="1"/>
    <col min="4599" max="4599" width="13.54296875" style="223" customWidth="1"/>
    <col min="4600" max="4600" width="1.453125" style="223" customWidth="1"/>
    <col min="4601" max="4601" width="24.08984375" style="223" customWidth="1"/>
    <col min="4602" max="4602" width="1.453125" style="223" customWidth="1"/>
    <col min="4603" max="4605" width="13.54296875" style="223" customWidth="1"/>
    <col min="4606" max="4606" width="1.453125" style="223" customWidth="1"/>
    <col min="4607" max="4607" width="24.36328125" style="223" customWidth="1"/>
    <col min="4608" max="4850" width="8.6328125" style="223"/>
    <col min="4851" max="4851" width="13.81640625" style="223" customWidth="1"/>
    <col min="4852" max="4852" width="0.453125" style="223" customWidth="1"/>
    <col min="4853" max="4853" width="26.26953125" style="223" customWidth="1"/>
    <col min="4854" max="4854" width="1.453125" style="223" customWidth="1"/>
    <col min="4855" max="4855" width="13.54296875" style="223" customWidth="1"/>
    <col min="4856" max="4856" width="1.453125" style="223" customWidth="1"/>
    <col min="4857" max="4857" width="24.08984375" style="223" customWidth="1"/>
    <col min="4858" max="4858" width="1.453125" style="223" customWidth="1"/>
    <col min="4859" max="4861" width="13.54296875" style="223" customWidth="1"/>
    <col min="4862" max="4862" width="1.453125" style="223" customWidth="1"/>
    <col min="4863" max="4863" width="24.36328125" style="223" customWidth="1"/>
    <col min="4864" max="5106" width="8.6328125" style="223"/>
    <col min="5107" max="5107" width="13.81640625" style="223" customWidth="1"/>
    <col min="5108" max="5108" width="0.453125" style="223" customWidth="1"/>
    <col min="5109" max="5109" width="26.26953125" style="223" customWidth="1"/>
    <col min="5110" max="5110" width="1.453125" style="223" customWidth="1"/>
    <col min="5111" max="5111" width="13.54296875" style="223" customWidth="1"/>
    <col min="5112" max="5112" width="1.453125" style="223" customWidth="1"/>
    <col min="5113" max="5113" width="24.08984375" style="223" customWidth="1"/>
    <col min="5114" max="5114" width="1.453125" style="223" customWidth="1"/>
    <col min="5115" max="5117" width="13.54296875" style="223" customWidth="1"/>
    <col min="5118" max="5118" width="1.453125" style="223" customWidth="1"/>
    <col min="5119" max="5119" width="24.36328125" style="223" customWidth="1"/>
    <col min="5120" max="5362" width="8.6328125" style="223"/>
    <col min="5363" max="5363" width="13.81640625" style="223" customWidth="1"/>
    <col min="5364" max="5364" width="0.453125" style="223" customWidth="1"/>
    <col min="5365" max="5365" width="26.26953125" style="223" customWidth="1"/>
    <col min="5366" max="5366" width="1.453125" style="223" customWidth="1"/>
    <col min="5367" max="5367" width="13.54296875" style="223" customWidth="1"/>
    <col min="5368" max="5368" width="1.453125" style="223" customWidth="1"/>
    <col min="5369" max="5369" width="24.08984375" style="223" customWidth="1"/>
    <col min="5370" max="5370" width="1.453125" style="223" customWidth="1"/>
    <col min="5371" max="5373" width="13.54296875" style="223" customWidth="1"/>
    <col min="5374" max="5374" width="1.453125" style="223" customWidth="1"/>
    <col min="5375" max="5375" width="24.36328125" style="223" customWidth="1"/>
    <col min="5376" max="5618" width="8.6328125" style="223"/>
    <col min="5619" max="5619" width="13.81640625" style="223" customWidth="1"/>
    <col min="5620" max="5620" width="0.453125" style="223" customWidth="1"/>
    <col min="5621" max="5621" width="26.26953125" style="223" customWidth="1"/>
    <col min="5622" max="5622" width="1.453125" style="223" customWidth="1"/>
    <col min="5623" max="5623" width="13.54296875" style="223" customWidth="1"/>
    <col min="5624" max="5624" width="1.453125" style="223" customWidth="1"/>
    <col min="5625" max="5625" width="24.08984375" style="223" customWidth="1"/>
    <col min="5626" max="5626" width="1.453125" style="223" customWidth="1"/>
    <col min="5627" max="5629" width="13.54296875" style="223" customWidth="1"/>
    <col min="5630" max="5630" width="1.453125" style="223" customWidth="1"/>
    <col min="5631" max="5631" width="24.36328125" style="223" customWidth="1"/>
    <col min="5632" max="5874" width="8.6328125" style="223"/>
    <col min="5875" max="5875" width="13.81640625" style="223" customWidth="1"/>
    <col min="5876" max="5876" width="0.453125" style="223" customWidth="1"/>
    <col min="5877" max="5877" width="26.26953125" style="223" customWidth="1"/>
    <col min="5878" max="5878" width="1.453125" style="223" customWidth="1"/>
    <col min="5879" max="5879" width="13.54296875" style="223" customWidth="1"/>
    <col min="5880" max="5880" width="1.453125" style="223" customWidth="1"/>
    <col min="5881" max="5881" width="24.08984375" style="223" customWidth="1"/>
    <col min="5882" max="5882" width="1.453125" style="223" customWidth="1"/>
    <col min="5883" max="5885" width="13.54296875" style="223" customWidth="1"/>
    <col min="5886" max="5886" width="1.453125" style="223" customWidth="1"/>
    <col min="5887" max="5887" width="24.36328125" style="223" customWidth="1"/>
    <col min="5888" max="6130" width="8.6328125" style="223"/>
    <col min="6131" max="6131" width="13.81640625" style="223" customWidth="1"/>
    <col min="6132" max="6132" width="0.453125" style="223" customWidth="1"/>
    <col min="6133" max="6133" width="26.26953125" style="223" customWidth="1"/>
    <col min="6134" max="6134" width="1.453125" style="223" customWidth="1"/>
    <col min="6135" max="6135" width="13.54296875" style="223" customWidth="1"/>
    <col min="6136" max="6136" width="1.453125" style="223" customWidth="1"/>
    <col min="6137" max="6137" width="24.08984375" style="223" customWidth="1"/>
    <col min="6138" max="6138" width="1.453125" style="223" customWidth="1"/>
    <col min="6139" max="6141" width="13.54296875" style="223" customWidth="1"/>
    <col min="6142" max="6142" width="1.453125" style="223" customWidth="1"/>
    <col min="6143" max="6143" width="24.36328125" style="223" customWidth="1"/>
    <col min="6144" max="6386" width="8.6328125" style="223"/>
    <col min="6387" max="6387" width="13.81640625" style="223" customWidth="1"/>
    <col min="6388" max="6388" width="0.453125" style="223" customWidth="1"/>
    <col min="6389" max="6389" width="26.26953125" style="223" customWidth="1"/>
    <col min="6390" max="6390" width="1.453125" style="223" customWidth="1"/>
    <col min="6391" max="6391" width="13.54296875" style="223" customWidth="1"/>
    <col min="6392" max="6392" width="1.453125" style="223" customWidth="1"/>
    <col min="6393" max="6393" width="24.08984375" style="223" customWidth="1"/>
    <col min="6394" max="6394" width="1.453125" style="223" customWidth="1"/>
    <col min="6395" max="6397" width="13.54296875" style="223" customWidth="1"/>
    <col min="6398" max="6398" width="1.453125" style="223" customWidth="1"/>
    <col min="6399" max="6399" width="24.36328125" style="223" customWidth="1"/>
    <col min="6400" max="6642" width="8.6328125" style="223"/>
    <col min="6643" max="6643" width="13.81640625" style="223" customWidth="1"/>
    <col min="6644" max="6644" width="0.453125" style="223" customWidth="1"/>
    <col min="6645" max="6645" width="26.26953125" style="223" customWidth="1"/>
    <col min="6646" max="6646" width="1.453125" style="223" customWidth="1"/>
    <col min="6647" max="6647" width="13.54296875" style="223" customWidth="1"/>
    <col min="6648" max="6648" width="1.453125" style="223" customWidth="1"/>
    <col min="6649" max="6649" width="24.08984375" style="223" customWidth="1"/>
    <col min="6650" max="6650" width="1.453125" style="223" customWidth="1"/>
    <col min="6651" max="6653" width="13.54296875" style="223" customWidth="1"/>
    <col min="6654" max="6654" width="1.453125" style="223" customWidth="1"/>
    <col min="6655" max="6655" width="24.36328125" style="223" customWidth="1"/>
    <col min="6656" max="6898" width="8.6328125" style="223"/>
    <col min="6899" max="6899" width="13.81640625" style="223" customWidth="1"/>
    <col min="6900" max="6900" width="0.453125" style="223" customWidth="1"/>
    <col min="6901" max="6901" width="26.26953125" style="223" customWidth="1"/>
    <col min="6902" max="6902" width="1.453125" style="223" customWidth="1"/>
    <col min="6903" max="6903" width="13.54296875" style="223" customWidth="1"/>
    <col min="6904" max="6904" width="1.453125" style="223" customWidth="1"/>
    <col min="6905" max="6905" width="24.08984375" style="223" customWidth="1"/>
    <col min="6906" max="6906" width="1.453125" style="223" customWidth="1"/>
    <col min="6907" max="6909" width="13.54296875" style="223" customWidth="1"/>
    <col min="6910" max="6910" width="1.453125" style="223" customWidth="1"/>
    <col min="6911" max="6911" width="24.36328125" style="223" customWidth="1"/>
    <col min="6912" max="7154" width="8.6328125" style="223"/>
    <col min="7155" max="7155" width="13.81640625" style="223" customWidth="1"/>
    <col min="7156" max="7156" width="0.453125" style="223" customWidth="1"/>
    <col min="7157" max="7157" width="26.26953125" style="223" customWidth="1"/>
    <col min="7158" max="7158" width="1.453125" style="223" customWidth="1"/>
    <col min="7159" max="7159" width="13.54296875" style="223" customWidth="1"/>
    <col min="7160" max="7160" width="1.453125" style="223" customWidth="1"/>
    <col min="7161" max="7161" width="24.08984375" style="223" customWidth="1"/>
    <col min="7162" max="7162" width="1.453125" style="223" customWidth="1"/>
    <col min="7163" max="7165" width="13.54296875" style="223" customWidth="1"/>
    <col min="7166" max="7166" width="1.453125" style="223" customWidth="1"/>
    <col min="7167" max="7167" width="24.36328125" style="223" customWidth="1"/>
    <col min="7168" max="7410" width="8.6328125" style="223"/>
    <col min="7411" max="7411" width="13.81640625" style="223" customWidth="1"/>
    <col min="7412" max="7412" width="0.453125" style="223" customWidth="1"/>
    <col min="7413" max="7413" width="26.26953125" style="223" customWidth="1"/>
    <col min="7414" max="7414" width="1.453125" style="223" customWidth="1"/>
    <col min="7415" max="7415" width="13.54296875" style="223" customWidth="1"/>
    <col min="7416" max="7416" width="1.453125" style="223" customWidth="1"/>
    <col min="7417" max="7417" width="24.08984375" style="223" customWidth="1"/>
    <col min="7418" max="7418" width="1.453125" style="223" customWidth="1"/>
    <col min="7419" max="7421" width="13.54296875" style="223" customWidth="1"/>
    <col min="7422" max="7422" width="1.453125" style="223" customWidth="1"/>
    <col min="7423" max="7423" width="24.36328125" style="223" customWidth="1"/>
    <col min="7424" max="7666" width="8.6328125" style="223"/>
    <col min="7667" max="7667" width="13.81640625" style="223" customWidth="1"/>
    <col min="7668" max="7668" width="0.453125" style="223" customWidth="1"/>
    <col min="7669" max="7669" width="26.26953125" style="223" customWidth="1"/>
    <col min="7670" max="7670" width="1.453125" style="223" customWidth="1"/>
    <col min="7671" max="7671" width="13.54296875" style="223" customWidth="1"/>
    <col min="7672" max="7672" width="1.453125" style="223" customWidth="1"/>
    <col min="7673" max="7673" width="24.08984375" style="223" customWidth="1"/>
    <col min="7674" max="7674" width="1.453125" style="223" customWidth="1"/>
    <col min="7675" max="7677" width="13.54296875" style="223" customWidth="1"/>
    <col min="7678" max="7678" width="1.453125" style="223" customWidth="1"/>
    <col min="7679" max="7679" width="24.36328125" style="223" customWidth="1"/>
    <col min="7680" max="7922" width="8.6328125" style="223"/>
    <col min="7923" max="7923" width="13.81640625" style="223" customWidth="1"/>
    <col min="7924" max="7924" width="0.453125" style="223" customWidth="1"/>
    <col min="7925" max="7925" width="26.26953125" style="223" customWidth="1"/>
    <col min="7926" max="7926" width="1.453125" style="223" customWidth="1"/>
    <col min="7927" max="7927" width="13.54296875" style="223" customWidth="1"/>
    <col min="7928" max="7928" width="1.453125" style="223" customWidth="1"/>
    <col min="7929" max="7929" width="24.08984375" style="223" customWidth="1"/>
    <col min="7930" max="7930" width="1.453125" style="223" customWidth="1"/>
    <col min="7931" max="7933" width="13.54296875" style="223" customWidth="1"/>
    <col min="7934" max="7934" width="1.453125" style="223" customWidth="1"/>
    <col min="7935" max="7935" width="24.36328125" style="223" customWidth="1"/>
    <col min="7936" max="8178" width="8.6328125" style="223"/>
    <col min="8179" max="8179" width="13.81640625" style="223" customWidth="1"/>
    <col min="8180" max="8180" width="0.453125" style="223" customWidth="1"/>
    <col min="8181" max="8181" width="26.26953125" style="223" customWidth="1"/>
    <col min="8182" max="8182" width="1.453125" style="223" customWidth="1"/>
    <col min="8183" max="8183" width="13.54296875" style="223" customWidth="1"/>
    <col min="8184" max="8184" width="1.453125" style="223" customWidth="1"/>
    <col min="8185" max="8185" width="24.08984375" style="223" customWidth="1"/>
    <col min="8186" max="8186" width="1.453125" style="223" customWidth="1"/>
    <col min="8187" max="8189" width="13.54296875" style="223" customWidth="1"/>
    <col min="8190" max="8190" width="1.453125" style="223" customWidth="1"/>
    <col min="8191" max="8191" width="24.36328125" style="223" customWidth="1"/>
    <col min="8192" max="8434" width="8.6328125" style="223"/>
    <col min="8435" max="8435" width="13.81640625" style="223" customWidth="1"/>
    <col min="8436" max="8436" width="0.453125" style="223" customWidth="1"/>
    <col min="8437" max="8437" width="26.26953125" style="223" customWidth="1"/>
    <col min="8438" max="8438" width="1.453125" style="223" customWidth="1"/>
    <col min="8439" max="8439" width="13.54296875" style="223" customWidth="1"/>
    <col min="8440" max="8440" width="1.453125" style="223" customWidth="1"/>
    <col min="8441" max="8441" width="24.08984375" style="223" customWidth="1"/>
    <col min="8442" max="8442" width="1.453125" style="223" customWidth="1"/>
    <col min="8443" max="8445" width="13.54296875" style="223" customWidth="1"/>
    <col min="8446" max="8446" width="1.453125" style="223" customWidth="1"/>
    <col min="8447" max="8447" width="24.36328125" style="223" customWidth="1"/>
    <col min="8448" max="8690" width="8.6328125" style="223"/>
    <col min="8691" max="8691" width="13.81640625" style="223" customWidth="1"/>
    <col min="8692" max="8692" width="0.453125" style="223" customWidth="1"/>
    <col min="8693" max="8693" width="26.26953125" style="223" customWidth="1"/>
    <col min="8694" max="8694" width="1.453125" style="223" customWidth="1"/>
    <col min="8695" max="8695" width="13.54296875" style="223" customWidth="1"/>
    <col min="8696" max="8696" width="1.453125" style="223" customWidth="1"/>
    <col min="8697" max="8697" width="24.08984375" style="223" customWidth="1"/>
    <col min="8698" max="8698" width="1.453125" style="223" customWidth="1"/>
    <col min="8699" max="8701" width="13.54296875" style="223" customWidth="1"/>
    <col min="8702" max="8702" width="1.453125" style="223" customWidth="1"/>
    <col min="8703" max="8703" width="24.36328125" style="223" customWidth="1"/>
    <col min="8704" max="8946" width="8.6328125" style="223"/>
    <col min="8947" max="8947" width="13.81640625" style="223" customWidth="1"/>
    <col min="8948" max="8948" width="0.453125" style="223" customWidth="1"/>
    <col min="8949" max="8949" width="26.26953125" style="223" customWidth="1"/>
    <col min="8950" max="8950" width="1.453125" style="223" customWidth="1"/>
    <col min="8951" max="8951" width="13.54296875" style="223" customWidth="1"/>
    <col min="8952" max="8952" width="1.453125" style="223" customWidth="1"/>
    <col min="8953" max="8953" width="24.08984375" style="223" customWidth="1"/>
    <col min="8954" max="8954" width="1.453125" style="223" customWidth="1"/>
    <col min="8955" max="8957" width="13.54296875" style="223" customWidth="1"/>
    <col min="8958" max="8958" width="1.453125" style="223" customWidth="1"/>
    <col min="8959" max="8959" width="24.36328125" style="223" customWidth="1"/>
    <col min="8960" max="9202" width="8.6328125" style="223"/>
    <col min="9203" max="9203" width="13.81640625" style="223" customWidth="1"/>
    <col min="9204" max="9204" width="0.453125" style="223" customWidth="1"/>
    <col min="9205" max="9205" width="26.26953125" style="223" customWidth="1"/>
    <col min="9206" max="9206" width="1.453125" style="223" customWidth="1"/>
    <col min="9207" max="9207" width="13.54296875" style="223" customWidth="1"/>
    <col min="9208" max="9208" width="1.453125" style="223" customWidth="1"/>
    <col min="9209" max="9209" width="24.08984375" style="223" customWidth="1"/>
    <col min="9210" max="9210" width="1.453125" style="223" customWidth="1"/>
    <col min="9211" max="9213" width="13.54296875" style="223" customWidth="1"/>
    <col min="9214" max="9214" width="1.453125" style="223" customWidth="1"/>
    <col min="9215" max="9215" width="24.36328125" style="223" customWidth="1"/>
    <col min="9216" max="9458" width="8.6328125" style="223"/>
    <col min="9459" max="9459" width="13.81640625" style="223" customWidth="1"/>
    <col min="9460" max="9460" width="0.453125" style="223" customWidth="1"/>
    <col min="9461" max="9461" width="26.26953125" style="223" customWidth="1"/>
    <col min="9462" max="9462" width="1.453125" style="223" customWidth="1"/>
    <col min="9463" max="9463" width="13.54296875" style="223" customWidth="1"/>
    <col min="9464" max="9464" width="1.453125" style="223" customWidth="1"/>
    <col min="9465" max="9465" width="24.08984375" style="223" customWidth="1"/>
    <col min="9466" max="9466" width="1.453125" style="223" customWidth="1"/>
    <col min="9467" max="9469" width="13.54296875" style="223" customWidth="1"/>
    <col min="9470" max="9470" width="1.453125" style="223" customWidth="1"/>
    <col min="9471" max="9471" width="24.36328125" style="223" customWidth="1"/>
    <col min="9472" max="9714" width="8.6328125" style="223"/>
    <col min="9715" max="9715" width="13.81640625" style="223" customWidth="1"/>
    <col min="9716" max="9716" width="0.453125" style="223" customWidth="1"/>
    <col min="9717" max="9717" width="26.26953125" style="223" customWidth="1"/>
    <col min="9718" max="9718" width="1.453125" style="223" customWidth="1"/>
    <col min="9719" max="9719" width="13.54296875" style="223" customWidth="1"/>
    <col min="9720" max="9720" width="1.453125" style="223" customWidth="1"/>
    <col min="9721" max="9721" width="24.08984375" style="223" customWidth="1"/>
    <col min="9722" max="9722" width="1.453125" style="223" customWidth="1"/>
    <col min="9723" max="9725" width="13.54296875" style="223" customWidth="1"/>
    <col min="9726" max="9726" width="1.453125" style="223" customWidth="1"/>
    <col min="9727" max="9727" width="24.36328125" style="223" customWidth="1"/>
    <col min="9728" max="9970" width="8.6328125" style="223"/>
    <col min="9971" max="9971" width="13.81640625" style="223" customWidth="1"/>
    <col min="9972" max="9972" width="0.453125" style="223" customWidth="1"/>
    <col min="9973" max="9973" width="26.26953125" style="223" customWidth="1"/>
    <col min="9974" max="9974" width="1.453125" style="223" customWidth="1"/>
    <col min="9975" max="9975" width="13.54296875" style="223" customWidth="1"/>
    <col min="9976" max="9976" width="1.453125" style="223" customWidth="1"/>
    <col min="9977" max="9977" width="24.08984375" style="223" customWidth="1"/>
    <col min="9978" max="9978" width="1.453125" style="223" customWidth="1"/>
    <col min="9979" max="9981" width="13.54296875" style="223" customWidth="1"/>
    <col min="9982" max="9982" width="1.453125" style="223" customWidth="1"/>
    <col min="9983" max="9983" width="24.36328125" style="223" customWidth="1"/>
    <col min="9984" max="10226" width="8.6328125" style="223"/>
    <col min="10227" max="10227" width="13.81640625" style="223" customWidth="1"/>
    <col min="10228" max="10228" width="0.453125" style="223" customWidth="1"/>
    <col min="10229" max="10229" width="26.26953125" style="223" customWidth="1"/>
    <col min="10230" max="10230" width="1.453125" style="223" customWidth="1"/>
    <col min="10231" max="10231" width="13.54296875" style="223" customWidth="1"/>
    <col min="10232" max="10232" width="1.453125" style="223" customWidth="1"/>
    <col min="10233" max="10233" width="24.08984375" style="223" customWidth="1"/>
    <col min="10234" max="10234" width="1.453125" style="223" customWidth="1"/>
    <col min="10235" max="10237" width="13.54296875" style="223" customWidth="1"/>
    <col min="10238" max="10238" width="1.453125" style="223" customWidth="1"/>
    <col min="10239" max="10239" width="24.36328125" style="223" customWidth="1"/>
    <col min="10240" max="10482" width="8.6328125" style="223"/>
    <col min="10483" max="10483" width="13.81640625" style="223" customWidth="1"/>
    <col min="10484" max="10484" width="0.453125" style="223" customWidth="1"/>
    <col min="10485" max="10485" width="26.26953125" style="223" customWidth="1"/>
    <col min="10486" max="10486" width="1.453125" style="223" customWidth="1"/>
    <col min="10487" max="10487" width="13.54296875" style="223" customWidth="1"/>
    <col min="10488" max="10488" width="1.453125" style="223" customWidth="1"/>
    <col min="10489" max="10489" width="24.08984375" style="223" customWidth="1"/>
    <col min="10490" max="10490" width="1.453125" style="223" customWidth="1"/>
    <col min="10491" max="10493" width="13.54296875" style="223" customWidth="1"/>
    <col min="10494" max="10494" width="1.453125" style="223" customWidth="1"/>
    <col min="10495" max="10495" width="24.36328125" style="223" customWidth="1"/>
    <col min="10496" max="10738" width="8.6328125" style="223"/>
    <col min="10739" max="10739" width="13.81640625" style="223" customWidth="1"/>
    <col min="10740" max="10740" width="0.453125" style="223" customWidth="1"/>
    <col min="10741" max="10741" width="26.26953125" style="223" customWidth="1"/>
    <col min="10742" max="10742" width="1.453125" style="223" customWidth="1"/>
    <col min="10743" max="10743" width="13.54296875" style="223" customWidth="1"/>
    <col min="10744" max="10744" width="1.453125" style="223" customWidth="1"/>
    <col min="10745" max="10745" width="24.08984375" style="223" customWidth="1"/>
    <col min="10746" max="10746" width="1.453125" style="223" customWidth="1"/>
    <col min="10747" max="10749" width="13.54296875" style="223" customWidth="1"/>
    <col min="10750" max="10750" width="1.453125" style="223" customWidth="1"/>
    <col min="10751" max="10751" width="24.36328125" style="223" customWidth="1"/>
    <col min="10752" max="10994" width="8.6328125" style="223"/>
    <col min="10995" max="10995" width="13.81640625" style="223" customWidth="1"/>
    <col min="10996" max="10996" width="0.453125" style="223" customWidth="1"/>
    <col min="10997" max="10997" width="26.26953125" style="223" customWidth="1"/>
    <col min="10998" max="10998" width="1.453125" style="223" customWidth="1"/>
    <col min="10999" max="10999" width="13.54296875" style="223" customWidth="1"/>
    <col min="11000" max="11000" width="1.453125" style="223" customWidth="1"/>
    <col min="11001" max="11001" width="24.08984375" style="223" customWidth="1"/>
    <col min="11002" max="11002" width="1.453125" style="223" customWidth="1"/>
    <col min="11003" max="11005" width="13.54296875" style="223" customWidth="1"/>
    <col min="11006" max="11006" width="1.453125" style="223" customWidth="1"/>
    <col min="11007" max="11007" width="24.36328125" style="223" customWidth="1"/>
    <col min="11008" max="11250" width="8.6328125" style="223"/>
    <col min="11251" max="11251" width="13.81640625" style="223" customWidth="1"/>
    <col min="11252" max="11252" width="0.453125" style="223" customWidth="1"/>
    <col min="11253" max="11253" width="26.26953125" style="223" customWidth="1"/>
    <col min="11254" max="11254" width="1.453125" style="223" customWidth="1"/>
    <col min="11255" max="11255" width="13.54296875" style="223" customWidth="1"/>
    <col min="11256" max="11256" width="1.453125" style="223" customWidth="1"/>
    <col min="11257" max="11257" width="24.08984375" style="223" customWidth="1"/>
    <col min="11258" max="11258" width="1.453125" style="223" customWidth="1"/>
    <col min="11259" max="11261" width="13.54296875" style="223" customWidth="1"/>
    <col min="11262" max="11262" width="1.453125" style="223" customWidth="1"/>
    <col min="11263" max="11263" width="24.36328125" style="223" customWidth="1"/>
    <col min="11264" max="11506" width="8.6328125" style="223"/>
    <col min="11507" max="11507" width="13.81640625" style="223" customWidth="1"/>
    <col min="11508" max="11508" width="0.453125" style="223" customWidth="1"/>
    <col min="11509" max="11509" width="26.26953125" style="223" customWidth="1"/>
    <col min="11510" max="11510" width="1.453125" style="223" customWidth="1"/>
    <col min="11511" max="11511" width="13.54296875" style="223" customWidth="1"/>
    <col min="11512" max="11512" width="1.453125" style="223" customWidth="1"/>
    <col min="11513" max="11513" width="24.08984375" style="223" customWidth="1"/>
    <col min="11514" max="11514" width="1.453125" style="223" customWidth="1"/>
    <col min="11515" max="11517" width="13.54296875" style="223" customWidth="1"/>
    <col min="11518" max="11518" width="1.453125" style="223" customWidth="1"/>
    <col min="11519" max="11519" width="24.36328125" style="223" customWidth="1"/>
    <col min="11520" max="11762" width="8.6328125" style="223"/>
    <col min="11763" max="11763" width="13.81640625" style="223" customWidth="1"/>
    <col min="11764" max="11764" width="0.453125" style="223" customWidth="1"/>
    <col min="11765" max="11765" width="26.26953125" style="223" customWidth="1"/>
    <col min="11766" max="11766" width="1.453125" style="223" customWidth="1"/>
    <col min="11767" max="11767" width="13.54296875" style="223" customWidth="1"/>
    <col min="11768" max="11768" width="1.453125" style="223" customWidth="1"/>
    <col min="11769" max="11769" width="24.08984375" style="223" customWidth="1"/>
    <col min="11770" max="11770" width="1.453125" style="223" customWidth="1"/>
    <col min="11771" max="11773" width="13.54296875" style="223" customWidth="1"/>
    <col min="11774" max="11774" width="1.453125" style="223" customWidth="1"/>
    <col min="11775" max="11775" width="24.36328125" style="223" customWidth="1"/>
    <col min="11776" max="12018" width="8.6328125" style="223"/>
    <col min="12019" max="12019" width="13.81640625" style="223" customWidth="1"/>
    <col min="12020" max="12020" width="0.453125" style="223" customWidth="1"/>
    <col min="12021" max="12021" width="26.26953125" style="223" customWidth="1"/>
    <col min="12022" max="12022" width="1.453125" style="223" customWidth="1"/>
    <col min="12023" max="12023" width="13.54296875" style="223" customWidth="1"/>
    <col min="12024" max="12024" width="1.453125" style="223" customWidth="1"/>
    <col min="12025" max="12025" width="24.08984375" style="223" customWidth="1"/>
    <col min="12026" max="12026" width="1.453125" style="223" customWidth="1"/>
    <col min="12027" max="12029" width="13.54296875" style="223" customWidth="1"/>
    <col min="12030" max="12030" width="1.453125" style="223" customWidth="1"/>
    <col min="12031" max="12031" width="24.36328125" style="223" customWidth="1"/>
    <col min="12032" max="12274" width="8.6328125" style="223"/>
    <col min="12275" max="12275" width="13.81640625" style="223" customWidth="1"/>
    <col min="12276" max="12276" width="0.453125" style="223" customWidth="1"/>
    <col min="12277" max="12277" width="26.26953125" style="223" customWidth="1"/>
    <col min="12278" max="12278" width="1.453125" style="223" customWidth="1"/>
    <col min="12279" max="12279" width="13.54296875" style="223" customWidth="1"/>
    <col min="12280" max="12280" width="1.453125" style="223" customWidth="1"/>
    <col min="12281" max="12281" width="24.08984375" style="223" customWidth="1"/>
    <col min="12282" max="12282" width="1.453125" style="223" customWidth="1"/>
    <col min="12283" max="12285" width="13.54296875" style="223" customWidth="1"/>
    <col min="12286" max="12286" width="1.453125" style="223" customWidth="1"/>
    <col min="12287" max="12287" width="24.36328125" style="223" customWidth="1"/>
    <col min="12288" max="12530" width="8.6328125" style="223"/>
    <col min="12531" max="12531" width="13.81640625" style="223" customWidth="1"/>
    <col min="12532" max="12532" width="0.453125" style="223" customWidth="1"/>
    <col min="12533" max="12533" width="26.26953125" style="223" customWidth="1"/>
    <col min="12534" max="12534" width="1.453125" style="223" customWidth="1"/>
    <col min="12535" max="12535" width="13.54296875" style="223" customWidth="1"/>
    <col min="12536" max="12536" width="1.453125" style="223" customWidth="1"/>
    <col min="12537" max="12537" width="24.08984375" style="223" customWidth="1"/>
    <col min="12538" max="12538" width="1.453125" style="223" customWidth="1"/>
    <col min="12539" max="12541" width="13.54296875" style="223" customWidth="1"/>
    <col min="12542" max="12542" width="1.453125" style="223" customWidth="1"/>
    <col min="12543" max="12543" width="24.36328125" style="223" customWidth="1"/>
    <col min="12544" max="12786" width="8.6328125" style="223"/>
    <col min="12787" max="12787" width="13.81640625" style="223" customWidth="1"/>
    <col min="12788" max="12788" width="0.453125" style="223" customWidth="1"/>
    <col min="12789" max="12789" width="26.26953125" style="223" customWidth="1"/>
    <col min="12790" max="12790" width="1.453125" style="223" customWidth="1"/>
    <col min="12791" max="12791" width="13.54296875" style="223" customWidth="1"/>
    <col min="12792" max="12792" width="1.453125" style="223" customWidth="1"/>
    <col min="12793" max="12793" width="24.08984375" style="223" customWidth="1"/>
    <col min="12794" max="12794" width="1.453125" style="223" customWidth="1"/>
    <col min="12795" max="12797" width="13.54296875" style="223" customWidth="1"/>
    <col min="12798" max="12798" width="1.453125" style="223" customWidth="1"/>
    <col min="12799" max="12799" width="24.36328125" style="223" customWidth="1"/>
    <col min="12800" max="13042" width="8.6328125" style="223"/>
    <col min="13043" max="13043" width="13.81640625" style="223" customWidth="1"/>
    <col min="13044" max="13044" width="0.453125" style="223" customWidth="1"/>
    <col min="13045" max="13045" width="26.26953125" style="223" customWidth="1"/>
    <col min="13046" max="13046" width="1.453125" style="223" customWidth="1"/>
    <col min="13047" max="13047" width="13.54296875" style="223" customWidth="1"/>
    <col min="13048" max="13048" width="1.453125" style="223" customWidth="1"/>
    <col min="13049" max="13049" width="24.08984375" style="223" customWidth="1"/>
    <col min="13050" max="13050" width="1.453125" style="223" customWidth="1"/>
    <col min="13051" max="13053" width="13.54296875" style="223" customWidth="1"/>
    <col min="13054" max="13054" width="1.453125" style="223" customWidth="1"/>
    <col min="13055" max="13055" width="24.36328125" style="223" customWidth="1"/>
    <col min="13056" max="13298" width="8.6328125" style="223"/>
    <col min="13299" max="13299" width="13.81640625" style="223" customWidth="1"/>
    <col min="13300" max="13300" width="0.453125" style="223" customWidth="1"/>
    <col min="13301" max="13301" width="26.26953125" style="223" customWidth="1"/>
    <col min="13302" max="13302" width="1.453125" style="223" customWidth="1"/>
    <col min="13303" max="13303" width="13.54296875" style="223" customWidth="1"/>
    <col min="13304" max="13304" width="1.453125" style="223" customWidth="1"/>
    <col min="13305" max="13305" width="24.08984375" style="223" customWidth="1"/>
    <col min="13306" max="13306" width="1.453125" style="223" customWidth="1"/>
    <col min="13307" max="13309" width="13.54296875" style="223" customWidth="1"/>
    <col min="13310" max="13310" width="1.453125" style="223" customWidth="1"/>
    <col min="13311" max="13311" width="24.36328125" style="223" customWidth="1"/>
    <col min="13312" max="13554" width="8.6328125" style="223"/>
    <col min="13555" max="13555" width="13.81640625" style="223" customWidth="1"/>
    <col min="13556" max="13556" width="0.453125" style="223" customWidth="1"/>
    <col min="13557" max="13557" width="26.26953125" style="223" customWidth="1"/>
    <col min="13558" max="13558" width="1.453125" style="223" customWidth="1"/>
    <col min="13559" max="13559" width="13.54296875" style="223" customWidth="1"/>
    <col min="13560" max="13560" width="1.453125" style="223" customWidth="1"/>
    <col min="13561" max="13561" width="24.08984375" style="223" customWidth="1"/>
    <col min="13562" max="13562" width="1.453125" style="223" customWidth="1"/>
    <col min="13563" max="13565" width="13.54296875" style="223" customWidth="1"/>
    <col min="13566" max="13566" width="1.453125" style="223" customWidth="1"/>
    <col min="13567" max="13567" width="24.36328125" style="223" customWidth="1"/>
    <col min="13568" max="13810" width="8.6328125" style="223"/>
    <col min="13811" max="13811" width="13.81640625" style="223" customWidth="1"/>
    <col min="13812" max="13812" width="0.453125" style="223" customWidth="1"/>
    <col min="13813" max="13813" width="26.26953125" style="223" customWidth="1"/>
    <col min="13814" max="13814" width="1.453125" style="223" customWidth="1"/>
    <col min="13815" max="13815" width="13.54296875" style="223" customWidth="1"/>
    <col min="13816" max="13816" width="1.453125" style="223" customWidth="1"/>
    <col min="13817" max="13817" width="24.08984375" style="223" customWidth="1"/>
    <col min="13818" max="13818" width="1.453125" style="223" customWidth="1"/>
    <col min="13819" max="13821" width="13.54296875" style="223" customWidth="1"/>
    <col min="13822" max="13822" width="1.453125" style="223" customWidth="1"/>
    <col min="13823" max="13823" width="24.36328125" style="223" customWidth="1"/>
    <col min="13824" max="14066" width="8.6328125" style="223"/>
    <col min="14067" max="14067" width="13.81640625" style="223" customWidth="1"/>
    <col min="14068" max="14068" width="0.453125" style="223" customWidth="1"/>
    <col min="14069" max="14069" width="26.26953125" style="223" customWidth="1"/>
    <col min="14070" max="14070" width="1.453125" style="223" customWidth="1"/>
    <col min="14071" max="14071" width="13.54296875" style="223" customWidth="1"/>
    <col min="14072" max="14072" width="1.453125" style="223" customWidth="1"/>
    <col min="14073" max="14073" width="24.08984375" style="223" customWidth="1"/>
    <col min="14074" max="14074" width="1.453125" style="223" customWidth="1"/>
    <col min="14075" max="14077" width="13.54296875" style="223" customWidth="1"/>
    <col min="14078" max="14078" width="1.453125" style="223" customWidth="1"/>
    <col min="14079" max="14079" width="24.36328125" style="223" customWidth="1"/>
    <col min="14080" max="14322" width="8.6328125" style="223"/>
    <col min="14323" max="14323" width="13.81640625" style="223" customWidth="1"/>
    <col min="14324" max="14324" width="0.453125" style="223" customWidth="1"/>
    <col min="14325" max="14325" width="26.26953125" style="223" customWidth="1"/>
    <col min="14326" max="14326" width="1.453125" style="223" customWidth="1"/>
    <col min="14327" max="14327" width="13.54296875" style="223" customWidth="1"/>
    <col min="14328" max="14328" width="1.453125" style="223" customWidth="1"/>
    <col min="14329" max="14329" width="24.08984375" style="223" customWidth="1"/>
    <col min="14330" max="14330" width="1.453125" style="223" customWidth="1"/>
    <col min="14331" max="14333" width="13.54296875" style="223" customWidth="1"/>
    <col min="14334" max="14334" width="1.453125" style="223" customWidth="1"/>
    <col min="14335" max="14335" width="24.36328125" style="223" customWidth="1"/>
    <col min="14336" max="14578" width="8.6328125" style="223"/>
    <col min="14579" max="14579" width="13.81640625" style="223" customWidth="1"/>
    <col min="14580" max="14580" width="0.453125" style="223" customWidth="1"/>
    <col min="14581" max="14581" width="26.26953125" style="223" customWidth="1"/>
    <col min="14582" max="14582" width="1.453125" style="223" customWidth="1"/>
    <col min="14583" max="14583" width="13.54296875" style="223" customWidth="1"/>
    <col min="14584" max="14584" width="1.453125" style="223" customWidth="1"/>
    <col min="14585" max="14585" width="24.08984375" style="223" customWidth="1"/>
    <col min="14586" max="14586" width="1.453125" style="223" customWidth="1"/>
    <col min="14587" max="14589" width="13.54296875" style="223" customWidth="1"/>
    <col min="14590" max="14590" width="1.453125" style="223" customWidth="1"/>
    <col min="14591" max="14591" width="24.36328125" style="223" customWidth="1"/>
    <col min="14592" max="14834" width="8.6328125" style="223"/>
    <col min="14835" max="14835" width="13.81640625" style="223" customWidth="1"/>
    <col min="14836" max="14836" width="0.453125" style="223" customWidth="1"/>
    <col min="14837" max="14837" width="26.26953125" style="223" customWidth="1"/>
    <col min="14838" max="14838" width="1.453125" style="223" customWidth="1"/>
    <col min="14839" max="14839" width="13.54296875" style="223" customWidth="1"/>
    <col min="14840" max="14840" width="1.453125" style="223" customWidth="1"/>
    <col min="14841" max="14841" width="24.08984375" style="223" customWidth="1"/>
    <col min="14842" max="14842" width="1.453125" style="223" customWidth="1"/>
    <col min="14843" max="14845" width="13.54296875" style="223" customWidth="1"/>
    <col min="14846" max="14846" width="1.453125" style="223" customWidth="1"/>
    <col min="14847" max="14847" width="24.36328125" style="223" customWidth="1"/>
    <col min="14848" max="15090" width="8.6328125" style="223"/>
    <col min="15091" max="15091" width="13.81640625" style="223" customWidth="1"/>
    <col min="15092" max="15092" width="0.453125" style="223" customWidth="1"/>
    <col min="15093" max="15093" width="26.26953125" style="223" customWidth="1"/>
    <col min="15094" max="15094" width="1.453125" style="223" customWidth="1"/>
    <col min="15095" max="15095" width="13.54296875" style="223" customWidth="1"/>
    <col min="15096" max="15096" width="1.453125" style="223" customWidth="1"/>
    <col min="15097" max="15097" width="24.08984375" style="223" customWidth="1"/>
    <col min="15098" max="15098" width="1.453125" style="223" customWidth="1"/>
    <col min="15099" max="15101" width="13.54296875" style="223" customWidth="1"/>
    <col min="15102" max="15102" width="1.453125" style="223" customWidth="1"/>
    <col min="15103" max="15103" width="24.36328125" style="223" customWidth="1"/>
    <col min="15104" max="15346" width="8.6328125" style="223"/>
    <col min="15347" max="15347" width="13.81640625" style="223" customWidth="1"/>
    <col min="15348" max="15348" width="0.453125" style="223" customWidth="1"/>
    <col min="15349" max="15349" width="26.26953125" style="223" customWidth="1"/>
    <col min="15350" max="15350" width="1.453125" style="223" customWidth="1"/>
    <col min="15351" max="15351" width="13.54296875" style="223" customWidth="1"/>
    <col min="15352" max="15352" width="1.453125" style="223" customWidth="1"/>
    <col min="15353" max="15353" width="24.08984375" style="223" customWidth="1"/>
    <col min="15354" max="15354" width="1.453125" style="223" customWidth="1"/>
    <col min="15355" max="15357" width="13.54296875" style="223" customWidth="1"/>
    <col min="15358" max="15358" width="1.453125" style="223" customWidth="1"/>
    <col min="15359" max="15359" width="24.36328125" style="223" customWidth="1"/>
    <col min="15360" max="15602" width="8.6328125" style="223"/>
    <col min="15603" max="15603" width="13.81640625" style="223" customWidth="1"/>
    <col min="15604" max="15604" width="0.453125" style="223" customWidth="1"/>
    <col min="15605" max="15605" width="26.26953125" style="223" customWidth="1"/>
    <col min="15606" max="15606" width="1.453125" style="223" customWidth="1"/>
    <col min="15607" max="15607" width="13.54296875" style="223" customWidth="1"/>
    <col min="15608" max="15608" width="1.453125" style="223" customWidth="1"/>
    <col min="15609" max="15609" width="24.08984375" style="223" customWidth="1"/>
    <col min="15610" max="15610" width="1.453125" style="223" customWidth="1"/>
    <col min="15611" max="15613" width="13.54296875" style="223" customWidth="1"/>
    <col min="15614" max="15614" width="1.453125" style="223" customWidth="1"/>
    <col min="15615" max="15615" width="24.36328125" style="223" customWidth="1"/>
    <col min="15616" max="15858" width="8.6328125" style="223"/>
    <col min="15859" max="15859" width="13.81640625" style="223" customWidth="1"/>
    <col min="15860" max="15860" width="0.453125" style="223" customWidth="1"/>
    <col min="15861" max="15861" width="26.26953125" style="223" customWidth="1"/>
    <col min="15862" max="15862" width="1.453125" style="223" customWidth="1"/>
    <col min="15863" max="15863" width="13.54296875" style="223" customWidth="1"/>
    <col min="15864" max="15864" width="1.453125" style="223" customWidth="1"/>
    <col min="15865" max="15865" width="24.08984375" style="223" customWidth="1"/>
    <col min="15866" max="15866" width="1.453125" style="223" customWidth="1"/>
    <col min="15867" max="15869" width="13.54296875" style="223" customWidth="1"/>
    <col min="15870" max="15870" width="1.453125" style="223" customWidth="1"/>
    <col min="15871" max="15871" width="24.36328125" style="223" customWidth="1"/>
    <col min="15872" max="16114" width="8.6328125" style="223"/>
    <col min="16115" max="16115" width="13.81640625" style="223" customWidth="1"/>
    <col min="16116" max="16116" width="0.453125" style="223" customWidth="1"/>
    <col min="16117" max="16117" width="26.26953125" style="223" customWidth="1"/>
    <col min="16118" max="16118" width="1.453125" style="223" customWidth="1"/>
    <col min="16119" max="16119" width="13.54296875" style="223" customWidth="1"/>
    <col min="16120" max="16120" width="1.453125" style="223" customWidth="1"/>
    <col min="16121" max="16121" width="24.08984375" style="223" customWidth="1"/>
    <col min="16122" max="16122" width="1.453125" style="223" customWidth="1"/>
    <col min="16123" max="16125" width="13.54296875" style="223" customWidth="1"/>
    <col min="16126" max="16126" width="1.453125" style="223" customWidth="1"/>
    <col min="16127" max="16127" width="24.36328125" style="223" customWidth="1"/>
    <col min="16128" max="16384" width="8.6328125" style="223"/>
  </cols>
  <sheetData>
    <row r="1" spans="1:19" s="222" customFormat="1" ht="21.5" thickBot="1" x14ac:dyDescent="0.55000000000000004">
      <c r="A1" s="220" t="s">
        <v>211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19" ht="14.25" customHeight="1" x14ac:dyDescent="0.3"/>
    <row r="3" spans="1:19" ht="14.5" x14ac:dyDescent="0.35">
      <c r="A3" s="232" t="s">
        <v>143</v>
      </c>
    </row>
    <row r="4" spans="1:19" ht="14.5" x14ac:dyDescent="0.35">
      <c r="A4" s="343"/>
      <c r="B4" s="232"/>
      <c r="C4" s="344">
        <v>0</v>
      </c>
      <c r="D4" s="344">
        <f t="shared" ref="D4:P4" si="0">C4+1</f>
        <v>1</v>
      </c>
      <c r="E4" s="344">
        <f t="shared" si="0"/>
        <v>2</v>
      </c>
      <c r="F4" s="344">
        <f t="shared" si="0"/>
        <v>3</v>
      </c>
      <c r="G4" s="344">
        <f t="shared" si="0"/>
        <v>4</v>
      </c>
      <c r="H4" s="344">
        <f t="shared" si="0"/>
        <v>5</v>
      </c>
      <c r="I4" s="344">
        <f t="shared" si="0"/>
        <v>6</v>
      </c>
      <c r="J4" s="344">
        <f t="shared" si="0"/>
        <v>7</v>
      </c>
      <c r="K4" s="344">
        <f t="shared" si="0"/>
        <v>8</v>
      </c>
      <c r="L4" s="344">
        <f t="shared" si="0"/>
        <v>9</v>
      </c>
      <c r="M4" s="344">
        <f t="shared" si="0"/>
        <v>10</v>
      </c>
      <c r="N4" s="344">
        <f t="shared" si="0"/>
        <v>11</v>
      </c>
      <c r="O4" s="344">
        <f t="shared" si="0"/>
        <v>12</v>
      </c>
      <c r="P4" s="344">
        <f t="shared" si="0"/>
        <v>13</v>
      </c>
    </row>
    <row r="5" spans="1:19" ht="14.5" x14ac:dyDescent="0.35">
      <c r="B5" s="232"/>
      <c r="C5" s="343">
        <v>2009</v>
      </c>
      <c r="D5" s="343">
        <f t="shared" ref="D5:P5" si="1">C5+1</f>
        <v>2010</v>
      </c>
      <c r="E5" s="343">
        <f t="shared" si="1"/>
        <v>2011</v>
      </c>
      <c r="F5" s="343">
        <f t="shared" si="1"/>
        <v>2012</v>
      </c>
      <c r="G5" s="343">
        <f t="shared" si="1"/>
        <v>2013</v>
      </c>
      <c r="H5" s="343">
        <f t="shared" si="1"/>
        <v>2014</v>
      </c>
      <c r="I5" s="343">
        <f t="shared" si="1"/>
        <v>2015</v>
      </c>
      <c r="J5" s="343">
        <f t="shared" si="1"/>
        <v>2016</v>
      </c>
      <c r="K5" s="343">
        <f t="shared" si="1"/>
        <v>2017</v>
      </c>
      <c r="L5" s="343">
        <f t="shared" si="1"/>
        <v>2018</v>
      </c>
      <c r="M5" s="343">
        <f t="shared" si="1"/>
        <v>2019</v>
      </c>
      <c r="N5" s="343">
        <f t="shared" si="1"/>
        <v>2020</v>
      </c>
      <c r="O5" s="343">
        <f t="shared" si="1"/>
        <v>2021</v>
      </c>
      <c r="P5" s="343">
        <f t="shared" si="1"/>
        <v>2022</v>
      </c>
    </row>
    <row r="6" spans="1:19" ht="15.5" x14ac:dyDescent="0.35">
      <c r="A6" s="279" t="s">
        <v>214</v>
      </c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</row>
    <row r="7" spans="1:19" ht="14.5" x14ac:dyDescent="0.35">
      <c r="A7" s="232" t="s">
        <v>205</v>
      </c>
      <c r="B7" s="232"/>
      <c r="C7" s="345"/>
      <c r="D7" s="345">
        <f>'Base Scenario (Control)'!D87</f>
        <v>2420</v>
      </c>
      <c r="E7" s="345">
        <f>'Base Scenario (Control)'!E87</f>
        <v>3870</v>
      </c>
      <c r="F7" s="345">
        <f>'Base Scenario (Control)'!F87</f>
        <v>3410</v>
      </c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80"/>
      <c r="R7" s="281">
        <f>SUM(C7:P7)</f>
        <v>9700</v>
      </c>
      <c r="S7" s="281" t="s">
        <v>213</v>
      </c>
    </row>
    <row r="8" spans="1:19" ht="15" thickBot="1" x14ac:dyDescent="0.4">
      <c r="A8" s="232" t="s">
        <v>204</v>
      </c>
      <c r="B8" s="232"/>
      <c r="C8" s="345"/>
      <c r="D8" s="345"/>
      <c r="E8" s="345"/>
      <c r="F8" s="345"/>
      <c r="G8" s="345">
        <f>'Base Scenario (Control)'!G88</f>
        <v>-540</v>
      </c>
      <c r="H8" s="345">
        <f>'Base Scenario (Control)'!H88</f>
        <v>-1100</v>
      </c>
      <c r="I8" s="345">
        <f>'Base Scenario (Control)'!I88</f>
        <v>-1070</v>
      </c>
      <c r="J8" s="345">
        <f>'Base Scenario (Control)'!J88</f>
        <v>-1080</v>
      </c>
      <c r="K8" s="345">
        <f>'Base Scenario (Control)'!K88</f>
        <v>-1070</v>
      </c>
      <c r="L8" s="345">
        <f>'Base Scenario (Control)'!L88</f>
        <v>-1080</v>
      </c>
      <c r="M8" s="345">
        <f>'Base Scenario (Control)'!M88</f>
        <v>-1070</v>
      </c>
      <c r="N8" s="345">
        <f>'Base Scenario (Control)'!N88</f>
        <v>-1080</v>
      </c>
      <c r="O8" s="345">
        <f>'Base Scenario (Control)'!O88</f>
        <v>-1070</v>
      </c>
      <c r="P8" s="345">
        <f>'Base Scenario (Control)'!P88</f>
        <v>-540</v>
      </c>
      <c r="Q8" s="280"/>
      <c r="R8" s="281">
        <f>SUM(C8:P8)</f>
        <v>-9700</v>
      </c>
      <c r="S8" s="281" t="s">
        <v>213</v>
      </c>
    </row>
    <row r="9" spans="1:19" ht="15" thickBot="1" x14ac:dyDescent="0.4">
      <c r="A9" s="232" t="s">
        <v>245</v>
      </c>
      <c r="B9" s="432">
        <f>'Base Case (Revised)'!$J$4</f>
        <v>0.12</v>
      </c>
      <c r="C9" s="232"/>
      <c r="D9" s="411">
        <f>-1590*D7/SUM(D7:F7)</f>
        <v>-396.68041237113403</v>
      </c>
      <c r="E9" s="412">
        <f>-1590*E7/SUM(D7:F7)</f>
        <v>-634.36082474226805</v>
      </c>
      <c r="F9" s="413">
        <f>-1590*F7/SUM(D7:F7)</f>
        <v>-558.95876288659792</v>
      </c>
      <c r="G9" s="345">
        <f t="shared" ref="G9:P9" si="2">-$B9*((G13+G14)/2)</f>
        <v>-1131.5999999999999</v>
      </c>
      <c r="H9" s="345">
        <f t="shared" si="2"/>
        <v>-1033.2</v>
      </c>
      <c r="I9" s="345">
        <f t="shared" si="2"/>
        <v>-903</v>
      </c>
      <c r="J9" s="345">
        <f t="shared" si="2"/>
        <v>-774</v>
      </c>
      <c r="K9" s="345">
        <f t="shared" si="2"/>
        <v>-645</v>
      </c>
      <c r="L9" s="345">
        <f t="shared" si="2"/>
        <v>-516</v>
      </c>
      <c r="M9" s="345">
        <f t="shared" si="2"/>
        <v>-387</v>
      </c>
      <c r="N9" s="345">
        <f t="shared" si="2"/>
        <v>-258</v>
      </c>
      <c r="O9" s="345">
        <f t="shared" si="2"/>
        <v>-129</v>
      </c>
      <c r="P9" s="345">
        <f t="shared" si="2"/>
        <v>-32.4</v>
      </c>
    </row>
    <row r="10" spans="1:19" ht="14.5" x14ac:dyDescent="0.35">
      <c r="A10" s="232" t="s">
        <v>165</v>
      </c>
      <c r="B10" s="430">
        <v>2.5000000000000001E-3</v>
      </c>
      <c r="C10" s="346"/>
      <c r="D10" s="344"/>
      <c r="E10" s="344"/>
      <c r="F10" s="344"/>
      <c r="G10" s="344"/>
      <c r="H10" s="344"/>
      <c r="I10" s="344"/>
      <c r="J10" s="344"/>
      <c r="K10" s="344"/>
      <c r="L10" s="344"/>
      <c r="M10" s="344"/>
      <c r="N10" s="344"/>
      <c r="O10" s="344"/>
      <c r="P10" s="344"/>
    </row>
    <row r="11" spans="1:19" ht="14.5" x14ac:dyDescent="0.35">
      <c r="A11" s="252" t="s">
        <v>166</v>
      </c>
      <c r="B11" s="232"/>
      <c r="C11" s="347"/>
      <c r="D11" s="347">
        <f t="shared" ref="D11:F11" si="3">SUM(D7:D10)</f>
        <v>2023.319587628866</v>
      </c>
      <c r="E11" s="347">
        <f t="shared" si="3"/>
        <v>3235.6391752577319</v>
      </c>
      <c r="F11" s="347">
        <f t="shared" si="3"/>
        <v>2851.0412371134021</v>
      </c>
      <c r="G11" s="347">
        <f t="shared" ref="G11:P11" si="4">SUM(G8:G10)</f>
        <v>-1671.6</v>
      </c>
      <c r="H11" s="347">
        <f t="shared" si="4"/>
        <v>-2133.1999999999998</v>
      </c>
      <c r="I11" s="347">
        <f t="shared" si="4"/>
        <v>-1973</v>
      </c>
      <c r="J11" s="347">
        <f t="shared" si="4"/>
        <v>-1854</v>
      </c>
      <c r="K11" s="347">
        <f t="shared" si="4"/>
        <v>-1715</v>
      </c>
      <c r="L11" s="347">
        <f t="shared" si="4"/>
        <v>-1596</v>
      </c>
      <c r="M11" s="347">
        <f t="shared" si="4"/>
        <v>-1457</v>
      </c>
      <c r="N11" s="347">
        <f t="shared" si="4"/>
        <v>-1338</v>
      </c>
      <c r="O11" s="347">
        <f t="shared" si="4"/>
        <v>-1199</v>
      </c>
      <c r="P11" s="347">
        <f t="shared" si="4"/>
        <v>-572.4</v>
      </c>
    </row>
    <row r="12" spans="1:19" ht="14.5" x14ac:dyDescent="0.35">
      <c r="A12" s="246"/>
      <c r="B12" s="232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32"/>
      <c r="O12" s="232"/>
      <c r="P12" s="232"/>
    </row>
    <row r="13" spans="1:19" ht="14.5" x14ac:dyDescent="0.35">
      <c r="A13" s="246" t="s">
        <v>206</v>
      </c>
      <c r="B13" s="232"/>
      <c r="C13" s="246"/>
      <c r="D13" s="348">
        <f>D7</f>
        <v>2420</v>
      </c>
      <c r="E13" s="348">
        <f t="shared" ref="E13:P13" si="5">D14</f>
        <v>2420</v>
      </c>
      <c r="F13" s="348">
        <f t="shared" si="5"/>
        <v>6290</v>
      </c>
      <c r="G13" s="348">
        <f t="shared" si="5"/>
        <v>9700</v>
      </c>
      <c r="H13" s="348">
        <f t="shared" si="5"/>
        <v>9160</v>
      </c>
      <c r="I13" s="348">
        <f t="shared" si="5"/>
        <v>8060</v>
      </c>
      <c r="J13" s="348">
        <f t="shared" si="5"/>
        <v>6990</v>
      </c>
      <c r="K13" s="348">
        <f t="shared" si="5"/>
        <v>5910</v>
      </c>
      <c r="L13" s="348">
        <f t="shared" si="5"/>
        <v>4840</v>
      </c>
      <c r="M13" s="348">
        <f t="shared" si="5"/>
        <v>3760</v>
      </c>
      <c r="N13" s="348">
        <f t="shared" si="5"/>
        <v>2690</v>
      </c>
      <c r="O13" s="348">
        <f t="shared" si="5"/>
        <v>1610</v>
      </c>
      <c r="P13" s="348">
        <f t="shared" si="5"/>
        <v>540</v>
      </c>
    </row>
    <row r="14" spans="1:19" ht="14.5" x14ac:dyDescent="0.35">
      <c r="A14" s="246" t="s">
        <v>207</v>
      </c>
      <c r="B14" s="232"/>
      <c r="C14" s="246"/>
      <c r="D14" s="348">
        <f>D13</f>
        <v>2420</v>
      </c>
      <c r="E14" s="348">
        <f>E7+E13+E8</f>
        <v>6290</v>
      </c>
      <c r="F14" s="348">
        <f>+F13+F7+F8</f>
        <v>9700</v>
      </c>
      <c r="G14" s="348">
        <f t="shared" ref="G14:P14" si="6">+G13+G7+G8</f>
        <v>9160</v>
      </c>
      <c r="H14" s="348">
        <f t="shared" si="6"/>
        <v>8060</v>
      </c>
      <c r="I14" s="348">
        <f t="shared" si="6"/>
        <v>6990</v>
      </c>
      <c r="J14" s="348">
        <f t="shared" si="6"/>
        <v>5910</v>
      </c>
      <c r="K14" s="348">
        <f t="shared" si="6"/>
        <v>4840</v>
      </c>
      <c r="L14" s="348">
        <f t="shared" si="6"/>
        <v>3760</v>
      </c>
      <c r="M14" s="348">
        <f t="shared" si="6"/>
        <v>2690</v>
      </c>
      <c r="N14" s="348">
        <f t="shared" si="6"/>
        <v>1610</v>
      </c>
      <c r="O14" s="348">
        <f t="shared" si="6"/>
        <v>540</v>
      </c>
      <c r="P14" s="348">
        <f t="shared" si="6"/>
        <v>0</v>
      </c>
    </row>
    <row r="15" spans="1:19" x14ac:dyDescent="0.3">
      <c r="A15" s="247"/>
      <c r="C15" s="247"/>
      <c r="D15" s="247"/>
      <c r="E15" s="247"/>
      <c r="F15" s="247"/>
      <c r="G15" s="282">
        <f>-'Base Scenario (Control)'!G28-G9</f>
        <v>0</v>
      </c>
      <c r="H15" s="282">
        <f>-'Base Scenario (Control)'!H28-H9</f>
        <v>0</v>
      </c>
      <c r="I15" s="282">
        <f>-'Base Scenario (Control)'!I28-I9</f>
        <v>0</v>
      </c>
      <c r="J15" s="282">
        <f>-'Base Scenario (Control)'!J28-J9</f>
        <v>0</v>
      </c>
      <c r="K15" s="282">
        <f>-'Base Scenario (Control)'!K28-K9</f>
        <v>0</v>
      </c>
      <c r="L15" s="282">
        <f>-'Base Scenario (Control)'!L28-L9</f>
        <v>0</v>
      </c>
      <c r="M15" s="282">
        <f>-'Base Scenario (Control)'!M28-M9</f>
        <v>0</v>
      </c>
      <c r="N15" s="282">
        <f>-'Base Scenario (Control)'!N28-N9</f>
        <v>0</v>
      </c>
      <c r="O15" s="282">
        <f>-'Base Scenario (Control)'!O28-O9</f>
        <v>0</v>
      </c>
      <c r="P15" s="282">
        <f>-'Base Scenario (Control)'!P28-P9</f>
        <v>0</v>
      </c>
      <c r="S15" s="278" t="s">
        <v>212</v>
      </c>
    </row>
    <row r="16" spans="1:19" ht="15.5" x14ac:dyDescent="0.3">
      <c r="A16" s="349" t="s">
        <v>167</v>
      </c>
      <c r="B16" s="350"/>
      <c r="C16" s="351">
        <f>IRR(C11:P11,0.12)</f>
        <v>0.12878503516761142</v>
      </c>
      <c r="D16" s="247"/>
      <c r="E16" s="247"/>
      <c r="F16" s="247"/>
      <c r="G16" s="247"/>
      <c r="H16" s="247"/>
      <c r="I16" s="247"/>
      <c r="J16" s="247"/>
      <c r="K16" s="247"/>
      <c r="L16" s="247"/>
      <c r="M16" s="247"/>
    </row>
    <row r="17" spans="1:19" x14ac:dyDescent="0.3">
      <c r="D17" s="247"/>
      <c r="E17" s="247"/>
      <c r="F17" s="247"/>
      <c r="G17" s="247"/>
      <c r="H17" s="247"/>
      <c r="I17" s="247"/>
      <c r="J17" s="247"/>
      <c r="K17" s="247"/>
      <c r="L17" s="247"/>
      <c r="M17" s="247"/>
    </row>
    <row r="18" spans="1:19" ht="14.5" x14ac:dyDescent="0.35">
      <c r="A18" s="232"/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</row>
    <row r="19" spans="1:19" ht="14.5" x14ac:dyDescent="0.35">
      <c r="B19" s="232"/>
      <c r="C19" s="343">
        <v>2009</v>
      </c>
      <c r="D19" s="343">
        <f t="shared" ref="D19:P19" si="7">C19+1</f>
        <v>2010</v>
      </c>
      <c r="E19" s="343">
        <f t="shared" si="7"/>
        <v>2011</v>
      </c>
      <c r="F19" s="343">
        <f t="shared" si="7"/>
        <v>2012</v>
      </c>
      <c r="G19" s="343">
        <f t="shared" si="7"/>
        <v>2013</v>
      </c>
      <c r="H19" s="343">
        <f t="shared" si="7"/>
        <v>2014</v>
      </c>
      <c r="I19" s="343">
        <f t="shared" si="7"/>
        <v>2015</v>
      </c>
      <c r="J19" s="343">
        <f t="shared" si="7"/>
        <v>2016</v>
      </c>
      <c r="K19" s="343">
        <f t="shared" si="7"/>
        <v>2017</v>
      </c>
      <c r="L19" s="343">
        <f t="shared" si="7"/>
        <v>2018</v>
      </c>
      <c r="M19" s="343">
        <f t="shared" si="7"/>
        <v>2019</v>
      </c>
      <c r="N19" s="343">
        <f t="shared" si="7"/>
        <v>2020</v>
      </c>
      <c r="O19" s="343">
        <f t="shared" si="7"/>
        <v>2021</v>
      </c>
      <c r="P19" s="343">
        <f t="shared" si="7"/>
        <v>2022</v>
      </c>
    </row>
    <row r="20" spans="1:19" ht="15.5" x14ac:dyDescent="0.35">
      <c r="A20" s="279" t="s">
        <v>215</v>
      </c>
      <c r="B20" s="232"/>
      <c r="C20" s="232"/>
      <c r="D20" s="35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</row>
    <row r="21" spans="1:19" ht="14.5" x14ac:dyDescent="0.35">
      <c r="A21" s="232" t="s">
        <v>205</v>
      </c>
      <c r="B21" s="232"/>
      <c r="C21" s="345"/>
      <c r="D21" s="345">
        <f>'Base Scenario (Control)'!D87</f>
        <v>2420</v>
      </c>
      <c r="E21" s="345">
        <f>'Base Scenario (Control)'!E87</f>
        <v>3870</v>
      </c>
      <c r="F21" s="345">
        <f>'Base Scenario (Control)'!F87</f>
        <v>3410</v>
      </c>
      <c r="G21" s="345"/>
      <c r="H21" s="345"/>
      <c r="I21" s="345"/>
      <c r="J21" s="345"/>
      <c r="K21" s="345"/>
      <c r="L21" s="345"/>
      <c r="M21" s="345"/>
      <c r="N21" s="345"/>
      <c r="O21" s="345"/>
      <c r="P21" s="345"/>
      <c r="R21" s="281">
        <f>SUM(C21:P21)</f>
        <v>9700</v>
      </c>
      <c r="S21" s="281" t="s">
        <v>213</v>
      </c>
    </row>
    <row r="22" spans="1:19" ht="14.5" x14ac:dyDescent="0.35">
      <c r="A22" s="232" t="s">
        <v>204</v>
      </c>
      <c r="B22" s="232"/>
      <c r="C22" s="345"/>
      <c r="D22" s="345"/>
      <c r="E22" s="345"/>
      <c r="F22" s="345">
        <f>-(($D$21+$E$21+$F$21)/36)*1</f>
        <v>-269.44444444444446</v>
      </c>
      <c r="G22" s="345">
        <f t="shared" ref="G22:N22" si="8">-(($D$21+$E$21+$F$21)/36)*4</f>
        <v>-1077.7777777777778</v>
      </c>
      <c r="H22" s="345">
        <f t="shared" si="8"/>
        <v>-1077.7777777777778</v>
      </c>
      <c r="I22" s="345">
        <f t="shared" si="8"/>
        <v>-1077.7777777777778</v>
      </c>
      <c r="J22" s="345">
        <f t="shared" si="8"/>
        <v>-1077.7777777777778</v>
      </c>
      <c r="K22" s="345">
        <f t="shared" si="8"/>
        <v>-1077.7777777777778</v>
      </c>
      <c r="L22" s="345">
        <f t="shared" si="8"/>
        <v>-1077.7777777777778</v>
      </c>
      <c r="M22" s="345">
        <f t="shared" si="8"/>
        <v>-1077.7777777777778</v>
      </c>
      <c r="N22" s="345">
        <f t="shared" si="8"/>
        <v>-1077.7777777777778</v>
      </c>
      <c r="O22" s="345">
        <f>-(($D$21+$E$21+$F$21)/36)*3</f>
        <v>-808.33333333333337</v>
      </c>
      <c r="P22" s="345"/>
      <c r="R22" s="281">
        <f>SUM(C22:P22)</f>
        <v>-9700</v>
      </c>
      <c r="S22" s="281" t="s">
        <v>213</v>
      </c>
    </row>
    <row r="23" spans="1:19" ht="15" thickBot="1" x14ac:dyDescent="0.4">
      <c r="A23" s="232" t="s">
        <v>202</v>
      </c>
      <c r="B23" s="430">
        <v>2.5000000000000001E-3</v>
      </c>
      <c r="C23" s="345"/>
      <c r="D23" s="345">
        <f>-(E21+F21)*B23</f>
        <v>-18.2</v>
      </c>
      <c r="E23" s="345">
        <f>-F21*B23</f>
        <v>-8.5250000000000004</v>
      </c>
      <c r="F23" s="345"/>
      <c r="G23" s="345"/>
      <c r="H23" s="345"/>
      <c r="I23" s="345"/>
      <c r="J23" s="345"/>
      <c r="K23" s="345"/>
      <c r="L23" s="345"/>
      <c r="M23" s="345"/>
      <c r="N23" s="345"/>
      <c r="O23" s="345"/>
      <c r="P23" s="345"/>
    </row>
    <row r="24" spans="1:19" ht="15" thickBot="1" x14ac:dyDescent="0.4">
      <c r="A24" s="232" t="s">
        <v>245</v>
      </c>
      <c r="B24" s="432">
        <f>'Base Case (Revised)'!$J$4</f>
        <v>0.12</v>
      </c>
      <c r="C24" s="232"/>
      <c r="D24" s="411">
        <f>D9</f>
        <v>-396.68041237113403</v>
      </c>
      <c r="E24" s="412">
        <f>E9</f>
        <v>-634.36082474226805</v>
      </c>
      <c r="F24" s="413">
        <f>F9</f>
        <v>-558.95876288659792</v>
      </c>
      <c r="G24" s="345">
        <f t="shared" ref="G24:P24" si="9">-$B24*((G30+G31)/2)</f>
        <v>-1067</v>
      </c>
      <c r="H24" s="345">
        <f t="shared" si="9"/>
        <v>-937.66666666666663</v>
      </c>
      <c r="I24" s="345">
        <f t="shared" si="9"/>
        <v>-808.33333333333337</v>
      </c>
      <c r="J24" s="345">
        <f t="shared" si="9"/>
        <v>-679</v>
      </c>
      <c r="K24" s="345">
        <f t="shared" si="9"/>
        <v>-549.66666666666674</v>
      </c>
      <c r="L24" s="345">
        <f t="shared" si="9"/>
        <v>-420.33333333333337</v>
      </c>
      <c r="M24" s="345">
        <f t="shared" si="9"/>
        <v>-291.00000000000011</v>
      </c>
      <c r="N24" s="345">
        <f t="shared" si="9"/>
        <v>-161.66666666666674</v>
      </c>
      <c r="O24" s="345">
        <f t="shared" si="9"/>
        <v>-48.500000000000036</v>
      </c>
      <c r="P24" s="345">
        <f t="shared" si="9"/>
        <v>0</v>
      </c>
    </row>
    <row r="25" spans="1:19" ht="14.5" x14ac:dyDescent="0.35">
      <c r="A25" s="232" t="s">
        <v>285</v>
      </c>
      <c r="C25" s="232"/>
      <c r="D25" s="429"/>
      <c r="E25" s="429"/>
      <c r="F25" s="429"/>
      <c r="G25" s="429">
        <f t="shared" ref="G25:O25" si="10">-G26*((G30+G31)/2)</f>
        <v>0</v>
      </c>
      <c r="H25" s="429">
        <f t="shared" si="10"/>
        <v>0</v>
      </c>
      <c r="I25" s="429">
        <f t="shared" si="10"/>
        <v>0</v>
      </c>
      <c r="J25" s="429">
        <f t="shared" si="10"/>
        <v>0</v>
      </c>
      <c r="K25" s="429">
        <f t="shared" si="10"/>
        <v>0</v>
      </c>
      <c r="L25" s="429">
        <f t="shared" si="10"/>
        <v>0</v>
      </c>
      <c r="M25" s="429">
        <f t="shared" si="10"/>
        <v>0</v>
      </c>
      <c r="N25" s="429">
        <f t="shared" si="10"/>
        <v>0</v>
      </c>
      <c r="O25" s="429">
        <f t="shared" si="10"/>
        <v>0</v>
      </c>
      <c r="P25" s="429">
        <f>-$B26*((P30+P31)/2)</f>
        <v>0</v>
      </c>
    </row>
    <row r="26" spans="1:19" ht="14.5" x14ac:dyDescent="0.35">
      <c r="A26" s="232"/>
      <c r="B26" s="430">
        <v>0</v>
      </c>
      <c r="C26" s="232"/>
      <c r="D26" s="429"/>
      <c r="E26" s="429"/>
      <c r="F26" s="429"/>
      <c r="G26" s="431">
        <f>B26</f>
        <v>0</v>
      </c>
      <c r="H26" s="431">
        <f>G26</f>
        <v>0</v>
      </c>
      <c r="I26" s="431">
        <f>H26+B26</f>
        <v>0</v>
      </c>
      <c r="J26" s="431">
        <f>I26</f>
        <v>0</v>
      </c>
      <c r="K26" s="431">
        <f>J26+B26</f>
        <v>0</v>
      </c>
      <c r="L26" s="431">
        <f>K26</f>
        <v>0</v>
      </c>
      <c r="M26" s="431">
        <f>L26+B26</f>
        <v>0</v>
      </c>
      <c r="N26" s="431">
        <f>M26</f>
        <v>0</v>
      </c>
      <c r="O26" s="431">
        <f>N26+B26</f>
        <v>0</v>
      </c>
      <c r="P26" s="429"/>
    </row>
    <row r="27" spans="1:19" ht="14.5" x14ac:dyDescent="0.35">
      <c r="A27" s="232" t="s">
        <v>203</v>
      </c>
      <c r="B27" s="430">
        <v>2.5000000000000001E-3</v>
      </c>
      <c r="C27" s="346"/>
      <c r="D27" s="346">
        <f>-B27*(D21+E21+F21)</f>
        <v>-24.25</v>
      </c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R27" s="223" t="s">
        <v>323</v>
      </c>
    </row>
    <row r="28" spans="1:19" ht="14.5" x14ac:dyDescent="0.35">
      <c r="A28" s="252" t="s">
        <v>166</v>
      </c>
      <c r="B28" s="232"/>
      <c r="C28" s="347"/>
      <c r="D28" s="347">
        <f t="shared" ref="D28:P28" si="11">D21+D22+D23+D24+D25+D27</f>
        <v>1980.8695876288662</v>
      </c>
      <c r="E28" s="347">
        <f t="shared" si="11"/>
        <v>3227.1141752577319</v>
      </c>
      <c r="F28" s="347">
        <f t="shared" si="11"/>
        <v>2581.5967926689577</v>
      </c>
      <c r="G28" s="347">
        <f t="shared" si="11"/>
        <v>-2144.7777777777778</v>
      </c>
      <c r="H28" s="347">
        <f t="shared" si="11"/>
        <v>-2015.4444444444443</v>
      </c>
      <c r="I28" s="347">
        <f t="shared" si="11"/>
        <v>-1886.1111111111113</v>
      </c>
      <c r="J28" s="347">
        <f t="shared" si="11"/>
        <v>-1756.7777777777778</v>
      </c>
      <c r="K28" s="347">
        <f t="shared" si="11"/>
        <v>-1627.4444444444446</v>
      </c>
      <c r="L28" s="347">
        <f t="shared" si="11"/>
        <v>-1498.1111111111113</v>
      </c>
      <c r="M28" s="347">
        <f t="shared" si="11"/>
        <v>-1368.7777777777778</v>
      </c>
      <c r="N28" s="347">
        <f t="shared" si="11"/>
        <v>-1239.4444444444446</v>
      </c>
      <c r="O28" s="347">
        <f t="shared" si="11"/>
        <v>-856.83333333333337</v>
      </c>
      <c r="P28" s="347">
        <f t="shared" si="11"/>
        <v>0</v>
      </c>
    </row>
    <row r="29" spans="1:19" ht="14.5" x14ac:dyDescent="0.35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</row>
    <row r="30" spans="1:19" ht="14.5" x14ac:dyDescent="0.35">
      <c r="A30" s="246" t="s">
        <v>206</v>
      </c>
      <c r="B30" s="232"/>
      <c r="C30" s="246"/>
      <c r="D30" s="348">
        <f>D21</f>
        <v>2420</v>
      </c>
      <c r="E30" s="348">
        <f t="shared" ref="E30:P30" si="12">D31</f>
        <v>2420</v>
      </c>
      <c r="F30" s="348">
        <f t="shared" si="12"/>
        <v>6290</v>
      </c>
      <c r="G30" s="348">
        <f t="shared" si="12"/>
        <v>9430.5555555555547</v>
      </c>
      <c r="H30" s="348">
        <f t="shared" si="12"/>
        <v>8352.7777777777774</v>
      </c>
      <c r="I30" s="348">
        <f t="shared" si="12"/>
        <v>7275</v>
      </c>
      <c r="J30" s="348">
        <f t="shared" si="12"/>
        <v>6197.2222222222226</v>
      </c>
      <c r="K30" s="348">
        <f t="shared" si="12"/>
        <v>5119.4444444444453</v>
      </c>
      <c r="L30" s="348">
        <f t="shared" si="12"/>
        <v>4041.6666666666674</v>
      </c>
      <c r="M30" s="348">
        <f t="shared" si="12"/>
        <v>2963.8888888888896</v>
      </c>
      <c r="N30" s="348">
        <f t="shared" si="12"/>
        <v>1886.1111111111118</v>
      </c>
      <c r="O30" s="348">
        <f t="shared" si="12"/>
        <v>808.33333333333394</v>
      </c>
      <c r="P30" s="348">
        <f t="shared" si="12"/>
        <v>0</v>
      </c>
    </row>
    <row r="31" spans="1:19" ht="14.5" x14ac:dyDescent="0.35">
      <c r="A31" s="246" t="s">
        <v>207</v>
      </c>
      <c r="B31" s="232"/>
      <c r="C31" s="246"/>
      <c r="D31" s="348">
        <f>D30</f>
        <v>2420</v>
      </c>
      <c r="E31" s="348">
        <f t="shared" ref="E31:P31" si="13">E30+E21+E22</f>
        <v>6290</v>
      </c>
      <c r="F31" s="348">
        <f t="shared" si="13"/>
        <v>9430.5555555555547</v>
      </c>
      <c r="G31" s="348">
        <f t="shared" si="13"/>
        <v>8352.7777777777774</v>
      </c>
      <c r="H31" s="348">
        <f t="shared" si="13"/>
        <v>7275</v>
      </c>
      <c r="I31" s="348">
        <f t="shared" si="13"/>
        <v>6197.2222222222226</v>
      </c>
      <c r="J31" s="348">
        <f t="shared" si="13"/>
        <v>5119.4444444444453</v>
      </c>
      <c r="K31" s="348">
        <f t="shared" si="13"/>
        <v>4041.6666666666674</v>
      </c>
      <c r="L31" s="348">
        <f t="shared" si="13"/>
        <v>2963.8888888888896</v>
      </c>
      <c r="M31" s="348">
        <f t="shared" si="13"/>
        <v>1886.1111111111118</v>
      </c>
      <c r="N31" s="348">
        <f t="shared" si="13"/>
        <v>808.33333333333394</v>
      </c>
      <c r="O31" s="348">
        <f t="shared" si="13"/>
        <v>0</v>
      </c>
      <c r="P31" s="348">
        <f t="shared" si="13"/>
        <v>0</v>
      </c>
    </row>
    <row r="32" spans="1:19" x14ac:dyDescent="0.3">
      <c r="A32" s="247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</row>
    <row r="33" spans="1:16" ht="15.5" x14ac:dyDescent="0.3">
      <c r="A33" s="349" t="s">
        <v>167</v>
      </c>
      <c r="B33" s="350"/>
      <c r="C33" s="351">
        <f>IRR(C28:P28,0.12)</f>
        <v>0.13109136980929614</v>
      </c>
      <c r="D33" s="342"/>
      <c r="E33" s="342"/>
      <c r="F33" s="247"/>
      <c r="G33" s="247"/>
      <c r="H33" s="247"/>
      <c r="I33" s="247"/>
      <c r="J33" s="247"/>
      <c r="K33" s="247"/>
      <c r="L33" s="247"/>
      <c r="M33" s="247"/>
    </row>
    <row r="36" spans="1:16" x14ac:dyDescent="0.3">
      <c r="A36" s="341" t="s">
        <v>208</v>
      </c>
    </row>
    <row r="37" spans="1:16" x14ac:dyDescent="0.3">
      <c r="A37" s="341" t="s">
        <v>246</v>
      </c>
    </row>
    <row r="38" spans="1:16" x14ac:dyDescent="0.3">
      <c r="A38" s="341" t="s">
        <v>286</v>
      </c>
    </row>
    <row r="41" spans="1:16" ht="14.5" x14ac:dyDescent="0.35">
      <c r="B41" s="232"/>
      <c r="C41" s="343">
        <v>2009</v>
      </c>
      <c r="D41" s="343">
        <f t="shared" ref="D41:P41" si="14">C41+1</f>
        <v>2010</v>
      </c>
      <c r="E41" s="343">
        <f t="shared" si="14"/>
        <v>2011</v>
      </c>
      <c r="F41" s="343">
        <f t="shared" si="14"/>
        <v>2012</v>
      </c>
      <c r="G41" s="343">
        <f t="shared" si="14"/>
        <v>2013</v>
      </c>
      <c r="H41" s="343">
        <f t="shared" si="14"/>
        <v>2014</v>
      </c>
      <c r="I41" s="343">
        <f t="shared" si="14"/>
        <v>2015</v>
      </c>
      <c r="J41" s="343">
        <f t="shared" si="14"/>
        <v>2016</v>
      </c>
      <c r="K41" s="343">
        <f t="shared" si="14"/>
        <v>2017</v>
      </c>
      <c r="L41" s="343">
        <f t="shared" si="14"/>
        <v>2018</v>
      </c>
      <c r="M41" s="343">
        <f t="shared" si="14"/>
        <v>2019</v>
      </c>
      <c r="N41" s="343">
        <f t="shared" si="14"/>
        <v>2020</v>
      </c>
      <c r="O41" s="343">
        <f t="shared" si="14"/>
        <v>2021</v>
      </c>
      <c r="P41" s="343">
        <f t="shared" si="14"/>
        <v>2022</v>
      </c>
    </row>
    <row r="42" spans="1:16" ht="15.5" x14ac:dyDescent="0.35">
      <c r="A42" s="279" t="s">
        <v>287</v>
      </c>
      <c r="B42" s="232"/>
      <c r="C42" s="232"/>
      <c r="D42" s="35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</row>
    <row r="43" spans="1:16" ht="14.5" x14ac:dyDescent="0.35">
      <c r="A43" s="232" t="s">
        <v>205</v>
      </c>
      <c r="B43" s="232"/>
      <c r="C43" s="345"/>
      <c r="D43" s="345">
        <f>'Base Scenario (Control)'!D87</f>
        <v>2420</v>
      </c>
      <c r="E43" s="345">
        <f>'Base Scenario (Control)'!E87</f>
        <v>3870</v>
      </c>
      <c r="F43" s="345">
        <f>'Base Scenario (Control)'!F87</f>
        <v>3410</v>
      </c>
      <c r="G43" s="345"/>
      <c r="H43" s="345"/>
      <c r="I43" s="345"/>
      <c r="J43" s="345"/>
      <c r="K43" s="345"/>
      <c r="L43" s="345"/>
      <c r="M43" s="345"/>
      <c r="N43" s="345"/>
      <c r="O43" s="345"/>
      <c r="P43" s="345"/>
    </row>
    <row r="44" spans="1:16" ht="14.5" x14ac:dyDescent="0.35">
      <c r="A44" s="232" t="s">
        <v>204</v>
      </c>
      <c r="B44" s="232"/>
      <c r="C44" s="345"/>
      <c r="D44" s="345"/>
      <c r="E44" s="345"/>
      <c r="F44" s="345">
        <f>-(($D$43+$E$43+$F$43)/36)*1</f>
        <v>-269.44444444444446</v>
      </c>
      <c r="G44" s="345">
        <f t="shared" ref="G44:N44" si="15">-(($D$43+$E$43+$F$43)/36)*4</f>
        <v>-1077.7777777777778</v>
      </c>
      <c r="H44" s="345">
        <f t="shared" si="15"/>
        <v>-1077.7777777777778</v>
      </c>
      <c r="I44" s="345">
        <f t="shared" si="15"/>
        <v>-1077.7777777777778</v>
      </c>
      <c r="J44" s="345">
        <f t="shared" si="15"/>
        <v>-1077.7777777777778</v>
      </c>
      <c r="K44" s="345">
        <f t="shared" si="15"/>
        <v>-1077.7777777777778</v>
      </c>
      <c r="L44" s="345">
        <f t="shared" si="15"/>
        <v>-1077.7777777777778</v>
      </c>
      <c r="M44" s="345">
        <f t="shared" si="15"/>
        <v>-1077.7777777777778</v>
      </c>
      <c r="N44" s="345">
        <f t="shared" si="15"/>
        <v>-1077.7777777777778</v>
      </c>
      <c r="O44" s="345">
        <f>-(($D$43+$E$43+$F$43)/36)*3</f>
        <v>-808.33333333333337</v>
      </c>
      <c r="P44" s="345"/>
    </row>
    <row r="45" spans="1:16" ht="15" thickBot="1" x14ac:dyDescent="0.4">
      <c r="A45" s="232" t="s">
        <v>202</v>
      </c>
      <c r="B45" s="430">
        <v>2.5000000000000001E-3</v>
      </c>
      <c r="C45" s="345"/>
      <c r="D45" s="345">
        <f>-(E43+F43)*B45</f>
        <v>-18.2</v>
      </c>
      <c r="E45" s="345">
        <f>-F43*B45</f>
        <v>-8.5250000000000004</v>
      </c>
      <c r="F45" s="345"/>
      <c r="G45" s="345"/>
      <c r="H45" s="345"/>
      <c r="I45" s="345"/>
      <c r="J45" s="345"/>
      <c r="K45" s="345"/>
      <c r="L45" s="345"/>
      <c r="M45" s="345"/>
      <c r="N45" s="345"/>
      <c r="O45" s="345"/>
      <c r="P45" s="345"/>
    </row>
    <row r="46" spans="1:16" ht="15" thickBot="1" x14ac:dyDescent="0.4">
      <c r="A46" s="232" t="s">
        <v>245</v>
      </c>
      <c r="B46" s="432">
        <f>'Base Case (Revised)'!$J$4</f>
        <v>0.12</v>
      </c>
      <c r="C46" s="232"/>
      <c r="D46" s="411">
        <f>D9</f>
        <v>-396.68041237113403</v>
      </c>
      <c r="E46" s="412">
        <f>E9</f>
        <v>-634.36082474226805</v>
      </c>
      <c r="F46" s="413">
        <f>F9</f>
        <v>-558.95876288659792</v>
      </c>
      <c r="G46" s="345">
        <f t="shared" ref="G46:P46" si="16">-$B46*((G52+G53)/2)</f>
        <v>-1067</v>
      </c>
      <c r="H46" s="345">
        <f t="shared" si="16"/>
        <v>-937.66666666666663</v>
      </c>
      <c r="I46" s="345">
        <f t="shared" si="16"/>
        <v>-808.33333333333337</v>
      </c>
      <c r="J46" s="345">
        <f t="shared" si="16"/>
        <v>-679</v>
      </c>
      <c r="K46" s="345">
        <f t="shared" si="16"/>
        <v>-549.66666666666674</v>
      </c>
      <c r="L46" s="345">
        <f t="shared" si="16"/>
        <v>-420.33333333333337</v>
      </c>
      <c r="M46" s="345">
        <f t="shared" si="16"/>
        <v>-291.00000000000011</v>
      </c>
      <c r="N46" s="345">
        <f t="shared" si="16"/>
        <v>-161.66666666666674</v>
      </c>
      <c r="O46" s="345">
        <f t="shared" si="16"/>
        <v>-48.500000000000036</v>
      </c>
      <c r="P46" s="345">
        <f t="shared" si="16"/>
        <v>0</v>
      </c>
    </row>
    <row r="47" spans="1:16" ht="14.5" x14ac:dyDescent="0.35">
      <c r="A47" s="232" t="s">
        <v>285</v>
      </c>
      <c r="C47" s="232"/>
      <c r="D47" s="429"/>
      <c r="E47" s="429"/>
      <c r="F47" s="429"/>
      <c r="G47" s="429">
        <f t="shared" ref="G47:O47" si="17">-G48*((G52+G53)/2)</f>
        <v>-88.916666666666657</v>
      </c>
      <c r="H47" s="429">
        <f t="shared" si="17"/>
        <v>-78.138888888888886</v>
      </c>
      <c r="I47" s="429">
        <f t="shared" si="17"/>
        <v>-134.72222222222223</v>
      </c>
      <c r="J47" s="429">
        <f t="shared" si="17"/>
        <v>-113.16666666666669</v>
      </c>
      <c r="K47" s="429">
        <f t="shared" si="17"/>
        <v>-137.41666666666669</v>
      </c>
      <c r="L47" s="429">
        <f t="shared" si="17"/>
        <v>-105.08333333333334</v>
      </c>
      <c r="M47" s="429">
        <f t="shared" si="17"/>
        <v>-97.000000000000043</v>
      </c>
      <c r="N47" s="429">
        <f t="shared" si="17"/>
        <v>-53.888888888888914</v>
      </c>
      <c r="O47" s="429">
        <f t="shared" si="17"/>
        <v>-20.20833333333335</v>
      </c>
      <c r="P47" s="429">
        <f>-$B48*((P52+P53)/2)</f>
        <v>0</v>
      </c>
    </row>
    <row r="48" spans="1:16" ht="14.5" x14ac:dyDescent="0.35">
      <c r="A48" s="232"/>
      <c r="B48" s="430">
        <v>0.01</v>
      </c>
      <c r="C48" s="232"/>
      <c r="D48" s="429"/>
      <c r="E48" s="429"/>
      <c r="F48" s="429"/>
      <c r="G48" s="431">
        <f>B48</f>
        <v>0.01</v>
      </c>
      <c r="H48" s="431">
        <f>G48</f>
        <v>0.01</v>
      </c>
      <c r="I48" s="431">
        <f>H48+B48</f>
        <v>0.02</v>
      </c>
      <c r="J48" s="431">
        <f>I48</f>
        <v>0.02</v>
      </c>
      <c r="K48" s="431">
        <f>J48+B48</f>
        <v>0.03</v>
      </c>
      <c r="L48" s="431">
        <f>K48</f>
        <v>0.03</v>
      </c>
      <c r="M48" s="431">
        <f>L48+B48</f>
        <v>0.04</v>
      </c>
      <c r="N48" s="431">
        <f>M48</f>
        <v>0.04</v>
      </c>
      <c r="O48" s="431">
        <f>N48+B48</f>
        <v>0.05</v>
      </c>
      <c r="P48" s="429"/>
    </row>
    <row r="49" spans="1:16" ht="14.5" x14ac:dyDescent="0.35">
      <c r="A49" s="232" t="s">
        <v>203</v>
      </c>
      <c r="B49" s="430">
        <v>2.5000000000000001E-3</v>
      </c>
      <c r="C49" s="346"/>
      <c r="D49" s="346">
        <f>-B49*(D43+E43+F43)</f>
        <v>-24.25</v>
      </c>
      <c r="E49" s="344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</row>
    <row r="50" spans="1:16" ht="14.5" x14ac:dyDescent="0.35">
      <c r="A50" s="252" t="s">
        <v>166</v>
      </c>
      <c r="B50" s="232"/>
      <c r="C50" s="347"/>
      <c r="D50" s="347">
        <f t="shared" ref="D50:P50" si="18">D43+D44+D45+D46+D47+D49</f>
        <v>1980.8695876288662</v>
      </c>
      <c r="E50" s="347">
        <f t="shared" si="18"/>
        <v>3227.1141752577319</v>
      </c>
      <c r="F50" s="347">
        <f t="shared" si="18"/>
        <v>2581.5967926689577</v>
      </c>
      <c r="G50" s="347">
        <f t="shared" si="18"/>
        <v>-2233.6944444444443</v>
      </c>
      <c r="H50" s="347">
        <f t="shared" si="18"/>
        <v>-2093.583333333333</v>
      </c>
      <c r="I50" s="347">
        <f t="shared" si="18"/>
        <v>-2020.8333333333335</v>
      </c>
      <c r="J50" s="347">
        <f t="shared" si="18"/>
        <v>-1869.9444444444446</v>
      </c>
      <c r="K50" s="347">
        <f t="shared" si="18"/>
        <v>-1764.8611111111113</v>
      </c>
      <c r="L50" s="347">
        <f t="shared" si="18"/>
        <v>-1603.1944444444446</v>
      </c>
      <c r="M50" s="347">
        <f t="shared" si="18"/>
        <v>-1465.7777777777778</v>
      </c>
      <c r="N50" s="347">
        <f t="shared" si="18"/>
        <v>-1293.3333333333335</v>
      </c>
      <c r="O50" s="347">
        <f t="shared" si="18"/>
        <v>-877.04166666666674</v>
      </c>
      <c r="P50" s="347">
        <f t="shared" si="18"/>
        <v>0</v>
      </c>
    </row>
    <row r="51" spans="1:16" ht="14.5" x14ac:dyDescent="0.35">
      <c r="A51" s="232"/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</row>
    <row r="52" spans="1:16" ht="14.5" x14ac:dyDescent="0.35">
      <c r="A52" s="246" t="s">
        <v>206</v>
      </c>
      <c r="B52" s="232"/>
      <c r="C52" s="246"/>
      <c r="D52" s="348">
        <f>D43</f>
        <v>2420</v>
      </c>
      <c r="E52" s="348">
        <f t="shared" ref="E52:P52" si="19">D53</f>
        <v>2420</v>
      </c>
      <c r="F52" s="348">
        <f t="shared" si="19"/>
        <v>6290</v>
      </c>
      <c r="G52" s="348">
        <f t="shared" si="19"/>
        <v>9430.5555555555547</v>
      </c>
      <c r="H52" s="348">
        <f t="shared" si="19"/>
        <v>8352.7777777777774</v>
      </c>
      <c r="I52" s="348">
        <f t="shared" si="19"/>
        <v>7275</v>
      </c>
      <c r="J52" s="348">
        <f t="shared" si="19"/>
        <v>6197.2222222222226</v>
      </c>
      <c r="K52" s="348">
        <f t="shared" si="19"/>
        <v>5119.4444444444453</v>
      </c>
      <c r="L52" s="348">
        <f t="shared" si="19"/>
        <v>4041.6666666666674</v>
      </c>
      <c r="M52" s="348">
        <f t="shared" si="19"/>
        <v>2963.8888888888896</v>
      </c>
      <c r="N52" s="348">
        <f t="shared" si="19"/>
        <v>1886.1111111111118</v>
      </c>
      <c r="O52" s="348">
        <f t="shared" si="19"/>
        <v>808.33333333333394</v>
      </c>
      <c r="P52" s="348">
        <f t="shared" si="19"/>
        <v>0</v>
      </c>
    </row>
    <row r="53" spans="1:16" ht="14.5" x14ac:dyDescent="0.35">
      <c r="A53" s="246" t="s">
        <v>207</v>
      </c>
      <c r="B53" s="232"/>
      <c r="C53" s="246"/>
      <c r="D53" s="348">
        <f>D52</f>
        <v>2420</v>
      </c>
      <c r="E53" s="348">
        <f t="shared" ref="E53:P53" si="20">E52+E43+E44</f>
        <v>6290</v>
      </c>
      <c r="F53" s="348">
        <f t="shared" si="20"/>
        <v>9430.5555555555547</v>
      </c>
      <c r="G53" s="348">
        <f t="shared" si="20"/>
        <v>8352.7777777777774</v>
      </c>
      <c r="H53" s="348">
        <f t="shared" si="20"/>
        <v>7275</v>
      </c>
      <c r="I53" s="348">
        <f t="shared" si="20"/>
        <v>6197.2222222222226</v>
      </c>
      <c r="J53" s="348">
        <f t="shared" si="20"/>
        <v>5119.4444444444453</v>
      </c>
      <c r="K53" s="348">
        <f t="shared" si="20"/>
        <v>4041.6666666666674</v>
      </c>
      <c r="L53" s="348">
        <f t="shared" si="20"/>
        <v>2963.8888888888896</v>
      </c>
      <c r="M53" s="348">
        <f t="shared" si="20"/>
        <v>1886.1111111111118</v>
      </c>
      <c r="N53" s="348">
        <f t="shared" si="20"/>
        <v>808.33333333333394</v>
      </c>
      <c r="O53" s="348">
        <f t="shared" si="20"/>
        <v>0</v>
      </c>
      <c r="P53" s="348">
        <f t="shared" si="20"/>
        <v>0</v>
      </c>
    </row>
    <row r="54" spans="1:16" x14ac:dyDescent="0.3">
      <c r="A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</row>
    <row r="55" spans="1:16" ht="15.5" x14ac:dyDescent="0.3">
      <c r="A55" s="349" t="s">
        <v>167</v>
      </c>
      <c r="B55" s="350"/>
      <c r="C55" s="351">
        <f>IRR(C50:P50,0.12)</f>
        <v>0.14448916288675262</v>
      </c>
      <c r="D55" s="342"/>
      <c r="E55" s="342"/>
      <c r="F55" s="247"/>
      <c r="G55" s="247"/>
      <c r="H55" s="247"/>
      <c r="I55" s="247"/>
      <c r="J55" s="247"/>
      <c r="K55" s="247"/>
      <c r="L55" s="247"/>
      <c r="M55" s="247"/>
    </row>
    <row r="58" spans="1:16" x14ac:dyDescent="0.3">
      <c r="A58" s="341" t="s">
        <v>208</v>
      </c>
    </row>
    <row r="59" spans="1:16" x14ac:dyDescent="0.3">
      <c r="A59" s="341" t="s">
        <v>246</v>
      </c>
    </row>
    <row r="60" spans="1:16" x14ac:dyDescent="0.3">
      <c r="A60" s="341" t="s">
        <v>286</v>
      </c>
    </row>
  </sheetData>
  <pageMargins left="0.4" right="0.22" top="0.9" bottom="0.89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EE63-6E32-4B56-952C-A07135D4BE76}">
  <dimension ref="A1:Z221"/>
  <sheetViews>
    <sheetView showGridLines="0" topLeftCell="A19" zoomScale="83" zoomScaleNormal="83" workbookViewId="0">
      <selection activeCell="D25" sqref="D25"/>
    </sheetView>
  </sheetViews>
  <sheetFormatPr baseColWidth="10" defaultColWidth="8.81640625" defaultRowHeight="14.5" outlineLevelRow="1" outlineLevelCol="1" x14ac:dyDescent="0.35"/>
  <cols>
    <col min="1" max="1" width="1.54296875" customWidth="1"/>
    <col min="2" max="2" width="43.1796875" customWidth="1"/>
    <col min="3" max="6" width="7.6328125" customWidth="1"/>
    <col min="7" max="12" width="7.81640625" customWidth="1"/>
    <col min="13" max="16" width="8.81640625" customWidth="1"/>
    <col min="17" max="17" width="8.54296875" customWidth="1"/>
    <col min="18" max="18" width="8.81640625" customWidth="1"/>
    <col min="19" max="19" width="8.08984375" hidden="1" customWidth="1" outlineLevel="1"/>
    <col min="20" max="20" width="8" hidden="1" customWidth="1" outlineLevel="1"/>
    <col min="21" max="21" width="7.90625" hidden="1" customWidth="1" outlineLevel="1"/>
    <col min="22" max="22" width="12.453125" bestFit="1" customWidth="1" collapsed="1"/>
  </cols>
  <sheetData>
    <row r="1" spans="2:21" ht="15" thickBot="1" x14ac:dyDescent="0.4"/>
    <row r="2" spans="2:21" ht="12" customHeight="1" thickBot="1" x14ac:dyDescent="0.4">
      <c r="B2" s="377" t="s">
        <v>258</v>
      </c>
      <c r="C2" s="378"/>
      <c r="E2" s="377" t="s">
        <v>261</v>
      </c>
      <c r="F2" s="380"/>
      <c r="G2" s="380"/>
      <c r="H2" s="380"/>
      <c r="I2" s="380"/>
      <c r="J2" s="379"/>
      <c r="L2" s="377" t="s">
        <v>293</v>
      </c>
      <c r="M2" s="380"/>
      <c r="N2" s="380"/>
      <c r="O2" s="380"/>
      <c r="P2" s="380"/>
      <c r="Q2" s="380"/>
      <c r="R2" s="379"/>
      <c r="S2" s="34"/>
    </row>
    <row r="3" spans="2:21" ht="12" customHeight="1" x14ac:dyDescent="0.35">
      <c r="B3" s="59" t="s">
        <v>15</v>
      </c>
      <c r="C3" s="388">
        <v>300</v>
      </c>
      <c r="E3" s="381" t="s">
        <v>251</v>
      </c>
      <c r="F3" s="384"/>
      <c r="G3" s="384"/>
      <c r="H3" s="384"/>
      <c r="I3" s="384"/>
      <c r="J3" s="376">
        <v>0.69985569985569995</v>
      </c>
      <c r="K3" s="34"/>
      <c r="L3" s="433" t="s">
        <v>291</v>
      </c>
      <c r="M3" s="384"/>
      <c r="N3" s="34">
        <v>2010</v>
      </c>
      <c r="O3">
        <v>2011</v>
      </c>
      <c r="P3">
        <v>2012</v>
      </c>
      <c r="Q3" s="434" t="s">
        <v>290</v>
      </c>
      <c r="R3" s="435" t="s">
        <v>292</v>
      </c>
    </row>
    <row r="4" spans="2:21" ht="12" customHeight="1" thickBot="1" x14ac:dyDescent="0.4">
      <c r="B4" s="66" t="s">
        <v>16</v>
      </c>
      <c r="C4" s="452">
        <v>0.85</v>
      </c>
      <c r="E4" s="383" t="s">
        <v>263</v>
      </c>
      <c r="F4" s="386"/>
      <c r="G4" s="386"/>
      <c r="H4" s="386"/>
      <c r="I4" s="386"/>
      <c r="J4" s="445">
        <v>0.12</v>
      </c>
      <c r="L4" s="382" t="s">
        <v>288</v>
      </c>
      <c r="M4" s="436"/>
      <c r="N4" s="202">
        <f>Q4*N5</f>
        <v>2420.0000000000005</v>
      </c>
      <c r="O4" s="202">
        <f>Q4*O5</f>
        <v>3870.0000000000009</v>
      </c>
      <c r="P4" s="202">
        <f>Q4*P5</f>
        <v>3410.0000000000005</v>
      </c>
      <c r="Q4" s="202">
        <f>R4*Q8</f>
        <v>9700.0000000000018</v>
      </c>
      <c r="R4" s="437">
        <f>J3</f>
        <v>0.69985569985569995</v>
      </c>
    </row>
    <row r="5" spans="2:21" ht="12" customHeight="1" x14ac:dyDescent="0.35">
      <c r="B5" s="31" t="s">
        <v>111</v>
      </c>
      <c r="C5" s="451">
        <v>3.3</v>
      </c>
      <c r="E5" s="381" t="s">
        <v>252</v>
      </c>
      <c r="F5" s="443"/>
      <c r="G5" s="443"/>
      <c r="H5" s="443"/>
      <c r="I5" s="443"/>
      <c r="J5" s="444">
        <f>C162</f>
        <v>0.13972612887676128</v>
      </c>
      <c r="K5" s="269"/>
      <c r="L5" s="382"/>
      <c r="M5" s="436"/>
      <c r="N5" s="439">
        <v>0.24948453608247423</v>
      </c>
      <c r="O5" s="439">
        <v>0.39896907216494848</v>
      </c>
      <c r="P5" s="439">
        <v>0.35154639175257729</v>
      </c>
      <c r="Q5" s="438">
        <f>Q4/Q4</f>
        <v>1</v>
      </c>
      <c r="R5" s="437"/>
    </row>
    <row r="6" spans="2:21" ht="12" customHeight="1" thickBot="1" x14ac:dyDescent="0.4">
      <c r="B6" s="66" t="s">
        <v>262</v>
      </c>
      <c r="C6" s="455">
        <v>0.01</v>
      </c>
      <c r="E6" s="383" t="s">
        <v>131</v>
      </c>
      <c r="F6" s="386"/>
      <c r="G6" s="386"/>
      <c r="H6" s="386"/>
      <c r="I6" s="386"/>
      <c r="J6" s="404">
        <f>WACC!I30</f>
        <v>0.12920518238021639</v>
      </c>
      <c r="L6" s="382" t="s">
        <v>289</v>
      </c>
      <c r="M6" s="385"/>
      <c r="N6" s="202">
        <f>Q6*N7</f>
        <v>1039.9999999999998</v>
      </c>
      <c r="O6" s="202">
        <f>Q6*O7</f>
        <v>1649.9999999999995</v>
      </c>
      <c r="P6" s="202">
        <f>Q6*P7</f>
        <v>1469.9999999999998</v>
      </c>
      <c r="Q6" s="202">
        <f>R6*Q8</f>
        <v>4159.9999999999991</v>
      </c>
      <c r="R6" s="437">
        <f>1-R4</f>
        <v>0.30014430014430005</v>
      </c>
    </row>
    <row r="7" spans="2:21" ht="12" customHeight="1" thickBot="1" x14ac:dyDescent="0.4">
      <c r="B7" s="453" t="s">
        <v>68</v>
      </c>
      <c r="C7" s="454">
        <f>'Operating Data'!C23</f>
        <v>2947.3638769273243</v>
      </c>
      <c r="E7" s="475" t="s">
        <v>259</v>
      </c>
      <c r="F7" s="490"/>
      <c r="G7" s="490"/>
      <c r="H7" s="490"/>
      <c r="I7" s="490"/>
      <c r="J7" s="474">
        <f>C181</f>
        <v>0.18422444202054589</v>
      </c>
      <c r="K7" s="269"/>
      <c r="L7" s="383"/>
      <c r="M7" s="458"/>
      <c r="N7" s="448">
        <v>0.25</v>
      </c>
      <c r="O7" s="449">
        <v>0.39663461538461536</v>
      </c>
      <c r="P7" s="449">
        <v>0.35336538461538464</v>
      </c>
      <c r="Q7" s="450">
        <f>Q6/Q6</f>
        <v>1</v>
      </c>
      <c r="R7" s="459"/>
    </row>
    <row r="8" spans="2:21" ht="12" customHeight="1" thickBot="1" x14ac:dyDescent="0.4">
      <c r="B8" s="472" t="s">
        <v>304</v>
      </c>
      <c r="C8" s="473">
        <v>1.1000000000000001</v>
      </c>
      <c r="E8" s="383" t="s">
        <v>260</v>
      </c>
      <c r="F8" s="386"/>
      <c r="G8" s="386"/>
      <c r="H8" s="386"/>
      <c r="I8" s="386"/>
      <c r="J8" s="404">
        <f>WACC!I21</f>
        <v>0.19548394126738794</v>
      </c>
      <c r="L8" s="456" t="s">
        <v>166</v>
      </c>
      <c r="M8" s="457"/>
      <c r="N8" s="446">
        <f>N4+N6</f>
        <v>3460</v>
      </c>
      <c r="O8" s="446">
        <f>O4+O6</f>
        <v>5520</v>
      </c>
      <c r="P8" s="446">
        <f>P4+P6</f>
        <v>4880</v>
      </c>
      <c r="Q8" s="447">
        <v>13860</v>
      </c>
      <c r="R8" s="460">
        <f>Q8/Q8</f>
        <v>1</v>
      </c>
    </row>
    <row r="9" spans="2:21" ht="6.25" customHeight="1" x14ac:dyDescent="0.35">
      <c r="E9" s="318"/>
      <c r="F9" s="318"/>
      <c r="G9" s="318"/>
      <c r="H9" s="392"/>
    </row>
    <row r="10" spans="2:21" ht="6.25" customHeight="1" thickBot="1" x14ac:dyDescent="0.4"/>
    <row r="11" spans="2:21" ht="12" customHeight="1" thickBot="1" x14ac:dyDescent="0.4">
      <c r="B11" s="302" t="s">
        <v>106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8"/>
    </row>
    <row r="12" spans="2:21" s="68" customFormat="1" ht="12" customHeight="1" thickBot="1" x14ac:dyDescent="0.4">
      <c r="B12" s="306" t="s">
        <v>110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  <c r="I12" s="2">
        <v>2015</v>
      </c>
      <c r="J12" s="2">
        <v>2016</v>
      </c>
      <c r="K12" s="2">
        <v>2017</v>
      </c>
      <c r="L12" s="2">
        <v>2018</v>
      </c>
      <c r="M12" s="2">
        <v>2019</v>
      </c>
      <c r="N12" s="2">
        <v>2020</v>
      </c>
      <c r="O12" s="2">
        <v>2021</v>
      </c>
      <c r="P12" s="2">
        <v>2022</v>
      </c>
      <c r="Q12" s="2">
        <v>2023</v>
      </c>
      <c r="R12" s="2">
        <v>2024</v>
      </c>
      <c r="S12" s="2">
        <v>2025</v>
      </c>
      <c r="T12" s="2">
        <v>2026</v>
      </c>
      <c r="U12" s="3">
        <v>2027</v>
      </c>
    </row>
    <row r="13" spans="2:21" s="34" customFormat="1" ht="12" customHeight="1" x14ac:dyDescent="0.35">
      <c r="B13" s="303" t="s">
        <v>175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</row>
    <row r="14" spans="2:21" s="34" customFormat="1" ht="12" customHeight="1" x14ac:dyDescent="0.35">
      <c r="B14" s="31" t="s">
        <v>15</v>
      </c>
      <c r="C14" s="178">
        <v>0</v>
      </c>
      <c r="D14" s="178">
        <v>0</v>
      </c>
      <c r="E14" s="178">
        <v>0</v>
      </c>
      <c r="F14" s="178">
        <v>0</v>
      </c>
      <c r="G14" s="178">
        <v>300</v>
      </c>
      <c r="H14" s="178">
        <v>300</v>
      </c>
      <c r="I14" s="178">
        <v>300</v>
      </c>
      <c r="J14" s="178">
        <v>300</v>
      </c>
      <c r="K14" s="178">
        <v>300</v>
      </c>
      <c r="L14" s="178">
        <v>300</v>
      </c>
      <c r="M14" s="178">
        <v>300</v>
      </c>
      <c r="N14" s="178">
        <v>300</v>
      </c>
      <c r="O14" s="178">
        <v>300</v>
      </c>
      <c r="P14" s="178">
        <v>300</v>
      </c>
      <c r="Q14" s="178">
        <v>300</v>
      </c>
      <c r="R14" s="178">
        <v>300</v>
      </c>
      <c r="S14" s="178">
        <v>300</v>
      </c>
      <c r="T14" s="178">
        <v>300</v>
      </c>
      <c r="U14" s="179">
        <v>300</v>
      </c>
    </row>
    <row r="15" spans="2:21" s="34" customFormat="1" ht="12" customHeight="1" x14ac:dyDescent="0.35">
      <c r="B15" s="35" t="s">
        <v>16</v>
      </c>
      <c r="C15" s="72">
        <v>0</v>
      </c>
      <c r="D15" s="72">
        <v>0</v>
      </c>
      <c r="E15" s="72">
        <v>0</v>
      </c>
      <c r="F15" s="72">
        <v>0</v>
      </c>
      <c r="G15" s="72">
        <f t="shared" ref="G15:U15" si="0">$C$4</f>
        <v>0.85</v>
      </c>
      <c r="H15" s="72">
        <f t="shared" si="0"/>
        <v>0.85</v>
      </c>
      <c r="I15" s="72">
        <f t="shared" si="0"/>
        <v>0.85</v>
      </c>
      <c r="J15" s="72">
        <f t="shared" si="0"/>
        <v>0.85</v>
      </c>
      <c r="K15" s="72">
        <f t="shared" si="0"/>
        <v>0.85</v>
      </c>
      <c r="L15" s="72">
        <f t="shared" si="0"/>
        <v>0.85</v>
      </c>
      <c r="M15" s="72">
        <f t="shared" si="0"/>
        <v>0.85</v>
      </c>
      <c r="N15" s="72">
        <f t="shared" si="0"/>
        <v>0.85</v>
      </c>
      <c r="O15" s="72">
        <f t="shared" si="0"/>
        <v>0.85</v>
      </c>
      <c r="P15" s="72">
        <f t="shared" si="0"/>
        <v>0.85</v>
      </c>
      <c r="Q15" s="72">
        <f t="shared" si="0"/>
        <v>0.85</v>
      </c>
      <c r="R15" s="72">
        <f t="shared" si="0"/>
        <v>0.85</v>
      </c>
      <c r="S15" s="72">
        <f t="shared" si="0"/>
        <v>0.85</v>
      </c>
      <c r="T15" s="72">
        <f t="shared" si="0"/>
        <v>0.85</v>
      </c>
      <c r="U15" s="73">
        <f t="shared" si="0"/>
        <v>0.85</v>
      </c>
    </row>
    <row r="16" spans="2:21" s="34" customFormat="1" ht="12" customHeight="1" x14ac:dyDescent="0.35">
      <c r="B16" s="35" t="s">
        <v>80</v>
      </c>
      <c r="C16" s="180">
        <v>0</v>
      </c>
      <c r="D16" s="180">
        <v>0</v>
      </c>
      <c r="E16" s="180">
        <v>0</v>
      </c>
      <c r="F16" s="180">
        <v>0</v>
      </c>
      <c r="G16" s="180">
        <f t="shared" ref="G16:U16" si="1">G14*1000*24*365*G15/1000000</f>
        <v>2233.8000000000002</v>
      </c>
      <c r="H16" s="180">
        <f t="shared" si="1"/>
        <v>2233.8000000000002</v>
      </c>
      <c r="I16" s="180">
        <f t="shared" si="1"/>
        <v>2233.8000000000002</v>
      </c>
      <c r="J16" s="180">
        <f t="shared" si="1"/>
        <v>2233.8000000000002</v>
      </c>
      <c r="K16" s="180">
        <f t="shared" si="1"/>
        <v>2233.8000000000002</v>
      </c>
      <c r="L16" s="180">
        <f t="shared" si="1"/>
        <v>2233.8000000000002</v>
      </c>
      <c r="M16" s="180">
        <f t="shared" si="1"/>
        <v>2233.8000000000002</v>
      </c>
      <c r="N16" s="180">
        <f t="shared" si="1"/>
        <v>2233.8000000000002</v>
      </c>
      <c r="O16" s="180">
        <f t="shared" si="1"/>
        <v>2233.8000000000002</v>
      </c>
      <c r="P16" s="180">
        <f t="shared" si="1"/>
        <v>2233.8000000000002</v>
      </c>
      <c r="Q16" s="180">
        <f t="shared" si="1"/>
        <v>2233.8000000000002</v>
      </c>
      <c r="R16" s="180">
        <f t="shared" si="1"/>
        <v>2233.8000000000002</v>
      </c>
      <c r="S16" s="180">
        <f t="shared" si="1"/>
        <v>2233.8000000000002</v>
      </c>
      <c r="T16" s="180">
        <f t="shared" si="1"/>
        <v>2233.8000000000002</v>
      </c>
      <c r="U16" s="181">
        <f t="shared" si="1"/>
        <v>2233.8000000000002</v>
      </c>
    </row>
    <row r="17" spans="2:22" s="34" customFormat="1" ht="12" customHeight="1" x14ac:dyDescent="0.35">
      <c r="B17" s="35" t="s">
        <v>81</v>
      </c>
      <c r="C17" s="180">
        <v>0</v>
      </c>
      <c r="D17" s="180">
        <v>0</v>
      </c>
      <c r="E17" s="180">
        <v>0</v>
      </c>
      <c r="F17" s="180">
        <v>0</v>
      </c>
      <c r="G17" s="180">
        <v>201</v>
      </c>
      <c r="H17" s="180">
        <v>201</v>
      </c>
      <c r="I17" s="180">
        <v>201</v>
      </c>
      <c r="J17" s="180">
        <v>201</v>
      </c>
      <c r="K17" s="180">
        <v>201</v>
      </c>
      <c r="L17" s="180">
        <v>201</v>
      </c>
      <c r="M17" s="180">
        <v>201</v>
      </c>
      <c r="N17" s="180">
        <v>201</v>
      </c>
      <c r="O17" s="180">
        <v>201</v>
      </c>
      <c r="P17" s="180">
        <v>201</v>
      </c>
      <c r="Q17" s="180">
        <v>201</v>
      </c>
      <c r="R17" s="180">
        <v>201</v>
      </c>
      <c r="S17" s="180">
        <v>201</v>
      </c>
      <c r="T17" s="180">
        <v>201</v>
      </c>
      <c r="U17" s="181">
        <v>201</v>
      </c>
    </row>
    <row r="18" spans="2:22" s="34" customFormat="1" ht="12" customHeight="1" x14ac:dyDescent="0.35">
      <c r="B18" s="78" t="s">
        <v>82</v>
      </c>
      <c r="C18" s="180">
        <v>0</v>
      </c>
      <c r="D18" s="180">
        <v>0</v>
      </c>
      <c r="E18" s="180">
        <v>0</v>
      </c>
      <c r="F18" s="180">
        <v>0</v>
      </c>
      <c r="G18" s="180">
        <f t="shared" ref="G18:U18" si="2">G16-G17</f>
        <v>2032.8000000000002</v>
      </c>
      <c r="H18" s="180">
        <f t="shared" si="2"/>
        <v>2032.8000000000002</v>
      </c>
      <c r="I18" s="180">
        <f t="shared" si="2"/>
        <v>2032.8000000000002</v>
      </c>
      <c r="J18" s="180">
        <f t="shared" si="2"/>
        <v>2032.8000000000002</v>
      </c>
      <c r="K18" s="180">
        <f t="shared" si="2"/>
        <v>2032.8000000000002</v>
      </c>
      <c r="L18" s="180">
        <f t="shared" si="2"/>
        <v>2032.8000000000002</v>
      </c>
      <c r="M18" s="180">
        <f t="shared" si="2"/>
        <v>2032.8000000000002</v>
      </c>
      <c r="N18" s="180">
        <f t="shared" si="2"/>
        <v>2032.8000000000002</v>
      </c>
      <c r="O18" s="180">
        <f t="shared" si="2"/>
        <v>2032.8000000000002</v>
      </c>
      <c r="P18" s="180">
        <f t="shared" si="2"/>
        <v>2032.8000000000002</v>
      </c>
      <c r="Q18" s="180">
        <f t="shared" si="2"/>
        <v>2032.8000000000002</v>
      </c>
      <c r="R18" s="180">
        <f t="shared" si="2"/>
        <v>2032.8000000000002</v>
      </c>
      <c r="S18" s="180">
        <f t="shared" si="2"/>
        <v>2032.8000000000002</v>
      </c>
      <c r="T18" s="180">
        <f t="shared" si="2"/>
        <v>2032.8000000000002</v>
      </c>
      <c r="U18" s="181">
        <f t="shared" si="2"/>
        <v>2032.8000000000002</v>
      </c>
    </row>
    <row r="19" spans="2:22" s="34" customFormat="1" ht="12" customHeight="1" x14ac:dyDescent="0.35">
      <c r="B19" s="35" t="s">
        <v>111</v>
      </c>
      <c r="C19" s="195">
        <v>0</v>
      </c>
      <c r="D19" s="195">
        <v>0</v>
      </c>
      <c r="E19" s="195">
        <v>0</v>
      </c>
      <c r="F19" s="195">
        <v>0</v>
      </c>
      <c r="G19" s="195">
        <f>C5</f>
        <v>3.3</v>
      </c>
      <c r="H19" s="195">
        <f t="shared" ref="H19:U19" si="3">G19*(1+$C$6)</f>
        <v>3.3329999999999997</v>
      </c>
      <c r="I19" s="195">
        <f t="shared" si="3"/>
        <v>3.3663299999999996</v>
      </c>
      <c r="J19" s="195">
        <f t="shared" si="3"/>
        <v>3.3999932999999998</v>
      </c>
      <c r="K19" s="195">
        <f t="shared" si="3"/>
        <v>3.4339932329999998</v>
      </c>
      <c r="L19" s="195">
        <f t="shared" si="3"/>
        <v>3.4683331653299998</v>
      </c>
      <c r="M19" s="195">
        <f t="shared" si="3"/>
        <v>3.5030164969833</v>
      </c>
      <c r="N19" s="195">
        <f t="shared" si="3"/>
        <v>3.5380466619531332</v>
      </c>
      <c r="O19" s="195">
        <f t="shared" si="3"/>
        <v>3.5734271285726646</v>
      </c>
      <c r="P19" s="195">
        <f t="shared" si="3"/>
        <v>3.6091613998583911</v>
      </c>
      <c r="Q19" s="195">
        <f t="shared" si="3"/>
        <v>3.645253013856975</v>
      </c>
      <c r="R19" s="195">
        <f t="shared" si="3"/>
        <v>3.6817055439955446</v>
      </c>
      <c r="S19" s="195">
        <f t="shared" si="3"/>
        <v>3.7185225994355</v>
      </c>
      <c r="T19" s="195">
        <f t="shared" si="3"/>
        <v>3.7557078254298553</v>
      </c>
      <c r="U19" s="196">
        <f t="shared" si="3"/>
        <v>3.7932649036841539</v>
      </c>
    </row>
    <row r="20" spans="2:22" s="34" customFormat="1" ht="12" customHeight="1" x14ac:dyDescent="0.35">
      <c r="B20" s="303" t="s">
        <v>174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</row>
    <row r="21" spans="2:22" s="34" customFormat="1" ht="12" customHeight="1" x14ac:dyDescent="0.35">
      <c r="B21" s="82" t="s">
        <v>21</v>
      </c>
      <c r="C21" s="182">
        <f>C18*C19</f>
        <v>0</v>
      </c>
      <c r="D21" s="182">
        <f>D18*D19</f>
        <v>0</v>
      </c>
      <c r="E21" s="182">
        <f>E18*E19</f>
        <v>0</v>
      </c>
      <c r="F21" s="182">
        <f>F18*F19</f>
        <v>0</v>
      </c>
      <c r="G21" s="182">
        <f>G18*G19</f>
        <v>6708.2400000000007</v>
      </c>
      <c r="H21" s="182">
        <f t="shared" ref="H21:U21" si="4">H18*H19</f>
        <v>6775.3224</v>
      </c>
      <c r="I21" s="182">
        <f t="shared" si="4"/>
        <v>6843.0756240000001</v>
      </c>
      <c r="J21" s="182">
        <f t="shared" si="4"/>
        <v>6911.50638024</v>
      </c>
      <c r="K21" s="182">
        <f t="shared" si="4"/>
        <v>6980.6214440424001</v>
      </c>
      <c r="L21" s="182">
        <f t="shared" si="4"/>
        <v>7050.427658482824</v>
      </c>
      <c r="M21" s="182">
        <f t="shared" si="4"/>
        <v>7120.9319350676524</v>
      </c>
      <c r="N21" s="182">
        <f t="shared" si="4"/>
        <v>7192.1412544183295</v>
      </c>
      <c r="O21" s="182">
        <f t="shared" si="4"/>
        <v>7264.0626669625135</v>
      </c>
      <c r="P21" s="182">
        <f t="shared" si="4"/>
        <v>7336.7032936321384</v>
      </c>
      <c r="Q21" s="182">
        <f t="shared" si="4"/>
        <v>7410.0703265684597</v>
      </c>
      <c r="R21" s="182">
        <f t="shared" si="4"/>
        <v>7484.1710298341441</v>
      </c>
      <c r="S21" s="182">
        <f t="shared" si="4"/>
        <v>7559.0127401324853</v>
      </c>
      <c r="T21" s="182">
        <f t="shared" si="4"/>
        <v>7634.6028675338102</v>
      </c>
      <c r="U21" s="183">
        <f t="shared" si="4"/>
        <v>7710.9488962091491</v>
      </c>
    </row>
    <row r="22" spans="2:22" s="34" customFormat="1" ht="12" customHeight="1" x14ac:dyDescent="0.35">
      <c r="B22" s="323" t="s">
        <v>189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5"/>
    </row>
    <row r="23" spans="2:22" s="34" customFormat="1" ht="12" customHeight="1" x14ac:dyDescent="0.35">
      <c r="B23" s="35" t="s">
        <v>41</v>
      </c>
      <c r="C23" s="180">
        <v>0</v>
      </c>
      <c r="D23" s="180">
        <v>0</v>
      </c>
      <c r="E23" s="180">
        <v>0</v>
      </c>
      <c r="F23" s="180">
        <v>0</v>
      </c>
      <c r="G23" s="180">
        <f>($C$7*$C$8)*((1.03^(G12-2012)))</f>
        <v>3339.3632725586585</v>
      </c>
      <c r="H23" s="180">
        <f t="shared" ref="H23:U23" si="5">($C$7*((1.03^(H12-2012))))*$C$8</f>
        <v>3439.544170735418</v>
      </c>
      <c r="I23" s="180">
        <f t="shared" si="5"/>
        <v>3542.7304958574809</v>
      </c>
      <c r="J23" s="180">
        <f t="shared" si="5"/>
        <v>3649.0124107332053</v>
      </c>
      <c r="K23" s="180">
        <f t="shared" si="5"/>
        <v>3758.4827830552013</v>
      </c>
      <c r="L23" s="180">
        <f t="shared" si="5"/>
        <v>3871.2372665468574</v>
      </c>
      <c r="M23" s="180">
        <f t="shared" si="5"/>
        <v>3987.3743845432637</v>
      </c>
      <c r="N23" s="180">
        <f t="shared" si="5"/>
        <v>4106.9956160795609</v>
      </c>
      <c r="O23" s="180">
        <f t="shared" si="5"/>
        <v>4230.2054845619477</v>
      </c>
      <c r="P23" s="180">
        <f t="shared" si="5"/>
        <v>4357.1116490988061</v>
      </c>
      <c r="Q23" s="180">
        <f t="shared" si="5"/>
        <v>4487.8249985717703</v>
      </c>
      <c r="R23" s="180">
        <f t="shared" si="5"/>
        <v>4622.4597485289232</v>
      </c>
      <c r="S23" s="180">
        <f t="shared" si="5"/>
        <v>4761.1335409847907</v>
      </c>
      <c r="T23" s="180">
        <f t="shared" si="5"/>
        <v>4903.9675472143344</v>
      </c>
      <c r="U23" s="181">
        <f t="shared" si="5"/>
        <v>5051.0865736307642</v>
      </c>
    </row>
    <row r="24" spans="2:22" s="34" customFormat="1" ht="12" customHeight="1" x14ac:dyDescent="0.35">
      <c r="B24" s="35" t="s">
        <v>84</v>
      </c>
      <c r="C24" s="180">
        <v>0</v>
      </c>
      <c r="D24" s="180">
        <v>0</v>
      </c>
      <c r="E24" s="180">
        <v>0</v>
      </c>
      <c r="F24" s="180">
        <v>0</v>
      </c>
      <c r="G24" s="180">
        <f t="shared" ref="G24:U24" si="6">((1.55*G14*((1.04)^(G12-2012))))*($C$4/85%)</f>
        <v>483.6</v>
      </c>
      <c r="H24" s="180">
        <f t="shared" si="6"/>
        <v>502.94400000000007</v>
      </c>
      <c r="I24" s="180">
        <f t="shared" si="6"/>
        <v>523.06176000000005</v>
      </c>
      <c r="J24" s="180">
        <f t="shared" si="6"/>
        <v>543.98423040000011</v>
      </c>
      <c r="K24" s="180">
        <f t="shared" si="6"/>
        <v>565.74359961600021</v>
      </c>
      <c r="L24" s="180">
        <f t="shared" si="6"/>
        <v>588.37334360064017</v>
      </c>
      <c r="M24" s="180">
        <f t="shared" si="6"/>
        <v>611.90827734466575</v>
      </c>
      <c r="N24" s="180">
        <f t="shared" si="6"/>
        <v>636.38460843845246</v>
      </c>
      <c r="O24" s="180">
        <f t="shared" si="6"/>
        <v>661.83999277599059</v>
      </c>
      <c r="P24" s="180">
        <f t="shared" si="6"/>
        <v>688.31359248703018</v>
      </c>
      <c r="Q24" s="180">
        <f t="shared" si="6"/>
        <v>715.84613618651144</v>
      </c>
      <c r="R24" s="180">
        <f t="shared" si="6"/>
        <v>744.47998163397199</v>
      </c>
      <c r="S24" s="180">
        <f t="shared" si="6"/>
        <v>774.25918089933089</v>
      </c>
      <c r="T24" s="180">
        <f t="shared" si="6"/>
        <v>805.22954813530419</v>
      </c>
      <c r="U24" s="181">
        <f t="shared" si="6"/>
        <v>837.43873006071624</v>
      </c>
    </row>
    <row r="25" spans="2:22" s="34" customFormat="1" ht="12" customHeight="1" x14ac:dyDescent="0.35">
      <c r="B25" s="82" t="s">
        <v>25</v>
      </c>
      <c r="C25" s="180">
        <v>0</v>
      </c>
      <c r="D25" s="180">
        <v>0</v>
      </c>
      <c r="E25" s="180">
        <v>0</v>
      </c>
      <c r="F25" s="180">
        <v>0</v>
      </c>
      <c r="G25" s="393">
        <f t="shared" ref="G25:U25" si="7">SUM(G23:G24)</f>
        <v>3822.9632725586584</v>
      </c>
      <c r="H25" s="393">
        <f t="shared" si="7"/>
        <v>3942.488170735418</v>
      </c>
      <c r="I25" s="393">
        <f t="shared" si="7"/>
        <v>4065.792255857481</v>
      </c>
      <c r="J25" s="393">
        <f t="shared" si="7"/>
        <v>4192.9966411332052</v>
      </c>
      <c r="K25" s="393">
        <f t="shared" si="7"/>
        <v>4324.2263826712015</v>
      </c>
      <c r="L25" s="393">
        <f t="shared" si="7"/>
        <v>4459.6106101474979</v>
      </c>
      <c r="M25" s="393">
        <f t="shared" si="7"/>
        <v>4599.2826618879299</v>
      </c>
      <c r="N25" s="393">
        <f t="shared" si="7"/>
        <v>4743.3802245180132</v>
      </c>
      <c r="O25" s="393">
        <f t="shared" si="7"/>
        <v>4892.0454773379388</v>
      </c>
      <c r="P25" s="393">
        <f t="shared" si="7"/>
        <v>5045.4252415858364</v>
      </c>
      <c r="Q25" s="393">
        <f t="shared" si="7"/>
        <v>5203.6711347582814</v>
      </c>
      <c r="R25" s="393">
        <f t="shared" si="7"/>
        <v>5366.9397301628951</v>
      </c>
      <c r="S25" s="393">
        <f t="shared" si="7"/>
        <v>5535.3927218841218</v>
      </c>
      <c r="T25" s="393">
        <f t="shared" si="7"/>
        <v>5709.1970953496384</v>
      </c>
      <c r="U25" s="394">
        <f t="shared" si="7"/>
        <v>5888.5253036914801</v>
      </c>
      <c r="V25" s="145"/>
    </row>
    <row r="26" spans="2:22" s="34" customFormat="1" ht="12" customHeight="1" x14ac:dyDescent="0.35">
      <c r="B26" s="85" t="s">
        <v>272</v>
      </c>
      <c r="C26" s="182">
        <f t="shared" ref="C26:U26" si="8">C21-C25</f>
        <v>0</v>
      </c>
      <c r="D26" s="182">
        <f t="shared" si="8"/>
        <v>0</v>
      </c>
      <c r="E26" s="182">
        <f t="shared" si="8"/>
        <v>0</v>
      </c>
      <c r="F26" s="182">
        <f t="shared" si="8"/>
        <v>0</v>
      </c>
      <c r="G26" s="182">
        <f t="shared" si="8"/>
        <v>2885.2767274413422</v>
      </c>
      <c r="H26" s="182">
        <f t="shared" si="8"/>
        <v>2832.8342292645821</v>
      </c>
      <c r="I26" s="182">
        <f t="shared" si="8"/>
        <v>2777.2833681425191</v>
      </c>
      <c r="J26" s="182">
        <f t="shared" si="8"/>
        <v>2718.5097391067948</v>
      </c>
      <c r="K26" s="182">
        <f t="shared" si="8"/>
        <v>2656.3950613711986</v>
      </c>
      <c r="L26" s="182">
        <f t="shared" si="8"/>
        <v>2590.817048335326</v>
      </c>
      <c r="M26" s="182">
        <f t="shared" si="8"/>
        <v>2521.6492731797225</v>
      </c>
      <c r="N26" s="182">
        <f t="shared" si="8"/>
        <v>2448.7610299003163</v>
      </c>
      <c r="O26" s="182">
        <f t="shared" si="8"/>
        <v>2372.0171896245747</v>
      </c>
      <c r="P26" s="182">
        <f t="shared" si="8"/>
        <v>2291.278052046302</v>
      </c>
      <c r="Q26" s="182">
        <f t="shared" si="8"/>
        <v>2206.3991918101783</v>
      </c>
      <c r="R26" s="182">
        <f t="shared" si="8"/>
        <v>2117.231299671249</v>
      </c>
      <c r="S26" s="182">
        <f t="shared" si="8"/>
        <v>2023.6200182483635</v>
      </c>
      <c r="T26" s="182">
        <f t="shared" si="8"/>
        <v>1925.4057721841718</v>
      </c>
      <c r="U26" s="183">
        <f t="shared" si="8"/>
        <v>1822.423592517669</v>
      </c>
    </row>
    <row r="27" spans="2:22" s="34" customFormat="1" ht="12" customHeight="1" x14ac:dyDescent="0.35">
      <c r="B27" s="323" t="s">
        <v>145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2:22" s="34" customFormat="1" ht="12" customHeight="1" x14ac:dyDescent="0.35">
      <c r="B28" s="35" t="s">
        <v>187</v>
      </c>
      <c r="C28" s="180">
        <v>0</v>
      </c>
      <c r="D28" s="180">
        <v>0</v>
      </c>
      <c r="E28" s="180">
        <v>0</v>
      </c>
      <c r="F28" s="410">
        <v>0</v>
      </c>
      <c r="G28" s="410">
        <f t="shared" ref="G28:U28" si="9">$J$4*((G109+G112)/2)</f>
        <v>1067</v>
      </c>
      <c r="H28" s="410">
        <f t="shared" si="9"/>
        <v>937.66666666666686</v>
      </c>
      <c r="I28" s="410">
        <f t="shared" si="9"/>
        <v>808.33333333333337</v>
      </c>
      <c r="J28" s="410">
        <f t="shared" si="9"/>
        <v>679</v>
      </c>
      <c r="K28" s="410">
        <f t="shared" si="9"/>
        <v>549.66666666666652</v>
      </c>
      <c r="L28" s="410">
        <f t="shared" si="9"/>
        <v>420.3333333333332</v>
      </c>
      <c r="M28" s="410">
        <f t="shared" si="9"/>
        <v>290.99999999999983</v>
      </c>
      <c r="N28" s="410">
        <f t="shared" si="9"/>
        <v>161.66666666666649</v>
      </c>
      <c r="O28" s="410">
        <f t="shared" si="9"/>
        <v>48.499999999999787</v>
      </c>
      <c r="P28" s="410">
        <f t="shared" si="9"/>
        <v>-2.1827872842550277E-13</v>
      </c>
      <c r="Q28" s="410">
        <f t="shared" si="9"/>
        <v>-2.1827872842550277E-13</v>
      </c>
      <c r="R28" s="410">
        <f t="shared" si="9"/>
        <v>-2.1827872842550277E-13</v>
      </c>
      <c r="S28" s="410">
        <f t="shared" si="9"/>
        <v>-2.1827872842550277E-13</v>
      </c>
      <c r="T28" s="410">
        <f t="shared" si="9"/>
        <v>-2.1827872842550277E-13</v>
      </c>
      <c r="U28" s="441">
        <f t="shared" si="9"/>
        <v>-2.1827872842550277E-13</v>
      </c>
    </row>
    <row r="29" spans="2:22" s="34" customFormat="1" ht="12" customHeight="1" x14ac:dyDescent="0.35">
      <c r="B29" s="35" t="s">
        <v>188</v>
      </c>
      <c r="C29" s="180">
        <v>0</v>
      </c>
      <c r="D29" s="180">
        <v>0</v>
      </c>
      <c r="E29" s="180">
        <v>0</v>
      </c>
      <c r="F29" s="180">
        <v>0</v>
      </c>
      <c r="G29" s="187">
        <f>$J$4*G60</f>
        <v>111.6</v>
      </c>
      <c r="H29" s="187">
        <f t="shared" ref="H29:U29" si="10">$J$4*((G60+H60)/2)</f>
        <v>112.2</v>
      </c>
      <c r="I29" s="187">
        <f t="shared" si="10"/>
        <v>114</v>
      </c>
      <c r="J29" s="187">
        <f t="shared" si="10"/>
        <v>116.39999999999999</v>
      </c>
      <c r="K29" s="187">
        <f t="shared" si="10"/>
        <v>118.19999999999999</v>
      </c>
      <c r="L29" s="187">
        <f t="shared" si="10"/>
        <v>120</v>
      </c>
      <c r="M29" s="187">
        <f t="shared" si="10"/>
        <v>122.39999999999999</v>
      </c>
      <c r="N29" s="187">
        <f t="shared" si="10"/>
        <v>124.8</v>
      </c>
      <c r="O29" s="187">
        <f t="shared" si="10"/>
        <v>127.19999999999999</v>
      </c>
      <c r="P29" s="187">
        <f t="shared" si="10"/>
        <v>129.6</v>
      </c>
      <c r="Q29" s="187">
        <f t="shared" si="10"/>
        <v>132</v>
      </c>
      <c r="R29" s="187">
        <f t="shared" si="10"/>
        <v>134.4</v>
      </c>
      <c r="S29" s="187">
        <f t="shared" si="10"/>
        <v>137.4</v>
      </c>
      <c r="T29" s="187">
        <f t="shared" si="10"/>
        <v>140.4</v>
      </c>
      <c r="U29" s="340">
        <f t="shared" si="10"/>
        <v>142.79999999999998</v>
      </c>
    </row>
    <row r="30" spans="2:22" s="34" customFormat="1" ht="12" customHeight="1" x14ac:dyDescent="0.35">
      <c r="B30" s="35" t="s">
        <v>30</v>
      </c>
      <c r="C30" s="180">
        <v>0</v>
      </c>
      <c r="D30" s="180">
        <v>0</v>
      </c>
      <c r="E30" s="180">
        <v>0</v>
      </c>
      <c r="F30" s="180">
        <v>0</v>
      </c>
      <c r="G30" s="187">
        <v>680</v>
      </c>
      <c r="H30" s="187">
        <v>680</v>
      </c>
      <c r="I30" s="187">
        <v>680</v>
      </c>
      <c r="J30" s="187">
        <v>680</v>
      </c>
      <c r="K30" s="187">
        <v>680</v>
      </c>
      <c r="L30" s="187">
        <v>680</v>
      </c>
      <c r="M30" s="187">
        <v>680</v>
      </c>
      <c r="N30" s="187">
        <v>680</v>
      </c>
      <c r="O30" s="187">
        <v>680</v>
      </c>
      <c r="P30" s="187">
        <v>680</v>
      </c>
      <c r="Q30" s="187">
        <v>680</v>
      </c>
      <c r="R30" s="187">
        <v>680</v>
      </c>
      <c r="S30" s="187">
        <v>680</v>
      </c>
      <c r="T30" s="187">
        <v>680</v>
      </c>
      <c r="U30" s="340">
        <v>680</v>
      </c>
    </row>
    <row r="31" spans="2:22" s="34" customFormat="1" ht="12" hidden="1" customHeight="1" outlineLevel="1" x14ac:dyDescent="0.35">
      <c r="B31" s="52" t="s">
        <v>86</v>
      </c>
      <c r="C31" s="186">
        <f t="shared" ref="C31:U31" si="11">C26-C28-C29-C30</f>
        <v>0</v>
      </c>
      <c r="D31" s="186">
        <f t="shared" si="11"/>
        <v>0</v>
      </c>
      <c r="E31" s="186">
        <f t="shared" si="11"/>
        <v>0</v>
      </c>
      <c r="F31" s="186">
        <f t="shared" si="11"/>
        <v>0</v>
      </c>
      <c r="G31" s="186">
        <f t="shared" si="11"/>
        <v>1026.6767274413423</v>
      </c>
      <c r="H31" s="186">
        <f t="shared" si="11"/>
        <v>1102.967562597915</v>
      </c>
      <c r="I31" s="186">
        <f t="shared" si="11"/>
        <v>1174.9500348091856</v>
      </c>
      <c r="J31" s="186">
        <f t="shared" si="11"/>
        <v>1243.1097391067947</v>
      </c>
      <c r="K31" s="186">
        <f t="shared" si="11"/>
        <v>1308.528394704532</v>
      </c>
      <c r="L31" s="186">
        <f t="shared" si="11"/>
        <v>1370.483715001993</v>
      </c>
      <c r="M31" s="186">
        <f t="shared" si="11"/>
        <v>1428.2492731797224</v>
      </c>
      <c r="N31" s="186">
        <f t="shared" si="11"/>
        <v>1482.2943632336496</v>
      </c>
      <c r="O31" s="186">
        <f t="shared" si="11"/>
        <v>1516.3171896245749</v>
      </c>
      <c r="P31" s="186">
        <f t="shared" si="11"/>
        <v>1481.6780520463021</v>
      </c>
      <c r="Q31" s="186">
        <f t="shared" si="11"/>
        <v>1394.3991918101783</v>
      </c>
      <c r="R31" s="186">
        <f t="shared" si="11"/>
        <v>1302.8312996712489</v>
      </c>
      <c r="S31" s="186">
        <f t="shared" si="11"/>
        <v>1206.2200182483637</v>
      </c>
      <c r="T31" s="186">
        <f t="shared" si="11"/>
        <v>1105.005772184172</v>
      </c>
      <c r="U31" s="183">
        <f t="shared" si="11"/>
        <v>999.62359251766929</v>
      </c>
    </row>
    <row r="32" spans="2:22" s="34" customFormat="1" ht="12" hidden="1" customHeight="1" outlineLevel="1" x14ac:dyDescent="0.35">
      <c r="B32" s="323" t="s">
        <v>32</v>
      </c>
      <c r="C32" s="46"/>
      <c r="D32" s="46"/>
      <c r="E32" s="46"/>
      <c r="F32" s="46"/>
      <c r="G32" s="4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</row>
    <row r="33" spans="2:21" s="34" customFormat="1" ht="12" hidden="1" customHeight="1" outlineLevel="1" x14ac:dyDescent="0.35">
      <c r="B33" s="35" t="s">
        <v>195</v>
      </c>
      <c r="C33" s="180">
        <v>0</v>
      </c>
      <c r="D33" s="180">
        <v>0</v>
      </c>
      <c r="E33" s="180">
        <v>0</v>
      </c>
      <c r="F33" s="187">
        <f>F127</f>
        <v>0</v>
      </c>
      <c r="G33" s="187">
        <f>G127</f>
        <v>162.23640087028636</v>
      </c>
      <c r="H33" s="187">
        <f t="shared" ref="H33:U33" si="12">H127</f>
        <v>175.45615330233144</v>
      </c>
      <c r="I33" s="187">
        <f t="shared" si="12"/>
        <v>184.3256311113669</v>
      </c>
      <c r="J33" s="187">
        <f t="shared" si="12"/>
        <v>201.60741185450857</v>
      </c>
      <c r="K33" s="187">
        <f t="shared" si="12"/>
        <v>210.39120992629006</v>
      </c>
      <c r="L33" s="187">
        <f t="shared" si="12"/>
        <v>219.04181204274408</v>
      </c>
      <c r="M33" s="187">
        <f t="shared" si="12"/>
        <v>227.54392541655767</v>
      </c>
      <c r="N33" s="187">
        <f t="shared" si="12"/>
        <v>235.91013283864092</v>
      </c>
      <c r="O33" s="187">
        <f t="shared" si="12"/>
        <v>241.56036927671408</v>
      </c>
      <c r="P33" s="187">
        <f t="shared" si="12"/>
        <v>240.87376569451914</v>
      </c>
      <c r="Q33" s="187">
        <f t="shared" si="12"/>
        <v>224.35614529446656</v>
      </c>
      <c r="R33" s="187">
        <f t="shared" si="12"/>
        <v>211.71279053202025</v>
      </c>
      <c r="S33" s="187">
        <f t="shared" si="12"/>
        <v>191.34080086564734</v>
      </c>
      <c r="T33" s="187">
        <f t="shared" si="12"/>
        <v>178.13238431656836</v>
      </c>
      <c r="U33" s="51">
        <f t="shared" si="12"/>
        <v>157.60305261054566</v>
      </c>
    </row>
    <row r="34" spans="2:21" s="34" customFormat="1" ht="12" hidden="1" customHeight="1" outlineLevel="1" x14ac:dyDescent="0.35">
      <c r="B34" s="35" t="s">
        <v>196</v>
      </c>
      <c r="C34" s="180">
        <v>0</v>
      </c>
      <c r="D34" s="180">
        <v>0</v>
      </c>
      <c r="E34" s="180">
        <v>0</v>
      </c>
      <c r="F34" s="180">
        <v>0</v>
      </c>
      <c r="G34" s="187">
        <v>0</v>
      </c>
      <c r="H34" s="187">
        <v>0</v>
      </c>
      <c r="I34" s="187">
        <v>0</v>
      </c>
      <c r="J34" s="187">
        <v>0</v>
      </c>
      <c r="K34" s="187">
        <v>0</v>
      </c>
      <c r="L34" s="187">
        <v>0</v>
      </c>
      <c r="M34" s="187">
        <v>0</v>
      </c>
      <c r="N34" s="187">
        <v>-10</v>
      </c>
      <c r="O34" s="187">
        <v>-40</v>
      </c>
      <c r="P34" s="187">
        <v>-70</v>
      </c>
      <c r="Q34" s="187">
        <v>-90</v>
      </c>
      <c r="R34" s="187">
        <v>-110</v>
      </c>
      <c r="S34" s="187">
        <v>-130</v>
      </c>
      <c r="T34" s="187">
        <v>-140</v>
      </c>
      <c r="U34" s="188">
        <v>-150</v>
      </c>
    </row>
    <row r="35" spans="2:21" s="34" customFormat="1" ht="12" customHeight="1" collapsed="1" x14ac:dyDescent="0.35">
      <c r="B35" s="86" t="s">
        <v>87</v>
      </c>
      <c r="C35" s="186">
        <f t="shared" ref="C35:U35" si="13">C31-C33-C34</f>
        <v>0</v>
      </c>
      <c r="D35" s="186">
        <f t="shared" si="13"/>
        <v>0</v>
      </c>
      <c r="E35" s="186">
        <f t="shared" si="13"/>
        <v>0</v>
      </c>
      <c r="F35" s="186">
        <f t="shared" si="13"/>
        <v>0</v>
      </c>
      <c r="G35" s="186">
        <f t="shared" si="13"/>
        <v>864.44032657105595</v>
      </c>
      <c r="H35" s="182">
        <f t="shared" si="13"/>
        <v>927.51140929558358</v>
      </c>
      <c r="I35" s="182">
        <f t="shared" si="13"/>
        <v>990.62440369781871</v>
      </c>
      <c r="J35" s="182">
        <f t="shared" si="13"/>
        <v>1041.502327252286</v>
      </c>
      <c r="K35" s="182">
        <f t="shared" si="13"/>
        <v>1098.137184778242</v>
      </c>
      <c r="L35" s="182">
        <f t="shared" si="13"/>
        <v>1151.4419029592489</v>
      </c>
      <c r="M35" s="182">
        <f t="shared" si="13"/>
        <v>1200.7053477631648</v>
      </c>
      <c r="N35" s="182">
        <f t="shared" si="13"/>
        <v>1256.3842303950087</v>
      </c>
      <c r="O35" s="182">
        <f t="shared" si="13"/>
        <v>1314.7568203478609</v>
      </c>
      <c r="P35" s="182">
        <f t="shared" si="13"/>
        <v>1310.804286351783</v>
      </c>
      <c r="Q35" s="182">
        <f t="shared" si="13"/>
        <v>1260.0430465157117</v>
      </c>
      <c r="R35" s="182">
        <f t="shared" si="13"/>
        <v>1201.1185091392285</v>
      </c>
      <c r="S35" s="182">
        <f t="shared" si="13"/>
        <v>1144.8792173827164</v>
      </c>
      <c r="T35" s="182">
        <f t="shared" si="13"/>
        <v>1066.8733878676035</v>
      </c>
      <c r="U35" s="183">
        <f t="shared" si="13"/>
        <v>992.02053990712363</v>
      </c>
    </row>
    <row r="36" spans="2:21" s="34" customFormat="1" ht="3.65" customHeight="1" x14ac:dyDescent="0.35">
      <c r="B36" s="86"/>
      <c r="C36" s="186"/>
      <c r="D36" s="186"/>
      <c r="E36" s="186"/>
      <c r="F36" s="186"/>
      <c r="G36" s="186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3"/>
    </row>
    <row r="37" spans="2:21" s="34" customFormat="1" ht="12" customHeight="1" x14ac:dyDescent="0.35">
      <c r="B37" s="86" t="s">
        <v>88</v>
      </c>
      <c r="C37" s="189">
        <f t="shared" ref="C37:U37" si="14">C35+C30+C34</f>
        <v>0</v>
      </c>
      <c r="D37" s="189">
        <f t="shared" si="14"/>
        <v>0</v>
      </c>
      <c r="E37" s="189">
        <f t="shared" si="14"/>
        <v>0</v>
      </c>
      <c r="F37" s="189">
        <f t="shared" si="14"/>
        <v>0</v>
      </c>
      <c r="G37" s="189">
        <f t="shared" si="14"/>
        <v>1544.4403265710559</v>
      </c>
      <c r="H37" s="190">
        <f t="shared" si="14"/>
        <v>1607.5114092955837</v>
      </c>
      <c r="I37" s="190">
        <f t="shared" si="14"/>
        <v>1670.6244036978187</v>
      </c>
      <c r="J37" s="190">
        <f t="shared" si="14"/>
        <v>1721.502327252286</v>
      </c>
      <c r="K37" s="190">
        <f t="shared" si="14"/>
        <v>1778.137184778242</v>
      </c>
      <c r="L37" s="190">
        <f t="shared" si="14"/>
        <v>1831.4419029592489</v>
      </c>
      <c r="M37" s="190">
        <f t="shared" si="14"/>
        <v>1880.7053477631648</v>
      </c>
      <c r="N37" s="190">
        <f t="shared" si="14"/>
        <v>1926.3842303950087</v>
      </c>
      <c r="O37" s="190">
        <f t="shared" si="14"/>
        <v>1954.7568203478609</v>
      </c>
      <c r="P37" s="190">
        <f t="shared" si="14"/>
        <v>1920.804286351783</v>
      </c>
      <c r="Q37" s="190">
        <f t="shared" si="14"/>
        <v>1850.0430465157117</v>
      </c>
      <c r="R37" s="190">
        <f t="shared" si="14"/>
        <v>1771.1185091392285</v>
      </c>
      <c r="S37" s="190">
        <f t="shared" si="14"/>
        <v>1694.8792173827164</v>
      </c>
      <c r="T37" s="190">
        <f t="shared" si="14"/>
        <v>1606.8733878676035</v>
      </c>
      <c r="U37" s="191">
        <f t="shared" si="14"/>
        <v>1522.0205399071237</v>
      </c>
    </row>
    <row r="38" spans="2:21" s="34" customFormat="1" ht="12" customHeight="1" x14ac:dyDescent="0.35">
      <c r="B38" s="86" t="s">
        <v>266</v>
      </c>
      <c r="C38" s="398">
        <v>0</v>
      </c>
      <c r="D38" s="398">
        <v>0</v>
      </c>
      <c r="E38" s="398">
        <v>0</v>
      </c>
      <c r="F38" s="398">
        <v>0</v>
      </c>
      <c r="G38" s="398">
        <f>+G31+G30+G29+G28</f>
        <v>2885.2767274413422</v>
      </c>
      <c r="H38" s="398">
        <f t="shared" ref="H38:U38" si="15">+H31+H30+H29+H28</f>
        <v>2832.8342292645821</v>
      </c>
      <c r="I38" s="398">
        <f t="shared" si="15"/>
        <v>2777.2833681425191</v>
      </c>
      <c r="J38" s="398">
        <f t="shared" si="15"/>
        <v>2718.5097391067948</v>
      </c>
      <c r="K38" s="398">
        <f t="shared" si="15"/>
        <v>2656.3950613711986</v>
      </c>
      <c r="L38" s="398">
        <f t="shared" si="15"/>
        <v>2590.817048335326</v>
      </c>
      <c r="M38" s="398">
        <f t="shared" si="15"/>
        <v>2521.6492731797225</v>
      </c>
      <c r="N38" s="398">
        <f t="shared" si="15"/>
        <v>2448.7610299003163</v>
      </c>
      <c r="O38" s="398">
        <f t="shared" si="15"/>
        <v>2372.0171896245747</v>
      </c>
      <c r="P38" s="398">
        <f t="shared" si="15"/>
        <v>2291.278052046302</v>
      </c>
      <c r="Q38" s="398">
        <f t="shared" si="15"/>
        <v>2206.3991918101783</v>
      </c>
      <c r="R38" s="398">
        <f t="shared" si="15"/>
        <v>2117.231299671249</v>
      </c>
      <c r="S38" s="398">
        <f t="shared" si="15"/>
        <v>2023.6200182483635</v>
      </c>
      <c r="T38" s="398">
        <f t="shared" si="15"/>
        <v>1925.4057721841718</v>
      </c>
      <c r="U38" s="191">
        <f t="shared" si="15"/>
        <v>1822.423592517669</v>
      </c>
    </row>
    <row r="39" spans="2:21" s="34" customFormat="1" ht="5.75" customHeight="1" x14ac:dyDescent="0.35">
      <c r="B39" s="86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51"/>
    </row>
    <row r="40" spans="2:21" s="34" customFormat="1" ht="12" customHeight="1" x14ac:dyDescent="0.35">
      <c r="B40" s="399" t="s">
        <v>264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397"/>
    </row>
    <row r="41" spans="2:21" s="34" customFormat="1" ht="12" customHeight="1" x14ac:dyDescent="0.35">
      <c r="B41" s="461" t="s">
        <v>265</v>
      </c>
      <c r="C41" s="462"/>
      <c r="D41" s="463">
        <f>D61/D62</f>
        <v>0.69942196531791923</v>
      </c>
      <c r="E41" s="463">
        <f>E61/E62</f>
        <v>0.70044543429844108</v>
      </c>
      <c r="F41" s="463">
        <f>F61/F62</f>
        <v>0.69390508114295069</v>
      </c>
      <c r="G41" s="463">
        <f>G61/G62</f>
        <v>0.65235578731525756</v>
      </c>
      <c r="H41" s="463">
        <f t="shared" ref="H41:U41" si="16">H61/H62</f>
        <v>0.586196915243408</v>
      </c>
      <c r="I41" s="463">
        <f t="shared" si="16"/>
        <v>0.51603912415911513</v>
      </c>
      <c r="J41" s="463">
        <f t="shared" si="16"/>
        <v>0.44270116159790757</v>
      </c>
      <c r="K41" s="463">
        <f t="shared" si="16"/>
        <v>0.36651762543053179</v>
      </c>
      <c r="L41" s="463">
        <f t="shared" si="16"/>
        <v>0.28921066116195399</v>
      </c>
      <c r="M41" s="463">
        <f t="shared" si="16"/>
        <v>0.21125803145057853</v>
      </c>
      <c r="N41" s="463">
        <f t="shared" si="16"/>
        <v>0.13351660556663375</v>
      </c>
      <c r="O41" s="463">
        <f t="shared" si="16"/>
        <v>7.4508639630131435E-2</v>
      </c>
      <c r="P41" s="463">
        <f t="shared" si="16"/>
        <v>6.977217333765727E-2</v>
      </c>
      <c r="Q41" s="463">
        <f t="shared" si="16"/>
        <v>6.5985775716717585E-2</v>
      </c>
      <c r="R41" s="463">
        <f t="shared" si="16"/>
        <v>6.287923015820289E-2</v>
      </c>
      <c r="S41" s="463">
        <f t="shared" si="16"/>
        <v>6.085053302563561E-2</v>
      </c>
      <c r="T41" s="463">
        <f t="shared" si="16"/>
        <v>5.8778632020954936E-2</v>
      </c>
      <c r="U41" s="464">
        <f t="shared" si="16"/>
        <v>5.7098674895415202E-2</v>
      </c>
    </row>
    <row r="42" spans="2:21" s="34" customFormat="1" ht="12" customHeight="1" x14ac:dyDescent="0.35">
      <c r="B42" s="336" t="s">
        <v>267</v>
      </c>
      <c r="C42" s="90"/>
      <c r="D42" s="398">
        <v>0</v>
      </c>
      <c r="E42" s="398">
        <v>0</v>
      </c>
      <c r="F42" s="398">
        <v>0</v>
      </c>
      <c r="G42" s="176">
        <f>G61/G31</f>
        <v>9.0415780641215875</v>
      </c>
      <c r="H42" s="176">
        <f>H61/H31</f>
        <v>7.44808848290198</v>
      </c>
      <c r="I42" s="176">
        <f>I61/I31</f>
        <v>6.0915119878987625</v>
      </c>
      <c r="J42" s="176">
        <f>J61/J31</f>
        <v>4.9066017685832364</v>
      </c>
      <c r="K42" s="176">
        <f>K61/K31</f>
        <v>3.8452865730917707</v>
      </c>
      <c r="L42" s="176">
        <f>L61/L31</f>
        <v>2.8996250341311853</v>
      </c>
      <c r="M42" s="176">
        <f t="shared" ref="M42:T42" si="17">M61/M31</f>
        <v>2.0417382076582111</v>
      </c>
      <c r="N42" s="176">
        <f t="shared" si="17"/>
        <v>1.2536871079232514</v>
      </c>
      <c r="O42" s="176">
        <f t="shared" si="17"/>
        <v>0.70565710612627142</v>
      </c>
      <c r="P42" s="176">
        <f t="shared" si="17"/>
        <v>0.73565238986609216</v>
      </c>
      <c r="Q42" s="176">
        <f t="shared" si="17"/>
        <v>0.79604176947278682</v>
      </c>
      <c r="R42" s="176">
        <f t="shared" si="17"/>
        <v>0.86734176580278488</v>
      </c>
      <c r="S42" s="176">
        <f t="shared" si="17"/>
        <v>0.96168193401773849</v>
      </c>
      <c r="T42" s="176">
        <f>T61/T31</f>
        <v>1.0678677249509669</v>
      </c>
      <c r="U42" s="402">
        <f>U61/U31</f>
        <v>1.2004518590619269</v>
      </c>
    </row>
    <row r="43" spans="2:21" s="34" customFormat="1" ht="12" customHeight="1" x14ac:dyDescent="0.35">
      <c r="B43" s="461" t="s">
        <v>270</v>
      </c>
      <c r="C43" s="465"/>
      <c r="D43" s="466">
        <v>0</v>
      </c>
      <c r="E43" s="466">
        <v>0</v>
      </c>
      <c r="F43" s="466">
        <v>0</v>
      </c>
      <c r="G43" s="467">
        <f t="shared" ref="G43:U43" si="18">(G35+G28+G29+G30)/(G28+G29-G87)</f>
        <v>1.2068193337965225</v>
      </c>
      <c r="H43" s="467">
        <f t="shared" si="18"/>
        <v>1.2489765773134738</v>
      </c>
      <c r="I43" s="467">
        <f t="shared" si="18"/>
        <v>1.2964068459130254</v>
      </c>
      <c r="J43" s="467">
        <f t="shared" si="18"/>
        <v>1.3436537402435893</v>
      </c>
      <c r="K43" s="467">
        <f t="shared" si="18"/>
        <v>1.4012039274259858</v>
      </c>
      <c r="L43" s="468">
        <f t="shared" si="18"/>
        <v>1.4657678449930123</v>
      </c>
      <c r="M43" s="468">
        <f t="shared" si="18"/>
        <v>1.5384519417811784</v>
      </c>
      <c r="N43" s="468">
        <f t="shared" si="18"/>
        <v>1.6293640821582214</v>
      </c>
      <c r="O43" s="468">
        <f t="shared" si="18"/>
        <v>2.205674083209777</v>
      </c>
      <c r="P43" s="468">
        <f t="shared" si="18"/>
        <v>16.361144184813167</v>
      </c>
      <c r="Q43" s="468">
        <f t="shared" si="18"/>
        <v>15.697295806937236</v>
      </c>
      <c r="R43" s="468">
        <f t="shared" si="18"/>
        <v>14.996417478714521</v>
      </c>
      <c r="S43" s="468">
        <f t="shared" si="18"/>
        <v>14.281508132334203</v>
      </c>
      <c r="T43" s="468">
        <f t="shared" si="18"/>
        <v>13.442118147205173</v>
      </c>
      <c r="U43" s="469">
        <f t="shared" si="18"/>
        <v>12.708827310273996</v>
      </c>
    </row>
    <row r="44" spans="2:21" s="34" customFormat="1" ht="12" customHeight="1" x14ac:dyDescent="0.35">
      <c r="B44" s="336" t="s">
        <v>271</v>
      </c>
      <c r="C44" s="173"/>
      <c r="D44" s="398">
        <v>0</v>
      </c>
      <c r="E44" s="398">
        <v>0</v>
      </c>
      <c r="F44" s="398">
        <v>0</v>
      </c>
      <c r="G44" s="176">
        <f t="shared" ref="G44:U44" si="19">G83/(G28+G29-G87)</f>
        <v>0.65726596901324164</v>
      </c>
      <c r="H44" s="176">
        <f t="shared" si="19"/>
        <v>1.2442765438910139</v>
      </c>
      <c r="I44" s="176">
        <f t="shared" si="19"/>
        <v>1.2814076792000648</v>
      </c>
      <c r="J44" s="176">
        <f t="shared" si="19"/>
        <v>1.3329766970727446</v>
      </c>
      <c r="K44" s="176">
        <f t="shared" si="19"/>
        <v>1.3897468405812674</v>
      </c>
      <c r="L44" s="176">
        <f t="shared" si="19"/>
        <v>1.4472277090320151</v>
      </c>
      <c r="M44" s="176">
        <f t="shared" si="19"/>
        <v>1.5250397247417014</v>
      </c>
      <c r="N44" s="176">
        <f t="shared" si="19"/>
        <v>1.6000438234883838</v>
      </c>
      <c r="O44" s="176">
        <f t="shared" si="19"/>
        <v>2.1345382815770408</v>
      </c>
      <c r="P44" s="176">
        <f t="shared" si="19"/>
        <v>15.666699740368722</v>
      </c>
      <c r="Q44" s="176">
        <f t="shared" si="19"/>
        <v>14.788204897846324</v>
      </c>
      <c r="R44" s="176">
        <f t="shared" si="19"/>
        <v>13.954750812047854</v>
      </c>
      <c r="S44" s="176">
        <f t="shared" si="19"/>
        <v>13.117024871781071</v>
      </c>
      <c r="T44" s="176">
        <f t="shared" si="19"/>
        <v>12.231291936378961</v>
      </c>
      <c r="U44" s="402">
        <f t="shared" si="19"/>
        <v>11.448323108593321</v>
      </c>
    </row>
    <row r="45" spans="2:21" s="34" customFormat="1" ht="12" customHeight="1" x14ac:dyDescent="0.35">
      <c r="B45" s="461" t="s">
        <v>326</v>
      </c>
      <c r="C45" s="465"/>
      <c r="D45" s="466">
        <v>0</v>
      </c>
      <c r="E45" s="466">
        <v>0</v>
      </c>
      <c r="F45" s="466">
        <v>0</v>
      </c>
      <c r="G45" s="468">
        <f t="shared" ref="G45:U45" si="20">G26/(G28+G29)</f>
        <v>2.4480542401504688</v>
      </c>
      <c r="H45" s="468">
        <f t="shared" si="20"/>
        <v>2.6982799999345142</v>
      </c>
      <c r="I45" s="468">
        <f t="shared" si="20"/>
        <v>3.0111492968657596</v>
      </c>
      <c r="J45" s="468">
        <f t="shared" si="20"/>
        <v>3.4177894632974537</v>
      </c>
      <c r="K45" s="468">
        <f t="shared" si="20"/>
        <v>3.977433212274704</v>
      </c>
      <c r="L45" s="468">
        <f t="shared" si="20"/>
        <v>4.7948495650869702</v>
      </c>
      <c r="M45" s="468">
        <f t="shared" si="20"/>
        <v>6.09978053502594</v>
      </c>
      <c r="N45" s="468">
        <f t="shared" si="20"/>
        <v>8.5481534671875199</v>
      </c>
      <c r="O45" s="468">
        <f t="shared" si="20"/>
        <v>13.500382411067603</v>
      </c>
      <c r="P45" s="468">
        <f t="shared" si="20"/>
        <v>17.679614599122733</v>
      </c>
      <c r="Q45" s="468">
        <f t="shared" si="20"/>
        <v>16.71514539250138</v>
      </c>
      <c r="R45" s="468">
        <f t="shared" si="20"/>
        <v>15.753209074934913</v>
      </c>
      <c r="S45" s="468">
        <f t="shared" si="20"/>
        <v>14.72794773106526</v>
      </c>
      <c r="T45" s="468">
        <f t="shared" si="20"/>
        <v>13.713716326098112</v>
      </c>
      <c r="U45" s="469">
        <f t="shared" si="20"/>
        <v>12.762069975613951</v>
      </c>
    </row>
    <row r="46" spans="2:21" s="34" customFormat="1" ht="12" customHeight="1" thickBot="1" x14ac:dyDescent="0.4">
      <c r="B46" s="54" t="s">
        <v>269</v>
      </c>
      <c r="C46" s="175"/>
      <c r="D46" s="175">
        <v>0</v>
      </c>
      <c r="E46" s="175">
        <v>0</v>
      </c>
      <c r="F46" s="175">
        <v>0</v>
      </c>
      <c r="G46" s="177">
        <f t="shared" ref="G46:U46" si="21">G83/(G28+G29)</f>
        <v>1.2583067423816867</v>
      </c>
      <c r="H46" s="177">
        <f t="shared" si="21"/>
        <v>2.5216326606193644</v>
      </c>
      <c r="I46" s="177">
        <f t="shared" si="21"/>
        <v>2.7787760069004177</v>
      </c>
      <c r="J46" s="177">
        <f t="shared" si="21"/>
        <v>3.1391781836211794</v>
      </c>
      <c r="K46" s="177">
        <f t="shared" si="21"/>
        <v>3.6324673359626312</v>
      </c>
      <c r="L46" s="177">
        <f t="shared" si="21"/>
        <v>4.3339455329289001</v>
      </c>
      <c r="M46" s="177">
        <f t="shared" si="21"/>
        <v>5.5009805219234771</v>
      </c>
      <c r="N46" s="177">
        <f t="shared" si="21"/>
        <v>7.61991237047362</v>
      </c>
      <c r="O46" s="177">
        <f t="shared" si="21"/>
        <v>11.954791237039633</v>
      </c>
      <c r="P46" s="177">
        <f t="shared" si="21"/>
        <v>15.666699740368722</v>
      </c>
      <c r="Q46" s="177">
        <f t="shared" si="21"/>
        <v>14.788204897846324</v>
      </c>
      <c r="R46" s="177">
        <f t="shared" si="21"/>
        <v>13.954750812047854</v>
      </c>
      <c r="S46" s="177">
        <f t="shared" si="21"/>
        <v>13.117024871781071</v>
      </c>
      <c r="T46" s="177">
        <f t="shared" si="21"/>
        <v>12.231291936378961</v>
      </c>
      <c r="U46" s="403">
        <f t="shared" si="21"/>
        <v>11.448323108593321</v>
      </c>
    </row>
    <row r="47" spans="2:21" s="34" customFormat="1" x14ac:dyDescent="0.35">
      <c r="B47" s="34" t="s">
        <v>325</v>
      </c>
      <c r="D47" s="309"/>
      <c r="G47" s="489">
        <f>G67/G61</f>
        <v>1.3864384463462802</v>
      </c>
      <c r="H47" s="489">
        <f t="shared" ref="H47:R47" si="22">H67/H61</f>
        <v>1.4838709677419355</v>
      </c>
      <c r="I47" s="489">
        <f t="shared" si="22"/>
        <v>1.6081657998913295</v>
      </c>
      <c r="J47" s="489">
        <f t="shared" si="22"/>
        <v>1.7755715456781127</v>
      </c>
      <c r="K47" s="489">
        <f t="shared" si="22"/>
        <v>2.0172242464392185</v>
      </c>
      <c r="L47" s="489">
        <f t="shared" si="22"/>
        <v>2.383056060394241</v>
      </c>
      <c r="M47" s="489">
        <f t="shared" si="22"/>
        <v>3.0142884358925528</v>
      </c>
      <c r="N47" s="489">
        <f t="shared" si="22"/>
        <v>4.3641255605381204</v>
      </c>
      <c r="O47" s="489">
        <f t="shared" si="22"/>
        <v>6.9439252336448716</v>
      </c>
      <c r="P47" s="489">
        <f t="shared" si="22"/>
        <v>6.1926605504587258</v>
      </c>
      <c r="Q47" s="489">
        <f t="shared" si="22"/>
        <v>5.468468468468477</v>
      </c>
      <c r="R47" s="489">
        <f t="shared" si="22"/>
        <v>4.7699115044247868</v>
      </c>
      <c r="S47" s="277"/>
      <c r="T47" s="277"/>
      <c r="U47" s="277"/>
    </row>
    <row r="48" spans="2:21" ht="15" thickBot="1" x14ac:dyDescent="0.4">
      <c r="G48" s="408"/>
      <c r="H48" s="408"/>
    </row>
    <row r="49" spans="2:21" ht="16" thickBot="1" x14ac:dyDescent="0.4">
      <c r="B49" s="299" t="s">
        <v>106</v>
      </c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1"/>
    </row>
    <row r="50" spans="2:21" ht="16" thickBot="1" x14ac:dyDescent="0.4">
      <c r="B50" s="306" t="s">
        <v>110</v>
      </c>
      <c r="C50" s="2">
        <v>2009</v>
      </c>
      <c r="D50" s="2">
        <v>2010</v>
      </c>
      <c r="E50" s="2">
        <v>2011</v>
      </c>
      <c r="F50" s="2">
        <v>2012</v>
      </c>
      <c r="G50" s="2">
        <v>2013</v>
      </c>
      <c r="H50" s="2">
        <v>2014</v>
      </c>
      <c r="I50" s="2">
        <v>2015</v>
      </c>
      <c r="J50" s="2">
        <v>2016</v>
      </c>
      <c r="K50" s="2">
        <v>2017</v>
      </c>
      <c r="L50" s="2">
        <v>2018</v>
      </c>
      <c r="M50" s="2">
        <v>2019</v>
      </c>
      <c r="N50" s="2">
        <v>2020</v>
      </c>
      <c r="O50" s="2">
        <v>2021</v>
      </c>
      <c r="P50" s="2">
        <v>2022</v>
      </c>
      <c r="Q50" s="2">
        <v>2023</v>
      </c>
      <c r="R50" s="2">
        <v>2024</v>
      </c>
      <c r="S50" s="2">
        <v>2025</v>
      </c>
      <c r="T50" s="2">
        <v>2026</v>
      </c>
      <c r="U50" s="3">
        <v>2027</v>
      </c>
    </row>
    <row r="51" spans="2:21" ht="15.5" x14ac:dyDescent="0.35">
      <c r="B51" s="305" t="s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2:21" ht="15.5" x14ac:dyDescent="0.35">
      <c r="B52" s="304" t="s">
        <v>107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 ht="15.5" x14ac:dyDescent="0.35">
      <c r="B53" s="313" t="s">
        <v>2</v>
      </c>
      <c r="C53" s="202">
        <v>0</v>
      </c>
      <c r="D53" s="407">
        <f>C53+D92+D91</f>
        <v>1082.4499999999998</v>
      </c>
      <c r="E53" s="407">
        <f>D53+E92+E91</f>
        <v>2740.9749999999995</v>
      </c>
      <c r="F53" s="202">
        <f t="shared" ref="F53:U53" si="23">E53+F92</f>
        <v>4210.9749999999995</v>
      </c>
      <c r="G53" s="202">
        <f t="shared" si="23"/>
        <v>4210.9749999999995</v>
      </c>
      <c r="H53" s="202">
        <f t="shared" si="23"/>
        <v>4210.9749999999995</v>
      </c>
      <c r="I53" s="202">
        <f t="shared" si="23"/>
        <v>4210.9749999999995</v>
      </c>
      <c r="J53" s="202">
        <f t="shared" si="23"/>
        <v>4210.9749999999995</v>
      </c>
      <c r="K53" s="202">
        <f t="shared" si="23"/>
        <v>4210.9749999999995</v>
      </c>
      <c r="L53" s="202">
        <f t="shared" si="23"/>
        <v>4210.9749999999995</v>
      </c>
      <c r="M53" s="202">
        <f t="shared" si="23"/>
        <v>4210.9749999999995</v>
      </c>
      <c r="N53" s="202">
        <f t="shared" si="23"/>
        <v>4210.9749999999995</v>
      </c>
      <c r="O53" s="202">
        <f t="shared" si="23"/>
        <v>4210.9749999999995</v>
      </c>
      <c r="P53" s="202">
        <f t="shared" si="23"/>
        <v>4210.9749999999995</v>
      </c>
      <c r="Q53" s="202">
        <f t="shared" si="23"/>
        <v>4210.9749999999995</v>
      </c>
      <c r="R53" s="202">
        <f t="shared" si="23"/>
        <v>4210.9749999999995</v>
      </c>
      <c r="S53" s="202">
        <f t="shared" si="23"/>
        <v>4210.9749999999995</v>
      </c>
      <c r="T53" s="202">
        <f t="shared" si="23"/>
        <v>4210.9749999999995</v>
      </c>
      <c r="U53" s="203">
        <f t="shared" si="23"/>
        <v>4210.9749999999995</v>
      </c>
    </row>
    <row r="54" spans="2:21" ht="15.5" x14ac:dyDescent="0.35">
      <c r="B54" s="313" t="s">
        <v>76</v>
      </c>
      <c r="C54" s="202">
        <v>0</v>
      </c>
      <c r="D54" s="202">
        <f t="shared" ref="D54:U54" si="24">D136</f>
        <v>-42.45000000000001</v>
      </c>
      <c r="E54" s="202">
        <f t="shared" si="24"/>
        <v>-50.975000000000009</v>
      </c>
      <c r="F54" s="202">
        <f t="shared" si="24"/>
        <v>-50.975000000000009</v>
      </c>
      <c r="G54" s="202">
        <f t="shared" si="24"/>
        <v>735.87154422088884</v>
      </c>
      <c r="H54" s="202">
        <f t="shared" si="24"/>
        <v>1588.0871459750701</v>
      </c>
      <c r="I54" s="202">
        <f t="shared" si="24"/>
        <v>2501.3368637541153</v>
      </c>
      <c r="J54" s="202">
        <f t="shared" si="24"/>
        <v>3467.3723788903021</v>
      </c>
      <c r="K54" s="202">
        <f t="shared" si="24"/>
        <v>4485.6658349335457</v>
      </c>
      <c r="L54" s="202">
        <f t="shared" si="24"/>
        <v>5555.6008399115653</v>
      </c>
      <c r="M54" s="202">
        <f t="shared" si="24"/>
        <v>6676.4653614079425</v>
      </c>
      <c r="N54" s="202">
        <f t="shared" si="24"/>
        <v>7849.0602879083062</v>
      </c>
      <c r="O54" s="202">
        <f t="shared" si="24"/>
        <v>9079.7757171193662</v>
      </c>
      <c r="P54" s="202">
        <f t="shared" si="24"/>
        <v>10321.298864467773</v>
      </c>
      <c r="Q54" s="202">
        <f t="shared" si="24"/>
        <v>11500.832244720748</v>
      </c>
      <c r="R54" s="202">
        <f t="shared" si="24"/>
        <v>12629.982932483286</v>
      </c>
      <c r="S54" s="202">
        <f t="shared" si="24"/>
        <v>13692.128350488383</v>
      </c>
      <c r="T54" s="202">
        <f t="shared" si="24"/>
        <v>14684.347603277347</v>
      </c>
      <c r="U54" s="203">
        <f t="shared" si="24"/>
        <v>15605.274539905759</v>
      </c>
    </row>
    <row r="55" spans="2:21" ht="15.5" x14ac:dyDescent="0.35">
      <c r="B55" s="7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3"/>
    </row>
    <row r="56" spans="2:21" ht="15.5" x14ac:dyDescent="0.35">
      <c r="B56" s="7" t="s">
        <v>108</v>
      </c>
      <c r="C56" s="307">
        <v>0</v>
      </c>
      <c r="D56" s="307">
        <f t="shared" ref="D56:U56" si="25">D53+D54</f>
        <v>1039.9999999999998</v>
      </c>
      <c r="E56" s="307">
        <f t="shared" si="25"/>
        <v>2689.9999999999995</v>
      </c>
      <c r="F56" s="307">
        <f t="shared" si="25"/>
        <v>4159.9999999999991</v>
      </c>
      <c r="G56" s="307">
        <f t="shared" si="25"/>
        <v>4946.8465442208881</v>
      </c>
      <c r="H56" s="307">
        <f t="shared" si="25"/>
        <v>5799.0621459750691</v>
      </c>
      <c r="I56" s="307">
        <f t="shared" si="25"/>
        <v>6712.3118637541147</v>
      </c>
      <c r="J56" s="307">
        <f t="shared" si="25"/>
        <v>7678.3473788903011</v>
      </c>
      <c r="K56" s="307">
        <f t="shared" si="25"/>
        <v>8696.6408349335452</v>
      </c>
      <c r="L56" s="307">
        <f t="shared" si="25"/>
        <v>9766.5758399115657</v>
      </c>
      <c r="M56" s="307">
        <f t="shared" si="25"/>
        <v>10887.440361407942</v>
      </c>
      <c r="N56" s="307">
        <f t="shared" si="25"/>
        <v>12060.035287908306</v>
      </c>
      <c r="O56" s="307">
        <f t="shared" si="25"/>
        <v>13290.750717119365</v>
      </c>
      <c r="P56" s="307">
        <f t="shared" si="25"/>
        <v>14532.273864467774</v>
      </c>
      <c r="Q56" s="307">
        <f t="shared" si="25"/>
        <v>15711.807244720749</v>
      </c>
      <c r="R56" s="307">
        <f t="shared" si="25"/>
        <v>16840.957932483285</v>
      </c>
      <c r="S56" s="307">
        <f t="shared" si="25"/>
        <v>17903.103350488382</v>
      </c>
      <c r="T56" s="307">
        <f t="shared" si="25"/>
        <v>18895.322603277345</v>
      </c>
      <c r="U56" s="308">
        <f t="shared" si="25"/>
        <v>19816.249539905759</v>
      </c>
    </row>
    <row r="57" spans="2:21" ht="15.5" x14ac:dyDescent="0.35">
      <c r="B57" s="7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3"/>
    </row>
    <row r="58" spans="2:21" ht="15.5" x14ac:dyDescent="0.35">
      <c r="B58" s="304" t="s">
        <v>3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3"/>
    </row>
    <row r="59" spans="2:21" ht="15.5" x14ac:dyDescent="0.35">
      <c r="B59" s="7" t="s">
        <v>77</v>
      </c>
      <c r="C59" s="202">
        <v>0</v>
      </c>
      <c r="D59" s="202">
        <f t="shared" ref="D59:U59" si="26">C59+D86+D87</f>
        <v>2420.0000000000005</v>
      </c>
      <c r="E59" s="202">
        <f t="shared" si="26"/>
        <v>6290.0000000000018</v>
      </c>
      <c r="F59" s="202">
        <f t="shared" si="26"/>
        <v>9430.5555555555566</v>
      </c>
      <c r="G59" s="202">
        <f t="shared" si="26"/>
        <v>8352.7777777777792</v>
      </c>
      <c r="H59" s="202">
        <f t="shared" si="26"/>
        <v>7275.0000000000009</v>
      </c>
      <c r="I59" s="202">
        <f t="shared" si="26"/>
        <v>6197.2222222222226</v>
      </c>
      <c r="J59" s="202">
        <f t="shared" si="26"/>
        <v>5119.4444444444443</v>
      </c>
      <c r="K59" s="202">
        <f t="shared" si="26"/>
        <v>4041.6666666666661</v>
      </c>
      <c r="L59" s="202">
        <f t="shared" si="26"/>
        <v>2963.8888888888878</v>
      </c>
      <c r="M59" s="202">
        <f t="shared" si="26"/>
        <v>1886.1111111111097</v>
      </c>
      <c r="N59" s="202">
        <f t="shared" si="26"/>
        <v>808.33333333333167</v>
      </c>
      <c r="O59" s="202">
        <f t="shared" si="26"/>
        <v>-1.8189894035458565E-12</v>
      </c>
      <c r="P59" s="202">
        <f t="shared" si="26"/>
        <v>-1.8189894035458565E-12</v>
      </c>
      <c r="Q59" s="202">
        <f t="shared" si="26"/>
        <v>-1.8189894035458565E-12</v>
      </c>
      <c r="R59" s="202">
        <f t="shared" si="26"/>
        <v>-1.8189894035458565E-12</v>
      </c>
      <c r="S59" s="202">
        <f t="shared" si="26"/>
        <v>-1.8189894035458565E-12</v>
      </c>
      <c r="T59" s="202">
        <f t="shared" si="26"/>
        <v>-1.8189894035458565E-12</v>
      </c>
      <c r="U59" s="203">
        <f t="shared" si="26"/>
        <v>-1.8189894035458565E-12</v>
      </c>
    </row>
    <row r="60" spans="2:21" ht="15.5" x14ac:dyDescent="0.35">
      <c r="B60" s="7" t="s">
        <v>78</v>
      </c>
      <c r="C60" s="202">
        <v>0</v>
      </c>
      <c r="D60" s="202">
        <f>C60+D88</f>
        <v>0</v>
      </c>
      <c r="E60" s="202">
        <f>D60+E88</f>
        <v>0</v>
      </c>
      <c r="F60" s="202">
        <f t="shared" ref="F60:U60" si="27">E60+F88+F89</f>
        <v>0</v>
      </c>
      <c r="G60" s="202">
        <f t="shared" si="27"/>
        <v>930</v>
      </c>
      <c r="H60" s="202">
        <f t="shared" si="27"/>
        <v>940</v>
      </c>
      <c r="I60" s="202">
        <f t="shared" si="27"/>
        <v>960</v>
      </c>
      <c r="J60" s="202">
        <f t="shared" si="27"/>
        <v>980</v>
      </c>
      <c r="K60" s="202">
        <f t="shared" si="27"/>
        <v>990</v>
      </c>
      <c r="L60" s="202">
        <f t="shared" si="27"/>
        <v>1010</v>
      </c>
      <c r="M60" s="202">
        <f t="shared" si="27"/>
        <v>1030</v>
      </c>
      <c r="N60" s="202">
        <f t="shared" si="27"/>
        <v>1050</v>
      </c>
      <c r="O60" s="202">
        <f t="shared" si="27"/>
        <v>1070</v>
      </c>
      <c r="P60" s="202">
        <f t="shared" si="27"/>
        <v>1090</v>
      </c>
      <c r="Q60" s="202">
        <f t="shared" si="27"/>
        <v>1110</v>
      </c>
      <c r="R60" s="202">
        <f t="shared" si="27"/>
        <v>1130</v>
      </c>
      <c r="S60" s="202">
        <f t="shared" si="27"/>
        <v>1160</v>
      </c>
      <c r="T60" s="202">
        <f t="shared" si="27"/>
        <v>1180</v>
      </c>
      <c r="U60" s="203">
        <f t="shared" si="27"/>
        <v>1200</v>
      </c>
    </row>
    <row r="61" spans="2:21" ht="15.5" x14ac:dyDescent="0.35">
      <c r="B61" s="7" t="s">
        <v>4</v>
      </c>
      <c r="C61" s="307">
        <v>0</v>
      </c>
      <c r="D61" s="307">
        <f t="shared" ref="D61:U61" si="28">D59+D60</f>
        <v>2420.0000000000005</v>
      </c>
      <c r="E61" s="307">
        <f t="shared" si="28"/>
        <v>6290.0000000000018</v>
      </c>
      <c r="F61" s="307">
        <f t="shared" si="28"/>
        <v>9430.5555555555566</v>
      </c>
      <c r="G61" s="307">
        <f t="shared" si="28"/>
        <v>9282.7777777777792</v>
      </c>
      <c r="H61" s="307">
        <f t="shared" si="28"/>
        <v>8215</v>
      </c>
      <c r="I61" s="307">
        <f t="shared" si="28"/>
        <v>7157.2222222222226</v>
      </c>
      <c r="J61" s="307">
        <f t="shared" si="28"/>
        <v>6099.4444444444443</v>
      </c>
      <c r="K61" s="307">
        <f t="shared" si="28"/>
        <v>5031.6666666666661</v>
      </c>
      <c r="L61" s="307">
        <f t="shared" si="28"/>
        <v>3973.8888888888878</v>
      </c>
      <c r="M61" s="307">
        <f t="shared" si="28"/>
        <v>2916.1111111111095</v>
      </c>
      <c r="N61" s="307">
        <f t="shared" si="28"/>
        <v>1858.3333333333317</v>
      </c>
      <c r="O61" s="307">
        <f t="shared" si="28"/>
        <v>1069.9999999999982</v>
      </c>
      <c r="P61" s="307">
        <f t="shared" si="28"/>
        <v>1089.9999999999982</v>
      </c>
      <c r="Q61" s="307">
        <f t="shared" si="28"/>
        <v>1109.9999999999982</v>
      </c>
      <c r="R61" s="307">
        <f t="shared" si="28"/>
        <v>1129.9999999999982</v>
      </c>
      <c r="S61" s="307">
        <f t="shared" si="28"/>
        <v>1159.9999999999982</v>
      </c>
      <c r="T61" s="307">
        <f t="shared" si="28"/>
        <v>1179.9999999999982</v>
      </c>
      <c r="U61" s="308">
        <f t="shared" si="28"/>
        <v>1199.9999999999982</v>
      </c>
    </row>
    <row r="62" spans="2:21" ht="15.5" x14ac:dyDescent="0.35">
      <c r="B62" s="7" t="s">
        <v>5</v>
      </c>
      <c r="C62" s="307">
        <v>0</v>
      </c>
      <c r="D62" s="307">
        <f t="shared" ref="D62:U62" si="29">D56+D61</f>
        <v>3460</v>
      </c>
      <c r="E62" s="307">
        <f t="shared" si="29"/>
        <v>8980.0000000000018</v>
      </c>
      <c r="F62" s="307">
        <f t="shared" si="29"/>
        <v>13590.555555555555</v>
      </c>
      <c r="G62" s="307">
        <f t="shared" si="29"/>
        <v>14229.624321998668</v>
      </c>
      <c r="H62" s="307">
        <f t="shared" si="29"/>
        <v>14014.062145975069</v>
      </c>
      <c r="I62" s="307">
        <f t="shared" si="29"/>
        <v>13869.534085976338</v>
      </c>
      <c r="J62" s="307">
        <f t="shared" si="29"/>
        <v>13777.791823334745</v>
      </c>
      <c r="K62" s="307">
        <f t="shared" si="29"/>
        <v>13728.307501600211</v>
      </c>
      <c r="L62" s="307">
        <f t="shared" si="29"/>
        <v>13740.464728800453</v>
      </c>
      <c r="M62" s="307">
        <f t="shared" si="29"/>
        <v>13803.551472519051</v>
      </c>
      <c r="N62" s="307">
        <f t="shared" si="29"/>
        <v>13918.368621241638</v>
      </c>
      <c r="O62" s="307">
        <f t="shared" si="29"/>
        <v>14360.750717119363</v>
      </c>
      <c r="P62" s="307">
        <f t="shared" si="29"/>
        <v>15622.273864467772</v>
      </c>
      <c r="Q62" s="307">
        <f t="shared" si="29"/>
        <v>16821.807244720745</v>
      </c>
      <c r="R62" s="307">
        <f t="shared" si="29"/>
        <v>17970.957932483281</v>
      </c>
      <c r="S62" s="307">
        <f t="shared" si="29"/>
        <v>19063.103350488382</v>
      </c>
      <c r="T62" s="307">
        <f t="shared" si="29"/>
        <v>20075.322603277345</v>
      </c>
      <c r="U62" s="308">
        <f t="shared" si="29"/>
        <v>21016.249539905759</v>
      </c>
    </row>
    <row r="63" spans="2:21" ht="15.5" x14ac:dyDescent="0.35">
      <c r="B63" s="7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3"/>
    </row>
    <row r="64" spans="2:21" ht="15.5" x14ac:dyDescent="0.35">
      <c r="B64" s="304" t="s">
        <v>6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3"/>
    </row>
    <row r="65" spans="2:26" ht="15.5" x14ac:dyDescent="0.35">
      <c r="B65" s="7" t="s">
        <v>197</v>
      </c>
      <c r="C65" s="202">
        <v>0</v>
      </c>
      <c r="D65" s="202">
        <v>3460</v>
      </c>
      <c r="E65" s="202">
        <v>8980</v>
      </c>
      <c r="F65" s="202">
        <v>13550</v>
      </c>
      <c r="G65" s="202">
        <v>13550</v>
      </c>
      <c r="H65" s="202">
        <v>13550</v>
      </c>
      <c r="I65" s="202">
        <v>13550</v>
      </c>
      <c r="J65" s="202">
        <v>13550</v>
      </c>
      <c r="K65" s="202">
        <v>13550</v>
      </c>
      <c r="L65" s="202">
        <v>13550</v>
      </c>
      <c r="M65" s="202">
        <v>13550</v>
      </c>
      <c r="N65" s="202">
        <v>13550</v>
      </c>
      <c r="O65" s="202">
        <v>13550</v>
      </c>
      <c r="P65" s="202">
        <v>13550</v>
      </c>
      <c r="Q65" s="202">
        <v>13550</v>
      </c>
      <c r="R65" s="202">
        <v>13550</v>
      </c>
      <c r="S65" s="202">
        <v>13550</v>
      </c>
      <c r="T65" s="202">
        <v>13550</v>
      </c>
      <c r="U65" s="203">
        <v>13550</v>
      </c>
    </row>
    <row r="66" spans="2:26" ht="15.5" x14ac:dyDescent="0.35">
      <c r="B66" s="7" t="s">
        <v>7</v>
      </c>
      <c r="C66" s="202">
        <v>0</v>
      </c>
      <c r="D66" s="202">
        <f>D30</f>
        <v>0</v>
      </c>
      <c r="E66" s="202">
        <f t="shared" ref="E66:U66" si="30">D66+E30</f>
        <v>0</v>
      </c>
      <c r="F66" s="202">
        <f t="shared" si="30"/>
        <v>0</v>
      </c>
      <c r="G66" s="202">
        <f t="shared" si="30"/>
        <v>680</v>
      </c>
      <c r="H66" s="202">
        <f t="shared" si="30"/>
        <v>1360</v>
      </c>
      <c r="I66" s="202">
        <f t="shared" si="30"/>
        <v>2040</v>
      </c>
      <c r="J66" s="202">
        <f t="shared" si="30"/>
        <v>2720</v>
      </c>
      <c r="K66" s="202">
        <f t="shared" si="30"/>
        <v>3400</v>
      </c>
      <c r="L66" s="202">
        <f t="shared" si="30"/>
        <v>4080</v>
      </c>
      <c r="M66" s="202">
        <f t="shared" si="30"/>
        <v>4760</v>
      </c>
      <c r="N66" s="202">
        <f t="shared" si="30"/>
        <v>5440</v>
      </c>
      <c r="O66" s="202">
        <f t="shared" si="30"/>
        <v>6120</v>
      </c>
      <c r="P66" s="202">
        <f t="shared" si="30"/>
        <v>6800</v>
      </c>
      <c r="Q66" s="202">
        <f t="shared" si="30"/>
        <v>7480</v>
      </c>
      <c r="R66" s="202">
        <f t="shared" si="30"/>
        <v>8160</v>
      </c>
      <c r="S66" s="202">
        <f t="shared" si="30"/>
        <v>8840</v>
      </c>
      <c r="T66" s="202">
        <f t="shared" si="30"/>
        <v>9520</v>
      </c>
      <c r="U66" s="203">
        <f t="shared" si="30"/>
        <v>10200</v>
      </c>
    </row>
    <row r="67" spans="2:26" ht="15.5" x14ac:dyDescent="0.35">
      <c r="B67" s="7" t="s">
        <v>8</v>
      </c>
      <c r="C67" s="202">
        <v>0</v>
      </c>
      <c r="D67" s="187">
        <f>D65-D66</f>
        <v>3460</v>
      </c>
      <c r="E67" s="187">
        <f>E65-E66</f>
        <v>8980</v>
      </c>
      <c r="F67" s="187">
        <f>F65-F66</f>
        <v>13550</v>
      </c>
      <c r="G67" s="187">
        <f>G65-G66</f>
        <v>12870</v>
      </c>
      <c r="H67" s="187">
        <f t="shared" ref="H67:U67" si="31">H65-H66</f>
        <v>12190</v>
      </c>
      <c r="I67" s="202">
        <f t="shared" si="31"/>
        <v>11510</v>
      </c>
      <c r="J67" s="202">
        <f t="shared" si="31"/>
        <v>10830</v>
      </c>
      <c r="K67" s="202">
        <f t="shared" si="31"/>
        <v>10150</v>
      </c>
      <c r="L67" s="202">
        <f t="shared" si="31"/>
        <v>9470</v>
      </c>
      <c r="M67" s="202">
        <f t="shared" si="31"/>
        <v>8790</v>
      </c>
      <c r="N67" s="202">
        <f t="shared" si="31"/>
        <v>8110</v>
      </c>
      <c r="O67" s="202">
        <f t="shared" si="31"/>
        <v>7430</v>
      </c>
      <c r="P67" s="202">
        <f t="shared" si="31"/>
        <v>6750</v>
      </c>
      <c r="Q67" s="202">
        <f t="shared" si="31"/>
        <v>6070</v>
      </c>
      <c r="R67" s="202">
        <f t="shared" si="31"/>
        <v>5390</v>
      </c>
      <c r="S67" s="202">
        <f t="shared" si="31"/>
        <v>4710</v>
      </c>
      <c r="T67" s="202">
        <f t="shared" si="31"/>
        <v>4030</v>
      </c>
      <c r="U67" s="203">
        <f t="shared" si="31"/>
        <v>3350</v>
      </c>
    </row>
    <row r="68" spans="2:26" ht="15.5" x14ac:dyDescent="0.35">
      <c r="B68" s="7" t="s">
        <v>57</v>
      </c>
      <c r="C68" s="202">
        <v>0</v>
      </c>
      <c r="D68" s="202">
        <v>0</v>
      </c>
      <c r="E68" s="202">
        <v>0</v>
      </c>
      <c r="F68" s="202">
        <v>0</v>
      </c>
      <c r="G68" s="202">
        <f>G105</f>
        <v>1240</v>
      </c>
      <c r="H68" s="202">
        <f t="shared" ref="H68:U68" si="32">H105</f>
        <v>1250</v>
      </c>
      <c r="I68" s="202">
        <f t="shared" si="32"/>
        <v>1280</v>
      </c>
      <c r="J68" s="202">
        <f t="shared" si="32"/>
        <v>1300</v>
      </c>
      <c r="K68" s="202">
        <f t="shared" si="32"/>
        <v>1320</v>
      </c>
      <c r="L68" s="202">
        <f t="shared" si="32"/>
        <v>1350</v>
      </c>
      <c r="M68" s="202">
        <f t="shared" si="32"/>
        <v>1370</v>
      </c>
      <c r="N68" s="202">
        <f t="shared" si="32"/>
        <v>1400</v>
      </c>
      <c r="O68" s="202">
        <f t="shared" si="32"/>
        <v>1430</v>
      </c>
      <c r="P68" s="202">
        <f t="shared" si="32"/>
        <v>1450</v>
      </c>
      <c r="Q68" s="202">
        <f t="shared" si="32"/>
        <v>1480</v>
      </c>
      <c r="R68" s="202">
        <f t="shared" si="32"/>
        <v>1510</v>
      </c>
      <c r="S68" s="202">
        <f t="shared" si="32"/>
        <v>1540</v>
      </c>
      <c r="T68" s="202">
        <f t="shared" si="32"/>
        <v>1570</v>
      </c>
      <c r="U68" s="203">
        <f t="shared" si="32"/>
        <v>1600</v>
      </c>
    </row>
    <row r="69" spans="2:26" ht="15.5" x14ac:dyDescent="0.35">
      <c r="B69" s="7" t="s">
        <v>112</v>
      </c>
      <c r="C69" s="202">
        <v>0</v>
      </c>
      <c r="D69" s="202">
        <v>0</v>
      </c>
      <c r="E69" s="202">
        <v>0</v>
      </c>
      <c r="F69" s="202">
        <v>0</v>
      </c>
      <c r="G69" s="202">
        <v>0</v>
      </c>
      <c r="H69" s="202">
        <v>0</v>
      </c>
      <c r="I69" s="202">
        <v>0</v>
      </c>
      <c r="J69" s="202">
        <v>0</v>
      </c>
      <c r="K69" s="202">
        <v>0</v>
      </c>
      <c r="L69" s="202">
        <v>0</v>
      </c>
      <c r="M69" s="202">
        <v>0</v>
      </c>
      <c r="N69" s="202">
        <v>10</v>
      </c>
      <c r="O69" s="202">
        <v>50</v>
      </c>
      <c r="P69" s="202">
        <v>120</v>
      </c>
      <c r="Q69" s="202">
        <v>210</v>
      </c>
      <c r="R69" s="202">
        <v>320</v>
      </c>
      <c r="S69" s="187">
        <v>450</v>
      </c>
      <c r="T69" s="202">
        <v>590</v>
      </c>
      <c r="U69" s="203">
        <v>740</v>
      </c>
    </row>
    <row r="70" spans="2:26" ht="15.5" x14ac:dyDescent="0.35">
      <c r="B70" s="7" t="s">
        <v>9</v>
      </c>
      <c r="C70" s="202">
        <v>0</v>
      </c>
      <c r="D70" s="202">
        <f t="shared" ref="D70:U70" si="33">D99</f>
        <v>0</v>
      </c>
      <c r="E70" s="202">
        <f t="shared" si="33"/>
        <v>0</v>
      </c>
      <c r="F70" s="202">
        <f t="shared" si="33"/>
        <v>40.555555555555657</v>
      </c>
      <c r="G70" s="202">
        <f t="shared" si="33"/>
        <v>119.62432199866635</v>
      </c>
      <c r="H70" s="202">
        <f t="shared" si="33"/>
        <v>574.0621459750696</v>
      </c>
      <c r="I70" s="202">
        <f t="shared" si="33"/>
        <v>1079.5340859763369</v>
      </c>
      <c r="J70" s="202">
        <f t="shared" si="33"/>
        <v>1647.7918233347457</v>
      </c>
      <c r="K70" s="202">
        <f t="shared" si="33"/>
        <v>2258.3075016002122</v>
      </c>
      <c r="L70" s="202">
        <f t="shared" si="33"/>
        <v>2920.4647288004535</v>
      </c>
      <c r="M70" s="202">
        <f t="shared" si="33"/>
        <v>3643.5514725190519</v>
      </c>
      <c r="N70" s="202">
        <f t="shared" si="33"/>
        <v>4398.3686212416378</v>
      </c>
      <c r="O70" s="202">
        <f t="shared" si="33"/>
        <v>5450.7507171193638</v>
      </c>
      <c r="P70" s="202">
        <f t="shared" si="33"/>
        <v>7302.2738644677702</v>
      </c>
      <c r="Q70" s="202">
        <f t="shared" si="33"/>
        <v>9061.8072447207451</v>
      </c>
      <c r="R70" s="202">
        <f t="shared" si="33"/>
        <v>10750.957932483283</v>
      </c>
      <c r="S70" s="202">
        <f t="shared" si="33"/>
        <v>12363.103350488378</v>
      </c>
      <c r="T70" s="202">
        <f t="shared" si="33"/>
        <v>13885.322603277342</v>
      </c>
      <c r="U70" s="203">
        <f t="shared" si="33"/>
        <v>15326.249539905753</v>
      </c>
    </row>
    <row r="71" spans="2:26" ht="15.5" x14ac:dyDescent="0.35">
      <c r="B71" s="7" t="s">
        <v>10</v>
      </c>
      <c r="C71" s="202">
        <v>0</v>
      </c>
      <c r="D71" s="186">
        <f t="shared" ref="D71:U71" si="34">SUM(D67:D70)</f>
        <v>3460</v>
      </c>
      <c r="E71" s="186">
        <f t="shared" si="34"/>
        <v>8980</v>
      </c>
      <c r="F71" s="186">
        <f t="shared" si="34"/>
        <v>13590.555555555555</v>
      </c>
      <c r="G71" s="186">
        <f t="shared" si="34"/>
        <v>14229.624321998666</v>
      </c>
      <c r="H71" s="307">
        <f t="shared" si="34"/>
        <v>14014.062145975069</v>
      </c>
      <c r="I71" s="307">
        <f t="shared" si="34"/>
        <v>13869.534085976336</v>
      </c>
      <c r="J71" s="307">
        <f t="shared" si="34"/>
        <v>13777.791823334746</v>
      </c>
      <c r="K71" s="307">
        <f t="shared" si="34"/>
        <v>13728.307501600211</v>
      </c>
      <c r="L71" s="307">
        <f t="shared" si="34"/>
        <v>13740.464728800453</v>
      </c>
      <c r="M71" s="307">
        <f t="shared" si="34"/>
        <v>13803.551472519051</v>
      </c>
      <c r="N71" s="307">
        <f t="shared" si="34"/>
        <v>13918.368621241638</v>
      </c>
      <c r="O71" s="307">
        <f t="shared" si="34"/>
        <v>14360.750717119365</v>
      </c>
      <c r="P71" s="307">
        <f t="shared" si="34"/>
        <v>15622.27386446777</v>
      </c>
      <c r="Q71" s="307">
        <f t="shared" si="34"/>
        <v>16821.807244720745</v>
      </c>
      <c r="R71" s="307">
        <f t="shared" si="34"/>
        <v>17970.957932483281</v>
      </c>
      <c r="S71" s="307">
        <f t="shared" si="34"/>
        <v>19063.103350488378</v>
      </c>
      <c r="T71" s="307">
        <f t="shared" si="34"/>
        <v>20075.322603277342</v>
      </c>
      <c r="U71" s="308">
        <f t="shared" si="34"/>
        <v>21016.249539905752</v>
      </c>
      <c r="W71" s="34"/>
      <c r="X71" s="34"/>
      <c r="Y71" s="34"/>
      <c r="Z71" s="34"/>
    </row>
    <row r="72" spans="2:26" x14ac:dyDescent="0.35">
      <c r="B72" s="329" t="s">
        <v>185</v>
      </c>
      <c r="C72" s="16"/>
      <c r="D72" s="269">
        <f t="shared" ref="D72:U72" si="35">D62-D71</f>
        <v>0</v>
      </c>
      <c r="E72" s="269">
        <f t="shared" si="35"/>
        <v>0</v>
      </c>
      <c r="F72" s="269">
        <f t="shared" si="35"/>
        <v>0</v>
      </c>
      <c r="G72" s="269">
        <f t="shared" si="35"/>
        <v>0</v>
      </c>
      <c r="H72" s="269">
        <f t="shared" si="35"/>
        <v>0</v>
      </c>
      <c r="I72" s="269">
        <f t="shared" si="35"/>
        <v>0</v>
      </c>
      <c r="J72" s="269">
        <f t="shared" si="35"/>
        <v>0</v>
      </c>
      <c r="K72" s="269">
        <f t="shared" si="35"/>
        <v>0</v>
      </c>
      <c r="L72" s="269">
        <f t="shared" si="35"/>
        <v>0</v>
      </c>
      <c r="M72" s="269">
        <f t="shared" si="35"/>
        <v>0</v>
      </c>
      <c r="N72" s="269">
        <f t="shared" si="35"/>
        <v>0</v>
      </c>
      <c r="O72" s="269">
        <f t="shared" si="35"/>
        <v>0</v>
      </c>
      <c r="P72" s="269">
        <f t="shared" si="35"/>
        <v>0</v>
      </c>
      <c r="Q72" s="269">
        <f t="shared" si="35"/>
        <v>0</v>
      </c>
      <c r="R72" s="269">
        <f t="shared" si="35"/>
        <v>0</v>
      </c>
      <c r="S72" s="269">
        <f t="shared" si="35"/>
        <v>0</v>
      </c>
      <c r="T72" s="269">
        <f t="shared" si="35"/>
        <v>0</v>
      </c>
      <c r="U72" s="269">
        <f t="shared" si="35"/>
        <v>0</v>
      </c>
    </row>
    <row r="73" spans="2:26" ht="15" thickBot="1" x14ac:dyDescent="0.4">
      <c r="B73" s="15"/>
      <c r="C73" s="16"/>
      <c r="D73" s="17"/>
      <c r="E73" s="17"/>
      <c r="F73" s="17"/>
      <c r="G73" s="13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2:26" ht="16" thickBot="1" x14ac:dyDescent="0.4">
      <c r="B74" s="299" t="s">
        <v>176</v>
      </c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1"/>
    </row>
    <row r="75" spans="2:26" ht="16" thickBot="1" x14ac:dyDescent="0.4">
      <c r="B75" s="306" t="s">
        <v>110</v>
      </c>
      <c r="C75" s="2">
        <v>2009</v>
      </c>
      <c r="D75" s="2">
        <v>2010</v>
      </c>
      <c r="E75" s="2">
        <v>2011</v>
      </c>
      <c r="F75" s="2">
        <v>2012</v>
      </c>
      <c r="G75" s="2">
        <v>2013</v>
      </c>
      <c r="H75" s="2">
        <v>2014</v>
      </c>
      <c r="I75" s="2">
        <v>2015</v>
      </c>
      <c r="J75" s="2">
        <v>2016</v>
      </c>
      <c r="K75" s="2">
        <v>2017</v>
      </c>
      <c r="L75" s="2">
        <v>2018</v>
      </c>
      <c r="M75" s="2">
        <v>2019</v>
      </c>
      <c r="N75" s="2">
        <v>2020</v>
      </c>
      <c r="O75" s="2">
        <v>2021</v>
      </c>
      <c r="P75" s="2">
        <v>2022</v>
      </c>
      <c r="Q75" s="2">
        <v>2023</v>
      </c>
      <c r="R75" s="2">
        <v>2024</v>
      </c>
      <c r="S75" s="2">
        <v>2025</v>
      </c>
      <c r="T75" s="2">
        <v>2026</v>
      </c>
      <c r="U75" s="3">
        <v>2027</v>
      </c>
    </row>
    <row r="76" spans="2:26" ht="15.5" x14ac:dyDescent="0.35">
      <c r="B76" s="305" t="s">
        <v>180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2:26" ht="15.5" x14ac:dyDescent="0.35">
      <c r="B77" s="336" t="s">
        <v>87</v>
      </c>
      <c r="C77" s="202"/>
      <c r="D77" s="202">
        <f t="shared" ref="D77:U77" si="36">D35</f>
        <v>0</v>
      </c>
      <c r="E77" s="202">
        <f t="shared" si="36"/>
        <v>0</v>
      </c>
      <c r="F77" s="202">
        <f t="shared" si="36"/>
        <v>0</v>
      </c>
      <c r="G77" s="202">
        <f t="shared" si="36"/>
        <v>864.44032657105595</v>
      </c>
      <c r="H77" s="202">
        <f t="shared" si="36"/>
        <v>927.51140929558358</v>
      </c>
      <c r="I77" s="202">
        <f t="shared" si="36"/>
        <v>990.62440369781871</v>
      </c>
      <c r="J77" s="202">
        <f t="shared" si="36"/>
        <v>1041.502327252286</v>
      </c>
      <c r="K77" s="202">
        <f t="shared" si="36"/>
        <v>1098.137184778242</v>
      </c>
      <c r="L77" s="202">
        <f t="shared" si="36"/>
        <v>1151.4419029592489</v>
      </c>
      <c r="M77" s="202">
        <f t="shared" si="36"/>
        <v>1200.7053477631648</v>
      </c>
      <c r="N77" s="202">
        <f t="shared" si="36"/>
        <v>1256.3842303950087</v>
      </c>
      <c r="O77" s="202">
        <f t="shared" si="36"/>
        <v>1314.7568203478609</v>
      </c>
      <c r="P77" s="202">
        <f t="shared" si="36"/>
        <v>1310.804286351783</v>
      </c>
      <c r="Q77" s="202">
        <f t="shared" si="36"/>
        <v>1260.0430465157117</v>
      </c>
      <c r="R77" s="202">
        <f t="shared" si="36"/>
        <v>1201.1185091392285</v>
      </c>
      <c r="S77" s="202">
        <f t="shared" si="36"/>
        <v>1144.8792173827164</v>
      </c>
      <c r="T77" s="202">
        <f t="shared" si="36"/>
        <v>1066.8733878676035</v>
      </c>
      <c r="U77" s="203">
        <f t="shared" si="36"/>
        <v>992.02053990712363</v>
      </c>
    </row>
    <row r="78" spans="2:26" ht="15.5" x14ac:dyDescent="0.35">
      <c r="B78" s="313" t="s">
        <v>30</v>
      </c>
      <c r="C78" s="202"/>
      <c r="D78" s="202">
        <f t="shared" ref="D78:U78" si="37">D30</f>
        <v>0</v>
      </c>
      <c r="E78" s="202">
        <f t="shared" si="37"/>
        <v>0</v>
      </c>
      <c r="F78" s="202">
        <f t="shared" si="37"/>
        <v>0</v>
      </c>
      <c r="G78" s="202">
        <f t="shared" si="37"/>
        <v>680</v>
      </c>
      <c r="H78" s="202">
        <f t="shared" si="37"/>
        <v>680</v>
      </c>
      <c r="I78" s="202">
        <f t="shared" si="37"/>
        <v>680</v>
      </c>
      <c r="J78" s="202">
        <f t="shared" si="37"/>
        <v>680</v>
      </c>
      <c r="K78" s="202">
        <f t="shared" si="37"/>
        <v>680</v>
      </c>
      <c r="L78" s="202">
        <f t="shared" si="37"/>
        <v>680</v>
      </c>
      <c r="M78" s="202">
        <f t="shared" si="37"/>
        <v>680</v>
      </c>
      <c r="N78" s="202">
        <f t="shared" si="37"/>
        <v>680</v>
      </c>
      <c r="O78" s="202">
        <f t="shared" si="37"/>
        <v>680</v>
      </c>
      <c r="P78" s="202">
        <f t="shared" si="37"/>
        <v>680</v>
      </c>
      <c r="Q78" s="202">
        <f t="shared" si="37"/>
        <v>680</v>
      </c>
      <c r="R78" s="202">
        <f t="shared" si="37"/>
        <v>680</v>
      </c>
      <c r="S78" s="202">
        <f t="shared" si="37"/>
        <v>680</v>
      </c>
      <c r="T78" s="202">
        <f t="shared" si="37"/>
        <v>680</v>
      </c>
      <c r="U78" s="203">
        <f t="shared" si="37"/>
        <v>680</v>
      </c>
    </row>
    <row r="79" spans="2:26" ht="15.5" x14ac:dyDescent="0.35">
      <c r="B79" s="313" t="s">
        <v>184</v>
      </c>
      <c r="C79" s="202"/>
      <c r="D79" s="202">
        <f t="shared" ref="D79:U79" si="38">C65-D65</f>
        <v>-3460</v>
      </c>
      <c r="E79" s="202">
        <f t="shared" si="38"/>
        <v>-5520</v>
      </c>
      <c r="F79" s="202">
        <f t="shared" si="38"/>
        <v>-4570</v>
      </c>
      <c r="G79" s="202">
        <f t="shared" si="38"/>
        <v>0</v>
      </c>
      <c r="H79" s="202">
        <f t="shared" si="38"/>
        <v>0</v>
      </c>
      <c r="I79" s="202">
        <f t="shared" si="38"/>
        <v>0</v>
      </c>
      <c r="J79" s="202">
        <f t="shared" si="38"/>
        <v>0</v>
      </c>
      <c r="K79" s="202">
        <f t="shared" si="38"/>
        <v>0</v>
      </c>
      <c r="L79" s="202">
        <f t="shared" si="38"/>
        <v>0</v>
      </c>
      <c r="M79" s="202">
        <f t="shared" si="38"/>
        <v>0</v>
      </c>
      <c r="N79" s="202">
        <f t="shared" si="38"/>
        <v>0</v>
      </c>
      <c r="O79" s="202">
        <f t="shared" si="38"/>
        <v>0</v>
      </c>
      <c r="P79" s="202">
        <f t="shared" si="38"/>
        <v>0</v>
      </c>
      <c r="Q79" s="202">
        <f t="shared" si="38"/>
        <v>0</v>
      </c>
      <c r="R79" s="202">
        <f t="shared" si="38"/>
        <v>0</v>
      </c>
      <c r="S79" s="202">
        <f t="shared" si="38"/>
        <v>0</v>
      </c>
      <c r="T79" s="202">
        <f t="shared" si="38"/>
        <v>0</v>
      </c>
      <c r="U79" s="203">
        <f t="shared" si="38"/>
        <v>0</v>
      </c>
    </row>
    <row r="80" spans="2:26" ht="15.5" x14ac:dyDescent="0.35">
      <c r="B80" s="313" t="s">
        <v>230</v>
      </c>
      <c r="C80" s="202"/>
      <c r="D80" s="202">
        <f t="shared" ref="D80:U80" si="39">C68-D68</f>
        <v>0</v>
      </c>
      <c r="E80" s="202">
        <f t="shared" si="39"/>
        <v>0</v>
      </c>
      <c r="F80" s="202">
        <f t="shared" si="39"/>
        <v>0</v>
      </c>
      <c r="G80" s="202">
        <f t="shared" si="39"/>
        <v>-1240</v>
      </c>
      <c r="H80" s="202">
        <f t="shared" si="39"/>
        <v>-10</v>
      </c>
      <c r="I80" s="202">
        <f t="shared" si="39"/>
        <v>-30</v>
      </c>
      <c r="J80" s="202">
        <f t="shared" si="39"/>
        <v>-20</v>
      </c>
      <c r="K80" s="202">
        <f t="shared" si="39"/>
        <v>-20</v>
      </c>
      <c r="L80" s="202">
        <f t="shared" si="39"/>
        <v>-30</v>
      </c>
      <c r="M80" s="202">
        <f t="shared" si="39"/>
        <v>-20</v>
      </c>
      <c r="N80" s="202">
        <f t="shared" si="39"/>
        <v>-30</v>
      </c>
      <c r="O80" s="202">
        <f t="shared" si="39"/>
        <v>-30</v>
      </c>
      <c r="P80" s="202">
        <f t="shared" si="39"/>
        <v>-20</v>
      </c>
      <c r="Q80" s="202">
        <f t="shared" si="39"/>
        <v>-30</v>
      </c>
      <c r="R80" s="202">
        <f t="shared" si="39"/>
        <v>-30</v>
      </c>
      <c r="S80" s="202">
        <f t="shared" si="39"/>
        <v>-30</v>
      </c>
      <c r="T80" s="202">
        <f t="shared" si="39"/>
        <v>-30</v>
      </c>
      <c r="U80" s="203">
        <f t="shared" si="39"/>
        <v>-30</v>
      </c>
    </row>
    <row r="81" spans="2:24" ht="15.5" x14ac:dyDescent="0.35">
      <c r="B81" s="313" t="s">
        <v>231</v>
      </c>
      <c r="C81" s="202"/>
      <c r="D81" s="202">
        <f t="shared" ref="D81:U81" si="40">C69-D69</f>
        <v>0</v>
      </c>
      <c r="E81" s="202">
        <f t="shared" si="40"/>
        <v>0</v>
      </c>
      <c r="F81" s="202">
        <f t="shared" si="40"/>
        <v>0</v>
      </c>
      <c r="G81" s="202">
        <f t="shared" si="40"/>
        <v>0</v>
      </c>
      <c r="H81" s="202">
        <f t="shared" si="40"/>
        <v>0</v>
      </c>
      <c r="I81" s="202">
        <f t="shared" si="40"/>
        <v>0</v>
      </c>
      <c r="J81" s="202">
        <f t="shared" si="40"/>
        <v>0</v>
      </c>
      <c r="K81" s="202">
        <f t="shared" si="40"/>
        <v>0</v>
      </c>
      <c r="L81" s="202">
        <f t="shared" si="40"/>
        <v>0</v>
      </c>
      <c r="M81" s="202">
        <f t="shared" si="40"/>
        <v>0</v>
      </c>
      <c r="N81" s="202">
        <f t="shared" si="40"/>
        <v>-10</v>
      </c>
      <c r="O81" s="202">
        <f t="shared" si="40"/>
        <v>-40</v>
      </c>
      <c r="P81" s="202">
        <f t="shared" si="40"/>
        <v>-70</v>
      </c>
      <c r="Q81" s="202">
        <f t="shared" si="40"/>
        <v>-90</v>
      </c>
      <c r="R81" s="202">
        <f t="shared" si="40"/>
        <v>-110</v>
      </c>
      <c r="S81" s="202">
        <f t="shared" si="40"/>
        <v>-130</v>
      </c>
      <c r="T81" s="202">
        <f t="shared" si="40"/>
        <v>-140</v>
      </c>
      <c r="U81" s="203">
        <f t="shared" si="40"/>
        <v>-150</v>
      </c>
    </row>
    <row r="82" spans="2:24" ht="15.5" x14ac:dyDescent="0.35">
      <c r="B82" s="313" t="s">
        <v>145</v>
      </c>
      <c r="C82" s="202"/>
      <c r="D82" s="202">
        <f t="shared" ref="D82:U82" si="41">D28+D29</f>
        <v>0</v>
      </c>
      <c r="E82" s="202">
        <f t="shared" si="41"/>
        <v>0</v>
      </c>
      <c r="F82" s="202">
        <f t="shared" si="41"/>
        <v>0</v>
      </c>
      <c r="G82" s="202">
        <f t="shared" si="41"/>
        <v>1178.5999999999999</v>
      </c>
      <c r="H82" s="202">
        <f t="shared" si="41"/>
        <v>1049.8666666666668</v>
      </c>
      <c r="I82" s="202">
        <f t="shared" si="41"/>
        <v>922.33333333333337</v>
      </c>
      <c r="J82" s="202">
        <f t="shared" si="41"/>
        <v>795.4</v>
      </c>
      <c r="K82" s="202">
        <f t="shared" si="41"/>
        <v>667.86666666666656</v>
      </c>
      <c r="L82" s="202">
        <f t="shared" si="41"/>
        <v>540.33333333333326</v>
      </c>
      <c r="M82" s="202">
        <f t="shared" si="41"/>
        <v>413.39999999999981</v>
      </c>
      <c r="N82" s="202">
        <f t="shared" si="41"/>
        <v>286.46666666666647</v>
      </c>
      <c r="O82" s="202">
        <f t="shared" si="41"/>
        <v>175.69999999999976</v>
      </c>
      <c r="P82" s="202">
        <f t="shared" si="41"/>
        <v>129.59999999999977</v>
      </c>
      <c r="Q82" s="202">
        <f t="shared" si="41"/>
        <v>131.99999999999977</v>
      </c>
      <c r="R82" s="202">
        <f t="shared" si="41"/>
        <v>134.39999999999978</v>
      </c>
      <c r="S82" s="202">
        <f t="shared" si="41"/>
        <v>137.39999999999978</v>
      </c>
      <c r="T82" s="202">
        <f t="shared" si="41"/>
        <v>140.39999999999978</v>
      </c>
      <c r="U82" s="203">
        <f t="shared" si="41"/>
        <v>142.79999999999976</v>
      </c>
    </row>
    <row r="83" spans="2:24" ht="15.5" x14ac:dyDescent="0.35">
      <c r="B83" s="7" t="s">
        <v>183</v>
      </c>
      <c r="C83" s="307"/>
      <c r="D83" s="307">
        <f>SUM(D77:D82)</f>
        <v>-3460</v>
      </c>
      <c r="E83" s="307">
        <f t="shared" ref="E83:U83" si="42">SUM(E77:E82)</f>
        <v>-5520</v>
      </c>
      <c r="F83" s="307">
        <f t="shared" si="42"/>
        <v>-4570</v>
      </c>
      <c r="G83" s="307">
        <f t="shared" si="42"/>
        <v>1483.0403265710559</v>
      </c>
      <c r="H83" s="307">
        <f t="shared" si="42"/>
        <v>2647.3780759622505</v>
      </c>
      <c r="I83" s="307">
        <f t="shared" si="42"/>
        <v>2562.9577370311522</v>
      </c>
      <c r="J83" s="307">
        <f t="shared" si="42"/>
        <v>2496.9023272522859</v>
      </c>
      <c r="K83" s="307">
        <f t="shared" si="42"/>
        <v>2426.0038514449088</v>
      </c>
      <c r="L83" s="307">
        <f t="shared" si="42"/>
        <v>2341.7752362925821</v>
      </c>
      <c r="M83" s="307">
        <f t="shared" si="42"/>
        <v>2274.1053477631644</v>
      </c>
      <c r="N83" s="307">
        <f t="shared" si="42"/>
        <v>2182.8508970616749</v>
      </c>
      <c r="O83" s="307">
        <f t="shared" si="42"/>
        <v>2100.4568203478607</v>
      </c>
      <c r="P83" s="307">
        <f t="shared" si="42"/>
        <v>2030.4042863517827</v>
      </c>
      <c r="Q83" s="307">
        <f t="shared" si="42"/>
        <v>1952.0430465157115</v>
      </c>
      <c r="R83" s="307">
        <f t="shared" si="42"/>
        <v>1875.5185091392284</v>
      </c>
      <c r="S83" s="307">
        <f t="shared" si="42"/>
        <v>1802.2792173827163</v>
      </c>
      <c r="T83" s="307">
        <f t="shared" si="42"/>
        <v>1717.2733878676033</v>
      </c>
      <c r="U83" s="308">
        <f t="shared" si="42"/>
        <v>1634.8205399071235</v>
      </c>
    </row>
    <row r="84" spans="2:24" ht="15.5" x14ac:dyDescent="0.35">
      <c r="B84" s="7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3"/>
    </row>
    <row r="85" spans="2:24" ht="15.5" x14ac:dyDescent="0.35">
      <c r="B85" s="304" t="s">
        <v>181</v>
      </c>
      <c r="C85" s="202"/>
      <c r="D85" s="202"/>
      <c r="E85" s="202"/>
      <c r="F85" s="202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203"/>
    </row>
    <row r="86" spans="2:24" ht="15.5" x14ac:dyDescent="0.35">
      <c r="B86" s="313" t="s">
        <v>190</v>
      </c>
      <c r="C86" s="202"/>
      <c r="D86" s="202">
        <f>N4</f>
        <v>2420.0000000000005</v>
      </c>
      <c r="E86" s="202">
        <f>O4</f>
        <v>3870.0000000000009</v>
      </c>
      <c r="F86" s="202">
        <f>P4</f>
        <v>3410.0000000000005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>
        <v>0</v>
      </c>
      <c r="T86" s="202">
        <v>0</v>
      </c>
      <c r="U86" s="203">
        <v>0</v>
      </c>
      <c r="W86" s="409">
        <f>SUM(D86:U86)</f>
        <v>9700.0000000000018</v>
      </c>
      <c r="X86" s="332" t="s">
        <v>273</v>
      </c>
    </row>
    <row r="87" spans="2:24" ht="15.5" x14ac:dyDescent="0.35">
      <c r="B87" s="313" t="s">
        <v>241</v>
      </c>
      <c r="C87" s="202"/>
      <c r="D87" s="202">
        <v>0</v>
      </c>
      <c r="E87" s="202">
        <v>0</v>
      </c>
      <c r="F87" s="407">
        <f>-(($D$86+$E$86+$F$86)/36)*1</f>
        <v>-269.44444444444451</v>
      </c>
      <c r="G87" s="407">
        <f t="shared" ref="G87:N87" si="43">-(($D$86+$E$86+$F$86)/36)*4</f>
        <v>-1077.7777777777781</v>
      </c>
      <c r="H87" s="407">
        <f t="shared" si="43"/>
        <v>-1077.7777777777781</v>
      </c>
      <c r="I87" s="407">
        <f t="shared" si="43"/>
        <v>-1077.7777777777781</v>
      </c>
      <c r="J87" s="407">
        <f t="shared" si="43"/>
        <v>-1077.7777777777781</v>
      </c>
      <c r="K87" s="407">
        <f t="shared" si="43"/>
        <v>-1077.7777777777781</v>
      </c>
      <c r="L87" s="407">
        <f t="shared" si="43"/>
        <v>-1077.7777777777781</v>
      </c>
      <c r="M87" s="407">
        <f t="shared" si="43"/>
        <v>-1077.7777777777781</v>
      </c>
      <c r="N87" s="407">
        <f t="shared" si="43"/>
        <v>-1077.7777777777781</v>
      </c>
      <c r="O87" s="407">
        <f>-(($D$86+$E$86+$F$86)/36)*3</f>
        <v>-808.33333333333348</v>
      </c>
      <c r="P87" s="407">
        <f>Loan!P22</f>
        <v>0</v>
      </c>
      <c r="Q87" s="407">
        <f>Loan!Q22</f>
        <v>0</v>
      </c>
      <c r="R87" s="202">
        <v>0</v>
      </c>
      <c r="S87" s="202">
        <v>0</v>
      </c>
      <c r="T87" s="202">
        <v>0</v>
      </c>
      <c r="U87" s="203">
        <v>0</v>
      </c>
      <c r="W87" s="409">
        <f>SUM(D87:U87)</f>
        <v>-9700.0000000000036</v>
      </c>
      <c r="X87" s="332" t="s">
        <v>273</v>
      </c>
    </row>
    <row r="88" spans="2:24" ht="15.5" x14ac:dyDescent="0.35">
      <c r="B88" s="313" t="s">
        <v>186</v>
      </c>
      <c r="C88" s="339"/>
      <c r="D88" s="202">
        <v>0</v>
      </c>
      <c r="E88" s="202">
        <v>0</v>
      </c>
      <c r="F88" s="202">
        <v>0</v>
      </c>
      <c r="G88" s="202">
        <v>930</v>
      </c>
      <c r="H88" s="202">
        <v>10</v>
      </c>
      <c r="I88" s="202">
        <v>20</v>
      </c>
      <c r="J88" s="202">
        <v>20</v>
      </c>
      <c r="K88" s="202">
        <v>10</v>
      </c>
      <c r="L88" s="202">
        <v>20</v>
      </c>
      <c r="M88" s="202">
        <v>20</v>
      </c>
      <c r="N88" s="202">
        <v>20</v>
      </c>
      <c r="O88" s="202">
        <v>20</v>
      </c>
      <c r="P88" s="202">
        <v>20</v>
      </c>
      <c r="Q88" s="202">
        <v>20</v>
      </c>
      <c r="R88" s="202">
        <v>20</v>
      </c>
      <c r="S88" s="202">
        <v>30</v>
      </c>
      <c r="T88" s="202">
        <v>20</v>
      </c>
      <c r="U88" s="203">
        <v>20</v>
      </c>
      <c r="V88" s="284"/>
    </row>
    <row r="89" spans="2:24" ht="15.5" x14ac:dyDescent="0.35">
      <c r="B89" s="313" t="s">
        <v>240</v>
      </c>
      <c r="C89" s="339"/>
      <c r="D89" s="202">
        <v>0</v>
      </c>
      <c r="E89" s="202">
        <v>0</v>
      </c>
      <c r="F89" s="202">
        <v>0</v>
      </c>
      <c r="G89" s="407">
        <f t="shared" ref="G89:U89" si="44">G123</f>
        <v>0</v>
      </c>
      <c r="H89" s="407">
        <f t="shared" si="44"/>
        <v>0</v>
      </c>
      <c r="I89" s="407">
        <f t="shared" si="44"/>
        <v>0</v>
      </c>
      <c r="J89" s="407">
        <f t="shared" si="44"/>
        <v>0</v>
      </c>
      <c r="K89" s="407">
        <f t="shared" si="44"/>
        <v>0</v>
      </c>
      <c r="L89" s="407">
        <f t="shared" si="44"/>
        <v>0</v>
      </c>
      <c r="M89" s="407">
        <f t="shared" si="44"/>
        <v>0</v>
      </c>
      <c r="N89" s="407">
        <f t="shared" si="44"/>
        <v>0</v>
      </c>
      <c r="O89" s="407">
        <f t="shared" si="44"/>
        <v>0</v>
      </c>
      <c r="P89" s="407">
        <f t="shared" si="44"/>
        <v>0</v>
      </c>
      <c r="Q89" s="407">
        <f t="shared" si="44"/>
        <v>0</v>
      </c>
      <c r="R89" s="407">
        <f t="shared" si="44"/>
        <v>0</v>
      </c>
      <c r="S89" s="407">
        <f t="shared" si="44"/>
        <v>0</v>
      </c>
      <c r="T89" s="407">
        <f t="shared" si="44"/>
        <v>0</v>
      </c>
      <c r="U89" s="417">
        <f t="shared" si="44"/>
        <v>0</v>
      </c>
      <c r="V89" s="284"/>
    </row>
    <row r="90" spans="2:24" ht="15.5" x14ac:dyDescent="0.35">
      <c r="B90" s="313" t="s">
        <v>145</v>
      </c>
      <c r="C90" s="202"/>
      <c r="D90" s="407">
        <f>-D117</f>
        <v>-42.45000000000001</v>
      </c>
      <c r="E90" s="407">
        <f>-E117</f>
        <v>-8.5250000000000021</v>
      </c>
      <c r="F90" s="407">
        <f>-F117</f>
        <v>0</v>
      </c>
      <c r="G90" s="202">
        <f t="shared" ref="G90:U90" si="45">-G82</f>
        <v>-1178.5999999999999</v>
      </c>
      <c r="H90" s="202">
        <f t="shared" si="45"/>
        <v>-1049.8666666666668</v>
      </c>
      <c r="I90" s="202">
        <f t="shared" si="45"/>
        <v>-922.33333333333337</v>
      </c>
      <c r="J90" s="202">
        <f t="shared" si="45"/>
        <v>-795.4</v>
      </c>
      <c r="K90" s="202">
        <f t="shared" si="45"/>
        <v>-667.86666666666656</v>
      </c>
      <c r="L90" s="202">
        <f t="shared" si="45"/>
        <v>-540.33333333333326</v>
      </c>
      <c r="M90" s="202">
        <f t="shared" si="45"/>
        <v>-413.39999999999981</v>
      </c>
      <c r="N90" s="202">
        <f t="shared" si="45"/>
        <v>-286.46666666666647</v>
      </c>
      <c r="O90" s="202">
        <f t="shared" si="45"/>
        <v>-175.69999999999976</v>
      </c>
      <c r="P90" s="202">
        <f t="shared" si="45"/>
        <v>-129.59999999999977</v>
      </c>
      <c r="Q90" s="202">
        <f t="shared" si="45"/>
        <v>-131.99999999999977</v>
      </c>
      <c r="R90" s="202">
        <f t="shared" si="45"/>
        <v>-134.39999999999978</v>
      </c>
      <c r="S90" s="202">
        <f t="shared" si="45"/>
        <v>-137.39999999999978</v>
      </c>
      <c r="T90" s="202">
        <f t="shared" si="45"/>
        <v>-140.39999999999978</v>
      </c>
      <c r="U90" s="203">
        <f t="shared" si="45"/>
        <v>-142.79999999999976</v>
      </c>
    </row>
    <row r="91" spans="2:24" ht="15.5" x14ac:dyDescent="0.35">
      <c r="B91" s="313" t="s">
        <v>303</v>
      </c>
      <c r="C91" s="202"/>
      <c r="D91" s="407">
        <f>-D90</f>
        <v>42.45000000000001</v>
      </c>
      <c r="E91" s="407">
        <f>-E90</f>
        <v>8.5250000000000021</v>
      </c>
      <c r="F91" s="407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3"/>
    </row>
    <row r="92" spans="2:24" ht="15.5" x14ac:dyDescent="0.35">
      <c r="B92" s="313" t="s">
        <v>191</v>
      </c>
      <c r="C92" s="202"/>
      <c r="D92" s="202">
        <f>N6</f>
        <v>1039.9999999999998</v>
      </c>
      <c r="E92" s="202">
        <f>O6</f>
        <v>1649.9999999999995</v>
      </c>
      <c r="F92" s="202">
        <f>P6</f>
        <v>1469.9999999999998</v>
      </c>
      <c r="G92" s="202">
        <v>0</v>
      </c>
      <c r="H92" s="202">
        <v>0</v>
      </c>
      <c r="I92" s="202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>
        <v>0</v>
      </c>
      <c r="T92" s="202">
        <v>0</v>
      </c>
      <c r="U92" s="203">
        <v>0</v>
      </c>
    </row>
    <row r="93" spans="2:24" ht="15.5" x14ac:dyDescent="0.35">
      <c r="B93" s="313" t="s">
        <v>255</v>
      </c>
      <c r="C93" s="202"/>
      <c r="D93" s="202">
        <v>0</v>
      </c>
      <c r="E93" s="202">
        <v>0</v>
      </c>
      <c r="F93" s="202">
        <v>0</v>
      </c>
      <c r="G93" s="202">
        <f t="shared" ref="G93:U93" si="46">G134</f>
        <v>-77.593782350167132</v>
      </c>
      <c r="H93" s="202">
        <f t="shared" si="46"/>
        <v>-75.295807541402169</v>
      </c>
      <c r="I93" s="202">
        <f t="shared" si="46"/>
        <v>-77.374685918773551</v>
      </c>
      <c r="J93" s="202">
        <f t="shared" si="46"/>
        <v>-75.466812116099135</v>
      </c>
      <c r="K93" s="202">
        <f t="shared" si="46"/>
        <v>-79.843728734998066</v>
      </c>
      <c r="L93" s="202">
        <f t="shared" si="46"/>
        <v>-81.506897981229812</v>
      </c>
      <c r="M93" s="202">
        <f t="shared" si="46"/>
        <v>-79.840826266788014</v>
      </c>
      <c r="N93" s="202">
        <f t="shared" si="46"/>
        <v>-83.789303894644831</v>
      </c>
      <c r="O93" s="202">
        <f t="shared" si="46"/>
        <v>-84.041391136801423</v>
      </c>
      <c r="P93" s="202">
        <f t="shared" si="46"/>
        <v>-69.281139003376623</v>
      </c>
      <c r="Q93" s="202">
        <f t="shared" si="46"/>
        <v>-80.509666262736985</v>
      </c>
      <c r="R93" s="202">
        <f t="shared" si="46"/>
        <v>-71.967821376690523</v>
      </c>
      <c r="S93" s="202">
        <f t="shared" si="46"/>
        <v>-82.733799377620869</v>
      </c>
      <c r="T93" s="202">
        <f t="shared" si="46"/>
        <v>-74.654135078639186</v>
      </c>
      <c r="U93" s="203">
        <f t="shared" si="46"/>
        <v>-71.093603278712322</v>
      </c>
    </row>
    <row r="94" spans="2:24" ht="15.5" x14ac:dyDescent="0.35">
      <c r="B94" s="7" t="s">
        <v>182</v>
      </c>
      <c r="C94" s="202"/>
      <c r="D94" s="307">
        <f>SUM(D86:D93)</f>
        <v>3460</v>
      </c>
      <c r="E94" s="307">
        <f t="shared" ref="E94:U94" si="47">SUM(E86:E93)</f>
        <v>5520</v>
      </c>
      <c r="F94" s="307">
        <f t="shared" si="47"/>
        <v>4610.5555555555557</v>
      </c>
      <c r="G94" s="307">
        <f t="shared" si="47"/>
        <v>-1403.9715601279452</v>
      </c>
      <c r="H94" s="307">
        <f t="shared" si="47"/>
        <v>-2192.9402519858472</v>
      </c>
      <c r="I94" s="307">
        <f t="shared" si="47"/>
        <v>-2057.4857970298849</v>
      </c>
      <c r="J94" s="307">
        <f t="shared" si="47"/>
        <v>-1928.6445898938771</v>
      </c>
      <c r="K94" s="307">
        <f t="shared" si="47"/>
        <v>-1815.4881731794426</v>
      </c>
      <c r="L94" s="307">
        <f t="shared" si="47"/>
        <v>-1679.618009092341</v>
      </c>
      <c r="M94" s="307">
        <f t="shared" si="47"/>
        <v>-1551.018604044566</v>
      </c>
      <c r="N94" s="307">
        <f t="shared" si="47"/>
        <v>-1428.0337483390895</v>
      </c>
      <c r="O94" s="307">
        <f t="shared" si="47"/>
        <v>-1048.0747244701347</v>
      </c>
      <c r="P94" s="307">
        <f t="shared" si="47"/>
        <v>-178.8811390033764</v>
      </c>
      <c r="Q94" s="307">
        <f t="shared" si="47"/>
        <v>-192.50966626273674</v>
      </c>
      <c r="R94" s="307">
        <f t="shared" si="47"/>
        <v>-186.3678213766903</v>
      </c>
      <c r="S94" s="307">
        <f t="shared" si="47"/>
        <v>-190.13379937762065</v>
      </c>
      <c r="T94" s="307">
        <f t="shared" si="47"/>
        <v>-195.05413507863898</v>
      </c>
      <c r="U94" s="308">
        <f t="shared" si="47"/>
        <v>-193.89360327871208</v>
      </c>
    </row>
    <row r="95" spans="2:24" ht="15.5" x14ac:dyDescent="0.35">
      <c r="B95" s="7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3"/>
    </row>
    <row r="96" spans="2:24" ht="15.5" x14ac:dyDescent="0.35">
      <c r="B96" s="7" t="s">
        <v>179</v>
      </c>
      <c r="C96" s="202"/>
      <c r="D96" s="186">
        <f>D83+D94</f>
        <v>0</v>
      </c>
      <c r="E96" s="186">
        <f t="shared" ref="E96:U96" si="48">E83+E94</f>
        <v>0</v>
      </c>
      <c r="F96" s="186">
        <f t="shared" si="48"/>
        <v>40.555555555555657</v>
      </c>
      <c r="G96" s="186">
        <f t="shared" si="48"/>
        <v>79.06876644311069</v>
      </c>
      <c r="H96" s="186">
        <f t="shared" si="48"/>
        <v>454.43782397640325</v>
      </c>
      <c r="I96" s="186">
        <f t="shared" si="48"/>
        <v>505.47194000126728</v>
      </c>
      <c r="J96" s="186">
        <f t="shared" si="48"/>
        <v>568.2577373584088</v>
      </c>
      <c r="K96" s="186">
        <f t="shared" si="48"/>
        <v>610.51567826546625</v>
      </c>
      <c r="L96" s="186">
        <f t="shared" si="48"/>
        <v>662.1572272002411</v>
      </c>
      <c r="M96" s="186">
        <f t="shared" si="48"/>
        <v>723.08674371859843</v>
      </c>
      <c r="N96" s="186">
        <f t="shared" si="48"/>
        <v>754.81714872258544</v>
      </c>
      <c r="O96" s="186">
        <f t="shared" si="48"/>
        <v>1052.382095877726</v>
      </c>
      <c r="P96" s="186">
        <f t="shared" si="48"/>
        <v>1851.5231473484064</v>
      </c>
      <c r="Q96" s="186">
        <f t="shared" si="48"/>
        <v>1759.5333802529747</v>
      </c>
      <c r="R96" s="186">
        <f t="shared" si="48"/>
        <v>1689.1506877625382</v>
      </c>
      <c r="S96" s="186">
        <f t="shared" si="48"/>
        <v>1612.1454180050957</v>
      </c>
      <c r="T96" s="186">
        <f t="shared" si="48"/>
        <v>1522.2192527889642</v>
      </c>
      <c r="U96" s="308">
        <f t="shared" si="48"/>
        <v>1440.9269366284113</v>
      </c>
    </row>
    <row r="97" spans="1:21" ht="15.5" x14ac:dyDescent="0.35">
      <c r="B97" s="7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8" spans="1:21" ht="15.5" x14ac:dyDescent="0.35">
      <c r="B98" s="7" t="s">
        <v>177</v>
      </c>
      <c r="C98" s="202"/>
      <c r="D98" s="307">
        <v>0</v>
      </c>
      <c r="E98" s="307">
        <f t="shared" ref="E98:U98" si="49">D99</f>
        <v>0</v>
      </c>
      <c r="F98" s="307">
        <f t="shared" si="49"/>
        <v>0</v>
      </c>
      <c r="G98" s="307">
        <f t="shared" si="49"/>
        <v>40.555555555555657</v>
      </c>
      <c r="H98" s="307">
        <f t="shared" si="49"/>
        <v>119.62432199866635</v>
      </c>
      <c r="I98" s="307">
        <f t="shared" si="49"/>
        <v>574.0621459750696</v>
      </c>
      <c r="J98" s="307">
        <f t="shared" si="49"/>
        <v>1079.5340859763369</v>
      </c>
      <c r="K98" s="307">
        <f t="shared" si="49"/>
        <v>1647.7918233347457</v>
      </c>
      <c r="L98" s="307">
        <f t="shared" si="49"/>
        <v>2258.3075016002122</v>
      </c>
      <c r="M98" s="307">
        <f t="shared" si="49"/>
        <v>2920.4647288004535</v>
      </c>
      <c r="N98" s="307">
        <f t="shared" si="49"/>
        <v>3643.5514725190519</v>
      </c>
      <c r="O98" s="307">
        <f t="shared" si="49"/>
        <v>4398.3686212416378</v>
      </c>
      <c r="P98" s="307">
        <f t="shared" si="49"/>
        <v>5450.7507171193638</v>
      </c>
      <c r="Q98" s="307">
        <f t="shared" si="49"/>
        <v>7302.2738644677702</v>
      </c>
      <c r="R98" s="307">
        <f t="shared" si="49"/>
        <v>9061.8072447207451</v>
      </c>
      <c r="S98" s="307">
        <f t="shared" si="49"/>
        <v>10750.957932483283</v>
      </c>
      <c r="T98" s="307">
        <f t="shared" si="49"/>
        <v>12363.103350488378</v>
      </c>
      <c r="U98" s="308">
        <f t="shared" si="49"/>
        <v>13885.322603277342</v>
      </c>
    </row>
    <row r="99" spans="1:21" ht="15.5" x14ac:dyDescent="0.35">
      <c r="B99" s="7" t="s">
        <v>178</v>
      </c>
      <c r="C99" s="202"/>
      <c r="D99" s="307">
        <f t="shared" ref="D99:U99" si="50">D96+D98</f>
        <v>0</v>
      </c>
      <c r="E99" s="307">
        <f t="shared" si="50"/>
        <v>0</v>
      </c>
      <c r="F99" s="307">
        <f t="shared" si="50"/>
        <v>40.555555555555657</v>
      </c>
      <c r="G99" s="307">
        <f t="shared" si="50"/>
        <v>119.62432199866635</v>
      </c>
      <c r="H99" s="307">
        <f t="shared" si="50"/>
        <v>574.0621459750696</v>
      </c>
      <c r="I99" s="307">
        <f t="shared" si="50"/>
        <v>1079.5340859763369</v>
      </c>
      <c r="J99" s="307">
        <f t="shared" si="50"/>
        <v>1647.7918233347457</v>
      </c>
      <c r="K99" s="307">
        <f t="shared" si="50"/>
        <v>2258.3075016002122</v>
      </c>
      <c r="L99" s="307">
        <f t="shared" si="50"/>
        <v>2920.4647288004535</v>
      </c>
      <c r="M99" s="307">
        <f t="shared" si="50"/>
        <v>3643.5514725190519</v>
      </c>
      <c r="N99" s="307">
        <f t="shared" si="50"/>
        <v>4398.3686212416378</v>
      </c>
      <c r="O99" s="307">
        <f t="shared" si="50"/>
        <v>5450.7507171193638</v>
      </c>
      <c r="P99" s="307">
        <f t="shared" si="50"/>
        <v>7302.2738644677702</v>
      </c>
      <c r="Q99" s="307">
        <f t="shared" si="50"/>
        <v>9061.8072447207451</v>
      </c>
      <c r="R99" s="307">
        <f t="shared" si="50"/>
        <v>10750.957932483283</v>
      </c>
      <c r="S99" s="307">
        <f t="shared" si="50"/>
        <v>12363.103350488378</v>
      </c>
      <c r="T99" s="307">
        <f t="shared" si="50"/>
        <v>13885.322603277342</v>
      </c>
      <c r="U99" s="308">
        <f t="shared" si="50"/>
        <v>15326.249539905753</v>
      </c>
    </row>
    <row r="100" spans="1:21" x14ac:dyDescent="0.35">
      <c r="A100" s="332"/>
      <c r="B100" s="329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</row>
    <row r="101" spans="1:21" x14ac:dyDescent="0.35">
      <c r="B101" s="15"/>
      <c r="C101" s="16"/>
      <c r="D101" s="17"/>
      <c r="E101" s="17"/>
      <c r="F101" s="17"/>
      <c r="G101" s="13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5.5" x14ac:dyDescent="0.35">
      <c r="B102" s="315" t="s">
        <v>193</v>
      </c>
      <c r="C102" s="414">
        <v>2009</v>
      </c>
      <c r="D102" s="414">
        <v>2010</v>
      </c>
      <c r="E102" s="414">
        <v>2011</v>
      </c>
      <c r="F102" s="414">
        <v>2012</v>
      </c>
      <c r="G102" s="414">
        <v>2013</v>
      </c>
      <c r="H102" s="414">
        <v>2014</v>
      </c>
      <c r="I102" s="414">
        <v>2015</v>
      </c>
      <c r="J102" s="414">
        <v>2016</v>
      </c>
      <c r="K102" s="414">
        <v>2017</v>
      </c>
      <c r="L102" s="414">
        <v>2018</v>
      </c>
      <c r="M102" s="414">
        <v>2019</v>
      </c>
      <c r="N102" s="414">
        <v>2020</v>
      </c>
      <c r="O102" s="414">
        <v>2021</v>
      </c>
      <c r="P102" s="414">
        <v>2022</v>
      </c>
      <c r="Q102" s="414">
        <v>2023</v>
      </c>
      <c r="R102" s="414">
        <v>2024</v>
      </c>
      <c r="S102" s="414">
        <v>2025</v>
      </c>
      <c r="T102" s="414">
        <v>2026</v>
      </c>
      <c r="U102" s="414">
        <v>2027</v>
      </c>
    </row>
    <row r="103" spans="1:21" ht="6.25" customHeight="1" x14ac:dyDescent="0.35">
      <c r="B103" s="315"/>
      <c r="C103" s="16"/>
      <c r="D103" s="17"/>
      <c r="E103" s="17"/>
      <c r="F103" s="17"/>
    </row>
    <row r="104" spans="1:21" x14ac:dyDescent="0.35">
      <c r="B104" s="314" t="s">
        <v>232</v>
      </c>
      <c r="C104" s="16"/>
      <c r="D104" s="17"/>
      <c r="E104" s="17"/>
      <c r="F104" s="17"/>
      <c r="G104" s="13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35">
      <c r="B105" s="316" t="s">
        <v>57</v>
      </c>
      <c r="C105" s="317"/>
      <c r="D105" s="319">
        <v>0</v>
      </c>
      <c r="E105" s="319">
        <v>0</v>
      </c>
      <c r="F105" s="319">
        <v>0</v>
      </c>
      <c r="G105" s="319">
        <f t="shared" ref="G105:U105" si="51">G21*G106</f>
        <v>1240</v>
      </c>
      <c r="H105" s="319">
        <f t="shared" si="51"/>
        <v>1250</v>
      </c>
      <c r="I105" s="319">
        <f t="shared" si="51"/>
        <v>1280</v>
      </c>
      <c r="J105" s="319">
        <f t="shared" si="51"/>
        <v>1300</v>
      </c>
      <c r="K105" s="319">
        <f t="shared" si="51"/>
        <v>1320</v>
      </c>
      <c r="L105" s="319">
        <f t="shared" si="51"/>
        <v>1350</v>
      </c>
      <c r="M105" s="319">
        <f t="shared" si="51"/>
        <v>1370</v>
      </c>
      <c r="N105" s="319">
        <f t="shared" si="51"/>
        <v>1400</v>
      </c>
      <c r="O105" s="319">
        <f t="shared" si="51"/>
        <v>1430</v>
      </c>
      <c r="P105" s="319">
        <f t="shared" si="51"/>
        <v>1450</v>
      </c>
      <c r="Q105" s="319">
        <f t="shared" si="51"/>
        <v>1480</v>
      </c>
      <c r="R105" s="319">
        <f t="shared" si="51"/>
        <v>1510</v>
      </c>
      <c r="S105" s="319">
        <f t="shared" si="51"/>
        <v>1540</v>
      </c>
      <c r="T105" s="319">
        <f t="shared" si="51"/>
        <v>1570</v>
      </c>
      <c r="U105" s="319">
        <f t="shared" si="51"/>
        <v>1600</v>
      </c>
    </row>
    <row r="106" spans="1:21" x14ac:dyDescent="0.35">
      <c r="B106" s="316" t="s">
        <v>192</v>
      </c>
      <c r="C106" s="317"/>
      <c r="D106" s="324"/>
      <c r="E106" s="324"/>
      <c r="F106" s="324"/>
      <c r="G106" s="325">
        <v>0.1848472922853088</v>
      </c>
      <c r="H106" s="325">
        <v>0.18449306559935805</v>
      </c>
      <c r="I106" s="325">
        <v>0.18705039522152736</v>
      </c>
      <c r="J106" s="325">
        <v>0.18809213628402349</v>
      </c>
      <c r="K106" s="325">
        <v>0.18909491233428105</v>
      </c>
      <c r="L106" s="325">
        <v>0.19147774651311086</v>
      </c>
      <c r="M106" s="325">
        <v>0.19239054838501055</v>
      </c>
      <c r="N106" s="325">
        <v>0.19465691099155508</v>
      </c>
      <c r="O106" s="325">
        <v>0.19685953516119076</v>
      </c>
      <c r="P106" s="325">
        <v>0.1976364508645895</v>
      </c>
      <c r="Q106" s="325">
        <v>0.19972819889354212</v>
      </c>
      <c r="R106" s="325">
        <v>0.20175915194624608</v>
      </c>
      <c r="S106" s="325">
        <v>0.2037303088303842</v>
      </c>
      <c r="T106" s="325">
        <v>0.20564265453497699</v>
      </c>
      <c r="U106" s="325">
        <v>0.20749716040610655</v>
      </c>
    </row>
    <row r="107" spans="1:21" x14ac:dyDescent="0.35">
      <c r="B107" s="316"/>
      <c r="C107" s="317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</row>
    <row r="108" spans="1:21" x14ac:dyDescent="0.35">
      <c r="B108" s="314" t="s">
        <v>294</v>
      </c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</row>
    <row r="109" spans="1:21" x14ac:dyDescent="0.35">
      <c r="B109" s="316" t="s">
        <v>295</v>
      </c>
      <c r="C109" s="317"/>
      <c r="D109" s="321">
        <v>0</v>
      </c>
      <c r="E109" s="321">
        <f>D112</f>
        <v>2420.0000000000005</v>
      </c>
      <c r="F109" s="321">
        <f>E112</f>
        <v>6290.0000000000018</v>
      </c>
      <c r="G109" s="321">
        <f t="shared" ref="G109:U109" si="52">F112</f>
        <v>9430.5555555555566</v>
      </c>
      <c r="H109" s="321">
        <f t="shared" si="52"/>
        <v>8352.7777777777792</v>
      </c>
      <c r="I109" s="321">
        <f t="shared" si="52"/>
        <v>7275.0000000000009</v>
      </c>
      <c r="J109" s="321">
        <f t="shared" si="52"/>
        <v>6197.2222222222226</v>
      </c>
      <c r="K109" s="321">
        <f t="shared" si="52"/>
        <v>5119.4444444444443</v>
      </c>
      <c r="L109" s="321">
        <f t="shared" si="52"/>
        <v>4041.6666666666661</v>
      </c>
      <c r="M109" s="321">
        <f t="shared" si="52"/>
        <v>2963.8888888888878</v>
      </c>
      <c r="N109" s="321">
        <f t="shared" si="52"/>
        <v>1886.1111111111097</v>
      </c>
      <c r="O109" s="321">
        <f t="shared" si="52"/>
        <v>808.33333333333167</v>
      </c>
      <c r="P109" s="321">
        <f t="shared" si="52"/>
        <v>-1.8189894035458565E-12</v>
      </c>
      <c r="Q109" s="321">
        <f t="shared" si="52"/>
        <v>-1.8189894035458565E-12</v>
      </c>
      <c r="R109" s="321">
        <f t="shared" si="52"/>
        <v>-1.8189894035458565E-12</v>
      </c>
      <c r="S109" s="321">
        <f t="shared" si="52"/>
        <v>-1.8189894035458565E-12</v>
      </c>
      <c r="T109" s="321">
        <f t="shared" si="52"/>
        <v>-1.8189894035458565E-12</v>
      </c>
      <c r="U109" s="321">
        <f t="shared" si="52"/>
        <v>-1.8189894035458565E-12</v>
      </c>
    </row>
    <row r="110" spans="1:21" x14ac:dyDescent="0.35">
      <c r="B110" s="316" t="s">
        <v>296</v>
      </c>
      <c r="D110" s="321">
        <f>N4</f>
        <v>2420.0000000000005</v>
      </c>
      <c r="E110" s="321">
        <f>O4</f>
        <v>3870.0000000000009</v>
      </c>
      <c r="F110" s="321">
        <f>P4</f>
        <v>3410.0000000000005</v>
      </c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</row>
    <row r="111" spans="1:21" x14ac:dyDescent="0.35">
      <c r="B111" s="316" t="s">
        <v>297</v>
      </c>
      <c r="C111" s="317"/>
      <c r="D111" s="321">
        <v>0</v>
      </c>
      <c r="E111" s="321">
        <v>0</v>
      </c>
      <c r="F111" s="321">
        <f t="shared" ref="F111:U111" si="53">F87</f>
        <v>-269.44444444444451</v>
      </c>
      <c r="G111" s="321">
        <f t="shared" si="53"/>
        <v>-1077.7777777777781</v>
      </c>
      <c r="H111" s="321">
        <f t="shared" si="53"/>
        <v>-1077.7777777777781</v>
      </c>
      <c r="I111" s="321">
        <f t="shared" si="53"/>
        <v>-1077.7777777777781</v>
      </c>
      <c r="J111" s="321">
        <f t="shared" si="53"/>
        <v>-1077.7777777777781</v>
      </c>
      <c r="K111" s="321">
        <f t="shared" si="53"/>
        <v>-1077.7777777777781</v>
      </c>
      <c r="L111" s="321">
        <f t="shared" si="53"/>
        <v>-1077.7777777777781</v>
      </c>
      <c r="M111" s="321">
        <f t="shared" si="53"/>
        <v>-1077.7777777777781</v>
      </c>
      <c r="N111" s="321">
        <f t="shared" si="53"/>
        <v>-1077.7777777777781</v>
      </c>
      <c r="O111" s="321">
        <f t="shared" si="53"/>
        <v>-808.33333333333348</v>
      </c>
      <c r="P111" s="321">
        <f t="shared" si="53"/>
        <v>0</v>
      </c>
      <c r="Q111" s="321">
        <f t="shared" si="53"/>
        <v>0</v>
      </c>
      <c r="R111" s="321">
        <f t="shared" si="53"/>
        <v>0</v>
      </c>
      <c r="S111" s="321">
        <f t="shared" si="53"/>
        <v>0</v>
      </c>
      <c r="T111" s="321">
        <f t="shared" si="53"/>
        <v>0</v>
      </c>
      <c r="U111" s="321">
        <f t="shared" si="53"/>
        <v>0</v>
      </c>
    </row>
    <row r="112" spans="1:21" x14ac:dyDescent="0.35">
      <c r="B112" s="316" t="s">
        <v>298</v>
      </c>
      <c r="C112" s="317"/>
      <c r="D112" s="321">
        <f>D109+D110+D111</f>
        <v>2420.0000000000005</v>
      </c>
      <c r="E112" s="321">
        <f>E109+E110+E111</f>
        <v>6290.0000000000018</v>
      </c>
      <c r="F112" s="321">
        <f>F109+F110+F111</f>
        <v>9430.5555555555566</v>
      </c>
      <c r="G112" s="321">
        <f t="shared" ref="G112:U112" si="54">G109+G110+G111</f>
        <v>8352.7777777777792</v>
      </c>
      <c r="H112" s="321">
        <f t="shared" si="54"/>
        <v>7275.0000000000009</v>
      </c>
      <c r="I112" s="321">
        <f t="shared" si="54"/>
        <v>6197.2222222222226</v>
      </c>
      <c r="J112" s="321">
        <f t="shared" si="54"/>
        <v>5119.4444444444443</v>
      </c>
      <c r="K112" s="321">
        <f t="shared" si="54"/>
        <v>4041.6666666666661</v>
      </c>
      <c r="L112" s="321">
        <f t="shared" si="54"/>
        <v>2963.8888888888878</v>
      </c>
      <c r="M112" s="321">
        <f t="shared" si="54"/>
        <v>1886.1111111111097</v>
      </c>
      <c r="N112" s="321">
        <f t="shared" si="54"/>
        <v>808.33333333333167</v>
      </c>
      <c r="O112" s="321">
        <f t="shared" si="54"/>
        <v>-1.8189894035458565E-12</v>
      </c>
      <c r="P112" s="321">
        <f t="shared" si="54"/>
        <v>-1.8189894035458565E-12</v>
      </c>
      <c r="Q112" s="321">
        <f t="shared" si="54"/>
        <v>-1.8189894035458565E-12</v>
      </c>
      <c r="R112" s="321">
        <f t="shared" si="54"/>
        <v>-1.8189894035458565E-12</v>
      </c>
      <c r="S112" s="321">
        <f t="shared" si="54"/>
        <v>-1.8189894035458565E-12</v>
      </c>
      <c r="T112" s="321">
        <f t="shared" si="54"/>
        <v>-1.8189894035458565E-12</v>
      </c>
      <c r="U112" s="321">
        <f t="shared" si="54"/>
        <v>-1.8189894035458565E-12</v>
      </c>
    </row>
    <row r="113" spans="2:21" x14ac:dyDescent="0.35">
      <c r="B113" s="329" t="s">
        <v>185</v>
      </c>
      <c r="C113" s="317"/>
      <c r="D113" s="440">
        <f>D59-D112</f>
        <v>0</v>
      </c>
      <c r="E113" s="440">
        <f t="shared" ref="E113:U113" si="55">E59-E112</f>
        <v>0</v>
      </c>
      <c r="F113" s="440">
        <f t="shared" si="55"/>
        <v>0</v>
      </c>
      <c r="G113" s="440">
        <f t="shared" si="55"/>
        <v>0</v>
      </c>
      <c r="H113" s="440">
        <f t="shared" si="55"/>
        <v>0</v>
      </c>
      <c r="I113" s="440">
        <f t="shared" si="55"/>
        <v>0</v>
      </c>
      <c r="J113" s="440">
        <f t="shared" si="55"/>
        <v>0</v>
      </c>
      <c r="K113" s="440">
        <f t="shared" si="55"/>
        <v>0</v>
      </c>
      <c r="L113" s="440">
        <f t="shared" si="55"/>
        <v>0</v>
      </c>
      <c r="M113" s="440">
        <f t="shared" si="55"/>
        <v>0</v>
      </c>
      <c r="N113" s="440">
        <f t="shared" si="55"/>
        <v>0</v>
      </c>
      <c r="O113" s="440">
        <f t="shared" si="55"/>
        <v>0</v>
      </c>
      <c r="P113" s="440">
        <f t="shared" si="55"/>
        <v>0</v>
      </c>
      <c r="Q113" s="440">
        <f t="shared" si="55"/>
        <v>0</v>
      </c>
      <c r="R113" s="440">
        <f t="shared" si="55"/>
        <v>0</v>
      </c>
      <c r="S113" s="440">
        <f t="shared" si="55"/>
        <v>0</v>
      </c>
      <c r="T113" s="440">
        <f t="shared" si="55"/>
        <v>0</v>
      </c>
      <c r="U113" s="440">
        <f t="shared" si="55"/>
        <v>0</v>
      </c>
    </row>
    <row r="114" spans="2:21" x14ac:dyDescent="0.35">
      <c r="B114" s="316"/>
      <c r="C114" s="317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</row>
    <row r="115" spans="2:21" x14ac:dyDescent="0.35">
      <c r="B115" s="316" t="s">
        <v>300</v>
      </c>
      <c r="C115" s="430">
        <v>2.5000000000000001E-3</v>
      </c>
      <c r="D115" s="321">
        <f>(D110+E110+F110)*C115</f>
        <v>24.250000000000004</v>
      </c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</row>
    <row r="116" spans="2:21" ht="15" thickBot="1" x14ac:dyDescent="0.4">
      <c r="B116" s="316" t="s">
        <v>299</v>
      </c>
      <c r="C116" s="430">
        <v>2.5000000000000001E-3</v>
      </c>
      <c r="D116" s="442">
        <f>(E110+F110)*C116</f>
        <v>18.200000000000006</v>
      </c>
      <c r="E116" s="442">
        <f>F110*C116</f>
        <v>8.5250000000000021</v>
      </c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</row>
    <row r="117" spans="2:21" ht="15" thickTop="1" x14ac:dyDescent="0.35">
      <c r="B117" s="316" t="s">
        <v>301</v>
      </c>
      <c r="C117" s="317"/>
      <c r="D117" s="321">
        <f>D115+D116</f>
        <v>42.45000000000001</v>
      </c>
      <c r="E117" s="321">
        <f>E115+E116</f>
        <v>8.5250000000000021</v>
      </c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</row>
    <row r="118" spans="2:21" x14ac:dyDescent="0.35">
      <c r="B118" s="316"/>
      <c r="C118" s="317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</row>
    <row r="119" spans="2:21" x14ac:dyDescent="0.35">
      <c r="B119" s="314" t="s">
        <v>274</v>
      </c>
      <c r="C119" s="16"/>
      <c r="D119" s="17"/>
      <c r="E119" s="17"/>
      <c r="F119" s="17"/>
      <c r="G119" s="13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2:21" x14ac:dyDescent="0.35">
      <c r="B120" s="316" t="s">
        <v>275</v>
      </c>
      <c r="C120" s="317"/>
      <c r="D120" s="319">
        <v>0</v>
      </c>
      <c r="E120" s="319">
        <v>0</v>
      </c>
      <c r="F120" s="319">
        <v>0</v>
      </c>
      <c r="G120" s="319">
        <v>0</v>
      </c>
      <c r="H120" s="319">
        <f>G124</f>
        <v>930</v>
      </c>
      <c r="I120" s="319">
        <f t="shared" ref="I120:U120" si="56">H124</f>
        <v>940</v>
      </c>
      <c r="J120" s="319">
        <f t="shared" si="56"/>
        <v>960</v>
      </c>
      <c r="K120" s="319">
        <f t="shared" si="56"/>
        <v>980</v>
      </c>
      <c r="L120" s="319">
        <f t="shared" si="56"/>
        <v>990</v>
      </c>
      <c r="M120" s="319">
        <f t="shared" si="56"/>
        <v>1010</v>
      </c>
      <c r="N120" s="319">
        <f t="shared" si="56"/>
        <v>1030</v>
      </c>
      <c r="O120" s="319">
        <f t="shared" si="56"/>
        <v>1050</v>
      </c>
      <c r="P120" s="319">
        <f t="shared" si="56"/>
        <v>1070</v>
      </c>
      <c r="Q120" s="319">
        <f t="shared" si="56"/>
        <v>1090</v>
      </c>
      <c r="R120" s="319">
        <f t="shared" si="56"/>
        <v>1110</v>
      </c>
      <c r="S120" s="319">
        <f t="shared" si="56"/>
        <v>1130</v>
      </c>
      <c r="T120" s="319">
        <f t="shared" si="56"/>
        <v>1160</v>
      </c>
      <c r="U120" s="319">
        <f t="shared" si="56"/>
        <v>1180</v>
      </c>
    </row>
    <row r="121" spans="2:21" x14ac:dyDescent="0.35">
      <c r="B121" s="316" t="s">
        <v>276</v>
      </c>
      <c r="C121" s="317"/>
      <c r="D121" s="319">
        <v>0</v>
      </c>
      <c r="E121" s="319">
        <v>0</v>
      </c>
      <c r="F121" s="319">
        <v>0</v>
      </c>
      <c r="G121" s="319">
        <f t="shared" ref="G121:U121" si="57">(G105-F105)*G122</f>
        <v>930</v>
      </c>
      <c r="H121" s="319">
        <f t="shared" si="57"/>
        <v>10</v>
      </c>
      <c r="I121" s="319">
        <f t="shared" si="57"/>
        <v>20</v>
      </c>
      <c r="J121" s="319">
        <f t="shared" si="57"/>
        <v>20</v>
      </c>
      <c r="K121" s="319">
        <f t="shared" si="57"/>
        <v>10</v>
      </c>
      <c r="L121" s="319">
        <f t="shared" si="57"/>
        <v>20</v>
      </c>
      <c r="M121" s="319">
        <f t="shared" si="57"/>
        <v>20</v>
      </c>
      <c r="N121" s="319">
        <f t="shared" si="57"/>
        <v>20</v>
      </c>
      <c r="O121" s="319">
        <f t="shared" si="57"/>
        <v>20</v>
      </c>
      <c r="P121" s="319">
        <f t="shared" si="57"/>
        <v>20</v>
      </c>
      <c r="Q121" s="319">
        <f t="shared" si="57"/>
        <v>20</v>
      </c>
      <c r="R121" s="319">
        <f t="shared" si="57"/>
        <v>20</v>
      </c>
      <c r="S121" s="319">
        <f t="shared" si="57"/>
        <v>30</v>
      </c>
      <c r="T121" s="319">
        <f t="shared" si="57"/>
        <v>20</v>
      </c>
      <c r="U121" s="319">
        <f t="shared" si="57"/>
        <v>20</v>
      </c>
    </row>
    <row r="122" spans="2:21" x14ac:dyDescent="0.35">
      <c r="B122" s="316" t="s">
        <v>278</v>
      </c>
      <c r="C122" s="317"/>
      <c r="D122" s="324"/>
      <c r="E122" s="324"/>
      <c r="F122" s="324"/>
      <c r="G122" s="325">
        <v>0.75</v>
      </c>
      <c r="H122" s="325">
        <v>1</v>
      </c>
      <c r="I122" s="325">
        <v>0.66666666666666663</v>
      </c>
      <c r="J122" s="325">
        <v>1</v>
      </c>
      <c r="K122" s="325">
        <v>0.5</v>
      </c>
      <c r="L122" s="325">
        <v>0.66666666666666663</v>
      </c>
      <c r="M122" s="325">
        <v>1</v>
      </c>
      <c r="N122" s="325">
        <v>0.66666666666666663</v>
      </c>
      <c r="O122" s="325">
        <v>0.66666666666666663</v>
      </c>
      <c r="P122" s="325">
        <v>1</v>
      </c>
      <c r="Q122" s="325">
        <v>0.66666666666666663</v>
      </c>
      <c r="R122" s="325">
        <v>0.66666666666666663</v>
      </c>
      <c r="S122" s="325">
        <v>1</v>
      </c>
      <c r="T122" s="325">
        <v>0.66666666666666663</v>
      </c>
      <c r="U122" s="325">
        <v>0.66666666666666663</v>
      </c>
    </row>
    <row r="123" spans="2:21" x14ac:dyDescent="0.35">
      <c r="B123" s="316" t="s">
        <v>240</v>
      </c>
      <c r="C123" s="317"/>
      <c r="D123" s="324"/>
      <c r="E123" s="324"/>
      <c r="F123" s="324"/>
      <c r="G123" s="415">
        <v>0</v>
      </c>
      <c r="H123" s="415">
        <v>0</v>
      </c>
      <c r="I123" s="415">
        <v>0</v>
      </c>
      <c r="J123" s="415">
        <v>0</v>
      </c>
      <c r="K123" s="415">
        <v>0</v>
      </c>
      <c r="L123" s="415">
        <v>0</v>
      </c>
      <c r="M123" s="415">
        <v>0</v>
      </c>
      <c r="N123" s="415">
        <v>0</v>
      </c>
      <c r="O123" s="415">
        <v>0</v>
      </c>
      <c r="P123" s="415">
        <v>0</v>
      </c>
      <c r="Q123" s="415">
        <v>0</v>
      </c>
      <c r="R123" s="415">
        <v>0</v>
      </c>
      <c r="S123" s="415">
        <v>0</v>
      </c>
      <c r="T123" s="415">
        <v>0</v>
      </c>
      <c r="U123" s="415">
        <v>0</v>
      </c>
    </row>
    <row r="124" spans="2:21" x14ac:dyDescent="0.35">
      <c r="B124" s="316" t="s">
        <v>277</v>
      </c>
      <c r="C124" s="317"/>
      <c r="D124" s="324"/>
      <c r="E124" s="324"/>
      <c r="F124" s="324"/>
      <c r="G124" s="416">
        <f>G120+G121+G123</f>
        <v>930</v>
      </c>
      <c r="H124" s="416">
        <f t="shared" ref="H124:U124" si="58">H120+H121+H123</f>
        <v>940</v>
      </c>
      <c r="I124" s="416">
        <f t="shared" si="58"/>
        <v>960</v>
      </c>
      <c r="J124" s="416">
        <f t="shared" si="58"/>
        <v>980</v>
      </c>
      <c r="K124" s="416">
        <f t="shared" si="58"/>
        <v>990</v>
      </c>
      <c r="L124" s="416">
        <f t="shared" si="58"/>
        <v>1010</v>
      </c>
      <c r="M124" s="416">
        <f t="shared" si="58"/>
        <v>1030</v>
      </c>
      <c r="N124" s="416">
        <f t="shared" si="58"/>
        <v>1050</v>
      </c>
      <c r="O124" s="416">
        <f t="shared" si="58"/>
        <v>1070</v>
      </c>
      <c r="P124" s="416">
        <f t="shared" si="58"/>
        <v>1090</v>
      </c>
      <c r="Q124" s="416">
        <f t="shared" si="58"/>
        <v>1110</v>
      </c>
      <c r="R124" s="416">
        <f t="shared" si="58"/>
        <v>1130</v>
      </c>
      <c r="S124" s="416">
        <f t="shared" si="58"/>
        <v>1160</v>
      </c>
      <c r="T124" s="416">
        <f t="shared" si="58"/>
        <v>1180</v>
      </c>
      <c r="U124" s="416">
        <f t="shared" si="58"/>
        <v>1200</v>
      </c>
    </row>
    <row r="125" spans="2:21" x14ac:dyDescent="0.35">
      <c r="B125" s="316"/>
      <c r="C125" s="317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</row>
    <row r="126" spans="2:21" x14ac:dyDescent="0.35">
      <c r="B126" s="314" t="s">
        <v>233</v>
      </c>
      <c r="C126" s="317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</row>
    <row r="127" spans="2:21" x14ac:dyDescent="0.35">
      <c r="B127" s="316" t="s">
        <v>195</v>
      </c>
      <c r="C127" s="317"/>
      <c r="D127" s="320">
        <f>D33</f>
        <v>0</v>
      </c>
      <c r="E127" s="320">
        <f>E33</f>
        <v>0</v>
      </c>
      <c r="F127" s="320">
        <f t="shared" ref="F127:U127" si="59">F31*F128</f>
        <v>0</v>
      </c>
      <c r="G127" s="320">
        <f t="shared" si="59"/>
        <v>162.23640087028636</v>
      </c>
      <c r="H127" s="320">
        <f t="shared" si="59"/>
        <v>175.45615330233144</v>
      </c>
      <c r="I127" s="320">
        <f t="shared" si="59"/>
        <v>184.3256311113669</v>
      </c>
      <c r="J127" s="320">
        <f t="shared" si="59"/>
        <v>201.60741185450857</v>
      </c>
      <c r="K127" s="320">
        <f t="shared" si="59"/>
        <v>210.39120992629006</v>
      </c>
      <c r="L127" s="320">
        <f t="shared" si="59"/>
        <v>219.04181204274408</v>
      </c>
      <c r="M127" s="320">
        <f t="shared" si="59"/>
        <v>227.54392541655767</v>
      </c>
      <c r="N127" s="320">
        <f t="shared" si="59"/>
        <v>235.91013283864092</v>
      </c>
      <c r="O127" s="320">
        <f t="shared" si="59"/>
        <v>241.56036927671408</v>
      </c>
      <c r="P127" s="320">
        <f t="shared" si="59"/>
        <v>240.87376569451914</v>
      </c>
      <c r="Q127" s="320">
        <f t="shared" si="59"/>
        <v>224.35614529446656</v>
      </c>
      <c r="R127" s="320">
        <f t="shared" si="59"/>
        <v>211.71279053202025</v>
      </c>
      <c r="S127" s="320">
        <f t="shared" si="59"/>
        <v>191.34080086564734</v>
      </c>
      <c r="T127" s="320">
        <f t="shared" si="59"/>
        <v>178.13238431656836</v>
      </c>
      <c r="U127" s="320">
        <f t="shared" si="59"/>
        <v>157.60305261054566</v>
      </c>
    </row>
    <row r="128" spans="2:21" x14ac:dyDescent="0.35">
      <c r="B128" s="316" t="s">
        <v>194</v>
      </c>
      <c r="C128" s="317"/>
      <c r="D128" s="326">
        <v>0</v>
      </c>
      <c r="E128" s="326">
        <v>0</v>
      </c>
      <c r="F128" s="328">
        <f>G128</f>
        <v>0.15802091986112105</v>
      </c>
      <c r="G128" s="328">
        <v>0.15802091986112105</v>
      </c>
      <c r="H128" s="328">
        <v>0.15907644000795851</v>
      </c>
      <c r="I128" s="328">
        <v>0.15687954861953068</v>
      </c>
      <c r="J128" s="328">
        <v>0.16217989893584819</v>
      </c>
      <c r="K128" s="328">
        <v>0.16078459648084042</v>
      </c>
      <c r="L128" s="328">
        <v>0.1598281027676608</v>
      </c>
      <c r="M128" s="328">
        <v>0.15931667509970082</v>
      </c>
      <c r="N128" s="328">
        <v>0.15915201372283375</v>
      </c>
      <c r="O128" s="328">
        <v>0.15930728143794376</v>
      </c>
      <c r="P128" s="328">
        <v>0.16256822145799854</v>
      </c>
      <c r="Q128" s="328">
        <v>0.16089807467774875</v>
      </c>
      <c r="R128" s="328">
        <v>0.16250207573723705</v>
      </c>
      <c r="S128" s="328">
        <v>0.15862844089049913</v>
      </c>
      <c r="T128" s="328">
        <v>0.16120493557646226</v>
      </c>
      <c r="U128" s="328">
        <v>0.15766239791680375</v>
      </c>
    </row>
    <row r="129" spans="2:21" s="34" customFormat="1" x14ac:dyDescent="0.35">
      <c r="N129" s="327"/>
      <c r="O129" s="327"/>
      <c r="P129" s="327"/>
      <c r="Q129" s="327"/>
      <c r="R129" s="327"/>
      <c r="S129" s="327"/>
      <c r="T129" s="327"/>
      <c r="U129" s="327"/>
    </row>
    <row r="130" spans="2:21" s="34" customFormat="1" x14ac:dyDescent="0.35">
      <c r="B130" s="361" t="s">
        <v>234</v>
      </c>
      <c r="N130" s="327"/>
      <c r="O130" s="327"/>
      <c r="P130" s="327"/>
      <c r="Q130" s="327"/>
      <c r="R130" s="327"/>
      <c r="S130" s="327"/>
      <c r="T130" s="327"/>
      <c r="U130" s="327"/>
    </row>
    <row r="131" spans="2:21" s="34" customFormat="1" x14ac:dyDescent="0.35">
      <c r="B131" s="335" t="s">
        <v>198</v>
      </c>
      <c r="D131" s="277">
        <f t="shared" ref="D131:U131" si="60">C136</f>
        <v>0</v>
      </c>
      <c r="E131" s="277">
        <f t="shared" si="60"/>
        <v>-42.45000000000001</v>
      </c>
      <c r="F131" s="277">
        <f t="shared" si="60"/>
        <v>-50.975000000000009</v>
      </c>
      <c r="G131" s="277">
        <f t="shared" si="60"/>
        <v>-50.975000000000009</v>
      </c>
      <c r="H131" s="277">
        <f t="shared" si="60"/>
        <v>735.87154422088884</v>
      </c>
      <c r="I131" s="277">
        <f t="shared" si="60"/>
        <v>1588.0871459750701</v>
      </c>
      <c r="J131" s="277">
        <f t="shared" si="60"/>
        <v>2501.3368637541153</v>
      </c>
      <c r="K131" s="277">
        <f t="shared" si="60"/>
        <v>3467.3723788903021</v>
      </c>
      <c r="L131" s="277">
        <f t="shared" si="60"/>
        <v>4485.6658349335457</v>
      </c>
      <c r="M131" s="277">
        <f t="shared" si="60"/>
        <v>5555.6008399115653</v>
      </c>
      <c r="N131" s="277">
        <f t="shared" si="60"/>
        <v>6676.4653614079425</v>
      </c>
      <c r="O131" s="277">
        <f t="shared" si="60"/>
        <v>7849.0602879083062</v>
      </c>
      <c r="P131" s="277">
        <f t="shared" si="60"/>
        <v>9079.7757171193662</v>
      </c>
      <c r="Q131" s="277">
        <f t="shared" si="60"/>
        <v>10321.298864467773</v>
      </c>
      <c r="R131" s="277">
        <f t="shared" si="60"/>
        <v>11500.832244720748</v>
      </c>
      <c r="S131" s="277">
        <f t="shared" si="60"/>
        <v>12629.982932483286</v>
      </c>
      <c r="T131" s="277">
        <f t="shared" si="60"/>
        <v>13692.128350488383</v>
      </c>
      <c r="U131" s="277">
        <f t="shared" si="60"/>
        <v>14684.347603277347</v>
      </c>
    </row>
    <row r="132" spans="2:21" s="34" customFormat="1" x14ac:dyDescent="0.35">
      <c r="B132" s="34" t="s">
        <v>87</v>
      </c>
      <c r="F132" s="277">
        <f t="shared" ref="F132:U132" si="61">F35</f>
        <v>0</v>
      </c>
      <c r="G132" s="277">
        <f t="shared" si="61"/>
        <v>864.44032657105595</v>
      </c>
      <c r="H132" s="277">
        <f t="shared" si="61"/>
        <v>927.51140929558358</v>
      </c>
      <c r="I132" s="277">
        <f t="shared" si="61"/>
        <v>990.62440369781871</v>
      </c>
      <c r="J132" s="277">
        <f t="shared" si="61"/>
        <v>1041.502327252286</v>
      </c>
      <c r="K132" s="277">
        <f t="shared" si="61"/>
        <v>1098.137184778242</v>
      </c>
      <c r="L132" s="277">
        <f t="shared" si="61"/>
        <v>1151.4419029592489</v>
      </c>
      <c r="M132" s="277">
        <f t="shared" si="61"/>
        <v>1200.7053477631648</v>
      </c>
      <c r="N132" s="277">
        <f t="shared" si="61"/>
        <v>1256.3842303950087</v>
      </c>
      <c r="O132" s="277">
        <f t="shared" si="61"/>
        <v>1314.7568203478609</v>
      </c>
      <c r="P132" s="277">
        <f t="shared" si="61"/>
        <v>1310.804286351783</v>
      </c>
      <c r="Q132" s="277">
        <f t="shared" si="61"/>
        <v>1260.0430465157117</v>
      </c>
      <c r="R132" s="277">
        <f t="shared" si="61"/>
        <v>1201.1185091392285</v>
      </c>
      <c r="S132" s="277">
        <f t="shared" si="61"/>
        <v>1144.8792173827164</v>
      </c>
      <c r="T132" s="277">
        <f t="shared" si="61"/>
        <v>1066.8733878676035</v>
      </c>
      <c r="U132" s="277">
        <f t="shared" si="61"/>
        <v>992.02053990712363</v>
      </c>
    </row>
    <row r="133" spans="2:21" s="34" customFormat="1" x14ac:dyDescent="0.35">
      <c r="B133" s="34" t="s">
        <v>302</v>
      </c>
      <c r="D133" s="277">
        <f>-D117</f>
        <v>-42.45000000000001</v>
      </c>
      <c r="E133" s="277">
        <f>-E117</f>
        <v>-8.5250000000000021</v>
      </c>
      <c r="F133" s="277">
        <f>F90</f>
        <v>0</v>
      </c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</row>
    <row r="134" spans="2:21" s="34" customFormat="1" x14ac:dyDescent="0.35">
      <c r="B134" s="335" t="s">
        <v>256</v>
      </c>
      <c r="G134" s="277">
        <f>-G132*G135</f>
        <v>-77.593782350167132</v>
      </c>
      <c r="H134" s="277">
        <f t="shared" ref="H134:U134" si="62">-H132*H135</f>
        <v>-75.295807541402169</v>
      </c>
      <c r="I134" s="277">
        <f t="shared" si="62"/>
        <v>-77.374685918773551</v>
      </c>
      <c r="J134" s="277">
        <f t="shared" si="62"/>
        <v>-75.466812116099135</v>
      </c>
      <c r="K134" s="277">
        <f t="shared" si="62"/>
        <v>-79.843728734998066</v>
      </c>
      <c r="L134" s="277">
        <f t="shared" si="62"/>
        <v>-81.506897981229812</v>
      </c>
      <c r="M134" s="277">
        <f t="shared" si="62"/>
        <v>-79.840826266788014</v>
      </c>
      <c r="N134" s="277">
        <f t="shared" si="62"/>
        <v>-83.789303894644831</v>
      </c>
      <c r="O134" s="277">
        <f t="shared" si="62"/>
        <v>-84.041391136801423</v>
      </c>
      <c r="P134" s="277">
        <f t="shared" si="62"/>
        <v>-69.281139003376623</v>
      </c>
      <c r="Q134" s="277">
        <f t="shared" si="62"/>
        <v>-80.509666262736985</v>
      </c>
      <c r="R134" s="277">
        <f t="shared" si="62"/>
        <v>-71.967821376690523</v>
      </c>
      <c r="S134" s="277">
        <f t="shared" si="62"/>
        <v>-82.733799377620869</v>
      </c>
      <c r="T134" s="277">
        <f t="shared" si="62"/>
        <v>-74.654135078639186</v>
      </c>
      <c r="U134" s="277">
        <f t="shared" si="62"/>
        <v>-71.093603278712322</v>
      </c>
    </row>
    <row r="135" spans="2:21" s="34" customFormat="1" x14ac:dyDescent="0.35">
      <c r="B135" s="34" t="s">
        <v>199</v>
      </c>
      <c r="D135" s="337"/>
      <c r="E135" s="337"/>
      <c r="F135" s="337"/>
      <c r="G135" s="338">
        <v>8.9761872468346743E-2</v>
      </c>
      <c r="H135" s="338">
        <v>8.1180465045262384E-2</v>
      </c>
      <c r="I135" s="338">
        <v>7.8106985483042901E-2</v>
      </c>
      <c r="J135" s="338">
        <v>7.245957127642462E-2</v>
      </c>
      <c r="K135" s="338">
        <v>7.2708337211185248E-2</v>
      </c>
      <c r="L135" s="338">
        <v>7.0786808932134598E-2</v>
      </c>
      <c r="M135" s="338">
        <v>6.6494936843186567E-2</v>
      </c>
      <c r="N135" s="338">
        <v>6.6690827429679994E-2</v>
      </c>
      <c r="O135" s="338">
        <v>6.3921624011477343E-2</v>
      </c>
      <c r="P135" s="338">
        <v>5.2853915511826083E-2</v>
      </c>
      <c r="Q135" s="338">
        <v>6.389437764476652E-2</v>
      </c>
      <c r="R135" s="338">
        <v>5.9917336073911358E-2</v>
      </c>
      <c r="S135" s="338">
        <v>7.226421627842701E-2</v>
      </c>
      <c r="T135" s="338">
        <v>6.9974690462429642E-2</v>
      </c>
      <c r="U135" s="338">
        <v>7.1665454916254409E-2</v>
      </c>
    </row>
    <row r="136" spans="2:21" s="34" customFormat="1" x14ac:dyDescent="0.35">
      <c r="B136" s="335" t="s">
        <v>200</v>
      </c>
      <c r="D136" s="277">
        <f>D131+D132+D133+D134</f>
        <v>-42.45000000000001</v>
      </c>
      <c r="E136" s="277">
        <f>E131+E132+E133+E134</f>
        <v>-50.975000000000009</v>
      </c>
      <c r="F136" s="277">
        <f>F131+F132+F133+F134</f>
        <v>-50.975000000000009</v>
      </c>
      <c r="G136" s="277">
        <f>G131+G132+G133+G134</f>
        <v>735.87154422088884</v>
      </c>
      <c r="H136" s="277">
        <f t="shared" ref="H136:U136" si="63">H131+H132+H133+H134</f>
        <v>1588.0871459750701</v>
      </c>
      <c r="I136" s="277">
        <f t="shared" si="63"/>
        <v>2501.3368637541153</v>
      </c>
      <c r="J136" s="277">
        <f t="shared" si="63"/>
        <v>3467.3723788903021</v>
      </c>
      <c r="K136" s="277">
        <f t="shared" si="63"/>
        <v>4485.6658349335457</v>
      </c>
      <c r="L136" s="277">
        <f t="shared" si="63"/>
        <v>5555.6008399115653</v>
      </c>
      <c r="M136" s="277">
        <f t="shared" si="63"/>
        <v>6676.4653614079425</v>
      </c>
      <c r="N136" s="277">
        <f t="shared" si="63"/>
        <v>7849.0602879083062</v>
      </c>
      <c r="O136" s="277">
        <f t="shared" si="63"/>
        <v>9079.7757171193662</v>
      </c>
      <c r="P136" s="277">
        <f t="shared" si="63"/>
        <v>10321.298864467773</v>
      </c>
      <c r="Q136" s="277">
        <f t="shared" si="63"/>
        <v>11500.832244720748</v>
      </c>
      <c r="R136" s="277">
        <f t="shared" si="63"/>
        <v>12629.982932483286</v>
      </c>
      <c r="S136" s="277">
        <f t="shared" si="63"/>
        <v>13692.128350488383</v>
      </c>
      <c r="T136" s="277">
        <f t="shared" si="63"/>
        <v>14684.347603277347</v>
      </c>
      <c r="U136" s="277">
        <f t="shared" si="63"/>
        <v>15605.274539905759</v>
      </c>
    </row>
    <row r="137" spans="2:21" s="34" customFormat="1" ht="8.75" customHeight="1" x14ac:dyDescent="0.35"/>
    <row r="138" spans="2:21" s="34" customFormat="1" ht="25.75" customHeight="1" x14ac:dyDescent="0.35">
      <c r="B138" s="361" t="s">
        <v>235</v>
      </c>
      <c r="C138" s="356" t="s">
        <v>228</v>
      </c>
      <c r="E138" s="356" t="s">
        <v>227</v>
      </c>
      <c r="G138" s="356" t="s">
        <v>229</v>
      </c>
    </row>
    <row r="139" spans="2:21" s="34" customFormat="1" x14ac:dyDescent="0.35">
      <c r="B139" s="34" t="s">
        <v>224</v>
      </c>
      <c r="C139" s="277">
        <f>U68</f>
        <v>1600</v>
      </c>
      <c r="E139" s="357">
        <v>0.1</v>
      </c>
      <c r="G139" s="277">
        <f>C139*E139</f>
        <v>160</v>
      </c>
    </row>
    <row r="140" spans="2:21" s="34" customFormat="1" x14ac:dyDescent="0.35">
      <c r="B140" s="34" t="s">
        <v>8</v>
      </c>
      <c r="C140" s="277">
        <f>U67</f>
        <v>3350</v>
      </c>
      <c r="E140" s="357">
        <v>0.1</v>
      </c>
      <c r="G140" s="277">
        <f>C140*E140</f>
        <v>335</v>
      </c>
    </row>
    <row r="141" spans="2:21" s="34" customFormat="1" x14ac:dyDescent="0.35">
      <c r="B141" s="34" t="s">
        <v>226</v>
      </c>
      <c r="C141" s="277">
        <f>U69</f>
        <v>740</v>
      </c>
      <c r="E141" s="357">
        <v>0</v>
      </c>
      <c r="G141" s="277">
        <f>C141*E141</f>
        <v>0</v>
      </c>
    </row>
    <row r="142" spans="2:21" s="34" customFormat="1" x14ac:dyDescent="0.35">
      <c r="B142" s="34" t="s">
        <v>9</v>
      </c>
      <c r="C142" s="277">
        <f>U70</f>
        <v>15326.249539905753</v>
      </c>
      <c r="E142" s="357">
        <v>1</v>
      </c>
      <c r="G142" s="358">
        <f>C142*E142</f>
        <v>15326.249539905753</v>
      </c>
    </row>
    <row r="143" spans="2:21" s="34" customFormat="1" x14ac:dyDescent="0.35">
      <c r="B143" s="360" t="s">
        <v>236</v>
      </c>
      <c r="C143" s="277"/>
      <c r="G143" s="359">
        <f>SUM(G139:G142)</f>
        <v>15821.249539905753</v>
      </c>
    </row>
    <row r="144" spans="2:21" s="34" customFormat="1" x14ac:dyDescent="0.35">
      <c r="B144" s="34" t="s">
        <v>225</v>
      </c>
      <c r="C144" s="277">
        <f>-U60</f>
        <v>-1200</v>
      </c>
      <c r="E144" s="357">
        <v>1</v>
      </c>
      <c r="G144" s="358">
        <f>C144*E144</f>
        <v>-1200</v>
      </c>
    </row>
    <row r="145" spans="2:21" s="34" customFormat="1" x14ac:dyDescent="0.35">
      <c r="B145" s="360" t="s">
        <v>237</v>
      </c>
      <c r="C145" s="277"/>
      <c r="G145" s="359">
        <f>G143+G144</f>
        <v>14621.249539905753</v>
      </c>
    </row>
    <row r="146" spans="2:21" s="34" customFormat="1" x14ac:dyDescent="0.35"/>
    <row r="147" spans="2:21" s="34" customFormat="1" ht="15" thickBot="1" x14ac:dyDescent="0.4"/>
    <row r="148" spans="2:21" s="34" customFormat="1" ht="17.5" thickBot="1" x14ac:dyDescent="0.4">
      <c r="B148" s="310" t="s">
        <v>238</v>
      </c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2"/>
    </row>
    <row r="149" spans="2:21" s="34" customFormat="1" ht="16" thickBot="1" x14ac:dyDescent="0.4">
      <c r="B149" s="95" t="s">
        <v>109</v>
      </c>
      <c r="C149" s="96">
        <v>2009</v>
      </c>
      <c r="D149" s="96">
        <v>2010</v>
      </c>
      <c r="E149" s="97">
        <v>2011</v>
      </c>
      <c r="F149" s="97">
        <v>2012</v>
      </c>
      <c r="G149" s="97">
        <v>2013</v>
      </c>
      <c r="H149" s="97">
        <v>2014</v>
      </c>
      <c r="I149" s="97">
        <v>2015</v>
      </c>
      <c r="J149" s="97">
        <v>2016</v>
      </c>
      <c r="K149" s="97">
        <v>2017</v>
      </c>
      <c r="L149" s="97">
        <v>2018</v>
      </c>
      <c r="M149" s="97">
        <v>2019</v>
      </c>
      <c r="N149" s="97">
        <v>2020</v>
      </c>
      <c r="O149" s="97">
        <v>2021</v>
      </c>
      <c r="P149" s="97">
        <v>2022</v>
      </c>
      <c r="Q149" s="97">
        <v>2023</v>
      </c>
      <c r="R149" s="97">
        <v>2024</v>
      </c>
      <c r="S149" s="97">
        <v>2025</v>
      </c>
      <c r="T149" s="97">
        <v>2026</v>
      </c>
      <c r="U149" s="98">
        <v>2027</v>
      </c>
    </row>
    <row r="150" spans="2:21" s="34" customFormat="1" ht="15.5" x14ac:dyDescent="0.35">
      <c r="B150" s="355" t="s">
        <v>247</v>
      </c>
      <c r="C150" s="198"/>
      <c r="D150" s="198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200"/>
    </row>
    <row r="151" spans="2:21" ht="15.5" x14ac:dyDescent="0.35">
      <c r="B151" s="103" t="s">
        <v>87</v>
      </c>
      <c r="C151" s="202"/>
      <c r="D151" s="202">
        <f t="shared" ref="D151:U151" si="64">D77</f>
        <v>0</v>
      </c>
      <c r="E151" s="202">
        <f t="shared" si="64"/>
        <v>0</v>
      </c>
      <c r="F151" s="202">
        <f t="shared" si="64"/>
        <v>0</v>
      </c>
      <c r="G151" s="202">
        <f t="shared" si="64"/>
        <v>864.44032657105595</v>
      </c>
      <c r="H151" s="202">
        <f t="shared" si="64"/>
        <v>927.51140929558358</v>
      </c>
      <c r="I151" s="202">
        <f t="shared" si="64"/>
        <v>990.62440369781871</v>
      </c>
      <c r="J151" s="202">
        <f t="shared" si="64"/>
        <v>1041.502327252286</v>
      </c>
      <c r="K151" s="202">
        <f t="shared" si="64"/>
        <v>1098.137184778242</v>
      </c>
      <c r="L151" s="202">
        <f t="shared" si="64"/>
        <v>1151.4419029592489</v>
      </c>
      <c r="M151" s="202">
        <f t="shared" si="64"/>
        <v>1200.7053477631648</v>
      </c>
      <c r="N151" s="202">
        <f t="shared" si="64"/>
        <v>1256.3842303950087</v>
      </c>
      <c r="O151" s="202">
        <f t="shared" si="64"/>
        <v>1314.7568203478609</v>
      </c>
      <c r="P151" s="202">
        <f t="shared" si="64"/>
        <v>1310.804286351783</v>
      </c>
      <c r="Q151" s="202">
        <f t="shared" si="64"/>
        <v>1260.0430465157117</v>
      </c>
      <c r="R151" s="202">
        <f t="shared" si="64"/>
        <v>1201.1185091392285</v>
      </c>
      <c r="S151" s="202">
        <f t="shared" si="64"/>
        <v>1144.8792173827164</v>
      </c>
      <c r="T151" s="202">
        <f t="shared" si="64"/>
        <v>1066.8733878676035</v>
      </c>
      <c r="U151" s="203">
        <f t="shared" si="64"/>
        <v>992.02053990712363</v>
      </c>
    </row>
    <row r="152" spans="2:21" ht="15.5" x14ac:dyDescent="0.35">
      <c r="B152" s="103" t="s">
        <v>30</v>
      </c>
      <c r="C152" s="202"/>
      <c r="D152" s="202"/>
      <c r="E152" s="202"/>
      <c r="F152" s="202"/>
      <c r="G152" s="202">
        <f t="shared" ref="G152:U152" si="65">G78</f>
        <v>680</v>
      </c>
      <c r="H152" s="202">
        <f t="shared" si="65"/>
        <v>680</v>
      </c>
      <c r="I152" s="202">
        <f t="shared" si="65"/>
        <v>680</v>
      </c>
      <c r="J152" s="202">
        <f t="shared" si="65"/>
        <v>680</v>
      </c>
      <c r="K152" s="202">
        <f t="shared" si="65"/>
        <v>680</v>
      </c>
      <c r="L152" s="202">
        <f t="shared" si="65"/>
        <v>680</v>
      </c>
      <c r="M152" s="202">
        <f t="shared" si="65"/>
        <v>680</v>
      </c>
      <c r="N152" s="202">
        <f t="shared" si="65"/>
        <v>680</v>
      </c>
      <c r="O152" s="202">
        <f t="shared" si="65"/>
        <v>680</v>
      </c>
      <c r="P152" s="202">
        <f t="shared" si="65"/>
        <v>680</v>
      </c>
      <c r="Q152" s="202">
        <f t="shared" si="65"/>
        <v>680</v>
      </c>
      <c r="R152" s="202">
        <f t="shared" si="65"/>
        <v>680</v>
      </c>
      <c r="S152" s="202">
        <f t="shared" si="65"/>
        <v>680</v>
      </c>
      <c r="T152" s="202">
        <f t="shared" si="65"/>
        <v>680</v>
      </c>
      <c r="U152" s="203">
        <f t="shared" si="65"/>
        <v>680</v>
      </c>
    </row>
    <row r="153" spans="2:21" ht="15.5" x14ac:dyDescent="0.35">
      <c r="B153" s="103" t="s">
        <v>184</v>
      </c>
      <c r="C153" s="202"/>
      <c r="D153" s="202">
        <f t="shared" ref="D153:F153" si="66">D79</f>
        <v>-3460</v>
      </c>
      <c r="E153" s="202">
        <f t="shared" si="66"/>
        <v>-5520</v>
      </c>
      <c r="F153" s="202">
        <f t="shared" si="66"/>
        <v>-4570</v>
      </c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3"/>
    </row>
    <row r="154" spans="2:21" ht="15.5" x14ac:dyDescent="0.35">
      <c r="B154" s="103" t="s">
        <v>257</v>
      </c>
      <c r="C154" s="202"/>
      <c r="D154" s="202"/>
      <c r="E154" s="202"/>
      <c r="F154" s="202">
        <f>-13860-D153-E153-F153</f>
        <v>-310</v>
      </c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3"/>
    </row>
    <row r="155" spans="2:21" ht="15.5" x14ac:dyDescent="0.35">
      <c r="B155" s="103" t="s">
        <v>230</v>
      </c>
      <c r="C155" s="202"/>
      <c r="D155" s="202"/>
      <c r="E155" s="202"/>
      <c r="F155" s="202"/>
      <c r="G155" s="202">
        <f t="shared" ref="G155:U155" si="67">G80</f>
        <v>-1240</v>
      </c>
      <c r="H155" s="202">
        <f t="shared" si="67"/>
        <v>-10</v>
      </c>
      <c r="I155" s="202">
        <f t="shared" si="67"/>
        <v>-30</v>
      </c>
      <c r="J155" s="202">
        <f t="shared" si="67"/>
        <v>-20</v>
      </c>
      <c r="K155" s="202">
        <f t="shared" si="67"/>
        <v>-20</v>
      </c>
      <c r="L155" s="202">
        <f t="shared" si="67"/>
        <v>-30</v>
      </c>
      <c r="M155" s="202">
        <f t="shared" si="67"/>
        <v>-20</v>
      </c>
      <c r="N155" s="202">
        <f t="shared" si="67"/>
        <v>-30</v>
      </c>
      <c r="O155" s="202">
        <f t="shared" si="67"/>
        <v>-30</v>
      </c>
      <c r="P155" s="202">
        <f t="shared" si="67"/>
        <v>-20</v>
      </c>
      <c r="Q155" s="202">
        <f t="shared" si="67"/>
        <v>-30</v>
      </c>
      <c r="R155" s="202">
        <f t="shared" si="67"/>
        <v>-30</v>
      </c>
      <c r="S155" s="202">
        <f t="shared" si="67"/>
        <v>-30</v>
      </c>
      <c r="T155" s="202">
        <f t="shared" si="67"/>
        <v>-30</v>
      </c>
      <c r="U155" s="203">
        <f t="shared" si="67"/>
        <v>-30</v>
      </c>
    </row>
    <row r="156" spans="2:21" ht="15.5" x14ac:dyDescent="0.35">
      <c r="B156" s="103" t="s">
        <v>231</v>
      </c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>
        <f t="shared" ref="N156:U157" si="68">N81</f>
        <v>-10</v>
      </c>
      <c r="O156" s="202">
        <f t="shared" si="68"/>
        <v>-40</v>
      </c>
      <c r="P156" s="202">
        <f t="shared" si="68"/>
        <v>-70</v>
      </c>
      <c r="Q156" s="202">
        <f t="shared" si="68"/>
        <v>-90</v>
      </c>
      <c r="R156" s="202">
        <f t="shared" si="68"/>
        <v>-110</v>
      </c>
      <c r="S156" s="202">
        <f t="shared" si="68"/>
        <v>-130</v>
      </c>
      <c r="T156" s="202">
        <f t="shared" si="68"/>
        <v>-140</v>
      </c>
      <c r="U156" s="203">
        <f t="shared" si="68"/>
        <v>-150</v>
      </c>
    </row>
    <row r="157" spans="2:21" ht="15.5" x14ac:dyDescent="0.35">
      <c r="B157" s="103" t="s">
        <v>145</v>
      </c>
      <c r="C157" s="202"/>
      <c r="D157" s="202"/>
      <c r="E157" s="202"/>
      <c r="F157" s="202"/>
      <c r="G157" s="202">
        <f t="shared" ref="G157:M157" si="69">G82</f>
        <v>1178.5999999999999</v>
      </c>
      <c r="H157" s="202">
        <f t="shared" si="69"/>
        <v>1049.8666666666668</v>
      </c>
      <c r="I157" s="202">
        <f t="shared" si="69"/>
        <v>922.33333333333337</v>
      </c>
      <c r="J157" s="202">
        <f t="shared" si="69"/>
        <v>795.4</v>
      </c>
      <c r="K157" s="202">
        <f t="shared" si="69"/>
        <v>667.86666666666656</v>
      </c>
      <c r="L157" s="202">
        <f t="shared" si="69"/>
        <v>540.33333333333326</v>
      </c>
      <c r="M157" s="202">
        <f t="shared" si="69"/>
        <v>413.39999999999981</v>
      </c>
      <c r="N157" s="202">
        <f t="shared" si="68"/>
        <v>286.46666666666647</v>
      </c>
      <c r="O157" s="202">
        <f t="shared" si="68"/>
        <v>175.69999999999976</v>
      </c>
      <c r="P157" s="202">
        <f t="shared" si="68"/>
        <v>129.59999999999977</v>
      </c>
      <c r="Q157" s="202">
        <f t="shared" si="68"/>
        <v>131.99999999999977</v>
      </c>
      <c r="R157" s="202">
        <f t="shared" si="68"/>
        <v>134.39999999999978</v>
      </c>
      <c r="S157" s="202">
        <f t="shared" si="68"/>
        <v>137.39999999999978</v>
      </c>
      <c r="T157" s="202">
        <f t="shared" si="68"/>
        <v>140.39999999999978</v>
      </c>
      <c r="U157" s="203">
        <f t="shared" si="68"/>
        <v>142.79999999999976</v>
      </c>
    </row>
    <row r="158" spans="2:21" ht="15.5" x14ac:dyDescent="0.35">
      <c r="B158" s="374" t="s">
        <v>248</v>
      </c>
      <c r="C158" s="307"/>
      <c r="D158" s="307">
        <f>SUM(D151:D157)</f>
        <v>-3460</v>
      </c>
      <c r="E158" s="307">
        <f t="shared" ref="E158:U158" si="70">SUM(E151:E157)</f>
        <v>-5520</v>
      </c>
      <c r="F158" s="307">
        <f t="shared" si="70"/>
        <v>-4880</v>
      </c>
      <c r="G158" s="307">
        <f t="shared" si="70"/>
        <v>1483.0403265710559</v>
      </c>
      <c r="H158" s="307">
        <f t="shared" si="70"/>
        <v>2647.3780759622505</v>
      </c>
      <c r="I158" s="307">
        <f t="shared" si="70"/>
        <v>2562.9577370311522</v>
      </c>
      <c r="J158" s="307">
        <f t="shared" si="70"/>
        <v>2496.9023272522859</v>
      </c>
      <c r="K158" s="307">
        <f t="shared" si="70"/>
        <v>2426.0038514449088</v>
      </c>
      <c r="L158" s="307">
        <f t="shared" si="70"/>
        <v>2341.7752362925821</v>
      </c>
      <c r="M158" s="307">
        <f t="shared" si="70"/>
        <v>2274.1053477631644</v>
      </c>
      <c r="N158" s="307">
        <f t="shared" si="70"/>
        <v>2182.8508970616749</v>
      </c>
      <c r="O158" s="307">
        <f t="shared" si="70"/>
        <v>2100.4568203478607</v>
      </c>
      <c r="P158" s="307">
        <f t="shared" si="70"/>
        <v>2030.4042863517827</v>
      </c>
      <c r="Q158" s="307">
        <f t="shared" si="70"/>
        <v>1952.0430465157115</v>
      </c>
      <c r="R158" s="307">
        <f t="shared" si="70"/>
        <v>1875.5185091392284</v>
      </c>
      <c r="S158" s="307">
        <f t="shared" si="70"/>
        <v>1802.2792173827163</v>
      </c>
      <c r="T158" s="307">
        <f t="shared" si="70"/>
        <v>1717.2733878676033</v>
      </c>
      <c r="U158" s="308">
        <f t="shared" si="70"/>
        <v>1634.8205399071235</v>
      </c>
    </row>
    <row r="159" spans="2:21" s="34" customFormat="1" ht="15.5" x14ac:dyDescent="0.35">
      <c r="B159" s="107" t="s">
        <v>307</v>
      </c>
      <c r="C159" s="204"/>
      <c r="D159" s="204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3">
        <f>G143</f>
        <v>15821.249539905753</v>
      </c>
    </row>
    <row r="160" spans="2:21" s="34" customFormat="1" ht="16" thickBot="1" x14ac:dyDescent="0.4">
      <c r="B160" s="123" t="s">
        <v>249</v>
      </c>
      <c r="C160" s="216"/>
      <c r="D160" s="363">
        <f t="shared" ref="D160:S160" si="71">D158+D159</f>
        <v>-3460</v>
      </c>
      <c r="E160" s="363">
        <f t="shared" si="71"/>
        <v>-5520</v>
      </c>
      <c r="F160" s="363">
        <f t="shared" si="71"/>
        <v>-4880</v>
      </c>
      <c r="G160" s="363">
        <f t="shared" si="71"/>
        <v>1483.0403265710559</v>
      </c>
      <c r="H160" s="363">
        <f t="shared" si="71"/>
        <v>2647.3780759622505</v>
      </c>
      <c r="I160" s="363">
        <f t="shared" si="71"/>
        <v>2562.9577370311522</v>
      </c>
      <c r="J160" s="363">
        <f t="shared" si="71"/>
        <v>2496.9023272522859</v>
      </c>
      <c r="K160" s="363">
        <f t="shared" si="71"/>
        <v>2426.0038514449088</v>
      </c>
      <c r="L160" s="363">
        <f t="shared" si="71"/>
        <v>2341.7752362925821</v>
      </c>
      <c r="M160" s="363">
        <f t="shared" si="71"/>
        <v>2274.1053477631644</v>
      </c>
      <c r="N160" s="363">
        <f t="shared" si="71"/>
        <v>2182.8508970616749</v>
      </c>
      <c r="O160" s="363">
        <f t="shared" si="71"/>
        <v>2100.4568203478607</v>
      </c>
      <c r="P160" s="363">
        <f t="shared" si="71"/>
        <v>2030.4042863517827</v>
      </c>
      <c r="Q160" s="363">
        <f t="shared" si="71"/>
        <v>1952.0430465157115</v>
      </c>
      <c r="R160" s="363">
        <f t="shared" si="71"/>
        <v>1875.5185091392284</v>
      </c>
      <c r="S160" s="363">
        <f t="shared" si="71"/>
        <v>1802.2792173827163</v>
      </c>
      <c r="T160" s="363">
        <f>T158+T159</f>
        <v>1717.2733878676033</v>
      </c>
      <c r="U160" s="364">
        <f>U158+U159</f>
        <v>17456.070079812878</v>
      </c>
    </row>
    <row r="161" spans="2:24" s="34" customFormat="1" ht="7.5" customHeight="1" x14ac:dyDescent="0.35">
      <c r="B161" s="369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2:24" s="34" customFormat="1" ht="15.5" x14ac:dyDescent="0.35">
      <c r="B162" s="370" t="s">
        <v>242</v>
      </c>
      <c r="C162" s="371">
        <f>IRR(D160:U160)</f>
        <v>0.13972612887676128</v>
      </c>
      <c r="D162" s="418">
        <f>C162/C162</f>
        <v>1</v>
      </c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</row>
    <row r="163" spans="2:24" s="34" customFormat="1" ht="15.5" x14ac:dyDescent="0.35">
      <c r="B163" s="372" t="s">
        <v>243</v>
      </c>
      <c r="C163" s="373">
        <f>IRR(D158:U158)</f>
        <v>0.11382279987287136</v>
      </c>
      <c r="D163" s="419">
        <f>C163/C162</f>
        <v>0.81461356431955034</v>
      </c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</row>
    <row r="164" spans="2:24" s="34" customFormat="1" ht="15.5" x14ac:dyDescent="0.35">
      <c r="B164" s="372" t="s">
        <v>244</v>
      </c>
      <c r="C164" s="373">
        <f>C162-C163</f>
        <v>2.5903329003889919E-2</v>
      </c>
      <c r="D164" s="419">
        <f>C164/C162</f>
        <v>0.18538643568044963</v>
      </c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</row>
    <row r="165" spans="2:24" s="34" customFormat="1" ht="15" thickBot="1" x14ac:dyDescent="0.4"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</row>
    <row r="166" spans="2:24" s="34" customFormat="1" ht="17.5" thickBot="1" x14ac:dyDescent="0.4">
      <c r="B166" s="310" t="s">
        <v>239</v>
      </c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2"/>
    </row>
    <row r="167" spans="2:24" s="34" customFormat="1" ht="16" thickBot="1" x14ac:dyDescent="0.4">
      <c r="B167" s="95" t="s">
        <v>109</v>
      </c>
      <c r="C167" s="96">
        <v>2009</v>
      </c>
      <c r="D167" s="96">
        <v>2010</v>
      </c>
      <c r="E167" s="97">
        <v>2011</v>
      </c>
      <c r="F167" s="97">
        <v>2012</v>
      </c>
      <c r="G167" s="97">
        <v>2013</v>
      </c>
      <c r="H167" s="97">
        <v>2014</v>
      </c>
      <c r="I167" s="97">
        <v>2015</v>
      </c>
      <c r="J167" s="97">
        <v>2016</v>
      </c>
      <c r="K167" s="97">
        <v>2017</v>
      </c>
      <c r="L167" s="97">
        <v>2018</v>
      </c>
      <c r="M167" s="97">
        <v>2019</v>
      </c>
      <c r="N167" s="97">
        <v>2020</v>
      </c>
      <c r="O167" s="97">
        <v>2021</v>
      </c>
      <c r="P167" s="97">
        <v>2022</v>
      </c>
      <c r="Q167" s="97">
        <v>2023</v>
      </c>
      <c r="R167" s="97">
        <v>2024</v>
      </c>
      <c r="S167" s="97">
        <v>2025</v>
      </c>
      <c r="T167" s="97">
        <v>2026</v>
      </c>
      <c r="U167" s="98">
        <v>2027</v>
      </c>
    </row>
    <row r="168" spans="2:24" s="34" customFormat="1" ht="15.5" x14ac:dyDescent="0.35">
      <c r="B168" s="355" t="s">
        <v>247</v>
      </c>
      <c r="C168" s="198"/>
      <c r="D168" s="198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200"/>
    </row>
    <row r="169" spans="2:24" s="134" customFormat="1" ht="15.5" x14ac:dyDescent="0.35">
      <c r="B169" s="103" t="s">
        <v>248</v>
      </c>
      <c r="C169" s="201"/>
      <c r="D169" s="201">
        <f t="shared" ref="D169:U169" si="72">D158</f>
        <v>-3460</v>
      </c>
      <c r="E169" s="201">
        <f t="shared" si="72"/>
        <v>-5520</v>
      </c>
      <c r="F169" s="201">
        <f t="shared" si="72"/>
        <v>-4880</v>
      </c>
      <c r="G169" s="201">
        <f t="shared" si="72"/>
        <v>1483.0403265710559</v>
      </c>
      <c r="H169" s="201">
        <f t="shared" si="72"/>
        <v>2647.3780759622505</v>
      </c>
      <c r="I169" s="201">
        <f t="shared" si="72"/>
        <v>2562.9577370311522</v>
      </c>
      <c r="J169" s="201">
        <f t="shared" si="72"/>
        <v>2496.9023272522859</v>
      </c>
      <c r="K169" s="201">
        <f t="shared" si="72"/>
        <v>2426.0038514449088</v>
      </c>
      <c r="L169" s="201">
        <f t="shared" si="72"/>
        <v>2341.7752362925821</v>
      </c>
      <c r="M169" s="201">
        <f t="shared" si="72"/>
        <v>2274.1053477631644</v>
      </c>
      <c r="N169" s="201">
        <f t="shared" si="72"/>
        <v>2182.8508970616749</v>
      </c>
      <c r="O169" s="201">
        <f t="shared" si="72"/>
        <v>2100.4568203478607</v>
      </c>
      <c r="P169" s="201">
        <f t="shared" si="72"/>
        <v>2030.4042863517827</v>
      </c>
      <c r="Q169" s="201">
        <f t="shared" si="72"/>
        <v>1952.0430465157115</v>
      </c>
      <c r="R169" s="201">
        <f t="shared" si="72"/>
        <v>1875.5185091392284</v>
      </c>
      <c r="S169" s="201">
        <f t="shared" si="72"/>
        <v>1802.2792173827163</v>
      </c>
      <c r="T169" s="201">
        <f t="shared" si="72"/>
        <v>1717.2733878676033</v>
      </c>
      <c r="U169" s="203">
        <f t="shared" si="72"/>
        <v>1634.8205399071235</v>
      </c>
    </row>
    <row r="170" spans="2:24" s="34" customFormat="1" ht="15.5" x14ac:dyDescent="0.35">
      <c r="B170" s="355" t="s">
        <v>254</v>
      </c>
      <c r="C170" s="198"/>
      <c r="D170" s="198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200"/>
    </row>
    <row r="171" spans="2:24" ht="15.5" x14ac:dyDescent="0.35">
      <c r="B171" s="103" t="s">
        <v>190</v>
      </c>
      <c r="C171" s="202"/>
      <c r="D171" s="202">
        <f>D86</f>
        <v>2420.0000000000005</v>
      </c>
      <c r="E171" s="202">
        <f t="shared" ref="E171:F171" si="73">E86</f>
        <v>3870.0000000000009</v>
      </c>
      <c r="F171" s="202">
        <f t="shared" si="73"/>
        <v>3410.0000000000005</v>
      </c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3"/>
      <c r="W171" s="408">
        <f>SUM(D171:F171)</f>
        <v>9700.0000000000018</v>
      </c>
      <c r="X171" t="s">
        <v>305</v>
      </c>
    </row>
    <row r="172" spans="2:24" ht="15.5" x14ac:dyDescent="0.35">
      <c r="B172" s="103" t="s">
        <v>241</v>
      </c>
      <c r="C172" s="202"/>
      <c r="D172" s="202"/>
      <c r="E172" s="202"/>
      <c r="F172" s="202"/>
      <c r="G172" s="202">
        <f t="shared" ref="G172:P172" si="74">G87</f>
        <v>-1077.7777777777781</v>
      </c>
      <c r="H172" s="202">
        <f t="shared" si="74"/>
        <v>-1077.7777777777781</v>
      </c>
      <c r="I172" s="202">
        <f t="shared" si="74"/>
        <v>-1077.7777777777781</v>
      </c>
      <c r="J172" s="202">
        <f t="shared" si="74"/>
        <v>-1077.7777777777781</v>
      </c>
      <c r="K172" s="202">
        <f t="shared" si="74"/>
        <v>-1077.7777777777781</v>
      </c>
      <c r="L172" s="202">
        <f t="shared" si="74"/>
        <v>-1077.7777777777781</v>
      </c>
      <c r="M172" s="202">
        <f t="shared" si="74"/>
        <v>-1077.7777777777781</v>
      </c>
      <c r="N172" s="202">
        <f t="shared" si="74"/>
        <v>-1077.7777777777781</v>
      </c>
      <c r="O172" s="202">
        <f t="shared" si="74"/>
        <v>-808.33333333333348</v>
      </c>
      <c r="P172" s="202">
        <f t="shared" si="74"/>
        <v>0</v>
      </c>
      <c r="Q172" s="202"/>
      <c r="R172" s="202"/>
      <c r="S172" s="202"/>
      <c r="T172" s="202"/>
      <c r="U172" s="203"/>
      <c r="W172" s="276">
        <f>R4</f>
        <v>0.69985569985569995</v>
      </c>
      <c r="X172" t="s">
        <v>116</v>
      </c>
    </row>
    <row r="173" spans="2:24" ht="15.5" x14ac:dyDescent="0.35">
      <c r="B173" s="103" t="s">
        <v>186</v>
      </c>
      <c r="C173" s="339"/>
      <c r="D173" s="202"/>
      <c r="E173" s="202"/>
      <c r="F173" s="202"/>
      <c r="G173" s="202">
        <f>G88</f>
        <v>930</v>
      </c>
      <c r="H173" s="202">
        <f t="shared" ref="H173:T173" si="75">H88</f>
        <v>10</v>
      </c>
      <c r="I173" s="202">
        <f t="shared" si="75"/>
        <v>20</v>
      </c>
      <c r="J173" s="202">
        <f t="shared" si="75"/>
        <v>20</v>
      </c>
      <c r="K173" s="202">
        <f t="shared" si="75"/>
        <v>10</v>
      </c>
      <c r="L173" s="202">
        <f t="shared" si="75"/>
        <v>20</v>
      </c>
      <c r="M173" s="202">
        <f t="shared" si="75"/>
        <v>20</v>
      </c>
      <c r="N173" s="202">
        <f t="shared" si="75"/>
        <v>20</v>
      </c>
      <c r="O173" s="202">
        <f t="shared" si="75"/>
        <v>20</v>
      </c>
      <c r="P173" s="202">
        <f t="shared" si="75"/>
        <v>20</v>
      </c>
      <c r="Q173" s="202">
        <f t="shared" si="75"/>
        <v>20</v>
      </c>
      <c r="R173" s="202">
        <f t="shared" si="75"/>
        <v>20</v>
      </c>
      <c r="S173" s="202">
        <f t="shared" si="75"/>
        <v>30</v>
      </c>
      <c r="T173" s="202">
        <f t="shared" si="75"/>
        <v>20</v>
      </c>
      <c r="U173" s="203">
        <f>U88</f>
        <v>20</v>
      </c>
      <c r="V173" s="284"/>
    </row>
    <row r="174" spans="2:24" ht="15.5" x14ac:dyDescent="0.35">
      <c r="B174" s="103" t="s">
        <v>240</v>
      </c>
      <c r="C174" s="339"/>
      <c r="D174" s="202"/>
      <c r="E174" s="202"/>
      <c r="F174" s="202"/>
      <c r="G174" s="202">
        <f>G89</f>
        <v>0</v>
      </c>
      <c r="H174" s="202">
        <f t="shared" ref="H174:T174" si="76">H89</f>
        <v>0</v>
      </c>
      <c r="I174" s="202">
        <f t="shared" si="76"/>
        <v>0</v>
      </c>
      <c r="J174" s="202">
        <f t="shared" si="76"/>
        <v>0</v>
      </c>
      <c r="K174" s="202">
        <f t="shared" si="76"/>
        <v>0</v>
      </c>
      <c r="L174" s="202">
        <f t="shared" si="76"/>
        <v>0</v>
      </c>
      <c r="M174" s="202">
        <f t="shared" si="76"/>
        <v>0</v>
      </c>
      <c r="N174" s="202">
        <f t="shared" si="76"/>
        <v>0</v>
      </c>
      <c r="O174" s="202">
        <f t="shared" si="76"/>
        <v>0</v>
      </c>
      <c r="P174" s="202">
        <f t="shared" si="76"/>
        <v>0</v>
      </c>
      <c r="Q174" s="202">
        <f t="shared" si="76"/>
        <v>0</v>
      </c>
      <c r="R174" s="202">
        <f t="shared" si="76"/>
        <v>0</v>
      </c>
      <c r="S174" s="202">
        <f t="shared" si="76"/>
        <v>0</v>
      </c>
      <c r="T174" s="202">
        <f t="shared" si="76"/>
        <v>0</v>
      </c>
      <c r="U174" s="203">
        <f>U89</f>
        <v>0</v>
      </c>
      <c r="V174" s="284"/>
    </row>
    <row r="175" spans="2:24" ht="15.5" x14ac:dyDescent="0.35">
      <c r="B175" s="103" t="s">
        <v>145</v>
      </c>
      <c r="C175" s="202"/>
      <c r="D175" s="202">
        <f>D133</f>
        <v>-42.45000000000001</v>
      </c>
      <c r="E175" s="202">
        <f>E133</f>
        <v>-8.5250000000000021</v>
      </c>
      <c r="F175" s="202">
        <f>F133</f>
        <v>0</v>
      </c>
      <c r="G175" s="202">
        <f>G90</f>
        <v>-1178.5999999999999</v>
      </c>
      <c r="H175" s="202">
        <f t="shared" ref="H175:T175" si="77">H90</f>
        <v>-1049.8666666666668</v>
      </c>
      <c r="I175" s="202">
        <f t="shared" si="77"/>
        <v>-922.33333333333337</v>
      </c>
      <c r="J175" s="202">
        <f t="shared" si="77"/>
        <v>-795.4</v>
      </c>
      <c r="K175" s="202">
        <f t="shared" si="77"/>
        <v>-667.86666666666656</v>
      </c>
      <c r="L175" s="202">
        <f t="shared" si="77"/>
        <v>-540.33333333333326</v>
      </c>
      <c r="M175" s="202">
        <f t="shared" si="77"/>
        <v>-413.39999999999981</v>
      </c>
      <c r="N175" s="202">
        <f t="shared" si="77"/>
        <v>-286.46666666666647</v>
      </c>
      <c r="O175" s="202">
        <f t="shared" si="77"/>
        <v>-175.69999999999976</v>
      </c>
      <c r="P175" s="202">
        <f t="shared" si="77"/>
        <v>-129.59999999999977</v>
      </c>
      <c r="Q175" s="202">
        <f t="shared" si="77"/>
        <v>-131.99999999999977</v>
      </c>
      <c r="R175" s="202">
        <f t="shared" si="77"/>
        <v>-134.39999999999978</v>
      </c>
      <c r="S175" s="202">
        <f t="shared" si="77"/>
        <v>-137.39999999999978</v>
      </c>
      <c r="T175" s="202">
        <f t="shared" si="77"/>
        <v>-140.39999999999978</v>
      </c>
      <c r="U175" s="203">
        <f>U90</f>
        <v>-142.79999999999976</v>
      </c>
    </row>
    <row r="176" spans="2:24" ht="5.75" customHeight="1" thickBot="1" x14ac:dyDescent="0.4">
      <c r="B176" s="123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</row>
    <row r="177" spans="2:24" s="34" customFormat="1" ht="15.5" x14ac:dyDescent="0.35">
      <c r="B177" s="119" t="s">
        <v>253</v>
      </c>
      <c r="C177" s="213"/>
      <c r="D177" s="362">
        <f t="shared" ref="D177:U177" si="78">SUM(D169:D175)</f>
        <v>-1082.4499999999996</v>
      </c>
      <c r="E177" s="362">
        <f t="shared" si="78"/>
        <v>-1658.5249999999992</v>
      </c>
      <c r="F177" s="362">
        <f t="shared" si="78"/>
        <v>-1469.9999999999995</v>
      </c>
      <c r="G177" s="362">
        <f t="shared" si="78"/>
        <v>156.66254879327789</v>
      </c>
      <c r="H177" s="362">
        <f t="shared" si="78"/>
        <v>529.73363151780563</v>
      </c>
      <c r="I177" s="362">
        <f t="shared" si="78"/>
        <v>582.84662592004076</v>
      </c>
      <c r="J177" s="362">
        <f t="shared" si="78"/>
        <v>643.72454947450785</v>
      </c>
      <c r="K177" s="362">
        <f t="shared" si="78"/>
        <v>690.35940700046422</v>
      </c>
      <c r="L177" s="362">
        <f t="shared" si="78"/>
        <v>743.66412518147081</v>
      </c>
      <c r="M177" s="362">
        <f t="shared" si="78"/>
        <v>802.92756998538653</v>
      </c>
      <c r="N177" s="362">
        <f t="shared" si="78"/>
        <v>838.60645261723039</v>
      </c>
      <c r="O177" s="362">
        <f t="shared" si="78"/>
        <v>1136.4234870145274</v>
      </c>
      <c r="P177" s="362">
        <f t="shared" si="78"/>
        <v>1920.8042863517828</v>
      </c>
      <c r="Q177" s="362">
        <f t="shared" si="78"/>
        <v>1840.0430465157117</v>
      </c>
      <c r="R177" s="362">
        <f t="shared" si="78"/>
        <v>1761.1185091392285</v>
      </c>
      <c r="S177" s="362">
        <f t="shared" si="78"/>
        <v>1694.8792173827164</v>
      </c>
      <c r="T177" s="362">
        <f t="shared" si="78"/>
        <v>1596.8733878676035</v>
      </c>
      <c r="U177" s="365">
        <f t="shared" si="78"/>
        <v>1512.0205399071237</v>
      </c>
      <c r="W177" s="277">
        <f>-Q6+D175+E175</f>
        <v>-4210.9749999999985</v>
      </c>
      <c r="X177" s="34" t="s">
        <v>306</v>
      </c>
    </row>
    <row r="178" spans="2:24" s="34" customFormat="1" ht="15.5" x14ac:dyDescent="0.35">
      <c r="B178" s="107" t="s">
        <v>308</v>
      </c>
      <c r="C178" s="204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3">
        <f>G145</f>
        <v>14621.249539905753</v>
      </c>
      <c r="W178" s="277">
        <f>D177+E177+F177</f>
        <v>-4210.9749999999985</v>
      </c>
    </row>
    <row r="179" spans="2:24" s="34" customFormat="1" ht="16" thickBot="1" x14ac:dyDescent="0.4">
      <c r="B179" s="123" t="s">
        <v>250</v>
      </c>
      <c r="C179" s="216"/>
      <c r="D179" s="363">
        <f t="shared" ref="D179:S179" si="79">D177+D178</f>
        <v>-1082.4499999999996</v>
      </c>
      <c r="E179" s="363">
        <f t="shared" si="79"/>
        <v>-1658.5249999999992</v>
      </c>
      <c r="F179" s="363">
        <f t="shared" si="79"/>
        <v>-1469.9999999999995</v>
      </c>
      <c r="G179" s="363">
        <f t="shared" si="79"/>
        <v>156.66254879327789</v>
      </c>
      <c r="H179" s="363">
        <f t="shared" si="79"/>
        <v>529.73363151780563</v>
      </c>
      <c r="I179" s="363">
        <f t="shared" si="79"/>
        <v>582.84662592004076</v>
      </c>
      <c r="J179" s="363">
        <f t="shared" si="79"/>
        <v>643.72454947450785</v>
      </c>
      <c r="K179" s="363">
        <f t="shared" si="79"/>
        <v>690.35940700046422</v>
      </c>
      <c r="L179" s="363">
        <f t="shared" si="79"/>
        <v>743.66412518147081</v>
      </c>
      <c r="M179" s="363">
        <f t="shared" si="79"/>
        <v>802.92756998538653</v>
      </c>
      <c r="N179" s="363">
        <f t="shared" si="79"/>
        <v>838.60645261723039</v>
      </c>
      <c r="O179" s="363">
        <f t="shared" si="79"/>
        <v>1136.4234870145274</v>
      </c>
      <c r="P179" s="363">
        <f t="shared" si="79"/>
        <v>1920.8042863517828</v>
      </c>
      <c r="Q179" s="363">
        <f t="shared" si="79"/>
        <v>1840.0430465157117</v>
      </c>
      <c r="R179" s="363">
        <f t="shared" si="79"/>
        <v>1761.1185091392285</v>
      </c>
      <c r="S179" s="363">
        <f t="shared" si="79"/>
        <v>1694.8792173827164</v>
      </c>
      <c r="T179" s="363">
        <f>T177+T178</f>
        <v>1596.8733878676035</v>
      </c>
      <c r="U179" s="364">
        <f>U177+U178</f>
        <v>16133.270079812877</v>
      </c>
    </row>
    <row r="180" spans="2:24" s="34" customFormat="1" ht="7.5" customHeight="1" x14ac:dyDescent="0.35">
      <c r="B180" s="369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</row>
    <row r="181" spans="2:24" s="34" customFormat="1" ht="15.5" x14ac:dyDescent="0.35">
      <c r="B181" s="370" t="s">
        <v>242</v>
      </c>
      <c r="C181" s="371">
        <f>IRR(D179:U179)</f>
        <v>0.18422444202054589</v>
      </c>
      <c r="D181" s="418">
        <f>C181/C181</f>
        <v>1</v>
      </c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</row>
    <row r="182" spans="2:24" s="34" customFormat="1" ht="15.5" x14ac:dyDescent="0.35">
      <c r="B182" s="372" t="s">
        <v>243</v>
      </c>
      <c r="C182" s="373">
        <f>IRR(D177:U177)</f>
        <v>0.14807227810989065</v>
      </c>
      <c r="D182" s="419">
        <f>C182/C181</f>
        <v>0.80376022033697725</v>
      </c>
      <c r="E182" s="367"/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</row>
    <row r="183" spans="2:24" s="34" customFormat="1" ht="15.5" x14ac:dyDescent="0.35">
      <c r="B183" s="372" t="s">
        <v>244</v>
      </c>
      <c r="C183" s="373">
        <f>C181-C182</f>
        <v>3.6152163910655233E-2</v>
      </c>
      <c r="D183" s="419">
        <f>C183/C181</f>
        <v>0.19623977966302275</v>
      </c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</row>
    <row r="184" spans="2:24" s="34" customFormat="1" x14ac:dyDescent="0.35"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</row>
    <row r="185" spans="2:24" s="34" customFormat="1" x14ac:dyDescent="0.35">
      <c r="H185" s="134"/>
      <c r="I185" s="134"/>
      <c r="J185" s="134"/>
      <c r="K185" s="134"/>
      <c r="L185" s="134"/>
      <c r="M185" s="134"/>
      <c r="N185" s="134"/>
      <c r="O185" s="134"/>
    </row>
    <row r="186" spans="2:24" s="34" customFormat="1" x14ac:dyDescent="0.35">
      <c r="B186" s="420" t="s">
        <v>279</v>
      </c>
      <c r="C186" s="421"/>
      <c r="D186" s="422">
        <v>2010</v>
      </c>
      <c r="E186" s="422">
        <v>2011</v>
      </c>
      <c r="F186" s="422">
        <v>2012</v>
      </c>
      <c r="G186" s="422" t="s">
        <v>166</v>
      </c>
      <c r="H186" s="134"/>
      <c r="I186" s="134"/>
      <c r="J186" s="134"/>
      <c r="K186" s="134"/>
      <c r="L186" s="134"/>
      <c r="M186" s="134"/>
      <c r="N186" s="134"/>
      <c r="O186" s="134"/>
    </row>
    <row r="187" spans="2:24" s="34" customFormat="1" x14ac:dyDescent="0.35">
      <c r="B187" s="421" t="s">
        <v>280</v>
      </c>
      <c r="C187" s="421"/>
      <c r="D187" s="423">
        <f>D92</f>
        <v>1039.9999999999998</v>
      </c>
      <c r="E187" s="423">
        <f>E92</f>
        <v>1649.9999999999995</v>
      </c>
      <c r="F187" s="423">
        <f>F92</f>
        <v>1469.9999999999998</v>
      </c>
      <c r="G187" s="423">
        <f>D187+E187+F187</f>
        <v>4159.9999999999991</v>
      </c>
    </row>
    <row r="188" spans="2:24" s="34" customFormat="1" x14ac:dyDescent="0.35">
      <c r="B188" s="421" t="s">
        <v>281</v>
      </c>
      <c r="C188" s="421"/>
      <c r="D188" s="424">
        <f>-D177</f>
        <v>1082.4499999999996</v>
      </c>
      <c r="E188" s="424">
        <f>-E177</f>
        <v>1658.5249999999992</v>
      </c>
      <c r="F188" s="424">
        <f>-F177</f>
        <v>1469.9999999999995</v>
      </c>
      <c r="G188" s="424">
        <f>D188+E188+F188</f>
        <v>4210.9749999999985</v>
      </c>
    </row>
    <row r="189" spans="2:24" s="34" customFormat="1" x14ac:dyDescent="0.35">
      <c r="B189" s="421" t="s">
        <v>309</v>
      </c>
      <c r="C189" s="421"/>
      <c r="D189" s="423">
        <f>D187-D188</f>
        <v>-42.449999999999818</v>
      </c>
      <c r="E189" s="423">
        <f>E187-E188</f>
        <v>-8.5249999999996362</v>
      </c>
      <c r="F189" s="423">
        <f>F187-F188</f>
        <v>0</v>
      </c>
      <c r="G189" s="423">
        <f>G187-G188</f>
        <v>-50.974999999999454</v>
      </c>
    </row>
    <row r="190" spans="2:24" s="34" customFormat="1" x14ac:dyDescent="0.35">
      <c r="C190" s="421" t="s">
        <v>164</v>
      </c>
      <c r="D190" s="426">
        <f>D133-D189</f>
        <v>-1.9184653865522705E-13</v>
      </c>
      <c r="E190" s="426">
        <f>E133-E189</f>
        <v>-3.659295089164516E-13</v>
      </c>
      <c r="F190" s="426">
        <f>F133-F189</f>
        <v>0</v>
      </c>
      <c r="G190" s="425"/>
    </row>
    <row r="191" spans="2:24" s="34" customFormat="1" x14ac:dyDescent="0.35"/>
    <row r="192" spans="2:24" s="34" customFormat="1" x14ac:dyDescent="0.35"/>
    <row r="193" s="34" customFormat="1" x14ac:dyDescent="0.35"/>
    <row r="194" s="34" customFormat="1" x14ac:dyDescent="0.35"/>
    <row r="195" s="34" customFormat="1" x14ac:dyDescent="0.35"/>
    <row r="196" s="34" customFormat="1" x14ac:dyDescent="0.35"/>
    <row r="197" s="34" customFormat="1" x14ac:dyDescent="0.35"/>
    <row r="198" s="34" customFormat="1" x14ac:dyDescent="0.35"/>
    <row r="199" s="34" customFormat="1" x14ac:dyDescent="0.35"/>
    <row r="200" s="34" customFormat="1" x14ac:dyDescent="0.35"/>
    <row r="201" s="34" customFormat="1" x14ac:dyDescent="0.35"/>
    <row r="202" s="34" customFormat="1" x14ac:dyDescent="0.35"/>
    <row r="203" s="34" customFormat="1" x14ac:dyDescent="0.35"/>
    <row r="204" s="34" customFormat="1" x14ac:dyDescent="0.35"/>
    <row r="205" s="34" customFormat="1" x14ac:dyDescent="0.35"/>
    <row r="206" s="34" customFormat="1" x14ac:dyDescent="0.35"/>
    <row r="207" s="34" customFormat="1" x14ac:dyDescent="0.35"/>
    <row r="208" s="34" customFormat="1" x14ac:dyDescent="0.35"/>
    <row r="209" s="34" customFormat="1" x14ac:dyDescent="0.35"/>
    <row r="210" s="34" customFormat="1" x14ac:dyDescent="0.35"/>
    <row r="211" s="34" customFormat="1" x14ac:dyDescent="0.35"/>
    <row r="212" s="34" customFormat="1" x14ac:dyDescent="0.35"/>
    <row r="213" s="34" customFormat="1" x14ac:dyDescent="0.35"/>
    <row r="214" s="34" customFormat="1" x14ac:dyDescent="0.35"/>
    <row r="215" s="34" customFormat="1" x14ac:dyDescent="0.35"/>
    <row r="216" s="34" customFormat="1" x14ac:dyDescent="0.35"/>
    <row r="217" s="34" customFormat="1" x14ac:dyDescent="0.35"/>
    <row r="218" s="34" customFormat="1" x14ac:dyDescent="0.35"/>
    <row r="219" s="34" customFormat="1" x14ac:dyDescent="0.35"/>
    <row r="220" s="34" customFormat="1" x14ac:dyDescent="0.35"/>
    <row r="221" s="34" customFormat="1" x14ac:dyDescent="0.35"/>
  </sheetData>
  <pageMargins left="0.75" right="0.75" top="1" bottom="1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9960-E8FB-4501-9715-51F89225141E}">
  <dimension ref="A1:Z221"/>
  <sheetViews>
    <sheetView showGridLines="0" topLeftCell="A25" zoomScale="94" zoomScaleNormal="94" workbookViewId="0">
      <selection activeCell="F37" sqref="F37"/>
    </sheetView>
  </sheetViews>
  <sheetFormatPr baseColWidth="10" defaultColWidth="8.81640625" defaultRowHeight="14.5" outlineLevelRow="1" outlineLevelCol="1" x14ac:dyDescent="0.35"/>
  <cols>
    <col min="1" max="1" width="1.54296875" customWidth="1"/>
    <col min="2" max="2" width="43.1796875" customWidth="1"/>
    <col min="3" max="6" width="7.6328125" customWidth="1"/>
    <col min="7" max="16" width="7.81640625" customWidth="1"/>
    <col min="17" max="17" width="8.54296875" customWidth="1"/>
    <col min="18" max="18" width="7.81640625" customWidth="1"/>
    <col min="19" max="19" width="8.08984375" hidden="1" customWidth="1" outlineLevel="1"/>
    <col min="20" max="20" width="8" hidden="1" customWidth="1" outlineLevel="1"/>
    <col min="21" max="21" width="7.90625" hidden="1" customWidth="1" outlineLevel="1"/>
    <col min="22" max="22" width="12.453125" bestFit="1" customWidth="1" collapsed="1"/>
  </cols>
  <sheetData>
    <row r="1" spans="2:21" ht="15" thickBot="1" x14ac:dyDescent="0.4"/>
    <row r="2" spans="2:21" ht="12" customHeight="1" thickBot="1" x14ac:dyDescent="0.4">
      <c r="B2" s="377" t="s">
        <v>258</v>
      </c>
      <c r="C2" s="378"/>
      <c r="E2" s="377" t="s">
        <v>261</v>
      </c>
      <c r="F2" s="380"/>
      <c r="G2" s="380"/>
      <c r="H2" s="380"/>
      <c r="I2" s="380"/>
      <c r="J2" s="379"/>
      <c r="L2" s="377" t="s">
        <v>293</v>
      </c>
      <c r="M2" s="380"/>
      <c r="N2" s="380"/>
      <c r="O2" s="380"/>
      <c r="P2" s="380"/>
      <c r="Q2" s="380"/>
      <c r="R2" s="379"/>
      <c r="S2" s="34"/>
    </row>
    <row r="3" spans="2:21" ht="12" customHeight="1" x14ac:dyDescent="0.35">
      <c r="B3" s="59" t="s">
        <v>15</v>
      </c>
      <c r="C3" s="388">
        <v>300</v>
      </c>
      <c r="E3" s="381" t="s">
        <v>251</v>
      </c>
      <c r="F3" s="384"/>
      <c r="G3" s="384"/>
      <c r="H3" s="384"/>
      <c r="I3" s="384"/>
      <c r="J3" s="376">
        <v>0.69985569985569995</v>
      </c>
      <c r="K3" s="34"/>
      <c r="L3" s="433" t="s">
        <v>291</v>
      </c>
      <c r="M3" s="384"/>
      <c r="N3" s="34">
        <v>2010</v>
      </c>
      <c r="O3">
        <v>2011</v>
      </c>
      <c r="P3">
        <v>2012</v>
      </c>
      <c r="Q3" s="434" t="s">
        <v>290</v>
      </c>
      <c r="R3" s="435" t="s">
        <v>292</v>
      </c>
    </row>
    <row r="4" spans="2:21" ht="12" customHeight="1" thickBot="1" x14ac:dyDescent="0.4">
      <c r="B4" s="472" t="s">
        <v>16</v>
      </c>
      <c r="C4" s="471">
        <v>0.8</v>
      </c>
      <c r="E4" s="383" t="s">
        <v>263</v>
      </c>
      <c r="F4" s="386"/>
      <c r="G4" s="386"/>
      <c r="H4" s="386"/>
      <c r="I4" s="386"/>
      <c r="J4" s="445">
        <v>0.12</v>
      </c>
      <c r="L4" s="382" t="s">
        <v>288</v>
      </c>
      <c r="M4" s="436"/>
      <c r="N4" s="202">
        <f>Q4*N5</f>
        <v>2420.0000000000005</v>
      </c>
      <c r="O4" s="202">
        <f>Q4*O5</f>
        <v>3870.0000000000009</v>
      </c>
      <c r="P4" s="202">
        <f>Q4*P5</f>
        <v>3410.0000000000005</v>
      </c>
      <c r="Q4" s="202">
        <f>R4*Q8</f>
        <v>9700.0000000000018</v>
      </c>
      <c r="R4" s="437">
        <f>J3</f>
        <v>0.69985569985569995</v>
      </c>
    </row>
    <row r="5" spans="2:21" ht="12" customHeight="1" x14ac:dyDescent="0.35">
      <c r="B5" s="31" t="s">
        <v>111</v>
      </c>
      <c r="C5" s="451">
        <v>3.3</v>
      </c>
      <c r="E5" s="475" t="s">
        <v>252</v>
      </c>
      <c r="F5" s="443"/>
      <c r="G5" s="443"/>
      <c r="H5" s="443"/>
      <c r="I5" s="443"/>
      <c r="J5" s="474">
        <f>C162</f>
        <v>0.1245699587188438</v>
      </c>
      <c r="K5" s="269"/>
      <c r="L5" s="382"/>
      <c r="M5" s="436"/>
      <c r="N5" s="439">
        <v>0.24948453608247423</v>
      </c>
      <c r="O5" s="439">
        <v>0.39896907216494848</v>
      </c>
      <c r="P5" s="439">
        <v>0.35154639175257729</v>
      </c>
      <c r="Q5" s="438">
        <f>Q4/Q4</f>
        <v>1</v>
      </c>
      <c r="R5" s="437"/>
    </row>
    <row r="6" spans="2:21" ht="12" customHeight="1" thickBot="1" x14ac:dyDescent="0.4">
      <c r="B6" s="66" t="s">
        <v>262</v>
      </c>
      <c r="C6" s="455">
        <v>0.01</v>
      </c>
      <c r="E6" s="383" t="s">
        <v>131</v>
      </c>
      <c r="F6" s="386"/>
      <c r="G6" s="386"/>
      <c r="H6" s="386"/>
      <c r="I6" s="386"/>
      <c r="J6" s="404">
        <f>WACC!I30</f>
        <v>0.12920518238021639</v>
      </c>
      <c r="L6" s="382" t="s">
        <v>289</v>
      </c>
      <c r="M6" s="385"/>
      <c r="N6" s="202">
        <f>Q6*N7</f>
        <v>1039.9999999999998</v>
      </c>
      <c r="O6" s="202">
        <f>Q6*O7</f>
        <v>1649.9999999999995</v>
      </c>
      <c r="P6" s="202">
        <f>Q6*P7</f>
        <v>1469.9999999999998</v>
      </c>
      <c r="Q6" s="202">
        <f>R6*Q8</f>
        <v>4159.9999999999991</v>
      </c>
      <c r="R6" s="437">
        <f>1-R4</f>
        <v>0.30014430014430005</v>
      </c>
    </row>
    <row r="7" spans="2:21" ht="12" customHeight="1" thickBot="1" x14ac:dyDescent="0.4">
      <c r="B7" s="453" t="s">
        <v>68</v>
      </c>
      <c r="C7" s="454">
        <f>'Operating Data'!C23</f>
        <v>2947.3638769273243</v>
      </c>
      <c r="E7" s="475" t="s">
        <v>259</v>
      </c>
      <c r="F7" s="443"/>
      <c r="G7" s="443"/>
      <c r="H7" s="443"/>
      <c r="I7" s="443"/>
      <c r="J7" s="474">
        <f>C181</f>
        <v>0.15552800638353959</v>
      </c>
      <c r="K7" s="269"/>
      <c r="L7" s="383"/>
      <c r="M7" s="458"/>
      <c r="N7" s="448">
        <v>0.25</v>
      </c>
      <c r="O7" s="449">
        <v>0.39663461538461536</v>
      </c>
      <c r="P7" s="449">
        <v>0.35336538461538464</v>
      </c>
      <c r="Q7" s="450">
        <f>Q6/Q6</f>
        <v>1</v>
      </c>
      <c r="R7" s="459"/>
    </row>
    <row r="8" spans="2:21" ht="12" customHeight="1" thickBot="1" x14ac:dyDescent="0.4">
      <c r="B8" s="472" t="s">
        <v>304</v>
      </c>
      <c r="C8" s="473">
        <v>1.05</v>
      </c>
      <c r="E8" s="383" t="s">
        <v>260</v>
      </c>
      <c r="F8" s="386"/>
      <c r="G8" s="386"/>
      <c r="H8" s="386"/>
      <c r="I8" s="386"/>
      <c r="J8" s="404">
        <f>WACC!I21</f>
        <v>0.19548394126738794</v>
      </c>
      <c r="L8" s="456" t="s">
        <v>166</v>
      </c>
      <c r="M8" s="457"/>
      <c r="N8" s="446">
        <f>N4+N6</f>
        <v>3460</v>
      </c>
      <c r="O8" s="446">
        <f>O4+O6</f>
        <v>5520</v>
      </c>
      <c r="P8" s="446">
        <f>P4+P6</f>
        <v>4880</v>
      </c>
      <c r="Q8" s="447">
        <v>13860</v>
      </c>
      <c r="R8" s="460">
        <f>Q8/Q8</f>
        <v>1</v>
      </c>
    </row>
    <row r="9" spans="2:21" ht="6.25" customHeight="1" x14ac:dyDescent="0.35">
      <c r="E9" s="318"/>
      <c r="F9" s="318"/>
      <c r="G9" s="318"/>
      <c r="H9" s="392"/>
    </row>
    <row r="10" spans="2:21" ht="6.25" customHeight="1" thickBot="1" x14ac:dyDescent="0.4"/>
    <row r="11" spans="2:21" ht="12" customHeight="1" thickBot="1" x14ac:dyDescent="0.4">
      <c r="B11" s="302" t="s">
        <v>106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8"/>
    </row>
    <row r="12" spans="2:21" s="68" customFormat="1" ht="12" customHeight="1" thickBot="1" x14ac:dyDescent="0.4">
      <c r="B12" s="306" t="s">
        <v>110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  <c r="I12" s="2">
        <v>2015</v>
      </c>
      <c r="J12" s="2">
        <v>2016</v>
      </c>
      <c r="K12" s="2">
        <v>2017</v>
      </c>
      <c r="L12" s="2">
        <v>2018</v>
      </c>
      <c r="M12" s="2">
        <v>2019</v>
      </c>
      <c r="N12" s="2">
        <v>2020</v>
      </c>
      <c r="O12" s="2">
        <v>2021</v>
      </c>
      <c r="P12" s="2">
        <v>2022</v>
      </c>
      <c r="Q12" s="2">
        <v>2023</v>
      </c>
      <c r="R12" s="2">
        <v>2024</v>
      </c>
      <c r="S12" s="2">
        <v>2025</v>
      </c>
      <c r="T12" s="2">
        <v>2026</v>
      </c>
      <c r="U12" s="3">
        <v>2027</v>
      </c>
    </row>
    <row r="13" spans="2:21" s="34" customFormat="1" ht="12" customHeight="1" x14ac:dyDescent="0.35">
      <c r="B13" s="303" t="s">
        <v>175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</row>
    <row r="14" spans="2:21" s="34" customFormat="1" ht="12" customHeight="1" x14ac:dyDescent="0.35">
      <c r="B14" s="31" t="s">
        <v>15</v>
      </c>
      <c r="C14" s="178">
        <v>0</v>
      </c>
      <c r="D14" s="178">
        <v>0</v>
      </c>
      <c r="E14" s="178">
        <v>0</v>
      </c>
      <c r="F14" s="178">
        <v>0</v>
      </c>
      <c r="G14" s="178">
        <v>300</v>
      </c>
      <c r="H14" s="178">
        <v>300</v>
      </c>
      <c r="I14" s="178">
        <v>300</v>
      </c>
      <c r="J14" s="178">
        <v>300</v>
      </c>
      <c r="K14" s="178">
        <v>300</v>
      </c>
      <c r="L14" s="178">
        <v>300</v>
      </c>
      <c r="M14" s="178">
        <v>300</v>
      </c>
      <c r="N14" s="178">
        <v>300</v>
      </c>
      <c r="O14" s="178">
        <v>300</v>
      </c>
      <c r="P14" s="178">
        <v>300</v>
      </c>
      <c r="Q14" s="178">
        <v>300</v>
      </c>
      <c r="R14" s="178">
        <v>300</v>
      </c>
      <c r="S14" s="178">
        <v>300</v>
      </c>
      <c r="T14" s="178">
        <v>300</v>
      </c>
      <c r="U14" s="179">
        <v>300</v>
      </c>
    </row>
    <row r="15" spans="2:21" s="34" customFormat="1" ht="12" customHeight="1" x14ac:dyDescent="0.35">
      <c r="B15" s="35" t="s">
        <v>16</v>
      </c>
      <c r="C15" s="72">
        <v>0</v>
      </c>
      <c r="D15" s="72">
        <v>0</v>
      </c>
      <c r="E15" s="72">
        <v>0</v>
      </c>
      <c r="F15" s="72">
        <v>0</v>
      </c>
      <c r="G15" s="72">
        <f t="shared" ref="G15:U15" si="0">$C$4</f>
        <v>0.8</v>
      </c>
      <c r="H15" s="72">
        <f t="shared" si="0"/>
        <v>0.8</v>
      </c>
      <c r="I15" s="72">
        <f t="shared" si="0"/>
        <v>0.8</v>
      </c>
      <c r="J15" s="72">
        <f t="shared" si="0"/>
        <v>0.8</v>
      </c>
      <c r="K15" s="72">
        <f t="shared" si="0"/>
        <v>0.8</v>
      </c>
      <c r="L15" s="72">
        <f t="shared" si="0"/>
        <v>0.8</v>
      </c>
      <c r="M15" s="72">
        <f t="shared" si="0"/>
        <v>0.8</v>
      </c>
      <c r="N15" s="72">
        <f t="shared" si="0"/>
        <v>0.8</v>
      </c>
      <c r="O15" s="72">
        <f t="shared" si="0"/>
        <v>0.8</v>
      </c>
      <c r="P15" s="72">
        <f t="shared" si="0"/>
        <v>0.8</v>
      </c>
      <c r="Q15" s="72">
        <f t="shared" si="0"/>
        <v>0.8</v>
      </c>
      <c r="R15" s="72">
        <f t="shared" si="0"/>
        <v>0.8</v>
      </c>
      <c r="S15" s="72">
        <f t="shared" si="0"/>
        <v>0.8</v>
      </c>
      <c r="T15" s="72">
        <f t="shared" si="0"/>
        <v>0.8</v>
      </c>
      <c r="U15" s="73">
        <f t="shared" si="0"/>
        <v>0.8</v>
      </c>
    </row>
    <row r="16" spans="2:21" s="34" customFormat="1" ht="12" customHeight="1" x14ac:dyDescent="0.35">
      <c r="B16" s="35" t="s">
        <v>80</v>
      </c>
      <c r="C16" s="180">
        <v>0</v>
      </c>
      <c r="D16" s="180">
        <v>0</v>
      </c>
      <c r="E16" s="180">
        <v>0</v>
      </c>
      <c r="F16" s="180">
        <v>0</v>
      </c>
      <c r="G16" s="180">
        <f t="shared" ref="G16:U16" si="1">G14*1000*24*365*G15/1000000</f>
        <v>2102.4</v>
      </c>
      <c r="H16" s="180">
        <f t="shared" si="1"/>
        <v>2102.4</v>
      </c>
      <c r="I16" s="180">
        <f t="shared" si="1"/>
        <v>2102.4</v>
      </c>
      <c r="J16" s="180">
        <f t="shared" si="1"/>
        <v>2102.4</v>
      </c>
      <c r="K16" s="180">
        <f t="shared" si="1"/>
        <v>2102.4</v>
      </c>
      <c r="L16" s="180">
        <f t="shared" si="1"/>
        <v>2102.4</v>
      </c>
      <c r="M16" s="180">
        <f t="shared" si="1"/>
        <v>2102.4</v>
      </c>
      <c r="N16" s="180">
        <f t="shared" si="1"/>
        <v>2102.4</v>
      </c>
      <c r="O16" s="180">
        <f t="shared" si="1"/>
        <v>2102.4</v>
      </c>
      <c r="P16" s="180">
        <f t="shared" si="1"/>
        <v>2102.4</v>
      </c>
      <c r="Q16" s="180">
        <f t="shared" si="1"/>
        <v>2102.4</v>
      </c>
      <c r="R16" s="180">
        <f t="shared" si="1"/>
        <v>2102.4</v>
      </c>
      <c r="S16" s="180">
        <f t="shared" si="1"/>
        <v>2102.4</v>
      </c>
      <c r="T16" s="180">
        <f t="shared" si="1"/>
        <v>2102.4</v>
      </c>
      <c r="U16" s="181">
        <f t="shared" si="1"/>
        <v>2102.4</v>
      </c>
    </row>
    <row r="17" spans="2:22" s="34" customFormat="1" ht="12" customHeight="1" x14ac:dyDescent="0.35">
      <c r="B17" s="35" t="s">
        <v>81</v>
      </c>
      <c r="C17" s="180">
        <v>0</v>
      </c>
      <c r="D17" s="180">
        <v>0</v>
      </c>
      <c r="E17" s="180">
        <v>0</v>
      </c>
      <c r="F17" s="180">
        <v>0</v>
      </c>
      <c r="G17" s="180">
        <v>201</v>
      </c>
      <c r="H17" s="180">
        <v>201</v>
      </c>
      <c r="I17" s="180">
        <v>201</v>
      </c>
      <c r="J17" s="180">
        <v>201</v>
      </c>
      <c r="K17" s="180">
        <v>201</v>
      </c>
      <c r="L17" s="180">
        <v>201</v>
      </c>
      <c r="M17" s="180">
        <v>201</v>
      </c>
      <c r="N17" s="180">
        <v>201</v>
      </c>
      <c r="O17" s="180">
        <v>201</v>
      </c>
      <c r="P17" s="180">
        <v>201</v>
      </c>
      <c r="Q17" s="180">
        <v>201</v>
      </c>
      <c r="R17" s="180">
        <v>201</v>
      </c>
      <c r="S17" s="180">
        <v>201</v>
      </c>
      <c r="T17" s="180">
        <v>201</v>
      </c>
      <c r="U17" s="181">
        <v>201</v>
      </c>
    </row>
    <row r="18" spans="2:22" s="34" customFormat="1" ht="12" customHeight="1" x14ac:dyDescent="0.35">
      <c r="B18" s="78" t="s">
        <v>82</v>
      </c>
      <c r="C18" s="180">
        <v>0</v>
      </c>
      <c r="D18" s="180">
        <v>0</v>
      </c>
      <c r="E18" s="180">
        <v>0</v>
      </c>
      <c r="F18" s="180">
        <v>0</v>
      </c>
      <c r="G18" s="180">
        <f t="shared" ref="G18:U18" si="2">G16-G17</f>
        <v>1901.4</v>
      </c>
      <c r="H18" s="180">
        <f t="shared" si="2"/>
        <v>1901.4</v>
      </c>
      <c r="I18" s="180">
        <f t="shared" si="2"/>
        <v>1901.4</v>
      </c>
      <c r="J18" s="180">
        <f t="shared" si="2"/>
        <v>1901.4</v>
      </c>
      <c r="K18" s="180">
        <f t="shared" si="2"/>
        <v>1901.4</v>
      </c>
      <c r="L18" s="180">
        <f t="shared" si="2"/>
        <v>1901.4</v>
      </c>
      <c r="M18" s="180">
        <f t="shared" si="2"/>
        <v>1901.4</v>
      </c>
      <c r="N18" s="180">
        <f t="shared" si="2"/>
        <v>1901.4</v>
      </c>
      <c r="O18" s="180">
        <f t="shared" si="2"/>
        <v>1901.4</v>
      </c>
      <c r="P18" s="180">
        <f t="shared" si="2"/>
        <v>1901.4</v>
      </c>
      <c r="Q18" s="180">
        <f t="shared" si="2"/>
        <v>1901.4</v>
      </c>
      <c r="R18" s="180">
        <f t="shared" si="2"/>
        <v>1901.4</v>
      </c>
      <c r="S18" s="180">
        <f t="shared" si="2"/>
        <v>1901.4</v>
      </c>
      <c r="T18" s="180">
        <f t="shared" si="2"/>
        <v>1901.4</v>
      </c>
      <c r="U18" s="181">
        <f t="shared" si="2"/>
        <v>1901.4</v>
      </c>
    </row>
    <row r="19" spans="2:22" s="34" customFormat="1" ht="12" customHeight="1" x14ac:dyDescent="0.35">
      <c r="B19" s="35" t="s">
        <v>111</v>
      </c>
      <c r="C19" s="195">
        <v>0</v>
      </c>
      <c r="D19" s="195">
        <v>0</v>
      </c>
      <c r="E19" s="195">
        <v>0</v>
      </c>
      <c r="F19" s="195">
        <v>0</v>
      </c>
      <c r="G19" s="195">
        <f>C5</f>
        <v>3.3</v>
      </c>
      <c r="H19" s="195">
        <f t="shared" ref="H19:U19" si="3">G19*(1+$C$6)</f>
        <v>3.3329999999999997</v>
      </c>
      <c r="I19" s="195">
        <f t="shared" si="3"/>
        <v>3.3663299999999996</v>
      </c>
      <c r="J19" s="195">
        <f t="shared" si="3"/>
        <v>3.3999932999999998</v>
      </c>
      <c r="K19" s="195">
        <f t="shared" si="3"/>
        <v>3.4339932329999998</v>
      </c>
      <c r="L19" s="195">
        <f t="shared" si="3"/>
        <v>3.4683331653299998</v>
      </c>
      <c r="M19" s="195">
        <f t="shared" si="3"/>
        <v>3.5030164969833</v>
      </c>
      <c r="N19" s="195">
        <f t="shared" si="3"/>
        <v>3.5380466619531332</v>
      </c>
      <c r="O19" s="195">
        <f t="shared" si="3"/>
        <v>3.5734271285726646</v>
      </c>
      <c r="P19" s="195">
        <f t="shared" si="3"/>
        <v>3.6091613998583911</v>
      </c>
      <c r="Q19" s="195">
        <f t="shared" si="3"/>
        <v>3.645253013856975</v>
      </c>
      <c r="R19" s="195">
        <f t="shared" si="3"/>
        <v>3.6817055439955446</v>
      </c>
      <c r="S19" s="195">
        <f t="shared" si="3"/>
        <v>3.7185225994355</v>
      </c>
      <c r="T19" s="195">
        <f t="shared" si="3"/>
        <v>3.7557078254298553</v>
      </c>
      <c r="U19" s="196">
        <f t="shared" si="3"/>
        <v>3.7932649036841539</v>
      </c>
    </row>
    <row r="20" spans="2:22" s="34" customFormat="1" ht="12" customHeight="1" x14ac:dyDescent="0.35">
      <c r="B20" s="303" t="s">
        <v>174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</row>
    <row r="21" spans="2:22" s="34" customFormat="1" ht="12" customHeight="1" x14ac:dyDescent="0.35">
      <c r="B21" s="82" t="s">
        <v>21</v>
      </c>
      <c r="C21" s="182">
        <f>C18*C19</f>
        <v>0</v>
      </c>
      <c r="D21" s="182">
        <f>D18*D19</f>
        <v>0</v>
      </c>
      <c r="E21" s="182">
        <f>E18*E19</f>
        <v>0</v>
      </c>
      <c r="F21" s="182">
        <f>F18*F19</f>
        <v>0</v>
      </c>
      <c r="G21" s="182">
        <f>G18*G19</f>
        <v>6274.62</v>
      </c>
      <c r="H21" s="182">
        <f t="shared" ref="H21:U21" si="4">H18*H19</f>
        <v>6337.3661999999995</v>
      </c>
      <c r="I21" s="182">
        <f t="shared" si="4"/>
        <v>6400.7398619999994</v>
      </c>
      <c r="J21" s="182">
        <f t="shared" si="4"/>
        <v>6464.7472606199999</v>
      </c>
      <c r="K21" s="182">
        <f t="shared" si="4"/>
        <v>6529.3947332261996</v>
      </c>
      <c r="L21" s="182">
        <f t="shared" si="4"/>
        <v>6594.6886805584618</v>
      </c>
      <c r="M21" s="182">
        <f t="shared" si="4"/>
        <v>6660.6355673640473</v>
      </c>
      <c r="N21" s="182">
        <f t="shared" si="4"/>
        <v>6727.2419230376881</v>
      </c>
      <c r="O21" s="182">
        <f t="shared" si="4"/>
        <v>6794.5143422680649</v>
      </c>
      <c r="P21" s="182">
        <f t="shared" si="4"/>
        <v>6862.4594856907452</v>
      </c>
      <c r="Q21" s="182">
        <f t="shared" si="4"/>
        <v>6931.0840805476528</v>
      </c>
      <c r="R21" s="182">
        <f t="shared" si="4"/>
        <v>7000.3949213531287</v>
      </c>
      <c r="S21" s="182">
        <f t="shared" si="4"/>
        <v>7070.3988705666598</v>
      </c>
      <c r="T21" s="182">
        <f t="shared" si="4"/>
        <v>7141.1028592723269</v>
      </c>
      <c r="U21" s="183">
        <f t="shared" si="4"/>
        <v>7212.5138878650505</v>
      </c>
    </row>
    <row r="22" spans="2:22" s="34" customFormat="1" ht="12" customHeight="1" x14ac:dyDescent="0.35">
      <c r="B22" s="323" t="s">
        <v>189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5"/>
    </row>
    <row r="23" spans="2:22" s="34" customFormat="1" ht="12" customHeight="1" x14ac:dyDescent="0.35">
      <c r="B23" s="35" t="s">
        <v>41</v>
      </c>
      <c r="C23" s="180">
        <v>0</v>
      </c>
      <c r="D23" s="180">
        <v>0</v>
      </c>
      <c r="E23" s="180">
        <v>0</v>
      </c>
      <c r="F23" s="180">
        <v>0</v>
      </c>
      <c r="G23" s="180">
        <f>($C$7*$C$8)*((1.03^(G12-2012)))</f>
        <v>3187.5740328969018</v>
      </c>
      <c r="H23" s="180">
        <f t="shared" ref="H23:U23" si="5">($C$7*((1.03^(H12-2012))))*$C$8</f>
        <v>3283.201253883808</v>
      </c>
      <c r="I23" s="180">
        <f t="shared" si="5"/>
        <v>3381.6972915003225</v>
      </c>
      <c r="J23" s="180">
        <f t="shared" si="5"/>
        <v>3483.1482102453319</v>
      </c>
      <c r="K23" s="180">
        <f t="shared" si="5"/>
        <v>3587.6426565526917</v>
      </c>
      <c r="L23" s="180">
        <f t="shared" si="5"/>
        <v>3695.2719362492726</v>
      </c>
      <c r="M23" s="180">
        <f t="shared" si="5"/>
        <v>3806.1300943367514</v>
      </c>
      <c r="N23" s="180">
        <f t="shared" si="5"/>
        <v>3920.3139971668534</v>
      </c>
      <c r="O23" s="180">
        <f t="shared" si="5"/>
        <v>4037.923417081859</v>
      </c>
      <c r="P23" s="180">
        <f t="shared" si="5"/>
        <v>4159.0611195943147</v>
      </c>
      <c r="Q23" s="180">
        <f t="shared" si="5"/>
        <v>4283.8329531821446</v>
      </c>
      <c r="R23" s="180">
        <f t="shared" si="5"/>
        <v>4412.3479417776089</v>
      </c>
      <c r="S23" s="180">
        <f t="shared" si="5"/>
        <v>4544.7183800309358</v>
      </c>
      <c r="T23" s="180">
        <f t="shared" si="5"/>
        <v>4681.0599314318652</v>
      </c>
      <c r="U23" s="181">
        <f t="shared" si="5"/>
        <v>4821.4917293748204</v>
      </c>
    </row>
    <row r="24" spans="2:22" s="34" customFormat="1" ht="12" customHeight="1" x14ac:dyDescent="0.35">
      <c r="B24" s="35" t="s">
        <v>84</v>
      </c>
      <c r="C24" s="180">
        <v>0</v>
      </c>
      <c r="D24" s="180">
        <v>0</v>
      </c>
      <c r="E24" s="180">
        <v>0</v>
      </c>
      <c r="F24" s="180">
        <v>0</v>
      </c>
      <c r="G24" s="180">
        <f t="shared" ref="G24:U24" si="6">((1.55*G14*((1.04)^(G12-2012))))*($C$4/85%)</f>
        <v>455.15294117647068</v>
      </c>
      <c r="H24" s="180">
        <f t="shared" si="6"/>
        <v>473.35905882352955</v>
      </c>
      <c r="I24" s="180">
        <f t="shared" si="6"/>
        <v>492.2934211764707</v>
      </c>
      <c r="J24" s="180">
        <f t="shared" si="6"/>
        <v>511.98515802352955</v>
      </c>
      <c r="K24" s="180">
        <f t="shared" si="6"/>
        <v>532.46456434447089</v>
      </c>
      <c r="L24" s="180">
        <f t="shared" si="6"/>
        <v>553.76314691824962</v>
      </c>
      <c r="M24" s="180">
        <f t="shared" si="6"/>
        <v>575.91367279497956</v>
      </c>
      <c r="N24" s="180">
        <f t="shared" si="6"/>
        <v>598.95021970677885</v>
      </c>
      <c r="O24" s="180">
        <f t="shared" si="6"/>
        <v>622.90822849505003</v>
      </c>
      <c r="P24" s="180">
        <f t="shared" si="6"/>
        <v>647.824557634852</v>
      </c>
      <c r="Q24" s="180">
        <f t="shared" si="6"/>
        <v>673.73753994024617</v>
      </c>
      <c r="R24" s="180">
        <f t="shared" si="6"/>
        <v>700.68704153785609</v>
      </c>
      <c r="S24" s="180">
        <f t="shared" si="6"/>
        <v>728.71452319937032</v>
      </c>
      <c r="T24" s="180">
        <f t="shared" si="6"/>
        <v>757.8631041273452</v>
      </c>
      <c r="U24" s="181">
        <f t="shared" si="6"/>
        <v>788.17762829243884</v>
      </c>
    </row>
    <row r="25" spans="2:22" s="34" customFormat="1" ht="12" customHeight="1" x14ac:dyDescent="0.35">
      <c r="B25" s="82" t="s">
        <v>25</v>
      </c>
      <c r="C25" s="180">
        <v>0</v>
      </c>
      <c r="D25" s="180">
        <v>0</v>
      </c>
      <c r="E25" s="180">
        <v>0</v>
      </c>
      <c r="F25" s="180">
        <v>0</v>
      </c>
      <c r="G25" s="393">
        <f t="shared" ref="G25:U25" si="7">SUM(G23:G24)</f>
        <v>3642.7269740733727</v>
      </c>
      <c r="H25" s="393">
        <f t="shared" si="7"/>
        <v>3756.5603127073377</v>
      </c>
      <c r="I25" s="393">
        <f t="shared" si="7"/>
        <v>3873.990712676793</v>
      </c>
      <c r="J25" s="393">
        <f t="shared" si="7"/>
        <v>3995.1333682688614</v>
      </c>
      <c r="K25" s="393">
        <f t="shared" si="7"/>
        <v>4120.1072208971627</v>
      </c>
      <c r="L25" s="393">
        <f t="shared" si="7"/>
        <v>4249.0350831675223</v>
      </c>
      <c r="M25" s="393">
        <f t="shared" si="7"/>
        <v>4382.0437671317313</v>
      </c>
      <c r="N25" s="393">
        <f t="shared" si="7"/>
        <v>4519.264216873632</v>
      </c>
      <c r="O25" s="393">
        <f t="shared" si="7"/>
        <v>4660.8316455769091</v>
      </c>
      <c r="P25" s="393">
        <f t="shared" si="7"/>
        <v>4806.8856772291665</v>
      </c>
      <c r="Q25" s="393">
        <f t="shared" si="7"/>
        <v>4957.5704931223909</v>
      </c>
      <c r="R25" s="393">
        <f t="shared" si="7"/>
        <v>5113.0349833154651</v>
      </c>
      <c r="S25" s="393">
        <f t="shared" si="7"/>
        <v>5273.4329032303058</v>
      </c>
      <c r="T25" s="393">
        <f t="shared" si="7"/>
        <v>5438.9230355592099</v>
      </c>
      <c r="U25" s="394">
        <f t="shared" si="7"/>
        <v>5609.6693576672587</v>
      </c>
      <c r="V25" s="145"/>
    </row>
    <row r="26" spans="2:22" s="34" customFormat="1" ht="12" customHeight="1" x14ac:dyDescent="0.35">
      <c r="B26" s="85" t="s">
        <v>272</v>
      </c>
      <c r="C26" s="182">
        <f t="shared" ref="C26:U26" si="8">C21-C25</f>
        <v>0</v>
      </c>
      <c r="D26" s="182">
        <f t="shared" si="8"/>
        <v>0</v>
      </c>
      <c r="E26" s="182">
        <f t="shared" si="8"/>
        <v>0</v>
      </c>
      <c r="F26" s="182">
        <f t="shared" si="8"/>
        <v>0</v>
      </c>
      <c r="G26" s="182">
        <f t="shared" si="8"/>
        <v>2631.8930259266272</v>
      </c>
      <c r="H26" s="182">
        <f t="shared" si="8"/>
        <v>2580.8058872926617</v>
      </c>
      <c r="I26" s="182">
        <f t="shared" si="8"/>
        <v>2526.7491493232064</v>
      </c>
      <c r="J26" s="182">
        <f t="shared" si="8"/>
        <v>2469.6138923511385</v>
      </c>
      <c r="K26" s="182">
        <f t="shared" si="8"/>
        <v>2409.2875123290369</v>
      </c>
      <c r="L26" s="182">
        <f t="shared" si="8"/>
        <v>2345.6535973909395</v>
      </c>
      <c r="M26" s="182">
        <f t="shared" si="8"/>
        <v>2278.591800232316</v>
      </c>
      <c r="N26" s="182">
        <f t="shared" si="8"/>
        <v>2207.9777061640561</v>
      </c>
      <c r="O26" s="182">
        <f t="shared" si="8"/>
        <v>2133.6826966911558</v>
      </c>
      <c r="P26" s="182">
        <f t="shared" si="8"/>
        <v>2055.5738084615787</v>
      </c>
      <c r="Q26" s="182">
        <f t="shared" si="8"/>
        <v>1973.5135874252619</v>
      </c>
      <c r="R26" s="182">
        <f t="shared" si="8"/>
        <v>1887.3599380376636</v>
      </c>
      <c r="S26" s="182">
        <f t="shared" si="8"/>
        <v>1796.965967336354</v>
      </c>
      <c r="T26" s="182">
        <f t="shared" si="8"/>
        <v>1702.179823713117</v>
      </c>
      <c r="U26" s="183">
        <f t="shared" si="8"/>
        <v>1602.8445301977918</v>
      </c>
    </row>
    <row r="27" spans="2:22" s="34" customFormat="1" ht="12" customHeight="1" x14ac:dyDescent="0.35">
      <c r="B27" s="323" t="s">
        <v>145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2:22" s="34" customFormat="1" ht="12" customHeight="1" x14ac:dyDescent="0.35">
      <c r="B28" s="35" t="s">
        <v>187</v>
      </c>
      <c r="C28" s="180">
        <v>0</v>
      </c>
      <c r="D28" s="180">
        <v>0</v>
      </c>
      <c r="E28" s="180">
        <v>0</v>
      </c>
      <c r="F28" s="410">
        <v>0</v>
      </c>
      <c r="G28" s="410">
        <f t="shared" ref="G28:U28" si="9">$J$4*((G109+G112)/2)</f>
        <v>1067</v>
      </c>
      <c r="H28" s="410">
        <f t="shared" si="9"/>
        <v>937.66666666666686</v>
      </c>
      <c r="I28" s="410">
        <f t="shared" si="9"/>
        <v>808.33333333333337</v>
      </c>
      <c r="J28" s="410">
        <f t="shared" si="9"/>
        <v>679</v>
      </c>
      <c r="K28" s="410">
        <f t="shared" si="9"/>
        <v>549.66666666666652</v>
      </c>
      <c r="L28" s="410">
        <f t="shared" si="9"/>
        <v>420.3333333333332</v>
      </c>
      <c r="M28" s="410">
        <f t="shared" si="9"/>
        <v>290.99999999999983</v>
      </c>
      <c r="N28" s="410">
        <f t="shared" si="9"/>
        <v>161.66666666666649</v>
      </c>
      <c r="O28" s="410">
        <f t="shared" si="9"/>
        <v>48.499999999999787</v>
      </c>
      <c r="P28" s="410">
        <f t="shared" si="9"/>
        <v>-2.1827872842550277E-13</v>
      </c>
      <c r="Q28" s="410">
        <f t="shared" si="9"/>
        <v>-2.1827872842550277E-13</v>
      </c>
      <c r="R28" s="410">
        <f t="shared" si="9"/>
        <v>-2.1827872842550277E-13</v>
      </c>
      <c r="S28" s="410">
        <f t="shared" si="9"/>
        <v>-2.1827872842550277E-13</v>
      </c>
      <c r="T28" s="410">
        <f t="shared" si="9"/>
        <v>-2.1827872842550277E-13</v>
      </c>
      <c r="U28" s="441">
        <f t="shared" si="9"/>
        <v>-2.1827872842550277E-13</v>
      </c>
    </row>
    <row r="29" spans="2:22" s="34" customFormat="1" ht="12" customHeight="1" x14ac:dyDescent="0.35">
      <c r="B29" s="35" t="s">
        <v>188</v>
      </c>
      <c r="C29" s="180">
        <v>0</v>
      </c>
      <c r="D29" s="180">
        <v>0</v>
      </c>
      <c r="E29" s="180">
        <v>0</v>
      </c>
      <c r="F29" s="180">
        <v>0</v>
      </c>
      <c r="G29" s="187">
        <f>$J$4*G60</f>
        <v>111.6</v>
      </c>
      <c r="H29" s="187">
        <f t="shared" ref="H29:U29" si="10">$J$4*((G60+H60)/2)</f>
        <v>112.2</v>
      </c>
      <c r="I29" s="187">
        <f t="shared" si="10"/>
        <v>114</v>
      </c>
      <c r="J29" s="187">
        <f t="shared" si="10"/>
        <v>116.39999999999999</v>
      </c>
      <c r="K29" s="187">
        <f t="shared" si="10"/>
        <v>118.19999999999999</v>
      </c>
      <c r="L29" s="187">
        <f t="shared" si="10"/>
        <v>120</v>
      </c>
      <c r="M29" s="187">
        <f t="shared" si="10"/>
        <v>122.39999999999999</v>
      </c>
      <c r="N29" s="187">
        <f t="shared" si="10"/>
        <v>124.8</v>
      </c>
      <c r="O29" s="187">
        <f t="shared" si="10"/>
        <v>127.19999999999999</v>
      </c>
      <c r="P29" s="187">
        <f t="shared" si="10"/>
        <v>129.6</v>
      </c>
      <c r="Q29" s="187">
        <f t="shared" si="10"/>
        <v>132</v>
      </c>
      <c r="R29" s="187">
        <f t="shared" si="10"/>
        <v>134.4</v>
      </c>
      <c r="S29" s="187">
        <f t="shared" si="10"/>
        <v>137.4</v>
      </c>
      <c r="T29" s="187">
        <f t="shared" si="10"/>
        <v>140.4</v>
      </c>
      <c r="U29" s="340">
        <f t="shared" si="10"/>
        <v>142.79999999999998</v>
      </c>
    </row>
    <row r="30" spans="2:22" s="34" customFormat="1" ht="12" customHeight="1" x14ac:dyDescent="0.35">
      <c r="B30" s="35" t="s">
        <v>30</v>
      </c>
      <c r="C30" s="180">
        <v>0</v>
      </c>
      <c r="D30" s="180">
        <v>0</v>
      </c>
      <c r="E30" s="180">
        <v>0</v>
      </c>
      <c r="F30" s="180">
        <v>0</v>
      </c>
      <c r="G30" s="187">
        <v>680</v>
      </c>
      <c r="H30" s="187">
        <v>680</v>
      </c>
      <c r="I30" s="187">
        <v>680</v>
      </c>
      <c r="J30" s="187">
        <v>680</v>
      </c>
      <c r="K30" s="187">
        <v>680</v>
      </c>
      <c r="L30" s="187">
        <v>680</v>
      </c>
      <c r="M30" s="187">
        <v>680</v>
      </c>
      <c r="N30" s="187">
        <v>680</v>
      </c>
      <c r="O30" s="187">
        <v>680</v>
      </c>
      <c r="P30" s="187">
        <v>680</v>
      </c>
      <c r="Q30" s="187">
        <v>680</v>
      </c>
      <c r="R30" s="187">
        <v>680</v>
      </c>
      <c r="S30" s="187">
        <v>680</v>
      </c>
      <c r="T30" s="187">
        <v>680</v>
      </c>
      <c r="U30" s="340">
        <v>680</v>
      </c>
    </row>
    <row r="31" spans="2:22" s="34" customFormat="1" ht="12" hidden="1" customHeight="1" outlineLevel="1" x14ac:dyDescent="0.35">
      <c r="B31" s="52" t="s">
        <v>86</v>
      </c>
      <c r="C31" s="186">
        <f t="shared" ref="C31:U31" si="11">C26-C28-C29-C30</f>
        <v>0</v>
      </c>
      <c r="D31" s="186">
        <f t="shared" si="11"/>
        <v>0</v>
      </c>
      <c r="E31" s="186">
        <f t="shared" si="11"/>
        <v>0</v>
      </c>
      <c r="F31" s="186">
        <f t="shared" si="11"/>
        <v>0</v>
      </c>
      <c r="G31" s="186">
        <f t="shared" si="11"/>
        <v>773.29302592662725</v>
      </c>
      <c r="H31" s="186">
        <f t="shared" si="11"/>
        <v>850.93922062599472</v>
      </c>
      <c r="I31" s="186">
        <f t="shared" si="11"/>
        <v>924.41581598987295</v>
      </c>
      <c r="J31" s="186">
        <f t="shared" si="11"/>
        <v>994.21389235113838</v>
      </c>
      <c r="K31" s="186">
        <f t="shared" si="11"/>
        <v>1061.4208456623703</v>
      </c>
      <c r="L31" s="186">
        <f t="shared" si="11"/>
        <v>1125.3202640576062</v>
      </c>
      <c r="M31" s="186">
        <f t="shared" si="11"/>
        <v>1185.1918002323162</v>
      </c>
      <c r="N31" s="186">
        <f t="shared" si="11"/>
        <v>1241.5110394973897</v>
      </c>
      <c r="O31" s="186">
        <f t="shared" si="11"/>
        <v>1277.9826966911558</v>
      </c>
      <c r="P31" s="186">
        <f t="shared" si="11"/>
        <v>1245.9738084615788</v>
      </c>
      <c r="Q31" s="186">
        <f t="shared" si="11"/>
        <v>1161.5135874252621</v>
      </c>
      <c r="R31" s="186">
        <f t="shared" si="11"/>
        <v>1072.9599380376637</v>
      </c>
      <c r="S31" s="186">
        <f t="shared" si="11"/>
        <v>979.56596733635411</v>
      </c>
      <c r="T31" s="186">
        <f t="shared" si="11"/>
        <v>881.77982371311714</v>
      </c>
      <c r="U31" s="183">
        <f t="shared" si="11"/>
        <v>780.04453019779203</v>
      </c>
    </row>
    <row r="32" spans="2:22" s="34" customFormat="1" ht="12" hidden="1" customHeight="1" outlineLevel="1" x14ac:dyDescent="0.35">
      <c r="B32" s="323" t="s">
        <v>32</v>
      </c>
      <c r="C32" s="46"/>
      <c r="D32" s="46"/>
      <c r="E32" s="46"/>
      <c r="F32" s="46"/>
      <c r="G32" s="4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</row>
    <row r="33" spans="2:21" s="34" customFormat="1" ht="12" hidden="1" customHeight="1" outlineLevel="1" x14ac:dyDescent="0.35">
      <c r="B33" s="35" t="s">
        <v>195</v>
      </c>
      <c r="C33" s="180">
        <v>0</v>
      </c>
      <c r="D33" s="180">
        <v>0</v>
      </c>
      <c r="E33" s="180">
        <v>0</v>
      </c>
      <c r="F33" s="187">
        <f>F127</f>
        <v>0</v>
      </c>
      <c r="G33" s="187">
        <f>G127</f>
        <v>122.19647527911536</v>
      </c>
      <c r="H33" s="187">
        <f t="shared" ref="H33:U33" si="12">H127</f>
        <v>135.36438188033003</v>
      </c>
      <c r="I33" s="187">
        <f t="shared" si="12"/>
        <v>145.0219359492464</v>
      </c>
      <c r="J33" s="187">
        <f t="shared" si="12"/>
        <v>161.24150858212388</v>
      </c>
      <c r="K33" s="187">
        <f t="shared" si="12"/>
        <v>170.66012236617661</v>
      </c>
      <c r="L33" s="187">
        <f t="shared" si="12"/>
        <v>179.85780281033027</v>
      </c>
      <c r="M33" s="187">
        <f t="shared" si="12"/>
        <v>188.82081696844142</v>
      </c>
      <c r="N33" s="187">
        <f t="shared" si="12"/>
        <v>197.58898199513814</v>
      </c>
      <c r="O33" s="187">
        <f t="shared" si="12"/>
        <v>203.59194913460027</v>
      </c>
      <c r="P33" s="187">
        <f t="shared" si="12"/>
        <v>202.55574602484779</v>
      </c>
      <c r="Q33" s="187">
        <f t="shared" si="12"/>
        <v>186.88529992876968</v>
      </c>
      <c r="R33" s="187">
        <f t="shared" si="12"/>
        <v>174.35821711401761</v>
      </c>
      <c r="S33" s="187">
        <f t="shared" si="12"/>
        <v>155.38702214795944</v>
      </c>
      <c r="T33" s="187">
        <f t="shared" si="12"/>
        <v>142.14725967429729</v>
      </c>
      <c r="U33" s="51">
        <f t="shared" si="12"/>
        <v>122.98369111287053</v>
      </c>
    </row>
    <row r="34" spans="2:21" s="34" customFormat="1" ht="12" hidden="1" customHeight="1" outlineLevel="1" x14ac:dyDescent="0.35">
      <c r="B34" s="35" t="s">
        <v>196</v>
      </c>
      <c r="C34" s="180">
        <v>0</v>
      </c>
      <c r="D34" s="180">
        <v>0</v>
      </c>
      <c r="E34" s="180">
        <v>0</v>
      </c>
      <c r="F34" s="180">
        <v>0</v>
      </c>
      <c r="G34" s="187">
        <v>0</v>
      </c>
      <c r="H34" s="187">
        <v>0</v>
      </c>
      <c r="I34" s="187">
        <v>0</v>
      </c>
      <c r="J34" s="187">
        <v>0</v>
      </c>
      <c r="K34" s="187">
        <v>0</v>
      </c>
      <c r="L34" s="187">
        <v>0</v>
      </c>
      <c r="M34" s="187">
        <v>0</v>
      </c>
      <c r="N34" s="187">
        <v>-10</v>
      </c>
      <c r="O34" s="187">
        <v>-40</v>
      </c>
      <c r="P34" s="187">
        <v>-70</v>
      </c>
      <c r="Q34" s="187">
        <v>-90</v>
      </c>
      <c r="R34" s="187">
        <v>-110</v>
      </c>
      <c r="S34" s="187">
        <v>-130</v>
      </c>
      <c r="T34" s="187">
        <v>-140</v>
      </c>
      <c r="U34" s="188">
        <v>-150</v>
      </c>
    </row>
    <row r="35" spans="2:21" s="34" customFormat="1" ht="12" customHeight="1" collapsed="1" x14ac:dyDescent="0.35">
      <c r="B35" s="86" t="s">
        <v>87</v>
      </c>
      <c r="C35" s="186">
        <f t="shared" ref="C35:U35" si="13">C31-C33-C34</f>
        <v>0</v>
      </c>
      <c r="D35" s="186">
        <f t="shared" si="13"/>
        <v>0</v>
      </c>
      <c r="E35" s="186">
        <f t="shared" si="13"/>
        <v>0</v>
      </c>
      <c r="F35" s="186">
        <f t="shared" si="13"/>
        <v>0</v>
      </c>
      <c r="G35" s="186">
        <f t="shared" si="13"/>
        <v>651.09655064751189</v>
      </c>
      <c r="H35" s="182">
        <f t="shared" si="13"/>
        <v>715.57483874566469</v>
      </c>
      <c r="I35" s="182">
        <f t="shared" si="13"/>
        <v>779.39388004062653</v>
      </c>
      <c r="J35" s="182">
        <f t="shared" si="13"/>
        <v>832.97238376901453</v>
      </c>
      <c r="K35" s="182">
        <f t="shared" si="13"/>
        <v>890.76072329619365</v>
      </c>
      <c r="L35" s="182">
        <f t="shared" si="13"/>
        <v>945.462461247276</v>
      </c>
      <c r="M35" s="182">
        <f t="shared" si="13"/>
        <v>996.37098326387468</v>
      </c>
      <c r="N35" s="182">
        <f t="shared" si="13"/>
        <v>1053.9220575022516</v>
      </c>
      <c r="O35" s="182">
        <f t="shared" si="13"/>
        <v>1114.3907475565554</v>
      </c>
      <c r="P35" s="182">
        <f t="shared" si="13"/>
        <v>1113.4180624367309</v>
      </c>
      <c r="Q35" s="182">
        <f t="shared" si="13"/>
        <v>1064.6282874964925</v>
      </c>
      <c r="R35" s="182">
        <f t="shared" si="13"/>
        <v>1008.6017209236461</v>
      </c>
      <c r="S35" s="182">
        <f t="shared" si="13"/>
        <v>954.17894518839466</v>
      </c>
      <c r="T35" s="182">
        <f t="shared" si="13"/>
        <v>879.63256403881985</v>
      </c>
      <c r="U35" s="183">
        <f t="shared" si="13"/>
        <v>807.06083908492155</v>
      </c>
    </row>
    <row r="36" spans="2:21" s="34" customFormat="1" ht="3.65" customHeight="1" x14ac:dyDescent="0.35">
      <c r="B36" s="86"/>
      <c r="C36" s="186"/>
      <c r="D36" s="186"/>
      <c r="E36" s="186"/>
      <c r="F36" s="186"/>
      <c r="G36" s="186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3"/>
    </row>
    <row r="37" spans="2:21" s="34" customFormat="1" ht="12" customHeight="1" x14ac:dyDescent="0.35">
      <c r="B37" s="86" t="s">
        <v>88</v>
      </c>
      <c r="C37" s="189">
        <f t="shared" ref="C37:U37" si="14">C35+C30+C34</f>
        <v>0</v>
      </c>
      <c r="D37" s="189">
        <f t="shared" si="14"/>
        <v>0</v>
      </c>
      <c r="E37" s="189">
        <f t="shared" si="14"/>
        <v>0</v>
      </c>
      <c r="F37" s="189">
        <f t="shared" si="14"/>
        <v>0</v>
      </c>
      <c r="G37" s="189">
        <f t="shared" si="14"/>
        <v>1331.0965506475118</v>
      </c>
      <c r="H37" s="190">
        <f t="shared" si="14"/>
        <v>1395.5748387456647</v>
      </c>
      <c r="I37" s="190">
        <f t="shared" si="14"/>
        <v>1459.3938800406265</v>
      </c>
      <c r="J37" s="190">
        <f t="shared" si="14"/>
        <v>1512.9723837690144</v>
      </c>
      <c r="K37" s="190">
        <f t="shared" si="14"/>
        <v>1570.7607232961936</v>
      </c>
      <c r="L37" s="190">
        <f t="shared" si="14"/>
        <v>1625.462461247276</v>
      </c>
      <c r="M37" s="190">
        <f t="shared" si="14"/>
        <v>1676.3709832638747</v>
      </c>
      <c r="N37" s="190">
        <f t="shared" si="14"/>
        <v>1723.9220575022516</v>
      </c>
      <c r="O37" s="190">
        <f t="shared" si="14"/>
        <v>1754.3907475565554</v>
      </c>
      <c r="P37" s="190">
        <f t="shared" si="14"/>
        <v>1723.4180624367309</v>
      </c>
      <c r="Q37" s="190">
        <f t="shared" si="14"/>
        <v>1654.6282874964925</v>
      </c>
      <c r="R37" s="190">
        <f t="shared" si="14"/>
        <v>1578.6017209236461</v>
      </c>
      <c r="S37" s="190">
        <f t="shared" si="14"/>
        <v>1504.1789451883947</v>
      </c>
      <c r="T37" s="190">
        <f t="shared" si="14"/>
        <v>1419.63256403882</v>
      </c>
      <c r="U37" s="191">
        <f t="shared" si="14"/>
        <v>1337.0608390849216</v>
      </c>
    </row>
    <row r="38" spans="2:21" s="34" customFormat="1" ht="12" customHeight="1" x14ac:dyDescent="0.35">
      <c r="B38" s="86" t="s">
        <v>266</v>
      </c>
      <c r="C38" s="398">
        <v>0</v>
      </c>
      <c r="D38" s="398">
        <v>0</v>
      </c>
      <c r="E38" s="398">
        <v>0</v>
      </c>
      <c r="F38" s="398">
        <v>0</v>
      </c>
      <c r="G38" s="398">
        <f>+G31+G30+G29+G28</f>
        <v>2631.8930259266272</v>
      </c>
      <c r="H38" s="398">
        <f t="shared" ref="H38:U38" si="15">+H31+H30+H29+H28</f>
        <v>2580.8058872926617</v>
      </c>
      <c r="I38" s="398">
        <f t="shared" si="15"/>
        <v>2526.7491493232064</v>
      </c>
      <c r="J38" s="398">
        <f t="shared" si="15"/>
        <v>2469.6138923511385</v>
      </c>
      <c r="K38" s="398">
        <f t="shared" si="15"/>
        <v>2409.2875123290369</v>
      </c>
      <c r="L38" s="398">
        <f t="shared" si="15"/>
        <v>2345.6535973909395</v>
      </c>
      <c r="M38" s="398">
        <f t="shared" si="15"/>
        <v>2278.591800232316</v>
      </c>
      <c r="N38" s="398">
        <f t="shared" si="15"/>
        <v>2207.9777061640561</v>
      </c>
      <c r="O38" s="398">
        <f t="shared" si="15"/>
        <v>2133.6826966911558</v>
      </c>
      <c r="P38" s="398">
        <f t="shared" si="15"/>
        <v>2055.5738084615787</v>
      </c>
      <c r="Q38" s="398">
        <f t="shared" si="15"/>
        <v>1973.5135874252619</v>
      </c>
      <c r="R38" s="398">
        <f t="shared" si="15"/>
        <v>1887.3599380376636</v>
      </c>
      <c r="S38" s="398">
        <f t="shared" si="15"/>
        <v>1796.965967336354</v>
      </c>
      <c r="T38" s="398">
        <f t="shared" si="15"/>
        <v>1702.179823713117</v>
      </c>
      <c r="U38" s="191">
        <f t="shared" si="15"/>
        <v>1602.8445301977918</v>
      </c>
    </row>
    <row r="39" spans="2:21" s="34" customFormat="1" ht="5.75" customHeight="1" x14ac:dyDescent="0.35">
      <c r="B39" s="86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51"/>
    </row>
    <row r="40" spans="2:21" s="34" customFormat="1" ht="12" customHeight="1" x14ac:dyDescent="0.35">
      <c r="B40" s="399" t="s">
        <v>264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397"/>
    </row>
    <row r="41" spans="2:21" s="34" customFormat="1" ht="12" customHeight="1" x14ac:dyDescent="0.35">
      <c r="B41" s="461" t="s">
        <v>265</v>
      </c>
      <c r="C41" s="462"/>
      <c r="D41" s="463">
        <f>D61/D62</f>
        <v>0.69942196531791923</v>
      </c>
      <c r="E41" s="463">
        <f>E61/E62</f>
        <v>0.70044543429844108</v>
      </c>
      <c r="F41" s="463">
        <f>F61/F62</f>
        <v>0.69390508114295069</v>
      </c>
      <c r="G41" s="463">
        <f>G61/G62</f>
        <v>0.66138175503938401</v>
      </c>
      <c r="H41" s="463">
        <f t="shared" ref="H41:U41" si="16">H61/H62</f>
        <v>0.60292971530980022</v>
      </c>
      <c r="I41" s="463">
        <f t="shared" si="16"/>
        <v>0.53870905171637817</v>
      </c>
      <c r="J41" s="463">
        <f t="shared" si="16"/>
        <v>0.46916223655784289</v>
      </c>
      <c r="K41" s="463">
        <f t="shared" si="16"/>
        <v>0.39436425014647758</v>
      </c>
      <c r="L41" s="463">
        <f t="shared" si="16"/>
        <v>0.31589719188579984</v>
      </c>
      <c r="M41" s="463">
        <f t="shared" si="16"/>
        <v>0.23418760663244537</v>
      </c>
      <c r="N41" s="463">
        <f t="shared" si="16"/>
        <v>0.15013332053396417</v>
      </c>
      <c r="O41" s="463">
        <f t="shared" si="16"/>
        <v>8.4700741534851118E-2</v>
      </c>
      <c r="P41" s="463">
        <f t="shared" si="16"/>
        <v>7.9519784053399933E-2</v>
      </c>
      <c r="Q41" s="463">
        <f t="shared" si="16"/>
        <v>7.538771079433125E-2</v>
      </c>
      <c r="R41" s="463">
        <f t="shared" si="16"/>
        <v>7.2010967167748074E-2</v>
      </c>
      <c r="S41" s="463">
        <f t="shared" si="16"/>
        <v>6.9848884899463129E-2</v>
      </c>
      <c r="T41" s="463">
        <f t="shared" si="16"/>
        <v>6.76397593693355E-2</v>
      </c>
      <c r="U41" s="464">
        <f t="shared" si="16"/>
        <v>6.5881277080331757E-2</v>
      </c>
    </row>
    <row r="42" spans="2:21" s="34" customFormat="1" ht="12" customHeight="1" x14ac:dyDescent="0.35">
      <c r="B42" s="336" t="s">
        <v>267</v>
      </c>
      <c r="C42" s="90"/>
      <c r="D42" s="398">
        <v>0</v>
      </c>
      <c r="E42" s="398">
        <v>0</v>
      </c>
      <c r="F42" s="398">
        <v>0</v>
      </c>
      <c r="G42" s="176">
        <f>G61/G38</f>
        <v>3.5270346044970933</v>
      </c>
      <c r="H42" s="176">
        <f t="shared" ref="H42:U42" si="17">H61/H38</f>
        <v>3.1831142514239095</v>
      </c>
      <c r="I42" s="176">
        <f t="shared" si="17"/>
        <v>2.8325812335345182</v>
      </c>
      <c r="J42" s="176">
        <f t="shared" si="17"/>
        <v>2.4697967821348827</v>
      </c>
      <c r="K42" s="176">
        <f t="shared" si="17"/>
        <v>2.0884459164454801</v>
      </c>
      <c r="L42" s="176">
        <f t="shared" si="17"/>
        <v>1.6941499347171414</v>
      </c>
      <c r="M42" s="176">
        <f t="shared" si="17"/>
        <v>1.2797865378141862</v>
      </c>
      <c r="N42" s="176">
        <f t="shared" si="17"/>
        <v>0.84164497138960448</v>
      </c>
      <c r="O42" s="176">
        <f t="shared" si="17"/>
        <v>0.50148037553068159</v>
      </c>
      <c r="P42" s="176">
        <f t="shared" si="17"/>
        <v>0.53026556162231409</v>
      </c>
      <c r="Q42" s="176">
        <f t="shared" si="17"/>
        <v>0.56244862314231947</v>
      </c>
      <c r="R42" s="176">
        <f t="shared" si="17"/>
        <v>0.59871992470863189</v>
      </c>
      <c r="S42" s="176">
        <f t="shared" si="17"/>
        <v>0.64553253711280267</v>
      </c>
      <c r="T42" s="176">
        <f t="shared" si="17"/>
        <v>0.69322875501247494</v>
      </c>
      <c r="U42" s="402">
        <f t="shared" si="17"/>
        <v>0.74866899277618504</v>
      </c>
    </row>
    <row r="43" spans="2:21" s="34" customFormat="1" ht="12" customHeight="1" x14ac:dyDescent="0.35">
      <c r="B43" s="461" t="s">
        <v>270</v>
      </c>
      <c r="C43" s="465"/>
      <c r="D43" s="466">
        <v>0</v>
      </c>
      <c r="E43" s="466">
        <v>0</v>
      </c>
      <c r="F43" s="466">
        <v>0</v>
      </c>
      <c r="G43" s="467">
        <f t="shared" ref="G43:U43" si="18">(G35+G28+G29+G30)/(G28+G29-G87)</f>
        <v>1.1122678903172047</v>
      </c>
      <c r="H43" s="467">
        <f t="shared" si="18"/>
        <v>1.1493656808108592</v>
      </c>
      <c r="I43" s="467">
        <f t="shared" si="18"/>
        <v>1.1907974512730202</v>
      </c>
      <c r="J43" s="467">
        <f t="shared" si="18"/>
        <v>1.2323295797943559</v>
      </c>
      <c r="K43" s="467">
        <f t="shared" si="18"/>
        <v>1.2824074209884755</v>
      </c>
      <c r="L43" s="467">
        <f t="shared" si="18"/>
        <v>1.3384716165093373</v>
      </c>
      <c r="M43" s="467">
        <f t="shared" si="18"/>
        <v>1.401423099516778</v>
      </c>
      <c r="N43" s="468">
        <f t="shared" si="18"/>
        <v>1.480958000156396</v>
      </c>
      <c r="O43" s="468">
        <f t="shared" si="18"/>
        <v>2.0020569230953105</v>
      </c>
      <c r="P43" s="468">
        <f t="shared" si="18"/>
        <v>14.838102333616774</v>
      </c>
      <c r="Q43" s="468">
        <f t="shared" si="18"/>
        <v>14.216880965882542</v>
      </c>
      <c r="R43" s="468">
        <f t="shared" si="18"/>
        <v>13.564000899729532</v>
      </c>
      <c r="S43" s="468">
        <f t="shared" si="18"/>
        <v>12.893587665126619</v>
      </c>
      <c r="T43" s="468">
        <f t="shared" si="18"/>
        <v>12.108494045860558</v>
      </c>
      <c r="U43" s="469">
        <f t="shared" si="18"/>
        <v>11.413591310118516</v>
      </c>
    </row>
    <row r="44" spans="2:21" s="34" customFormat="1" ht="12" customHeight="1" x14ac:dyDescent="0.35">
      <c r="B44" s="336" t="s">
        <v>271</v>
      </c>
      <c r="C44" s="173"/>
      <c r="D44" s="398">
        <v>0</v>
      </c>
      <c r="E44" s="398">
        <v>0</v>
      </c>
      <c r="F44" s="398">
        <v>0</v>
      </c>
      <c r="G44" s="176">
        <f t="shared" ref="G44:U44" si="19">G83/(G28+G29-G87)</f>
        <v>0.5982376031276484</v>
      </c>
      <c r="H44" s="176">
        <f t="shared" si="19"/>
        <v>1.1449694571049041</v>
      </c>
      <c r="I44" s="176">
        <f t="shared" si="19"/>
        <v>1.1767678292796993</v>
      </c>
      <c r="J44" s="176">
        <f t="shared" si="19"/>
        <v>1.2223426996856173</v>
      </c>
      <c r="K44" s="176">
        <f t="shared" si="19"/>
        <v>1.2716909191552663</v>
      </c>
      <c r="L44" s="176">
        <f t="shared" si="19"/>
        <v>1.3211299131857248</v>
      </c>
      <c r="M44" s="176">
        <f t="shared" si="19"/>
        <v>1.3888778469199354</v>
      </c>
      <c r="N44" s="176">
        <f t="shared" si="19"/>
        <v>1.4530591855498762</v>
      </c>
      <c r="O44" s="176">
        <f t="shared" si="19"/>
        <v>1.9328917835334425</v>
      </c>
      <c r="P44" s="176">
        <f t="shared" si="19"/>
        <v>14.153633183238533</v>
      </c>
      <c r="Q44" s="176">
        <f t="shared" si="19"/>
        <v>13.322480944416403</v>
      </c>
      <c r="R44" s="176">
        <f t="shared" si="19"/>
        <v>12.536762783408621</v>
      </c>
      <c r="S44" s="176">
        <f t="shared" si="19"/>
        <v>11.743217921068902</v>
      </c>
      <c r="T44" s="176">
        <f t="shared" si="19"/>
        <v>10.911479780664473</v>
      </c>
      <c r="U44" s="402">
        <f t="shared" si="19"/>
        <v>10.166666920527968</v>
      </c>
    </row>
    <row r="45" spans="2:21" s="34" customFormat="1" ht="12" customHeight="1" x14ac:dyDescent="0.35">
      <c r="B45" s="461" t="s">
        <v>326</v>
      </c>
      <c r="C45" s="465"/>
      <c r="D45" s="466">
        <v>0</v>
      </c>
      <c r="E45" s="466">
        <v>0</v>
      </c>
      <c r="F45" s="466">
        <v>0</v>
      </c>
      <c r="G45" s="468">
        <f t="shared" ref="G45:U45" si="20">G26/(G28+G29)</f>
        <v>2.2330672203687656</v>
      </c>
      <c r="H45" s="468">
        <f t="shared" si="20"/>
        <v>2.4582225240913083</v>
      </c>
      <c r="I45" s="468">
        <f t="shared" si="20"/>
        <v>2.7395184127103791</v>
      </c>
      <c r="J45" s="468">
        <f t="shared" si="20"/>
        <v>3.1048703700668074</v>
      </c>
      <c r="K45" s="468">
        <f t="shared" si="20"/>
        <v>3.6074378803089995</v>
      </c>
      <c r="L45" s="468">
        <f t="shared" si="20"/>
        <v>4.3411232524199992</v>
      </c>
      <c r="M45" s="468">
        <f t="shared" si="20"/>
        <v>5.5118330919988319</v>
      </c>
      <c r="N45" s="468">
        <f t="shared" si="20"/>
        <v>7.7076252251479787</v>
      </c>
      <c r="O45" s="468">
        <f t="shared" si="20"/>
        <v>12.143896964662257</v>
      </c>
      <c r="P45" s="468">
        <f t="shared" si="20"/>
        <v>15.860909015907271</v>
      </c>
      <c r="Q45" s="468">
        <f t="shared" si="20"/>
        <v>14.950860510797465</v>
      </c>
      <c r="R45" s="468">
        <f t="shared" si="20"/>
        <v>14.042856681827878</v>
      </c>
      <c r="S45" s="468">
        <f t="shared" si="20"/>
        <v>13.078354929667809</v>
      </c>
      <c r="T45" s="468">
        <f t="shared" si="20"/>
        <v>12.123787918184613</v>
      </c>
      <c r="U45" s="469">
        <f t="shared" si="20"/>
        <v>11.224401471973351</v>
      </c>
    </row>
    <row r="46" spans="2:21" s="34" customFormat="1" ht="12" customHeight="1" thickBot="1" x14ac:dyDescent="0.4">
      <c r="B46" s="54" t="s">
        <v>269</v>
      </c>
      <c r="C46" s="175"/>
      <c r="D46" s="175">
        <v>0</v>
      </c>
      <c r="E46" s="175">
        <v>0</v>
      </c>
      <c r="F46" s="175">
        <v>0</v>
      </c>
      <c r="G46" s="177">
        <f t="shared" ref="G46:U46" si="21">G83/(G28+G29)</f>
        <v>1.1452995363382552</v>
      </c>
      <c r="H46" s="177">
        <f t="shared" si="21"/>
        <v>2.3203783697623392</v>
      </c>
      <c r="I46" s="177">
        <f t="shared" si="21"/>
        <v>2.5518609438457855</v>
      </c>
      <c r="J46" s="177">
        <f t="shared" si="21"/>
        <v>2.8786336206688388</v>
      </c>
      <c r="K46" s="177">
        <f t="shared" si="21"/>
        <v>3.3238972670301066</v>
      </c>
      <c r="L46" s="177">
        <f t="shared" si="21"/>
        <v>3.956326326490585</v>
      </c>
      <c r="M46" s="177">
        <f t="shared" si="21"/>
        <v>5.0098301436256776</v>
      </c>
      <c r="N46" s="177">
        <f t="shared" si="21"/>
        <v>6.9199252548361274</v>
      </c>
      <c r="O46" s="177">
        <f t="shared" si="21"/>
        <v>10.825440778161797</v>
      </c>
      <c r="P46" s="177">
        <f t="shared" si="21"/>
        <v>14.153633183238533</v>
      </c>
      <c r="Q46" s="177">
        <f t="shared" si="21"/>
        <v>13.322480944416403</v>
      </c>
      <c r="R46" s="177">
        <f t="shared" si="21"/>
        <v>12.536762783408621</v>
      </c>
      <c r="S46" s="177">
        <f t="shared" si="21"/>
        <v>11.743217921068902</v>
      </c>
      <c r="T46" s="177">
        <f t="shared" si="21"/>
        <v>10.911479780664473</v>
      </c>
      <c r="U46" s="403">
        <f t="shared" si="21"/>
        <v>10.166666920527968</v>
      </c>
    </row>
    <row r="47" spans="2:21" s="34" customFormat="1" x14ac:dyDescent="0.35">
      <c r="B47" s="34" t="s">
        <v>325</v>
      </c>
      <c r="D47" s="309"/>
      <c r="G47" s="489">
        <f>G67/G61</f>
        <v>1.3864384463462802</v>
      </c>
      <c r="H47" s="489">
        <f t="shared" ref="H47:R47" si="22">H67/H61</f>
        <v>1.4838709677419355</v>
      </c>
      <c r="I47" s="489">
        <f t="shared" si="22"/>
        <v>1.6081657998913295</v>
      </c>
      <c r="J47" s="489">
        <f t="shared" si="22"/>
        <v>1.7755715456781127</v>
      </c>
      <c r="K47" s="489">
        <f t="shared" si="22"/>
        <v>2.0172242464392185</v>
      </c>
      <c r="L47" s="489">
        <f t="shared" si="22"/>
        <v>2.383056060394241</v>
      </c>
      <c r="M47" s="489">
        <f t="shared" si="22"/>
        <v>3.0142884358925528</v>
      </c>
      <c r="N47" s="489">
        <f t="shared" si="22"/>
        <v>4.3641255605381204</v>
      </c>
      <c r="O47" s="489">
        <f t="shared" si="22"/>
        <v>6.9439252336448716</v>
      </c>
      <c r="P47" s="489">
        <f t="shared" si="22"/>
        <v>6.1926605504587258</v>
      </c>
      <c r="Q47" s="489">
        <f t="shared" si="22"/>
        <v>5.468468468468477</v>
      </c>
      <c r="R47" s="489">
        <f t="shared" si="22"/>
        <v>4.7699115044247868</v>
      </c>
      <c r="S47" s="277"/>
      <c r="T47" s="277"/>
      <c r="U47" s="277"/>
    </row>
    <row r="48" spans="2:21" ht="15" thickBot="1" x14ac:dyDescent="0.4">
      <c r="G48" s="408"/>
      <c r="H48" s="408"/>
    </row>
    <row r="49" spans="2:21" ht="16" thickBot="1" x14ac:dyDescent="0.4">
      <c r="B49" s="299" t="s">
        <v>106</v>
      </c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1"/>
    </row>
    <row r="50" spans="2:21" ht="16" thickBot="1" x14ac:dyDescent="0.4">
      <c r="B50" s="306" t="s">
        <v>110</v>
      </c>
      <c r="C50" s="2">
        <v>2009</v>
      </c>
      <c r="D50" s="2">
        <v>2010</v>
      </c>
      <c r="E50" s="2">
        <v>2011</v>
      </c>
      <c r="F50" s="2">
        <v>2012</v>
      </c>
      <c r="G50" s="2">
        <v>2013</v>
      </c>
      <c r="H50" s="2">
        <v>2014</v>
      </c>
      <c r="I50" s="2">
        <v>2015</v>
      </c>
      <c r="J50" s="2">
        <v>2016</v>
      </c>
      <c r="K50" s="2">
        <v>2017</v>
      </c>
      <c r="L50" s="2">
        <v>2018</v>
      </c>
      <c r="M50" s="2">
        <v>2019</v>
      </c>
      <c r="N50" s="2">
        <v>2020</v>
      </c>
      <c r="O50" s="2">
        <v>2021</v>
      </c>
      <c r="P50" s="2">
        <v>2022</v>
      </c>
      <c r="Q50" s="2">
        <v>2023</v>
      </c>
      <c r="R50" s="2">
        <v>2024</v>
      </c>
      <c r="S50" s="2">
        <v>2025</v>
      </c>
      <c r="T50" s="2">
        <v>2026</v>
      </c>
      <c r="U50" s="3">
        <v>2027</v>
      </c>
    </row>
    <row r="51" spans="2:21" ht="15.5" x14ac:dyDescent="0.35">
      <c r="B51" s="305" t="s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2:21" ht="15.5" x14ac:dyDescent="0.35">
      <c r="B52" s="304" t="s">
        <v>107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 ht="15.5" x14ac:dyDescent="0.35">
      <c r="B53" s="313" t="s">
        <v>2</v>
      </c>
      <c r="C53" s="202">
        <v>0</v>
      </c>
      <c r="D53" s="407">
        <f>C53+D92+D91</f>
        <v>1082.4499999999998</v>
      </c>
      <c r="E53" s="407">
        <f>D53+E92+E91</f>
        <v>2740.9749999999995</v>
      </c>
      <c r="F53" s="202">
        <f t="shared" ref="F53:U53" si="23">E53+F92</f>
        <v>4210.9749999999995</v>
      </c>
      <c r="G53" s="202">
        <f t="shared" si="23"/>
        <v>4210.9749999999995</v>
      </c>
      <c r="H53" s="202">
        <f t="shared" si="23"/>
        <v>4210.9749999999995</v>
      </c>
      <c r="I53" s="202">
        <f t="shared" si="23"/>
        <v>4210.9749999999995</v>
      </c>
      <c r="J53" s="202">
        <f t="shared" si="23"/>
        <v>4210.9749999999995</v>
      </c>
      <c r="K53" s="202">
        <f t="shared" si="23"/>
        <v>4210.9749999999995</v>
      </c>
      <c r="L53" s="202">
        <f t="shared" si="23"/>
        <v>4210.9749999999995</v>
      </c>
      <c r="M53" s="202">
        <f t="shared" si="23"/>
        <v>4210.9749999999995</v>
      </c>
      <c r="N53" s="202">
        <f t="shared" si="23"/>
        <v>4210.9749999999995</v>
      </c>
      <c r="O53" s="202">
        <f t="shared" si="23"/>
        <v>4210.9749999999995</v>
      </c>
      <c r="P53" s="202">
        <f t="shared" si="23"/>
        <v>4210.9749999999995</v>
      </c>
      <c r="Q53" s="202">
        <f t="shared" si="23"/>
        <v>4210.9749999999995</v>
      </c>
      <c r="R53" s="202">
        <f t="shared" si="23"/>
        <v>4210.9749999999995</v>
      </c>
      <c r="S53" s="202">
        <f t="shared" si="23"/>
        <v>4210.9749999999995</v>
      </c>
      <c r="T53" s="202">
        <f t="shared" si="23"/>
        <v>4210.9749999999995</v>
      </c>
      <c r="U53" s="203">
        <f t="shared" si="23"/>
        <v>4210.9749999999995</v>
      </c>
    </row>
    <row r="54" spans="2:21" ht="15.5" x14ac:dyDescent="0.35">
      <c r="B54" s="313" t="s">
        <v>76</v>
      </c>
      <c r="C54" s="202">
        <v>0</v>
      </c>
      <c r="D54" s="202">
        <f t="shared" ref="D54:U54" si="24">D136</f>
        <v>-42.45000000000001</v>
      </c>
      <c r="E54" s="202">
        <f t="shared" si="24"/>
        <v>-50.975000000000009</v>
      </c>
      <c r="F54" s="202">
        <f t="shared" si="24"/>
        <v>-50.975000000000009</v>
      </c>
      <c r="G54" s="202">
        <f t="shared" si="24"/>
        <v>541.67790510370946</v>
      </c>
      <c r="H54" s="202">
        <f t="shared" si="24"/>
        <v>1199.1620456653125</v>
      </c>
      <c r="I54" s="202">
        <f t="shared" si="24"/>
        <v>1917.6798192320332</v>
      </c>
      <c r="J54" s="202">
        <f t="shared" si="24"/>
        <v>2690.2953811880434</v>
      </c>
      <c r="K54" s="202">
        <f t="shared" si="24"/>
        <v>3516.290373440338</v>
      </c>
      <c r="L54" s="202">
        <f t="shared" si="24"/>
        <v>4394.8265640907975</v>
      </c>
      <c r="M54" s="202">
        <f t="shared" si="24"/>
        <v>5324.9439217501567</v>
      </c>
      <c r="N54" s="202">
        <f t="shared" si="24"/>
        <v>6308.5790451911926</v>
      </c>
      <c r="O54" s="202">
        <f t="shared" si="24"/>
        <v>7351.7361263805687</v>
      </c>
      <c r="P54" s="202">
        <f t="shared" si="24"/>
        <v>8406.305684615927</v>
      </c>
      <c r="Q54" s="202">
        <f t="shared" si="24"/>
        <v>9402.9102102598172</v>
      </c>
      <c r="R54" s="202">
        <f t="shared" si="24"/>
        <v>10351.079202906156</v>
      </c>
      <c r="S54" s="202">
        <f t="shared" si="24"/>
        <v>11236.305154431135</v>
      </c>
      <c r="T54" s="202">
        <f t="shared" si="24"/>
        <v>12054.385702080666</v>
      </c>
      <c r="U54" s="203">
        <f t="shared" si="24"/>
        <v>12803.608158987472</v>
      </c>
    </row>
    <row r="55" spans="2:21" ht="15.5" x14ac:dyDescent="0.35">
      <c r="B55" s="7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3"/>
    </row>
    <row r="56" spans="2:21" ht="15.5" x14ac:dyDescent="0.35">
      <c r="B56" s="7" t="s">
        <v>108</v>
      </c>
      <c r="C56" s="307">
        <v>0</v>
      </c>
      <c r="D56" s="307">
        <f t="shared" ref="D56:U56" si="25">D53+D54</f>
        <v>1039.9999999999998</v>
      </c>
      <c r="E56" s="307">
        <f t="shared" si="25"/>
        <v>2689.9999999999995</v>
      </c>
      <c r="F56" s="307">
        <f t="shared" si="25"/>
        <v>4159.9999999999991</v>
      </c>
      <c r="G56" s="307">
        <f t="shared" si="25"/>
        <v>4752.6529051037087</v>
      </c>
      <c r="H56" s="307">
        <f t="shared" si="25"/>
        <v>5410.1370456653121</v>
      </c>
      <c r="I56" s="307">
        <f t="shared" si="25"/>
        <v>6128.6548192320324</v>
      </c>
      <c r="J56" s="307">
        <f t="shared" si="25"/>
        <v>6901.2703811880428</v>
      </c>
      <c r="K56" s="307">
        <f t="shared" si="25"/>
        <v>7727.2653734403375</v>
      </c>
      <c r="L56" s="307">
        <f t="shared" si="25"/>
        <v>8605.8015640907979</v>
      </c>
      <c r="M56" s="307">
        <f t="shared" si="25"/>
        <v>9535.9189217501553</v>
      </c>
      <c r="N56" s="307">
        <f t="shared" si="25"/>
        <v>10519.554045191191</v>
      </c>
      <c r="O56" s="307">
        <f t="shared" si="25"/>
        <v>11562.711126380567</v>
      </c>
      <c r="P56" s="307">
        <f t="shared" si="25"/>
        <v>12617.280684615926</v>
      </c>
      <c r="Q56" s="307">
        <f t="shared" si="25"/>
        <v>13613.885210259818</v>
      </c>
      <c r="R56" s="307">
        <f t="shared" si="25"/>
        <v>14562.054202906154</v>
      </c>
      <c r="S56" s="307">
        <f t="shared" si="25"/>
        <v>15447.280154431133</v>
      </c>
      <c r="T56" s="307">
        <f t="shared" si="25"/>
        <v>16265.360702080667</v>
      </c>
      <c r="U56" s="308">
        <f t="shared" si="25"/>
        <v>17014.583158987472</v>
      </c>
    </row>
    <row r="57" spans="2:21" ht="15.5" x14ac:dyDescent="0.35">
      <c r="B57" s="7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3"/>
    </row>
    <row r="58" spans="2:21" ht="15.5" x14ac:dyDescent="0.35">
      <c r="B58" s="304" t="s">
        <v>3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3"/>
    </row>
    <row r="59" spans="2:21" ht="15.5" x14ac:dyDescent="0.35">
      <c r="B59" s="7" t="s">
        <v>77</v>
      </c>
      <c r="C59" s="202">
        <v>0</v>
      </c>
      <c r="D59" s="202">
        <f t="shared" ref="D59:U59" si="26">C59+D86+D87</f>
        <v>2420.0000000000005</v>
      </c>
      <c r="E59" s="202">
        <f t="shared" si="26"/>
        <v>6290.0000000000018</v>
      </c>
      <c r="F59" s="202">
        <f t="shared" si="26"/>
        <v>9430.5555555555566</v>
      </c>
      <c r="G59" s="202">
        <f t="shared" si="26"/>
        <v>8352.7777777777792</v>
      </c>
      <c r="H59" s="202">
        <f t="shared" si="26"/>
        <v>7275.0000000000009</v>
      </c>
      <c r="I59" s="202">
        <f t="shared" si="26"/>
        <v>6197.2222222222226</v>
      </c>
      <c r="J59" s="202">
        <f t="shared" si="26"/>
        <v>5119.4444444444443</v>
      </c>
      <c r="K59" s="202">
        <f t="shared" si="26"/>
        <v>4041.6666666666661</v>
      </c>
      <c r="L59" s="202">
        <f t="shared" si="26"/>
        <v>2963.8888888888878</v>
      </c>
      <c r="M59" s="202">
        <f t="shared" si="26"/>
        <v>1886.1111111111097</v>
      </c>
      <c r="N59" s="202">
        <f t="shared" si="26"/>
        <v>808.33333333333167</v>
      </c>
      <c r="O59" s="202">
        <f t="shared" si="26"/>
        <v>-1.8189894035458565E-12</v>
      </c>
      <c r="P59" s="202">
        <f t="shared" si="26"/>
        <v>-1.8189894035458565E-12</v>
      </c>
      <c r="Q59" s="202">
        <f t="shared" si="26"/>
        <v>-1.8189894035458565E-12</v>
      </c>
      <c r="R59" s="202">
        <f t="shared" si="26"/>
        <v>-1.8189894035458565E-12</v>
      </c>
      <c r="S59" s="202">
        <f t="shared" si="26"/>
        <v>-1.8189894035458565E-12</v>
      </c>
      <c r="T59" s="202">
        <f t="shared" si="26"/>
        <v>-1.8189894035458565E-12</v>
      </c>
      <c r="U59" s="203">
        <f t="shared" si="26"/>
        <v>-1.8189894035458565E-12</v>
      </c>
    </row>
    <row r="60" spans="2:21" ht="15.5" x14ac:dyDescent="0.35">
      <c r="B60" s="7" t="s">
        <v>78</v>
      </c>
      <c r="C60" s="202">
        <v>0</v>
      </c>
      <c r="D60" s="202">
        <f>C60+D88</f>
        <v>0</v>
      </c>
      <c r="E60" s="202">
        <f>D60+E88</f>
        <v>0</v>
      </c>
      <c r="F60" s="202">
        <f t="shared" ref="F60:U60" si="27">E60+F88+F89</f>
        <v>0</v>
      </c>
      <c r="G60" s="202">
        <f t="shared" si="27"/>
        <v>930</v>
      </c>
      <c r="H60" s="202">
        <f t="shared" si="27"/>
        <v>940</v>
      </c>
      <c r="I60" s="202">
        <f t="shared" si="27"/>
        <v>960</v>
      </c>
      <c r="J60" s="202">
        <f t="shared" si="27"/>
        <v>980</v>
      </c>
      <c r="K60" s="202">
        <f t="shared" si="27"/>
        <v>990</v>
      </c>
      <c r="L60" s="202">
        <f t="shared" si="27"/>
        <v>1010</v>
      </c>
      <c r="M60" s="202">
        <f t="shared" si="27"/>
        <v>1030</v>
      </c>
      <c r="N60" s="202">
        <f t="shared" si="27"/>
        <v>1050</v>
      </c>
      <c r="O60" s="202">
        <f t="shared" si="27"/>
        <v>1070</v>
      </c>
      <c r="P60" s="202">
        <f t="shared" si="27"/>
        <v>1090</v>
      </c>
      <c r="Q60" s="202">
        <f t="shared" si="27"/>
        <v>1110</v>
      </c>
      <c r="R60" s="202">
        <f t="shared" si="27"/>
        <v>1130</v>
      </c>
      <c r="S60" s="202">
        <f t="shared" si="27"/>
        <v>1160</v>
      </c>
      <c r="T60" s="202">
        <f t="shared" si="27"/>
        <v>1180</v>
      </c>
      <c r="U60" s="203">
        <f t="shared" si="27"/>
        <v>1200</v>
      </c>
    </row>
    <row r="61" spans="2:21" ht="15.5" x14ac:dyDescent="0.35">
      <c r="B61" s="7" t="s">
        <v>4</v>
      </c>
      <c r="C61" s="307">
        <v>0</v>
      </c>
      <c r="D61" s="307">
        <f t="shared" ref="D61:U61" si="28">D59+D60</f>
        <v>2420.0000000000005</v>
      </c>
      <c r="E61" s="307">
        <f t="shared" si="28"/>
        <v>6290.0000000000018</v>
      </c>
      <c r="F61" s="307">
        <f t="shared" si="28"/>
        <v>9430.5555555555566</v>
      </c>
      <c r="G61" s="307">
        <f t="shared" si="28"/>
        <v>9282.7777777777792</v>
      </c>
      <c r="H61" s="307">
        <f t="shared" si="28"/>
        <v>8215</v>
      </c>
      <c r="I61" s="307">
        <f t="shared" si="28"/>
        <v>7157.2222222222226</v>
      </c>
      <c r="J61" s="307">
        <f t="shared" si="28"/>
        <v>6099.4444444444443</v>
      </c>
      <c r="K61" s="307">
        <f t="shared" si="28"/>
        <v>5031.6666666666661</v>
      </c>
      <c r="L61" s="307">
        <f t="shared" si="28"/>
        <v>3973.8888888888878</v>
      </c>
      <c r="M61" s="307">
        <f t="shared" si="28"/>
        <v>2916.1111111111095</v>
      </c>
      <c r="N61" s="307">
        <f t="shared" si="28"/>
        <v>1858.3333333333317</v>
      </c>
      <c r="O61" s="307">
        <f t="shared" si="28"/>
        <v>1069.9999999999982</v>
      </c>
      <c r="P61" s="307">
        <f t="shared" si="28"/>
        <v>1089.9999999999982</v>
      </c>
      <c r="Q61" s="307">
        <f t="shared" si="28"/>
        <v>1109.9999999999982</v>
      </c>
      <c r="R61" s="307">
        <f t="shared" si="28"/>
        <v>1129.9999999999982</v>
      </c>
      <c r="S61" s="307">
        <f t="shared" si="28"/>
        <v>1159.9999999999982</v>
      </c>
      <c r="T61" s="307">
        <f t="shared" si="28"/>
        <v>1179.9999999999982</v>
      </c>
      <c r="U61" s="308">
        <f t="shared" si="28"/>
        <v>1199.9999999999982</v>
      </c>
    </row>
    <row r="62" spans="2:21" ht="15.5" x14ac:dyDescent="0.35">
      <c r="B62" s="7" t="s">
        <v>5</v>
      </c>
      <c r="C62" s="307">
        <v>0</v>
      </c>
      <c r="D62" s="307">
        <f t="shared" ref="D62:U62" si="29">D56+D61</f>
        <v>3460</v>
      </c>
      <c r="E62" s="307">
        <f t="shared" si="29"/>
        <v>8980.0000000000018</v>
      </c>
      <c r="F62" s="307">
        <f t="shared" si="29"/>
        <v>13590.555555555555</v>
      </c>
      <c r="G62" s="307">
        <f t="shared" si="29"/>
        <v>14035.430682881488</v>
      </c>
      <c r="H62" s="307">
        <f t="shared" si="29"/>
        <v>13625.137045665313</v>
      </c>
      <c r="I62" s="307">
        <f t="shared" si="29"/>
        <v>13285.877041454256</v>
      </c>
      <c r="J62" s="307">
        <f t="shared" si="29"/>
        <v>13000.714825632487</v>
      </c>
      <c r="K62" s="307">
        <f t="shared" si="29"/>
        <v>12758.932040107004</v>
      </c>
      <c r="L62" s="307">
        <f t="shared" si="29"/>
        <v>12579.690452979685</v>
      </c>
      <c r="M62" s="307">
        <f t="shared" si="29"/>
        <v>12452.030032861265</v>
      </c>
      <c r="N62" s="307">
        <f t="shared" si="29"/>
        <v>12377.887378524523</v>
      </c>
      <c r="O62" s="307">
        <f t="shared" si="29"/>
        <v>12632.711126380565</v>
      </c>
      <c r="P62" s="307">
        <f t="shared" si="29"/>
        <v>13707.280684615924</v>
      </c>
      <c r="Q62" s="307">
        <f t="shared" si="29"/>
        <v>14723.885210259816</v>
      </c>
      <c r="R62" s="307">
        <f t="shared" si="29"/>
        <v>15692.054202906153</v>
      </c>
      <c r="S62" s="307">
        <f t="shared" si="29"/>
        <v>16607.28015443113</v>
      </c>
      <c r="T62" s="307">
        <f t="shared" si="29"/>
        <v>17445.360702080667</v>
      </c>
      <c r="U62" s="308">
        <f t="shared" si="29"/>
        <v>18214.583158987472</v>
      </c>
    </row>
    <row r="63" spans="2:21" ht="15.5" x14ac:dyDescent="0.35">
      <c r="B63" s="7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3"/>
    </row>
    <row r="64" spans="2:21" ht="15.5" x14ac:dyDescent="0.35">
      <c r="B64" s="304" t="s">
        <v>6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3"/>
    </row>
    <row r="65" spans="2:26" ht="15.5" x14ac:dyDescent="0.35">
      <c r="B65" s="7" t="s">
        <v>197</v>
      </c>
      <c r="C65" s="202">
        <v>0</v>
      </c>
      <c r="D65" s="202">
        <v>3460</v>
      </c>
      <c r="E65" s="202">
        <v>8980</v>
      </c>
      <c r="F65" s="202">
        <v>13550</v>
      </c>
      <c r="G65" s="202">
        <v>13550</v>
      </c>
      <c r="H65" s="202">
        <v>13550</v>
      </c>
      <c r="I65" s="202">
        <v>13550</v>
      </c>
      <c r="J65" s="202">
        <v>13550</v>
      </c>
      <c r="K65" s="202">
        <v>13550</v>
      </c>
      <c r="L65" s="202">
        <v>13550</v>
      </c>
      <c r="M65" s="202">
        <v>13550</v>
      </c>
      <c r="N65" s="202">
        <v>13550</v>
      </c>
      <c r="O65" s="202">
        <v>13550</v>
      </c>
      <c r="P65" s="202">
        <v>13550</v>
      </c>
      <c r="Q65" s="202">
        <v>13550</v>
      </c>
      <c r="R65" s="202">
        <v>13550</v>
      </c>
      <c r="S65" s="202">
        <v>13550</v>
      </c>
      <c r="T65" s="202">
        <v>13550</v>
      </c>
      <c r="U65" s="203">
        <v>13550</v>
      </c>
    </row>
    <row r="66" spans="2:26" ht="15.5" x14ac:dyDescent="0.35">
      <c r="B66" s="7" t="s">
        <v>7</v>
      </c>
      <c r="C66" s="202">
        <v>0</v>
      </c>
      <c r="D66" s="202">
        <f>D30</f>
        <v>0</v>
      </c>
      <c r="E66" s="202">
        <f t="shared" ref="E66:U66" si="30">D66+E30</f>
        <v>0</v>
      </c>
      <c r="F66" s="202">
        <f t="shared" si="30"/>
        <v>0</v>
      </c>
      <c r="G66" s="202">
        <f t="shared" si="30"/>
        <v>680</v>
      </c>
      <c r="H66" s="202">
        <f t="shared" si="30"/>
        <v>1360</v>
      </c>
      <c r="I66" s="202">
        <f t="shared" si="30"/>
        <v>2040</v>
      </c>
      <c r="J66" s="202">
        <f t="shared" si="30"/>
        <v>2720</v>
      </c>
      <c r="K66" s="202">
        <f t="shared" si="30"/>
        <v>3400</v>
      </c>
      <c r="L66" s="202">
        <f t="shared" si="30"/>
        <v>4080</v>
      </c>
      <c r="M66" s="202">
        <f t="shared" si="30"/>
        <v>4760</v>
      </c>
      <c r="N66" s="202">
        <f t="shared" si="30"/>
        <v>5440</v>
      </c>
      <c r="O66" s="202">
        <f t="shared" si="30"/>
        <v>6120</v>
      </c>
      <c r="P66" s="202">
        <f t="shared" si="30"/>
        <v>6800</v>
      </c>
      <c r="Q66" s="202">
        <f t="shared" si="30"/>
        <v>7480</v>
      </c>
      <c r="R66" s="202">
        <f t="shared" si="30"/>
        <v>8160</v>
      </c>
      <c r="S66" s="202">
        <f t="shared" si="30"/>
        <v>8840</v>
      </c>
      <c r="T66" s="202">
        <f t="shared" si="30"/>
        <v>9520</v>
      </c>
      <c r="U66" s="203">
        <f t="shared" si="30"/>
        <v>10200</v>
      </c>
    </row>
    <row r="67" spans="2:26" ht="15.5" x14ac:dyDescent="0.35">
      <c r="B67" s="7" t="s">
        <v>8</v>
      </c>
      <c r="C67" s="202">
        <v>0</v>
      </c>
      <c r="D67" s="187">
        <f>D65-D66</f>
        <v>3460</v>
      </c>
      <c r="E67" s="187">
        <f>E65-E66</f>
        <v>8980</v>
      </c>
      <c r="F67" s="187">
        <f>F65-F66</f>
        <v>13550</v>
      </c>
      <c r="G67" s="187">
        <f>G65-G66</f>
        <v>12870</v>
      </c>
      <c r="H67" s="187">
        <f t="shared" ref="H67:U67" si="31">H65-H66</f>
        <v>12190</v>
      </c>
      <c r="I67" s="202">
        <f t="shared" si="31"/>
        <v>11510</v>
      </c>
      <c r="J67" s="202">
        <f t="shared" si="31"/>
        <v>10830</v>
      </c>
      <c r="K67" s="202">
        <f t="shared" si="31"/>
        <v>10150</v>
      </c>
      <c r="L67" s="202">
        <f t="shared" si="31"/>
        <v>9470</v>
      </c>
      <c r="M67" s="202">
        <f t="shared" si="31"/>
        <v>8790</v>
      </c>
      <c r="N67" s="202">
        <f t="shared" si="31"/>
        <v>8110</v>
      </c>
      <c r="O67" s="202">
        <f t="shared" si="31"/>
        <v>7430</v>
      </c>
      <c r="P67" s="202">
        <f t="shared" si="31"/>
        <v>6750</v>
      </c>
      <c r="Q67" s="202">
        <f t="shared" si="31"/>
        <v>6070</v>
      </c>
      <c r="R67" s="202">
        <f t="shared" si="31"/>
        <v>5390</v>
      </c>
      <c r="S67" s="202">
        <f t="shared" si="31"/>
        <v>4710</v>
      </c>
      <c r="T67" s="202">
        <f t="shared" si="31"/>
        <v>4030</v>
      </c>
      <c r="U67" s="203">
        <f t="shared" si="31"/>
        <v>3350</v>
      </c>
    </row>
    <row r="68" spans="2:26" ht="15.5" x14ac:dyDescent="0.35">
      <c r="B68" s="7" t="s">
        <v>57</v>
      </c>
      <c r="C68" s="202">
        <v>0</v>
      </c>
      <c r="D68" s="202">
        <v>0</v>
      </c>
      <c r="E68" s="202">
        <v>0</v>
      </c>
      <c r="F68" s="202">
        <v>0</v>
      </c>
      <c r="G68" s="202">
        <f>G105</f>
        <v>1159.8465171192443</v>
      </c>
      <c r="H68" s="202">
        <f t="shared" ref="H68:U68" si="32">H105</f>
        <v>1169.2001180637544</v>
      </c>
      <c r="I68" s="202">
        <f t="shared" si="32"/>
        <v>1197.2609208972844</v>
      </c>
      <c r="J68" s="202">
        <f t="shared" si="32"/>
        <v>1215.9681227863045</v>
      </c>
      <c r="K68" s="202">
        <f t="shared" si="32"/>
        <v>1234.6753246753246</v>
      </c>
      <c r="L68" s="202">
        <f t="shared" si="32"/>
        <v>1262.7361275088547</v>
      </c>
      <c r="M68" s="202">
        <f t="shared" si="32"/>
        <v>1281.443329397875</v>
      </c>
      <c r="N68" s="202">
        <f t="shared" si="32"/>
        <v>1309.504132231405</v>
      </c>
      <c r="O68" s="202">
        <f t="shared" si="32"/>
        <v>1337.5649350649351</v>
      </c>
      <c r="P68" s="202">
        <f t="shared" si="32"/>
        <v>1356.2721369539552</v>
      </c>
      <c r="Q68" s="202">
        <f t="shared" si="32"/>
        <v>1384.3329397874852</v>
      </c>
      <c r="R68" s="202">
        <f t="shared" si="32"/>
        <v>1412.3937426210152</v>
      </c>
      <c r="S68" s="202">
        <f t="shared" si="32"/>
        <v>1440.4545454545453</v>
      </c>
      <c r="T68" s="202">
        <f t="shared" si="32"/>
        <v>1468.5153482880755</v>
      </c>
      <c r="U68" s="203">
        <f t="shared" si="32"/>
        <v>1496.5761511216056</v>
      </c>
    </row>
    <row r="69" spans="2:26" ht="15.5" x14ac:dyDescent="0.35">
      <c r="B69" s="7" t="s">
        <v>112</v>
      </c>
      <c r="C69" s="202">
        <v>0</v>
      </c>
      <c r="D69" s="202">
        <v>0</v>
      </c>
      <c r="E69" s="202">
        <v>0</v>
      </c>
      <c r="F69" s="202">
        <v>0</v>
      </c>
      <c r="G69" s="202">
        <v>0</v>
      </c>
      <c r="H69" s="202">
        <v>0</v>
      </c>
      <c r="I69" s="202">
        <v>0</v>
      </c>
      <c r="J69" s="202">
        <v>0</v>
      </c>
      <c r="K69" s="202">
        <v>0</v>
      </c>
      <c r="L69" s="202">
        <v>0</v>
      </c>
      <c r="M69" s="202">
        <v>0</v>
      </c>
      <c r="N69" s="202">
        <v>10</v>
      </c>
      <c r="O69" s="202">
        <v>50</v>
      </c>
      <c r="P69" s="202">
        <v>120</v>
      </c>
      <c r="Q69" s="202">
        <v>210</v>
      </c>
      <c r="R69" s="202">
        <v>320</v>
      </c>
      <c r="S69" s="187">
        <v>450</v>
      </c>
      <c r="T69" s="202">
        <v>590</v>
      </c>
      <c r="U69" s="203">
        <v>740</v>
      </c>
    </row>
    <row r="70" spans="2:26" ht="15.5" x14ac:dyDescent="0.35">
      <c r="B70" s="7" t="s">
        <v>9</v>
      </c>
      <c r="C70" s="202">
        <v>0</v>
      </c>
      <c r="D70" s="202">
        <f t="shared" ref="D70:U70" si="33">D99</f>
        <v>0</v>
      </c>
      <c r="E70" s="202">
        <f t="shared" si="33"/>
        <v>0</v>
      </c>
      <c r="F70" s="202">
        <f t="shared" si="33"/>
        <v>40.555555555555657</v>
      </c>
      <c r="G70" s="202">
        <f t="shared" si="33"/>
        <v>5.5841657622427192</v>
      </c>
      <c r="H70" s="202">
        <f t="shared" si="33"/>
        <v>265.93692760155727</v>
      </c>
      <c r="I70" s="202">
        <f t="shared" si="33"/>
        <v>578.61612055696992</v>
      </c>
      <c r="J70" s="202">
        <f t="shared" si="33"/>
        <v>954.74670284618196</v>
      </c>
      <c r="K70" s="202">
        <f t="shared" si="33"/>
        <v>1374.2567154316785</v>
      </c>
      <c r="L70" s="202">
        <f t="shared" si="33"/>
        <v>1846.9543254708296</v>
      </c>
      <c r="M70" s="202">
        <f t="shared" si="33"/>
        <v>2380.5867034633907</v>
      </c>
      <c r="N70" s="202">
        <f t="shared" si="33"/>
        <v>2948.3832462931182</v>
      </c>
      <c r="O70" s="202">
        <f t="shared" si="33"/>
        <v>3815.1461913156309</v>
      </c>
      <c r="P70" s="202">
        <f t="shared" si="33"/>
        <v>5481.0085476619697</v>
      </c>
      <c r="Q70" s="202">
        <f t="shared" si="33"/>
        <v>7059.5522704723298</v>
      </c>
      <c r="R70" s="202">
        <f t="shared" si="33"/>
        <v>8569.6604602851385</v>
      </c>
      <c r="S70" s="202">
        <f t="shared" si="33"/>
        <v>10006.825608976587</v>
      </c>
      <c r="T70" s="202">
        <f t="shared" si="33"/>
        <v>11356.845353792587</v>
      </c>
      <c r="U70" s="203">
        <f t="shared" si="33"/>
        <v>12628.007007865865</v>
      </c>
    </row>
    <row r="71" spans="2:26" ht="15.5" x14ac:dyDescent="0.35">
      <c r="B71" s="7" t="s">
        <v>10</v>
      </c>
      <c r="C71" s="202">
        <v>0</v>
      </c>
      <c r="D71" s="186">
        <f t="shared" ref="D71:U71" si="34">SUM(D67:D70)</f>
        <v>3460</v>
      </c>
      <c r="E71" s="186">
        <f t="shared" si="34"/>
        <v>8980</v>
      </c>
      <c r="F71" s="186">
        <f t="shared" si="34"/>
        <v>13590.555555555555</v>
      </c>
      <c r="G71" s="186">
        <f t="shared" si="34"/>
        <v>14035.430682881486</v>
      </c>
      <c r="H71" s="307">
        <f t="shared" si="34"/>
        <v>13625.137045665311</v>
      </c>
      <c r="I71" s="307">
        <f t="shared" si="34"/>
        <v>13285.877041454254</v>
      </c>
      <c r="J71" s="307">
        <f t="shared" si="34"/>
        <v>13000.714825632485</v>
      </c>
      <c r="K71" s="307">
        <f t="shared" si="34"/>
        <v>12758.932040107004</v>
      </c>
      <c r="L71" s="307">
        <f t="shared" si="34"/>
        <v>12579.690452979685</v>
      </c>
      <c r="M71" s="307">
        <f t="shared" si="34"/>
        <v>12452.030032861265</v>
      </c>
      <c r="N71" s="307">
        <f t="shared" si="34"/>
        <v>12377.887378524523</v>
      </c>
      <c r="O71" s="307">
        <f t="shared" si="34"/>
        <v>12632.711126380565</v>
      </c>
      <c r="P71" s="307">
        <f t="shared" si="34"/>
        <v>13707.280684615924</v>
      </c>
      <c r="Q71" s="307">
        <f t="shared" si="34"/>
        <v>14723.885210259814</v>
      </c>
      <c r="R71" s="307">
        <f t="shared" si="34"/>
        <v>15692.054202906154</v>
      </c>
      <c r="S71" s="307">
        <f t="shared" si="34"/>
        <v>16607.280154431133</v>
      </c>
      <c r="T71" s="307">
        <f t="shared" si="34"/>
        <v>17445.360702080663</v>
      </c>
      <c r="U71" s="308">
        <f t="shared" si="34"/>
        <v>18214.583158987472</v>
      </c>
      <c r="W71" s="34"/>
      <c r="X71" s="34"/>
      <c r="Y71" s="34"/>
      <c r="Z71" s="34"/>
    </row>
    <row r="72" spans="2:26" x14ac:dyDescent="0.35">
      <c r="B72" s="329" t="s">
        <v>185</v>
      </c>
      <c r="C72" s="16"/>
      <c r="D72" s="269">
        <f t="shared" ref="D72:U72" si="35">D62-D71</f>
        <v>0</v>
      </c>
      <c r="E72" s="269">
        <f t="shared" si="35"/>
        <v>0</v>
      </c>
      <c r="F72" s="269">
        <f t="shared" si="35"/>
        <v>0</v>
      </c>
      <c r="G72" s="269">
        <f t="shared" si="35"/>
        <v>0</v>
      </c>
      <c r="H72" s="269">
        <f t="shared" si="35"/>
        <v>0</v>
      </c>
      <c r="I72" s="269">
        <f t="shared" si="35"/>
        <v>0</v>
      </c>
      <c r="J72" s="269">
        <f t="shared" si="35"/>
        <v>0</v>
      </c>
      <c r="K72" s="269">
        <f t="shared" si="35"/>
        <v>0</v>
      </c>
      <c r="L72" s="269">
        <f t="shared" si="35"/>
        <v>0</v>
      </c>
      <c r="M72" s="269">
        <f t="shared" si="35"/>
        <v>0</v>
      </c>
      <c r="N72" s="269">
        <f t="shared" si="35"/>
        <v>0</v>
      </c>
      <c r="O72" s="269">
        <f t="shared" si="35"/>
        <v>0</v>
      </c>
      <c r="P72" s="269">
        <f t="shared" si="35"/>
        <v>0</v>
      </c>
      <c r="Q72" s="269">
        <f t="shared" si="35"/>
        <v>0</v>
      </c>
      <c r="R72" s="269">
        <f t="shared" si="35"/>
        <v>0</v>
      </c>
      <c r="S72" s="269">
        <f t="shared" si="35"/>
        <v>0</v>
      </c>
      <c r="T72" s="269">
        <f t="shared" si="35"/>
        <v>0</v>
      </c>
      <c r="U72" s="269">
        <f t="shared" si="35"/>
        <v>0</v>
      </c>
    </row>
    <row r="73" spans="2:26" ht="15" thickBot="1" x14ac:dyDescent="0.4">
      <c r="B73" s="15"/>
      <c r="C73" s="16"/>
      <c r="D73" s="17"/>
      <c r="E73" s="17"/>
      <c r="F73" s="17"/>
      <c r="G73" s="13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2:26" ht="16" thickBot="1" x14ac:dyDescent="0.4">
      <c r="B74" s="299" t="s">
        <v>176</v>
      </c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1"/>
    </row>
    <row r="75" spans="2:26" ht="16" thickBot="1" x14ac:dyDescent="0.4">
      <c r="B75" s="306" t="s">
        <v>110</v>
      </c>
      <c r="C75" s="2">
        <v>2009</v>
      </c>
      <c r="D75" s="2">
        <v>2010</v>
      </c>
      <c r="E75" s="2">
        <v>2011</v>
      </c>
      <c r="F75" s="2">
        <v>2012</v>
      </c>
      <c r="G75" s="2">
        <v>2013</v>
      </c>
      <c r="H75" s="2">
        <v>2014</v>
      </c>
      <c r="I75" s="2">
        <v>2015</v>
      </c>
      <c r="J75" s="2">
        <v>2016</v>
      </c>
      <c r="K75" s="2">
        <v>2017</v>
      </c>
      <c r="L75" s="2">
        <v>2018</v>
      </c>
      <c r="M75" s="2">
        <v>2019</v>
      </c>
      <c r="N75" s="2">
        <v>2020</v>
      </c>
      <c r="O75" s="2">
        <v>2021</v>
      </c>
      <c r="P75" s="2">
        <v>2022</v>
      </c>
      <c r="Q75" s="2">
        <v>2023</v>
      </c>
      <c r="R75" s="2">
        <v>2024</v>
      </c>
      <c r="S75" s="2">
        <v>2025</v>
      </c>
      <c r="T75" s="2">
        <v>2026</v>
      </c>
      <c r="U75" s="3">
        <v>2027</v>
      </c>
    </row>
    <row r="76" spans="2:26" ht="15.5" x14ac:dyDescent="0.35">
      <c r="B76" s="305" t="s">
        <v>180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2:26" ht="15.5" x14ac:dyDescent="0.35">
      <c r="B77" s="336" t="s">
        <v>87</v>
      </c>
      <c r="C77" s="202"/>
      <c r="D77" s="202">
        <f t="shared" ref="D77:U77" si="36">D35</f>
        <v>0</v>
      </c>
      <c r="E77" s="202">
        <f t="shared" si="36"/>
        <v>0</v>
      </c>
      <c r="F77" s="202">
        <f t="shared" si="36"/>
        <v>0</v>
      </c>
      <c r="G77" s="202">
        <f t="shared" si="36"/>
        <v>651.09655064751189</v>
      </c>
      <c r="H77" s="202">
        <f t="shared" si="36"/>
        <v>715.57483874566469</v>
      </c>
      <c r="I77" s="202">
        <f t="shared" si="36"/>
        <v>779.39388004062653</v>
      </c>
      <c r="J77" s="202">
        <f t="shared" si="36"/>
        <v>832.97238376901453</v>
      </c>
      <c r="K77" s="202">
        <f t="shared" si="36"/>
        <v>890.76072329619365</v>
      </c>
      <c r="L77" s="202">
        <f t="shared" si="36"/>
        <v>945.462461247276</v>
      </c>
      <c r="M77" s="202">
        <f t="shared" si="36"/>
        <v>996.37098326387468</v>
      </c>
      <c r="N77" s="202">
        <f t="shared" si="36"/>
        <v>1053.9220575022516</v>
      </c>
      <c r="O77" s="202">
        <f t="shared" si="36"/>
        <v>1114.3907475565554</v>
      </c>
      <c r="P77" s="202">
        <f t="shared" si="36"/>
        <v>1113.4180624367309</v>
      </c>
      <c r="Q77" s="202">
        <f t="shared" si="36"/>
        <v>1064.6282874964925</v>
      </c>
      <c r="R77" s="202">
        <f t="shared" si="36"/>
        <v>1008.6017209236461</v>
      </c>
      <c r="S77" s="202">
        <f t="shared" si="36"/>
        <v>954.17894518839466</v>
      </c>
      <c r="T77" s="202">
        <f t="shared" si="36"/>
        <v>879.63256403881985</v>
      </c>
      <c r="U77" s="203">
        <f t="shared" si="36"/>
        <v>807.06083908492155</v>
      </c>
    </row>
    <row r="78" spans="2:26" ht="15.5" x14ac:dyDescent="0.35">
      <c r="B78" s="313" t="s">
        <v>30</v>
      </c>
      <c r="C78" s="202"/>
      <c r="D78" s="202">
        <f t="shared" ref="D78:U78" si="37">D30</f>
        <v>0</v>
      </c>
      <c r="E78" s="202">
        <f t="shared" si="37"/>
        <v>0</v>
      </c>
      <c r="F78" s="202">
        <f t="shared" si="37"/>
        <v>0</v>
      </c>
      <c r="G78" s="202">
        <f t="shared" si="37"/>
        <v>680</v>
      </c>
      <c r="H78" s="202">
        <f t="shared" si="37"/>
        <v>680</v>
      </c>
      <c r="I78" s="202">
        <f t="shared" si="37"/>
        <v>680</v>
      </c>
      <c r="J78" s="202">
        <f t="shared" si="37"/>
        <v>680</v>
      </c>
      <c r="K78" s="202">
        <f t="shared" si="37"/>
        <v>680</v>
      </c>
      <c r="L78" s="202">
        <f t="shared" si="37"/>
        <v>680</v>
      </c>
      <c r="M78" s="202">
        <f t="shared" si="37"/>
        <v>680</v>
      </c>
      <c r="N78" s="202">
        <f t="shared" si="37"/>
        <v>680</v>
      </c>
      <c r="O78" s="202">
        <f t="shared" si="37"/>
        <v>680</v>
      </c>
      <c r="P78" s="202">
        <f t="shared" si="37"/>
        <v>680</v>
      </c>
      <c r="Q78" s="202">
        <f t="shared" si="37"/>
        <v>680</v>
      </c>
      <c r="R78" s="202">
        <f t="shared" si="37"/>
        <v>680</v>
      </c>
      <c r="S78" s="202">
        <f t="shared" si="37"/>
        <v>680</v>
      </c>
      <c r="T78" s="202">
        <f t="shared" si="37"/>
        <v>680</v>
      </c>
      <c r="U78" s="203">
        <f t="shared" si="37"/>
        <v>680</v>
      </c>
    </row>
    <row r="79" spans="2:26" ht="15.5" x14ac:dyDescent="0.35">
      <c r="B79" s="313" t="s">
        <v>184</v>
      </c>
      <c r="C79" s="202"/>
      <c r="D79" s="202">
        <f t="shared" ref="D79:U79" si="38">C65-D65</f>
        <v>-3460</v>
      </c>
      <c r="E79" s="202">
        <f t="shared" si="38"/>
        <v>-5520</v>
      </c>
      <c r="F79" s="202">
        <f t="shared" si="38"/>
        <v>-4570</v>
      </c>
      <c r="G79" s="202">
        <f t="shared" si="38"/>
        <v>0</v>
      </c>
      <c r="H79" s="202">
        <f t="shared" si="38"/>
        <v>0</v>
      </c>
      <c r="I79" s="202">
        <f t="shared" si="38"/>
        <v>0</v>
      </c>
      <c r="J79" s="202">
        <f t="shared" si="38"/>
        <v>0</v>
      </c>
      <c r="K79" s="202">
        <f t="shared" si="38"/>
        <v>0</v>
      </c>
      <c r="L79" s="202">
        <f t="shared" si="38"/>
        <v>0</v>
      </c>
      <c r="M79" s="202">
        <f t="shared" si="38"/>
        <v>0</v>
      </c>
      <c r="N79" s="202">
        <f t="shared" si="38"/>
        <v>0</v>
      </c>
      <c r="O79" s="202">
        <f t="shared" si="38"/>
        <v>0</v>
      </c>
      <c r="P79" s="202">
        <f t="shared" si="38"/>
        <v>0</v>
      </c>
      <c r="Q79" s="202">
        <f t="shared" si="38"/>
        <v>0</v>
      </c>
      <c r="R79" s="202">
        <f t="shared" si="38"/>
        <v>0</v>
      </c>
      <c r="S79" s="202">
        <f t="shared" si="38"/>
        <v>0</v>
      </c>
      <c r="T79" s="202">
        <f t="shared" si="38"/>
        <v>0</v>
      </c>
      <c r="U79" s="203">
        <f t="shared" si="38"/>
        <v>0</v>
      </c>
    </row>
    <row r="80" spans="2:26" ht="15.5" x14ac:dyDescent="0.35">
      <c r="B80" s="313" t="s">
        <v>230</v>
      </c>
      <c r="C80" s="202"/>
      <c r="D80" s="202">
        <f t="shared" ref="D80:U80" si="39">C68-D68</f>
        <v>0</v>
      </c>
      <c r="E80" s="202">
        <f t="shared" si="39"/>
        <v>0</v>
      </c>
      <c r="F80" s="202">
        <f t="shared" si="39"/>
        <v>0</v>
      </c>
      <c r="G80" s="202">
        <f t="shared" si="39"/>
        <v>-1159.8465171192443</v>
      </c>
      <c r="H80" s="202">
        <f t="shared" si="39"/>
        <v>-9.3536009445101627</v>
      </c>
      <c r="I80" s="202">
        <f t="shared" si="39"/>
        <v>-28.060802833530033</v>
      </c>
      <c r="J80" s="202">
        <f t="shared" si="39"/>
        <v>-18.707201889020098</v>
      </c>
      <c r="K80" s="202">
        <f t="shared" si="39"/>
        <v>-18.707201889020098</v>
      </c>
      <c r="L80" s="202">
        <f t="shared" si="39"/>
        <v>-28.060802833530033</v>
      </c>
      <c r="M80" s="202">
        <f t="shared" si="39"/>
        <v>-18.707201889020325</v>
      </c>
      <c r="N80" s="202">
        <f t="shared" si="39"/>
        <v>-28.060802833530033</v>
      </c>
      <c r="O80" s="202">
        <f t="shared" si="39"/>
        <v>-28.060802833530033</v>
      </c>
      <c r="P80" s="202">
        <f t="shared" si="39"/>
        <v>-18.707201889020098</v>
      </c>
      <c r="Q80" s="202">
        <f t="shared" si="39"/>
        <v>-28.060802833530033</v>
      </c>
      <c r="R80" s="202">
        <f t="shared" si="39"/>
        <v>-28.060802833530033</v>
      </c>
      <c r="S80" s="202">
        <f t="shared" si="39"/>
        <v>-28.060802833530033</v>
      </c>
      <c r="T80" s="202">
        <f t="shared" si="39"/>
        <v>-28.060802833530261</v>
      </c>
      <c r="U80" s="203">
        <f t="shared" si="39"/>
        <v>-28.060802833530033</v>
      </c>
    </row>
    <row r="81" spans="2:24" ht="15.5" x14ac:dyDescent="0.35">
      <c r="B81" s="313" t="s">
        <v>231</v>
      </c>
      <c r="C81" s="202"/>
      <c r="D81" s="202">
        <f t="shared" ref="D81:U81" si="40">C69-D69</f>
        <v>0</v>
      </c>
      <c r="E81" s="202">
        <f t="shared" si="40"/>
        <v>0</v>
      </c>
      <c r="F81" s="202">
        <f t="shared" si="40"/>
        <v>0</v>
      </c>
      <c r="G81" s="202">
        <f t="shared" si="40"/>
        <v>0</v>
      </c>
      <c r="H81" s="202">
        <f t="shared" si="40"/>
        <v>0</v>
      </c>
      <c r="I81" s="202">
        <f t="shared" si="40"/>
        <v>0</v>
      </c>
      <c r="J81" s="202">
        <f t="shared" si="40"/>
        <v>0</v>
      </c>
      <c r="K81" s="202">
        <f t="shared" si="40"/>
        <v>0</v>
      </c>
      <c r="L81" s="202">
        <f t="shared" si="40"/>
        <v>0</v>
      </c>
      <c r="M81" s="202">
        <f t="shared" si="40"/>
        <v>0</v>
      </c>
      <c r="N81" s="202">
        <f t="shared" si="40"/>
        <v>-10</v>
      </c>
      <c r="O81" s="202">
        <f t="shared" si="40"/>
        <v>-40</v>
      </c>
      <c r="P81" s="202">
        <f t="shared" si="40"/>
        <v>-70</v>
      </c>
      <c r="Q81" s="202">
        <f t="shared" si="40"/>
        <v>-90</v>
      </c>
      <c r="R81" s="202">
        <f t="shared" si="40"/>
        <v>-110</v>
      </c>
      <c r="S81" s="202">
        <f t="shared" si="40"/>
        <v>-130</v>
      </c>
      <c r="T81" s="202">
        <f t="shared" si="40"/>
        <v>-140</v>
      </c>
      <c r="U81" s="203">
        <f t="shared" si="40"/>
        <v>-150</v>
      </c>
    </row>
    <row r="82" spans="2:24" ht="15.5" x14ac:dyDescent="0.35">
      <c r="B82" s="313" t="s">
        <v>145</v>
      </c>
      <c r="C82" s="202"/>
      <c r="D82" s="202">
        <f t="shared" ref="D82:U82" si="41">D28+D29</f>
        <v>0</v>
      </c>
      <c r="E82" s="202">
        <f t="shared" si="41"/>
        <v>0</v>
      </c>
      <c r="F82" s="202">
        <f t="shared" si="41"/>
        <v>0</v>
      </c>
      <c r="G82" s="202">
        <f t="shared" si="41"/>
        <v>1178.5999999999999</v>
      </c>
      <c r="H82" s="202">
        <f t="shared" si="41"/>
        <v>1049.8666666666668</v>
      </c>
      <c r="I82" s="202">
        <f t="shared" si="41"/>
        <v>922.33333333333337</v>
      </c>
      <c r="J82" s="202">
        <f t="shared" si="41"/>
        <v>795.4</v>
      </c>
      <c r="K82" s="202">
        <f t="shared" si="41"/>
        <v>667.86666666666656</v>
      </c>
      <c r="L82" s="202">
        <f t="shared" si="41"/>
        <v>540.33333333333326</v>
      </c>
      <c r="M82" s="202">
        <f t="shared" si="41"/>
        <v>413.39999999999981</v>
      </c>
      <c r="N82" s="202">
        <f t="shared" si="41"/>
        <v>286.46666666666647</v>
      </c>
      <c r="O82" s="202">
        <f t="shared" si="41"/>
        <v>175.69999999999976</v>
      </c>
      <c r="P82" s="202">
        <f t="shared" si="41"/>
        <v>129.59999999999977</v>
      </c>
      <c r="Q82" s="202">
        <f t="shared" si="41"/>
        <v>131.99999999999977</v>
      </c>
      <c r="R82" s="202">
        <f t="shared" si="41"/>
        <v>134.39999999999978</v>
      </c>
      <c r="S82" s="202">
        <f t="shared" si="41"/>
        <v>137.39999999999978</v>
      </c>
      <c r="T82" s="202">
        <f t="shared" si="41"/>
        <v>140.39999999999978</v>
      </c>
      <c r="U82" s="203">
        <f t="shared" si="41"/>
        <v>142.79999999999976</v>
      </c>
    </row>
    <row r="83" spans="2:24" ht="15.5" x14ac:dyDescent="0.35">
      <c r="B83" s="7" t="s">
        <v>183</v>
      </c>
      <c r="C83" s="307"/>
      <c r="D83" s="307">
        <f>SUM(D77:D82)</f>
        <v>-3460</v>
      </c>
      <c r="E83" s="307">
        <f t="shared" ref="E83:U83" si="42">SUM(E77:E82)</f>
        <v>-5520</v>
      </c>
      <c r="F83" s="307">
        <f t="shared" si="42"/>
        <v>-4570</v>
      </c>
      <c r="G83" s="307">
        <f t="shared" si="42"/>
        <v>1349.8500335282674</v>
      </c>
      <c r="H83" s="307">
        <f t="shared" si="42"/>
        <v>2436.0879044678213</v>
      </c>
      <c r="I83" s="307">
        <f t="shared" si="42"/>
        <v>2353.6664105404298</v>
      </c>
      <c r="J83" s="307">
        <f t="shared" si="42"/>
        <v>2289.6651818799942</v>
      </c>
      <c r="K83" s="307">
        <f t="shared" si="42"/>
        <v>2219.9201880738401</v>
      </c>
      <c r="L83" s="307">
        <f t="shared" si="42"/>
        <v>2137.7349917470792</v>
      </c>
      <c r="M83" s="307">
        <f t="shared" si="42"/>
        <v>2071.063781374854</v>
      </c>
      <c r="N83" s="307">
        <f t="shared" si="42"/>
        <v>1982.3279213353881</v>
      </c>
      <c r="O83" s="307">
        <f t="shared" si="42"/>
        <v>1902.0299447230252</v>
      </c>
      <c r="P83" s="307">
        <f t="shared" si="42"/>
        <v>1834.3108605477105</v>
      </c>
      <c r="Q83" s="307">
        <f t="shared" si="42"/>
        <v>1758.5674846629622</v>
      </c>
      <c r="R83" s="307">
        <f t="shared" si="42"/>
        <v>1684.9409180901159</v>
      </c>
      <c r="S83" s="307">
        <f t="shared" si="42"/>
        <v>1613.5181423548645</v>
      </c>
      <c r="T83" s="307">
        <f t="shared" si="42"/>
        <v>1531.9717612052896</v>
      </c>
      <c r="U83" s="308">
        <f t="shared" si="42"/>
        <v>1451.8000362513912</v>
      </c>
    </row>
    <row r="84" spans="2:24" ht="15.5" x14ac:dyDescent="0.35">
      <c r="B84" s="7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3"/>
    </row>
    <row r="85" spans="2:24" ht="15.5" x14ac:dyDescent="0.35">
      <c r="B85" s="304" t="s">
        <v>181</v>
      </c>
      <c r="C85" s="202"/>
      <c r="D85" s="202"/>
      <c r="E85" s="202"/>
      <c r="F85" s="202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203"/>
    </row>
    <row r="86" spans="2:24" ht="15.5" x14ac:dyDescent="0.35">
      <c r="B86" s="313" t="s">
        <v>190</v>
      </c>
      <c r="C86" s="202"/>
      <c r="D86" s="202">
        <f>N4</f>
        <v>2420.0000000000005</v>
      </c>
      <c r="E86" s="202">
        <f>O4</f>
        <v>3870.0000000000009</v>
      </c>
      <c r="F86" s="202">
        <f>P4</f>
        <v>3410.0000000000005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>
        <v>0</v>
      </c>
      <c r="T86" s="202">
        <v>0</v>
      </c>
      <c r="U86" s="203">
        <v>0</v>
      </c>
      <c r="W86" s="409">
        <f>SUM(D86:U86)</f>
        <v>9700.0000000000018</v>
      </c>
      <c r="X86" s="332" t="s">
        <v>273</v>
      </c>
    </row>
    <row r="87" spans="2:24" ht="15.5" x14ac:dyDescent="0.35">
      <c r="B87" s="313" t="s">
        <v>241</v>
      </c>
      <c r="C87" s="202"/>
      <c r="D87" s="202">
        <v>0</v>
      </c>
      <c r="E87" s="202">
        <v>0</v>
      </c>
      <c r="F87" s="407">
        <f>-(($D$86+$E$86+$F$86)/36)*1</f>
        <v>-269.44444444444451</v>
      </c>
      <c r="G87" s="407">
        <f t="shared" ref="G87:N87" si="43">-(($D$86+$E$86+$F$86)/36)*4</f>
        <v>-1077.7777777777781</v>
      </c>
      <c r="H87" s="407">
        <f t="shared" si="43"/>
        <v>-1077.7777777777781</v>
      </c>
      <c r="I87" s="407">
        <f t="shared" si="43"/>
        <v>-1077.7777777777781</v>
      </c>
      <c r="J87" s="407">
        <f t="shared" si="43"/>
        <v>-1077.7777777777781</v>
      </c>
      <c r="K87" s="407">
        <f t="shared" si="43"/>
        <v>-1077.7777777777781</v>
      </c>
      <c r="L87" s="407">
        <f t="shared" si="43"/>
        <v>-1077.7777777777781</v>
      </c>
      <c r="M87" s="407">
        <f t="shared" si="43"/>
        <v>-1077.7777777777781</v>
      </c>
      <c r="N87" s="407">
        <f t="shared" si="43"/>
        <v>-1077.7777777777781</v>
      </c>
      <c r="O87" s="407">
        <f>-(($D$86+$E$86+$F$86)/36)*3</f>
        <v>-808.33333333333348</v>
      </c>
      <c r="P87" s="407">
        <f>Loan!P22</f>
        <v>0</v>
      </c>
      <c r="Q87" s="407">
        <f>Loan!Q22</f>
        <v>0</v>
      </c>
      <c r="R87" s="202">
        <v>0</v>
      </c>
      <c r="S87" s="202">
        <v>0</v>
      </c>
      <c r="T87" s="202">
        <v>0</v>
      </c>
      <c r="U87" s="203">
        <v>0</v>
      </c>
      <c r="W87" s="409">
        <f>SUM(D87:U87)</f>
        <v>-9700.0000000000036</v>
      </c>
      <c r="X87" s="332" t="s">
        <v>273</v>
      </c>
    </row>
    <row r="88" spans="2:24" ht="15.5" x14ac:dyDescent="0.35">
      <c r="B88" s="313" t="s">
        <v>186</v>
      </c>
      <c r="C88" s="339"/>
      <c r="D88" s="202">
        <v>0</v>
      </c>
      <c r="E88" s="202">
        <v>0</v>
      </c>
      <c r="F88" s="202">
        <v>0</v>
      </c>
      <c r="G88" s="202">
        <v>930</v>
      </c>
      <c r="H88" s="202">
        <v>10</v>
      </c>
      <c r="I88" s="202">
        <v>20</v>
      </c>
      <c r="J88" s="202">
        <v>20</v>
      </c>
      <c r="K88" s="202">
        <v>10</v>
      </c>
      <c r="L88" s="202">
        <v>20</v>
      </c>
      <c r="M88" s="202">
        <v>20</v>
      </c>
      <c r="N88" s="202">
        <v>20</v>
      </c>
      <c r="O88" s="202">
        <v>20</v>
      </c>
      <c r="P88" s="202">
        <v>20</v>
      </c>
      <c r="Q88" s="202">
        <v>20</v>
      </c>
      <c r="R88" s="202">
        <v>20</v>
      </c>
      <c r="S88" s="202">
        <v>30</v>
      </c>
      <c r="T88" s="202">
        <v>20</v>
      </c>
      <c r="U88" s="203">
        <v>20</v>
      </c>
      <c r="V88" s="284"/>
    </row>
    <row r="89" spans="2:24" ht="15.5" x14ac:dyDescent="0.35">
      <c r="B89" s="313" t="s">
        <v>240</v>
      </c>
      <c r="C89" s="339"/>
      <c r="D89" s="202">
        <v>0</v>
      </c>
      <c r="E89" s="202">
        <v>0</v>
      </c>
      <c r="F89" s="202">
        <v>0</v>
      </c>
      <c r="G89" s="407">
        <f t="shared" ref="G89:U89" si="44">G123</f>
        <v>0</v>
      </c>
      <c r="H89" s="407">
        <f t="shared" si="44"/>
        <v>0</v>
      </c>
      <c r="I89" s="407">
        <f t="shared" si="44"/>
        <v>0</v>
      </c>
      <c r="J89" s="407">
        <f t="shared" si="44"/>
        <v>0</v>
      </c>
      <c r="K89" s="407">
        <f t="shared" si="44"/>
        <v>0</v>
      </c>
      <c r="L89" s="407">
        <f t="shared" si="44"/>
        <v>0</v>
      </c>
      <c r="M89" s="407">
        <f t="shared" si="44"/>
        <v>0</v>
      </c>
      <c r="N89" s="407">
        <f t="shared" si="44"/>
        <v>0</v>
      </c>
      <c r="O89" s="407">
        <f t="shared" si="44"/>
        <v>0</v>
      </c>
      <c r="P89" s="407">
        <f t="shared" si="44"/>
        <v>0</v>
      </c>
      <c r="Q89" s="407">
        <f t="shared" si="44"/>
        <v>0</v>
      </c>
      <c r="R89" s="407">
        <f t="shared" si="44"/>
        <v>0</v>
      </c>
      <c r="S89" s="407">
        <f t="shared" si="44"/>
        <v>0</v>
      </c>
      <c r="T89" s="407">
        <f t="shared" si="44"/>
        <v>0</v>
      </c>
      <c r="U89" s="417">
        <f t="shared" si="44"/>
        <v>0</v>
      </c>
      <c r="V89" s="284"/>
    </row>
    <row r="90" spans="2:24" ht="15.5" x14ac:dyDescent="0.35">
      <c r="B90" s="313" t="s">
        <v>145</v>
      </c>
      <c r="C90" s="202"/>
      <c r="D90" s="407">
        <f>-D117</f>
        <v>-42.45000000000001</v>
      </c>
      <c r="E90" s="407">
        <f>-E117</f>
        <v>-8.5250000000000021</v>
      </c>
      <c r="F90" s="407">
        <f>-F117</f>
        <v>0</v>
      </c>
      <c r="G90" s="202">
        <f t="shared" ref="G90:U90" si="45">-G82</f>
        <v>-1178.5999999999999</v>
      </c>
      <c r="H90" s="202">
        <f t="shared" si="45"/>
        <v>-1049.8666666666668</v>
      </c>
      <c r="I90" s="202">
        <f t="shared" si="45"/>
        <v>-922.33333333333337</v>
      </c>
      <c r="J90" s="202">
        <f t="shared" si="45"/>
        <v>-795.4</v>
      </c>
      <c r="K90" s="202">
        <f t="shared" si="45"/>
        <v>-667.86666666666656</v>
      </c>
      <c r="L90" s="202">
        <f t="shared" si="45"/>
        <v>-540.33333333333326</v>
      </c>
      <c r="M90" s="202">
        <f t="shared" si="45"/>
        <v>-413.39999999999981</v>
      </c>
      <c r="N90" s="202">
        <f t="shared" si="45"/>
        <v>-286.46666666666647</v>
      </c>
      <c r="O90" s="202">
        <f t="shared" si="45"/>
        <v>-175.69999999999976</v>
      </c>
      <c r="P90" s="202">
        <f t="shared" si="45"/>
        <v>-129.59999999999977</v>
      </c>
      <c r="Q90" s="202">
        <f t="shared" si="45"/>
        <v>-131.99999999999977</v>
      </c>
      <c r="R90" s="202">
        <f t="shared" si="45"/>
        <v>-134.39999999999978</v>
      </c>
      <c r="S90" s="202">
        <f t="shared" si="45"/>
        <v>-137.39999999999978</v>
      </c>
      <c r="T90" s="202">
        <f t="shared" si="45"/>
        <v>-140.39999999999978</v>
      </c>
      <c r="U90" s="203">
        <f t="shared" si="45"/>
        <v>-142.79999999999976</v>
      </c>
    </row>
    <row r="91" spans="2:24" ht="15.5" x14ac:dyDescent="0.35">
      <c r="B91" s="313" t="s">
        <v>303</v>
      </c>
      <c r="C91" s="202"/>
      <c r="D91" s="407">
        <f>-D90</f>
        <v>42.45000000000001</v>
      </c>
      <c r="E91" s="407">
        <f>-E90</f>
        <v>8.5250000000000021</v>
      </c>
      <c r="F91" s="407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3"/>
    </row>
    <row r="92" spans="2:24" ht="15.5" x14ac:dyDescent="0.35">
      <c r="B92" s="313" t="s">
        <v>191</v>
      </c>
      <c r="C92" s="202"/>
      <c r="D92" s="202">
        <f>N6</f>
        <v>1039.9999999999998</v>
      </c>
      <c r="E92" s="202">
        <f>O6</f>
        <v>1649.9999999999995</v>
      </c>
      <c r="F92" s="202">
        <f>P6</f>
        <v>1469.9999999999998</v>
      </c>
      <c r="G92" s="202">
        <v>0</v>
      </c>
      <c r="H92" s="202">
        <v>0</v>
      </c>
      <c r="I92" s="202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>
        <v>0</v>
      </c>
      <c r="T92" s="202">
        <v>0</v>
      </c>
      <c r="U92" s="203">
        <v>0</v>
      </c>
    </row>
    <row r="93" spans="2:24" ht="15.5" x14ac:dyDescent="0.35">
      <c r="B93" s="313" t="s">
        <v>255</v>
      </c>
      <c r="C93" s="202"/>
      <c r="D93" s="202">
        <v>0</v>
      </c>
      <c r="E93" s="202">
        <v>0</v>
      </c>
      <c r="F93" s="202">
        <v>0</v>
      </c>
      <c r="G93" s="202">
        <f t="shared" ref="G93:U93" si="46">G134</f>
        <v>-58.443645543802425</v>
      </c>
      <c r="H93" s="202">
        <f t="shared" si="46"/>
        <v>-58.090698184061701</v>
      </c>
      <c r="I93" s="202">
        <f t="shared" si="46"/>
        <v>-60.876106473905693</v>
      </c>
      <c r="J93" s="202">
        <f t="shared" si="46"/>
        <v>-60.356821813004231</v>
      </c>
      <c r="K93" s="202">
        <f t="shared" si="46"/>
        <v>-64.765731043898924</v>
      </c>
      <c r="L93" s="202">
        <f t="shared" si="46"/>
        <v>-66.926270596816636</v>
      </c>
      <c r="M93" s="202">
        <f t="shared" si="46"/>
        <v>-66.253625604515051</v>
      </c>
      <c r="N93" s="202">
        <f t="shared" si="46"/>
        <v>-70.286934061215945</v>
      </c>
      <c r="O93" s="202">
        <f t="shared" si="46"/>
        <v>-71.233666367179296</v>
      </c>
      <c r="P93" s="202">
        <f t="shared" si="46"/>
        <v>-58.848504201372073</v>
      </c>
      <c r="Q93" s="202">
        <f t="shared" si="46"/>
        <v>-68.02376185260195</v>
      </c>
      <c r="R93" s="202">
        <f t="shared" si="46"/>
        <v>-60.432728277307454</v>
      </c>
      <c r="S93" s="202">
        <f t="shared" si="46"/>
        <v>-68.952993663415498</v>
      </c>
      <c r="T93" s="202">
        <f t="shared" si="46"/>
        <v>-61.55201638928974</v>
      </c>
      <c r="U93" s="203">
        <f t="shared" si="46"/>
        <v>-57.838382178114898</v>
      </c>
    </row>
    <row r="94" spans="2:24" ht="15.5" x14ac:dyDescent="0.35">
      <c r="B94" s="7" t="s">
        <v>182</v>
      </c>
      <c r="C94" s="202"/>
      <c r="D94" s="307">
        <f>SUM(D86:D93)</f>
        <v>3460</v>
      </c>
      <c r="E94" s="307">
        <f t="shared" ref="E94:U94" si="47">SUM(E86:E93)</f>
        <v>5520</v>
      </c>
      <c r="F94" s="307">
        <f t="shared" si="47"/>
        <v>4610.5555555555557</v>
      </c>
      <c r="G94" s="307">
        <f t="shared" si="47"/>
        <v>-1384.8214233215804</v>
      </c>
      <c r="H94" s="307">
        <f t="shared" si="47"/>
        <v>-2175.7351426285068</v>
      </c>
      <c r="I94" s="307">
        <f t="shared" si="47"/>
        <v>-2040.9872175850171</v>
      </c>
      <c r="J94" s="307">
        <f t="shared" si="47"/>
        <v>-1913.5345995907821</v>
      </c>
      <c r="K94" s="307">
        <f t="shared" si="47"/>
        <v>-1800.4101754883436</v>
      </c>
      <c r="L94" s="307">
        <f t="shared" si="47"/>
        <v>-1665.037381707928</v>
      </c>
      <c r="M94" s="307">
        <f t="shared" si="47"/>
        <v>-1537.431403382293</v>
      </c>
      <c r="N94" s="307">
        <f t="shared" si="47"/>
        <v>-1414.5313785056605</v>
      </c>
      <c r="O94" s="307">
        <f t="shared" si="47"/>
        <v>-1035.2669997005125</v>
      </c>
      <c r="P94" s="307">
        <f t="shared" si="47"/>
        <v>-168.44850420137183</v>
      </c>
      <c r="Q94" s="307">
        <f t="shared" si="47"/>
        <v>-180.02376185260172</v>
      </c>
      <c r="R94" s="307">
        <f t="shared" si="47"/>
        <v>-174.83272827730724</v>
      </c>
      <c r="S94" s="307">
        <f t="shared" si="47"/>
        <v>-176.35299366341528</v>
      </c>
      <c r="T94" s="307">
        <f t="shared" si="47"/>
        <v>-181.95201638928953</v>
      </c>
      <c r="U94" s="308">
        <f t="shared" si="47"/>
        <v>-180.63838217811465</v>
      </c>
    </row>
    <row r="95" spans="2:24" ht="15.5" x14ac:dyDescent="0.35">
      <c r="B95" s="7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3"/>
    </row>
    <row r="96" spans="2:24" ht="15.5" x14ac:dyDescent="0.35">
      <c r="B96" s="7" t="s">
        <v>179</v>
      </c>
      <c r="C96" s="202"/>
      <c r="D96" s="186">
        <f>D83+D94</f>
        <v>0</v>
      </c>
      <c r="E96" s="186">
        <f t="shared" ref="E96:U96" si="48">E83+E94</f>
        <v>0</v>
      </c>
      <c r="F96" s="186">
        <f t="shared" si="48"/>
        <v>40.555555555555657</v>
      </c>
      <c r="G96" s="186">
        <f t="shared" si="48"/>
        <v>-34.971389793312937</v>
      </c>
      <c r="H96" s="186">
        <f t="shared" si="48"/>
        <v>260.35276183931455</v>
      </c>
      <c r="I96" s="186">
        <f t="shared" si="48"/>
        <v>312.67919295541265</v>
      </c>
      <c r="J96" s="186">
        <f t="shared" si="48"/>
        <v>376.13058228921204</v>
      </c>
      <c r="K96" s="186">
        <f t="shared" si="48"/>
        <v>419.5100125854965</v>
      </c>
      <c r="L96" s="186">
        <f t="shared" si="48"/>
        <v>472.69761003915119</v>
      </c>
      <c r="M96" s="186">
        <f t="shared" si="48"/>
        <v>533.63237799256103</v>
      </c>
      <c r="N96" s="186">
        <f t="shared" si="48"/>
        <v>567.79654282972751</v>
      </c>
      <c r="O96" s="186">
        <f t="shared" si="48"/>
        <v>866.76294502251267</v>
      </c>
      <c r="P96" s="186">
        <f t="shared" si="48"/>
        <v>1665.8623563463386</v>
      </c>
      <c r="Q96" s="186">
        <f t="shared" si="48"/>
        <v>1578.5437228103606</v>
      </c>
      <c r="R96" s="186">
        <f t="shared" si="48"/>
        <v>1510.1081898128086</v>
      </c>
      <c r="S96" s="186">
        <f t="shared" si="48"/>
        <v>1437.1651486914493</v>
      </c>
      <c r="T96" s="186">
        <f t="shared" si="48"/>
        <v>1350.019744816</v>
      </c>
      <c r="U96" s="308">
        <f t="shared" si="48"/>
        <v>1271.1616540732766</v>
      </c>
    </row>
    <row r="97" spans="1:21" ht="15.5" x14ac:dyDescent="0.35">
      <c r="B97" s="7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8" spans="1:21" ht="15.5" x14ac:dyDescent="0.35">
      <c r="B98" s="7" t="s">
        <v>177</v>
      </c>
      <c r="C98" s="202"/>
      <c r="D98" s="307">
        <v>0</v>
      </c>
      <c r="E98" s="307">
        <f t="shared" ref="E98:U98" si="49">D99</f>
        <v>0</v>
      </c>
      <c r="F98" s="307">
        <f t="shared" si="49"/>
        <v>0</v>
      </c>
      <c r="G98" s="307">
        <f t="shared" si="49"/>
        <v>40.555555555555657</v>
      </c>
      <c r="H98" s="307">
        <f t="shared" si="49"/>
        <v>5.5841657622427192</v>
      </c>
      <c r="I98" s="307">
        <f t="shared" si="49"/>
        <v>265.93692760155727</v>
      </c>
      <c r="J98" s="307">
        <f t="shared" si="49"/>
        <v>578.61612055696992</v>
      </c>
      <c r="K98" s="307">
        <f t="shared" si="49"/>
        <v>954.74670284618196</v>
      </c>
      <c r="L98" s="307">
        <f t="shared" si="49"/>
        <v>1374.2567154316785</v>
      </c>
      <c r="M98" s="307">
        <f t="shared" si="49"/>
        <v>1846.9543254708296</v>
      </c>
      <c r="N98" s="307">
        <f t="shared" si="49"/>
        <v>2380.5867034633907</v>
      </c>
      <c r="O98" s="307">
        <f t="shared" si="49"/>
        <v>2948.3832462931182</v>
      </c>
      <c r="P98" s="307">
        <f t="shared" si="49"/>
        <v>3815.1461913156309</v>
      </c>
      <c r="Q98" s="307">
        <f t="shared" si="49"/>
        <v>5481.0085476619697</v>
      </c>
      <c r="R98" s="307">
        <f t="shared" si="49"/>
        <v>7059.5522704723298</v>
      </c>
      <c r="S98" s="307">
        <f t="shared" si="49"/>
        <v>8569.6604602851385</v>
      </c>
      <c r="T98" s="307">
        <f t="shared" si="49"/>
        <v>10006.825608976587</v>
      </c>
      <c r="U98" s="308">
        <f t="shared" si="49"/>
        <v>11356.845353792587</v>
      </c>
    </row>
    <row r="99" spans="1:21" ht="15.5" x14ac:dyDescent="0.35">
      <c r="B99" s="7" t="s">
        <v>178</v>
      </c>
      <c r="C99" s="202"/>
      <c r="D99" s="307">
        <f t="shared" ref="D99:U99" si="50">D96+D98</f>
        <v>0</v>
      </c>
      <c r="E99" s="307">
        <f t="shared" si="50"/>
        <v>0</v>
      </c>
      <c r="F99" s="307">
        <f t="shared" si="50"/>
        <v>40.555555555555657</v>
      </c>
      <c r="G99" s="307">
        <f t="shared" si="50"/>
        <v>5.5841657622427192</v>
      </c>
      <c r="H99" s="307">
        <f t="shared" si="50"/>
        <v>265.93692760155727</v>
      </c>
      <c r="I99" s="307">
        <f t="shared" si="50"/>
        <v>578.61612055696992</v>
      </c>
      <c r="J99" s="307">
        <f t="shared" si="50"/>
        <v>954.74670284618196</v>
      </c>
      <c r="K99" s="307">
        <f t="shared" si="50"/>
        <v>1374.2567154316785</v>
      </c>
      <c r="L99" s="307">
        <f t="shared" si="50"/>
        <v>1846.9543254708296</v>
      </c>
      <c r="M99" s="307">
        <f t="shared" si="50"/>
        <v>2380.5867034633907</v>
      </c>
      <c r="N99" s="307">
        <f t="shared" si="50"/>
        <v>2948.3832462931182</v>
      </c>
      <c r="O99" s="307">
        <f t="shared" si="50"/>
        <v>3815.1461913156309</v>
      </c>
      <c r="P99" s="307">
        <f t="shared" si="50"/>
        <v>5481.0085476619697</v>
      </c>
      <c r="Q99" s="307">
        <f t="shared" si="50"/>
        <v>7059.5522704723298</v>
      </c>
      <c r="R99" s="307">
        <f t="shared" si="50"/>
        <v>8569.6604602851385</v>
      </c>
      <c r="S99" s="307">
        <f t="shared" si="50"/>
        <v>10006.825608976587</v>
      </c>
      <c r="T99" s="307">
        <f t="shared" si="50"/>
        <v>11356.845353792587</v>
      </c>
      <c r="U99" s="308">
        <f t="shared" si="50"/>
        <v>12628.007007865865</v>
      </c>
    </row>
    <row r="100" spans="1:21" x14ac:dyDescent="0.35">
      <c r="A100" s="332"/>
      <c r="B100" s="329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</row>
    <row r="101" spans="1:21" x14ac:dyDescent="0.35">
      <c r="B101" s="15"/>
      <c r="C101" s="16"/>
      <c r="D101" s="17"/>
      <c r="E101" s="17"/>
      <c r="F101" s="17"/>
      <c r="G101" s="13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5.5" x14ac:dyDescent="0.35">
      <c r="B102" s="315" t="s">
        <v>193</v>
      </c>
      <c r="C102" s="414">
        <v>2009</v>
      </c>
      <c r="D102" s="414">
        <v>2010</v>
      </c>
      <c r="E102" s="414">
        <v>2011</v>
      </c>
      <c r="F102" s="414">
        <v>2012</v>
      </c>
      <c r="G102" s="414">
        <v>2013</v>
      </c>
      <c r="H102" s="414">
        <v>2014</v>
      </c>
      <c r="I102" s="414">
        <v>2015</v>
      </c>
      <c r="J102" s="414">
        <v>2016</v>
      </c>
      <c r="K102" s="414">
        <v>2017</v>
      </c>
      <c r="L102" s="414">
        <v>2018</v>
      </c>
      <c r="M102" s="414">
        <v>2019</v>
      </c>
      <c r="N102" s="414">
        <v>2020</v>
      </c>
      <c r="O102" s="414">
        <v>2021</v>
      </c>
      <c r="P102" s="414">
        <v>2022</v>
      </c>
      <c r="Q102" s="414">
        <v>2023</v>
      </c>
      <c r="R102" s="414">
        <v>2024</v>
      </c>
      <c r="S102" s="414">
        <v>2025</v>
      </c>
      <c r="T102" s="414">
        <v>2026</v>
      </c>
      <c r="U102" s="414">
        <v>2027</v>
      </c>
    </row>
    <row r="103" spans="1:21" ht="6.25" customHeight="1" x14ac:dyDescent="0.35">
      <c r="B103" s="315"/>
      <c r="C103" s="16"/>
      <c r="D103" s="17"/>
      <c r="E103" s="17"/>
      <c r="F103" s="17"/>
    </row>
    <row r="104" spans="1:21" x14ac:dyDescent="0.35">
      <c r="B104" s="314" t="s">
        <v>232</v>
      </c>
      <c r="C104" s="16"/>
      <c r="D104" s="17"/>
      <c r="E104" s="17"/>
      <c r="F104" s="17"/>
      <c r="G104" s="13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35">
      <c r="B105" s="316" t="s">
        <v>57</v>
      </c>
      <c r="C105" s="317"/>
      <c r="D105" s="319">
        <v>0</v>
      </c>
      <c r="E105" s="319">
        <v>0</v>
      </c>
      <c r="F105" s="319">
        <v>0</v>
      </c>
      <c r="G105" s="319">
        <f t="shared" ref="G105:U105" si="51">G21*G106</f>
        <v>1159.8465171192443</v>
      </c>
      <c r="H105" s="319">
        <f t="shared" si="51"/>
        <v>1169.2001180637544</v>
      </c>
      <c r="I105" s="319">
        <f t="shared" si="51"/>
        <v>1197.2609208972844</v>
      </c>
      <c r="J105" s="319">
        <f t="shared" si="51"/>
        <v>1215.9681227863045</v>
      </c>
      <c r="K105" s="319">
        <f t="shared" si="51"/>
        <v>1234.6753246753246</v>
      </c>
      <c r="L105" s="319">
        <f t="shared" si="51"/>
        <v>1262.7361275088547</v>
      </c>
      <c r="M105" s="319">
        <f t="shared" si="51"/>
        <v>1281.443329397875</v>
      </c>
      <c r="N105" s="319">
        <f t="shared" si="51"/>
        <v>1309.504132231405</v>
      </c>
      <c r="O105" s="319">
        <f t="shared" si="51"/>
        <v>1337.5649350649351</v>
      </c>
      <c r="P105" s="319">
        <f t="shared" si="51"/>
        <v>1356.2721369539552</v>
      </c>
      <c r="Q105" s="319">
        <f t="shared" si="51"/>
        <v>1384.3329397874852</v>
      </c>
      <c r="R105" s="319">
        <f t="shared" si="51"/>
        <v>1412.3937426210152</v>
      </c>
      <c r="S105" s="319">
        <f t="shared" si="51"/>
        <v>1440.4545454545453</v>
      </c>
      <c r="T105" s="319">
        <f t="shared" si="51"/>
        <v>1468.5153482880755</v>
      </c>
      <c r="U105" s="319">
        <f t="shared" si="51"/>
        <v>1496.5761511216056</v>
      </c>
    </row>
    <row r="106" spans="1:21" x14ac:dyDescent="0.35">
      <c r="B106" s="316" t="s">
        <v>192</v>
      </c>
      <c r="C106" s="317"/>
      <c r="D106" s="324"/>
      <c r="E106" s="324"/>
      <c r="F106" s="324"/>
      <c r="G106" s="325">
        <v>0.1848472922853088</v>
      </c>
      <c r="H106" s="325">
        <v>0.18449306559935805</v>
      </c>
      <c r="I106" s="325">
        <v>0.18705039522152736</v>
      </c>
      <c r="J106" s="325">
        <v>0.18809213628402349</v>
      </c>
      <c r="K106" s="325">
        <v>0.18909491233428105</v>
      </c>
      <c r="L106" s="325">
        <v>0.19147774651311086</v>
      </c>
      <c r="M106" s="325">
        <v>0.19239054838501055</v>
      </c>
      <c r="N106" s="325">
        <v>0.19465691099155508</v>
      </c>
      <c r="O106" s="325">
        <v>0.19685953516119076</v>
      </c>
      <c r="P106" s="325">
        <v>0.1976364508645895</v>
      </c>
      <c r="Q106" s="325">
        <v>0.19972819889354212</v>
      </c>
      <c r="R106" s="325">
        <v>0.20175915194624608</v>
      </c>
      <c r="S106" s="325">
        <v>0.2037303088303842</v>
      </c>
      <c r="T106" s="325">
        <v>0.20564265453497699</v>
      </c>
      <c r="U106" s="325">
        <v>0.20749716040610655</v>
      </c>
    </row>
    <row r="107" spans="1:21" x14ac:dyDescent="0.35">
      <c r="B107" s="316"/>
      <c r="C107" s="317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</row>
    <row r="108" spans="1:21" x14ac:dyDescent="0.35">
      <c r="B108" s="314" t="s">
        <v>294</v>
      </c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</row>
    <row r="109" spans="1:21" x14ac:dyDescent="0.35">
      <c r="B109" s="316" t="s">
        <v>295</v>
      </c>
      <c r="C109" s="317"/>
      <c r="D109" s="321">
        <v>0</v>
      </c>
      <c r="E109" s="321">
        <f>D112</f>
        <v>2420.0000000000005</v>
      </c>
      <c r="F109" s="321">
        <f>E112</f>
        <v>6290.0000000000018</v>
      </c>
      <c r="G109" s="321">
        <f t="shared" ref="G109:U109" si="52">F112</f>
        <v>9430.5555555555566</v>
      </c>
      <c r="H109" s="321">
        <f t="shared" si="52"/>
        <v>8352.7777777777792</v>
      </c>
      <c r="I109" s="321">
        <f t="shared" si="52"/>
        <v>7275.0000000000009</v>
      </c>
      <c r="J109" s="321">
        <f t="shared" si="52"/>
        <v>6197.2222222222226</v>
      </c>
      <c r="K109" s="321">
        <f t="shared" si="52"/>
        <v>5119.4444444444443</v>
      </c>
      <c r="L109" s="321">
        <f t="shared" si="52"/>
        <v>4041.6666666666661</v>
      </c>
      <c r="M109" s="321">
        <f t="shared" si="52"/>
        <v>2963.8888888888878</v>
      </c>
      <c r="N109" s="321">
        <f t="shared" si="52"/>
        <v>1886.1111111111097</v>
      </c>
      <c r="O109" s="321">
        <f t="shared" si="52"/>
        <v>808.33333333333167</v>
      </c>
      <c r="P109" s="321">
        <f t="shared" si="52"/>
        <v>-1.8189894035458565E-12</v>
      </c>
      <c r="Q109" s="321">
        <f t="shared" si="52"/>
        <v>-1.8189894035458565E-12</v>
      </c>
      <c r="R109" s="321">
        <f t="shared" si="52"/>
        <v>-1.8189894035458565E-12</v>
      </c>
      <c r="S109" s="321">
        <f t="shared" si="52"/>
        <v>-1.8189894035458565E-12</v>
      </c>
      <c r="T109" s="321">
        <f t="shared" si="52"/>
        <v>-1.8189894035458565E-12</v>
      </c>
      <c r="U109" s="321">
        <f t="shared" si="52"/>
        <v>-1.8189894035458565E-12</v>
      </c>
    </row>
    <row r="110" spans="1:21" x14ac:dyDescent="0.35">
      <c r="B110" s="316" t="s">
        <v>296</v>
      </c>
      <c r="D110" s="321">
        <f>N4</f>
        <v>2420.0000000000005</v>
      </c>
      <c r="E110" s="321">
        <f>O4</f>
        <v>3870.0000000000009</v>
      </c>
      <c r="F110" s="321">
        <f>P4</f>
        <v>3410.0000000000005</v>
      </c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</row>
    <row r="111" spans="1:21" x14ac:dyDescent="0.35">
      <c r="B111" s="316" t="s">
        <v>297</v>
      </c>
      <c r="C111" s="317"/>
      <c r="D111" s="321">
        <v>0</v>
      </c>
      <c r="E111" s="321">
        <v>0</v>
      </c>
      <c r="F111" s="321">
        <f t="shared" ref="F111:U111" si="53">F87</f>
        <v>-269.44444444444451</v>
      </c>
      <c r="G111" s="321">
        <f t="shared" si="53"/>
        <v>-1077.7777777777781</v>
      </c>
      <c r="H111" s="321">
        <f t="shared" si="53"/>
        <v>-1077.7777777777781</v>
      </c>
      <c r="I111" s="321">
        <f t="shared" si="53"/>
        <v>-1077.7777777777781</v>
      </c>
      <c r="J111" s="321">
        <f t="shared" si="53"/>
        <v>-1077.7777777777781</v>
      </c>
      <c r="K111" s="321">
        <f t="shared" si="53"/>
        <v>-1077.7777777777781</v>
      </c>
      <c r="L111" s="321">
        <f t="shared" si="53"/>
        <v>-1077.7777777777781</v>
      </c>
      <c r="M111" s="321">
        <f t="shared" si="53"/>
        <v>-1077.7777777777781</v>
      </c>
      <c r="N111" s="321">
        <f t="shared" si="53"/>
        <v>-1077.7777777777781</v>
      </c>
      <c r="O111" s="321">
        <f t="shared" si="53"/>
        <v>-808.33333333333348</v>
      </c>
      <c r="P111" s="321">
        <f t="shared" si="53"/>
        <v>0</v>
      </c>
      <c r="Q111" s="321">
        <f t="shared" si="53"/>
        <v>0</v>
      </c>
      <c r="R111" s="321">
        <f t="shared" si="53"/>
        <v>0</v>
      </c>
      <c r="S111" s="321">
        <f t="shared" si="53"/>
        <v>0</v>
      </c>
      <c r="T111" s="321">
        <f t="shared" si="53"/>
        <v>0</v>
      </c>
      <c r="U111" s="321">
        <f t="shared" si="53"/>
        <v>0</v>
      </c>
    </row>
    <row r="112" spans="1:21" x14ac:dyDescent="0.35">
      <c r="B112" s="316" t="s">
        <v>298</v>
      </c>
      <c r="C112" s="317"/>
      <c r="D112" s="321">
        <f>D109+D110+D111</f>
        <v>2420.0000000000005</v>
      </c>
      <c r="E112" s="321">
        <f>E109+E110+E111</f>
        <v>6290.0000000000018</v>
      </c>
      <c r="F112" s="321">
        <f>F109+F110+F111</f>
        <v>9430.5555555555566</v>
      </c>
      <c r="G112" s="321">
        <f t="shared" ref="G112:U112" si="54">G109+G110+G111</f>
        <v>8352.7777777777792</v>
      </c>
      <c r="H112" s="321">
        <f t="shared" si="54"/>
        <v>7275.0000000000009</v>
      </c>
      <c r="I112" s="321">
        <f t="shared" si="54"/>
        <v>6197.2222222222226</v>
      </c>
      <c r="J112" s="321">
        <f t="shared" si="54"/>
        <v>5119.4444444444443</v>
      </c>
      <c r="K112" s="321">
        <f t="shared" si="54"/>
        <v>4041.6666666666661</v>
      </c>
      <c r="L112" s="321">
        <f t="shared" si="54"/>
        <v>2963.8888888888878</v>
      </c>
      <c r="M112" s="321">
        <f t="shared" si="54"/>
        <v>1886.1111111111097</v>
      </c>
      <c r="N112" s="321">
        <f t="shared" si="54"/>
        <v>808.33333333333167</v>
      </c>
      <c r="O112" s="321">
        <f t="shared" si="54"/>
        <v>-1.8189894035458565E-12</v>
      </c>
      <c r="P112" s="321">
        <f t="shared" si="54"/>
        <v>-1.8189894035458565E-12</v>
      </c>
      <c r="Q112" s="321">
        <f t="shared" si="54"/>
        <v>-1.8189894035458565E-12</v>
      </c>
      <c r="R112" s="321">
        <f t="shared" si="54"/>
        <v>-1.8189894035458565E-12</v>
      </c>
      <c r="S112" s="321">
        <f t="shared" si="54"/>
        <v>-1.8189894035458565E-12</v>
      </c>
      <c r="T112" s="321">
        <f t="shared" si="54"/>
        <v>-1.8189894035458565E-12</v>
      </c>
      <c r="U112" s="321">
        <f t="shared" si="54"/>
        <v>-1.8189894035458565E-12</v>
      </c>
    </row>
    <row r="113" spans="2:21" x14ac:dyDescent="0.35">
      <c r="B113" s="329" t="s">
        <v>185</v>
      </c>
      <c r="C113" s="317"/>
      <c r="D113" s="440">
        <f>D59-D112</f>
        <v>0</v>
      </c>
      <c r="E113" s="440">
        <f t="shared" ref="E113:U113" si="55">E59-E112</f>
        <v>0</v>
      </c>
      <c r="F113" s="440">
        <f t="shared" si="55"/>
        <v>0</v>
      </c>
      <c r="G113" s="440">
        <f t="shared" si="55"/>
        <v>0</v>
      </c>
      <c r="H113" s="440">
        <f t="shared" si="55"/>
        <v>0</v>
      </c>
      <c r="I113" s="440">
        <f t="shared" si="55"/>
        <v>0</v>
      </c>
      <c r="J113" s="440">
        <f t="shared" si="55"/>
        <v>0</v>
      </c>
      <c r="K113" s="440">
        <f t="shared" si="55"/>
        <v>0</v>
      </c>
      <c r="L113" s="440">
        <f t="shared" si="55"/>
        <v>0</v>
      </c>
      <c r="M113" s="440">
        <f t="shared" si="55"/>
        <v>0</v>
      </c>
      <c r="N113" s="440">
        <f t="shared" si="55"/>
        <v>0</v>
      </c>
      <c r="O113" s="440">
        <f t="shared" si="55"/>
        <v>0</v>
      </c>
      <c r="P113" s="440">
        <f t="shared" si="55"/>
        <v>0</v>
      </c>
      <c r="Q113" s="440">
        <f t="shared" si="55"/>
        <v>0</v>
      </c>
      <c r="R113" s="440">
        <f t="shared" si="55"/>
        <v>0</v>
      </c>
      <c r="S113" s="440">
        <f t="shared" si="55"/>
        <v>0</v>
      </c>
      <c r="T113" s="440">
        <f t="shared" si="55"/>
        <v>0</v>
      </c>
      <c r="U113" s="440">
        <f t="shared" si="55"/>
        <v>0</v>
      </c>
    </row>
    <row r="114" spans="2:21" x14ac:dyDescent="0.35">
      <c r="B114" s="316"/>
      <c r="C114" s="317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</row>
    <row r="115" spans="2:21" x14ac:dyDescent="0.35">
      <c r="B115" s="316" t="s">
        <v>300</v>
      </c>
      <c r="C115" s="430">
        <v>2.5000000000000001E-3</v>
      </c>
      <c r="D115" s="321">
        <f>(D110+E110+F110)*C115</f>
        <v>24.250000000000004</v>
      </c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</row>
    <row r="116" spans="2:21" ht="15" thickBot="1" x14ac:dyDescent="0.4">
      <c r="B116" s="316" t="s">
        <v>299</v>
      </c>
      <c r="C116" s="430">
        <v>2.5000000000000001E-3</v>
      </c>
      <c r="D116" s="442">
        <f>(E110+F110)*C116</f>
        <v>18.200000000000006</v>
      </c>
      <c r="E116" s="442">
        <f>F110*C116</f>
        <v>8.5250000000000021</v>
      </c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</row>
    <row r="117" spans="2:21" ht="15" thickTop="1" x14ac:dyDescent="0.35">
      <c r="B117" s="316" t="s">
        <v>301</v>
      </c>
      <c r="C117" s="317"/>
      <c r="D117" s="321">
        <f>D115+D116</f>
        <v>42.45000000000001</v>
      </c>
      <c r="E117" s="321">
        <f>E115+E116</f>
        <v>8.5250000000000021</v>
      </c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</row>
    <row r="118" spans="2:21" x14ac:dyDescent="0.35">
      <c r="B118" s="316"/>
      <c r="C118" s="317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</row>
    <row r="119" spans="2:21" x14ac:dyDescent="0.35">
      <c r="B119" s="314" t="s">
        <v>274</v>
      </c>
      <c r="C119" s="16"/>
      <c r="D119" s="17"/>
      <c r="E119" s="17"/>
      <c r="F119" s="17"/>
      <c r="G119" s="13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2:21" x14ac:dyDescent="0.35">
      <c r="B120" s="316" t="s">
        <v>275</v>
      </c>
      <c r="C120" s="317"/>
      <c r="D120" s="319">
        <v>0</v>
      </c>
      <c r="E120" s="319">
        <v>0</v>
      </c>
      <c r="F120" s="319">
        <v>0</v>
      </c>
      <c r="G120" s="319">
        <v>0</v>
      </c>
      <c r="H120" s="319">
        <f>G124</f>
        <v>869.88488783943319</v>
      </c>
      <c r="I120" s="319">
        <f t="shared" ref="I120:U120" si="56">H124</f>
        <v>879.23848878394335</v>
      </c>
      <c r="J120" s="319">
        <f t="shared" si="56"/>
        <v>897.94569067296334</v>
      </c>
      <c r="K120" s="319">
        <f t="shared" si="56"/>
        <v>916.65289256198344</v>
      </c>
      <c r="L120" s="319">
        <f t="shared" si="56"/>
        <v>926.00649350649348</v>
      </c>
      <c r="M120" s="319">
        <f t="shared" si="56"/>
        <v>944.71369539551347</v>
      </c>
      <c r="N120" s="319">
        <f t="shared" si="56"/>
        <v>963.42089728453379</v>
      </c>
      <c r="O120" s="319">
        <f t="shared" si="56"/>
        <v>982.12809917355378</v>
      </c>
      <c r="P120" s="319">
        <f t="shared" si="56"/>
        <v>1000.8353010625738</v>
      </c>
      <c r="Q120" s="319">
        <f t="shared" si="56"/>
        <v>1019.5425029515939</v>
      </c>
      <c r="R120" s="319">
        <f t="shared" si="56"/>
        <v>1038.249704840614</v>
      </c>
      <c r="S120" s="319">
        <f t="shared" si="56"/>
        <v>1056.9569067296341</v>
      </c>
      <c r="T120" s="319">
        <f t="shared" si="56"/>
        <v>1085.0177095631641</v>
      </c>
      <c r="U120" s="319">
        <f t="shared" si="56"/>
        <v>1103.7249114521842</v>
      </c>
    </row>
    <row r="121" spans="2:21" x14ac:dyDescent="0.35">
      <c r="B121" s="316" t="s">
        <v>276</v>
      </c>
      <c r="C121" s="317"/>
      <c r="D121" s="319">
        <v>0</v>
      </c>
      <c r="E121" s="319">
        <v>0</v>
      </c>
      <c r="F121" s="319">
        <v>0</v>
      </c>
      <c r="G121" s="319">
        <f t="shared" ref="G121:U121" si="57">(G105-F105)*G122</f>
        <v>869.88488783943319</v>
      </c>
      <c r="H121" s="319">
        <f t="shared" si="57"/>
        <v>9.3536009445101627</v>
      </c>
      <c r="I121" s="319">
        <f t="shared" si="57"/>
        <v>18.70720188902002</v>
      </c>
      <c r="J121" s="319">
        <f t="shared" si="57"/>
        <v>18.707201889020098</v>
      </c>
      <c r="K121" s="319">
        <f t="shared" si="57"/>
        <v>9.353600944510049</v>
      </c>
      <c r="L121" s="319">
        <f t="shared" si="57"/>
        <v>18.70720188902002</v>
      </c>
      <c r="M121" s="319">
        <f t="shared" si="57"/>
        <v>18.707201889020325</v>
      </c>
      <c r="N121" s="319">
        <f t="shared" si="57"/>
        <v>18.70720188902002</v>
      </c>
      <c r="O121" s="319">
        <f t="shared" si="57"/>
        <v>18.70720188902002</v>
      </c>
      <c r="P121" s="319">
        <f t="shared" si="57"/>
        <v>18.707201889020098</v>
      </c>
      <c r="Q121" s="319">
        <f t="shared" si="57"/>
        <v>18.70720188902002</v>
      </c>
      <c r="R121" s="319">
        <f t="shared" si="57"/>
        <v>18.70720188902002</v>
      </c>
      <c r="S121" s="319">
        <f t="shared" si="57"/>
        <v>28.060802833530033</v>
      </c>
      <c r="T121" s="319">
        <f t="shared" si="57"/>
        <v>18.707201889020173</v>
      </c>
      <c r="U121" s="319">
        <f t="shared" si="57"/>
        <v>18.70720188902002</v>
      </c>
    </row>
    <row r="122" spans="2:21" x14ac:dyDescent="0.35">
      <c r="B122" s="316" t="s">
        <v>278</v>
      </c>
      <c r="C122" s="317"/>
      <c r="D122" s="324"/>
      <c r="E122" s="324"/>
      <c r="F122" s="324"/>
      <c r="G122" s="325">
        <v>0.75</v>
      </c>
      <c r="H122" s="325">
        <v>1</v>
      </c>
      <c r="I122" s="325">
        <v>0.66666666666666663</v>
      </c>
      <c r="J122" s="325">
        <v>1</v>
      </c>
      <c r="K122" s="325">
        <v>0.5</v>
      </c>
      <c r="L122" s="325">
        <v>0.66666666666666663</v>
      </c>
      <c r="M122" s="325">
        <v>1</v>
      </c>
      <c r="N122" s="325">
        <v>0.66666666666666663</v>
      </c>
      <c r="O122" s="325">
        <v>0.66666666666666663</v>
      </c>
      <c r="P122" s="325">
        <v>1</v>
      </c>
      <c r="Q122" s="325">
        <v>0.66666666666666663</v>
      </c>
      <c r="R122" s="325">
        <v>0.66666666666666663</v>
      </c>
      <c r="S122" s="325">
        <v>1</v>
      </c>
      <c r="T122" s="325">
        <v>0.66666666666666663</v>
      </c>
      <c r="U122" s="325">
        <v>0.66666666666666663</v>
      </c>
    </row>
    <row r="123" spans="2:21" x14ac:dyDescent="0.35">
      <c r="B123" s="316" t="s">
        <v>240</v>
      </c>
      <c r="C123" s="317"/>
      <c r="D123" s="324"/>
      <c r="E123" s="324"/>
      <c r="F123" s="324"/>
      <c r="G123" s="415">
        <v>0</v>
      </c>
      <c r="H123" s="415">
        <v>0</v>
      </c>
      <c r="I123" s="415">
        <v>0</v>
      </c>
      <c r="J123" s="415">
        <v>0</v>
      </c>
      <c r="K123" s="415">
        <v>0</v>
      </c>
      <c r="L123" s="415">
        <v>0</v>
      </c>
      <c r="M123" s="415">
        <v>0</v>
      </c>
      <c r="N123" s="415">
        <v>0</v>
      </c>
      <c r="O123" s="415">
        <v>0</v>
      </c>
      <c r="P123" s="415">
        <v>0</v>
      </c>
      <c r="Q123" s="415">
        <v>0</v>
      </c>
      <c r="R123" s="415">
        <v>0</v>
      </c>
      <c r="S123" s="415">
        <v>0</v>
      </c>
      <c r="T123" s="415">
        <v>0</v>
      </c>
      <c r="U123" s="415">
        <v>0</v>
      </c>
    </row>
    <row r="124" spans="2:21" x14ac:dyDescent="0.35">
      <c r="B124" s="316" t="s">
        <v>277</v>
      </c>
      <c r="C124" s="317"/>
      <c r="D124" s="324"/>
      <c r="E124" s="324"/>
      <c r="F124" s="324"/>
      <c r="G124" s="416">
        <f>G120+G121+G123</f>
        <v>869.88488783943319</v>
      </c>
      <c r="H124" s="416">
        <f t="shared" ref="H124:U124" si="58">H120+H121+H123</f>
        <v>879.23848878394335</v>
      </c>
      <c r="I124" s="416">
        <f t="shared" si="58"/>
        <v>897.94569067296334</v>
      </c>
      <c r="J124" s="416">
        <f t="shared" si="58"/>
        <v>916.65289256198344</v>
      </c>
      <c r="K124" s="416">
        <f t="shared" si="58"/>
        <v>926.00649350649348</v>
      </c>
      <c r="L124" s="416">
        <f t="shared" si="58"/>
        <v>944.71369539551347</v>
      </c>
      <c r="M124" s="416">
        <f t="shared" si="58"/>
        <v>963.42089728453379</v>
      </c>
      <c r="N124" s="416">
        <f t="shared" si="58"/>
        <v>982.12809917355378</v>
      </c>
      <c r="O124" s="416">
        <f t="shared" si="58"/>
        <v>1000.8353010625738</v>
      </c>
      <c r="P124" s="416">
        <f t="shared" si="58"/>
        <v>1019.5425029515939</v>
      </c>
      <c r="Q124" s="416">
        <f t="shared" si="58"/>
        <v>1038.249704840614</v>
      </c>
      <c r="R124" s="416">
        <f t="shared" si="58"/>
        <v>1056.9569067296341</v>
      </c>
      <c r="S124" s="416">
        <f t="shared" si="58"/>
        <v>1085.0177095631641</v>
      </c>
      <c r="T124" s="416">
        <f t="shared" si="58"/>
        <v>1103.7249114521842</v>
      </c>
      <c r="U124" s="416">
        <f t="shared" si="58"/>
        <v>1122.4321133412043</v>
      </c>
    </row>
    <row r="125" spans="2:21" x14ac:dyDescent="0.35">
      <c r="B125" s="316"/>
      <c r="C125" s="317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</row>
    <row r="126" spans="2:21" x14ac:dyDescent="0.35">
      <c r="B126" s="314" t="s">
        <v>233</v>
      </c>
      <c r="C126" s="317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</row>
    <row r="127" spans="2:21" x14ac:dyDescent="0.35">
      <c r="B127" s="316" t="s">
        <v>195</v>
      </c>
      <c r="C127" s="317"/>
      <c r="D127" s="320">
        <f>D33</f>
        <v>0</v>
      </c>
      <c r="E127" s="320">
        <f>E33</f>
        <v>0</v>
      </c>
      <c r="F127" s="320">
        <f t="shared" ref="F127:U127" si="59">F31*F128</f>
        <v>0</v>
      </c>
      <c r="G127" s="320">
        <f t="shared" si="59"/>
        <v>122.19647527911536</v>
      </c>
      <c r="H127" s="320">
        <f t="shared" si="59"/>
        <v>135.36438188033003</v>
      </c>
      <c r="I127" s="320">
        <f t="shared" si="59"/>
        <v>145.0219359492464</v>
      </c>
      <c r="J127" s="320">
        <f t="shared" si="59"/>
        <v>161.24150858212388</v>
      </c>
      <c r="K127" s="320">
        <f t="shared" si="59"/>
        <v>170.66012236617661</v>
      </c>
      <c r="L127" s="320">
        <f t="shared" si="59"/>
        <v>179.85780281033027</v>
      </c>
      <c r="M127" s="320">
        <f t="shared" si="59"/>
        <v>188.82081696844142</v>
      </c>
      <c r="N127" s="320">
        <f t="shared" si="59"/>
        <v>197.58898199513814</v>
      </c>
      <c r="O127" s="320">
        <f t="shared" si="59"/>
        <v>203.59194913460027</v>
      </c>
      <c r="P127" s="320">
        <f t="shared" si="59"/>
        <v>202.55574602484779</v>
      </c>
      <c r="Q127" s="320">
        <f t="shared" si="59"/>
        <v>186.88529992876968</v>
      </c>
      <c r="R127" s="320">
        <f t="shared" si="59"/>
        <v>174.35821711401761</v>
      </c>
      <c r="S127" s="320">
        <f t="shared" si="59"/>
        <v>155.38702214795944</v>
      </c>
      <c r="T127" s="320">
        <f t="shared" si="59"/>
        <v>142.14725967429729</v>
      </c>
      <c r="U127" s="320">
        <f t="shared" si="59"/>
        <v>122.98369111287053</v>
      </c>
    </row>
    <row r="128" spans="2:21" x14ac:dyDescent="0.35">
      <c r="B128" s="316" t="s">
        <v>194</v>
      </c>
      <c r="C128" s="317"/>
      <c r="D128" s="326">
        <v>0</v>
      </c>
      <c r="E128" s="326">
        <v>0</v>
      </c>
      <c r="F128" s="328">
        <f>G128</f>
        <v>0.15802091986112105</v>
      </c>
      <c r="G128" s="328">
        <v>0.15802091986112105</v>
      </c>
      <c r="H128" s="328">
        <v>0.15907644000795851</v>
      </c>
      <c r="I128" s="328">
        <v>0.15687954861953068</v>
      </c>
      <c r="J128" s="328">
        <v>0.16217989893584819</v>
      </c>
      <c r="K128" s="328">
        <v>0.16078459648084042</v>
      </c>
      <c r="L128" s="328">
        <v>0.1598281027676608</v>
      </c>
      <c r="M128" s="328">
        <v>0.15931667509970082</v>
      </c>
      <c r="N128" s="328">
        <v>0.15915201372283375</v>
      </c>
      <c r="O128" s="328">
        <v>0.15930728143794376</v>
      </c>
      <c r="P128" s="328">
        <v>0.16256822145799854</v>
      </c>
      <c r="Q128" s="328">
        <v>0.16089807467774875</v>
      </c>
      <c r="R128" s="328">
        <v>0.16250207573723705</v>
      </c>
      <c r="S128" s="328">
        <v>0.15862844089049913</v>
      </c>
      <c r="T128" s="328">
        <v>0.16120493557646226</v>
      </c>
      <c r="U128" s="328">
        <v>0.15766239791680375</v>
      </c>
    </row>
    <row r="129" spans="2:21" s="34" customFormat="1" x14ac:dyDescent="0.35">
      <c r="N129" s="327"/>
      <c r="O129" s="327"/>
      <c r="P129" s="327"/>
      <c r="Q129" s="327"/>
      <c r="R129" s="327"/>
      <c r="S129" s="327"/>
      <c r="T129" s="327"/>
      <c r="U129" s="327"/>
    </row>
    <row r="130" spans="2:21" s="34" customFormat="1" x14ac:dyDescent="0.35">
      <c r="B130" s="361" t="s">
        <v>234</v>
      </c>
      <c r="N130" s="327"/>
      <c r="O130" s="327"/>
      <c r="P130" s="327"/>
      <c r="Q130" s="327"/>
      <c r="R130" s="327"/>
      <c r="S130" s="327"/>
      <c r="T130" s="327"/>
      <c r="U130" s="327"/>
    </row>
    <row r="131" spans="2:21" s="34" customFormat="1" x14ac:dyDescent="0.35">
      <c r="B131" s="335" t="s">
        <v>198</v>
      </c>
      <c r="D131" s="277">
        <f t="shared" ref="D131:U131" si="60">C136</f>
        <v>0</v>
      </c>
      <c r="E131" s="277">
        <f t="shared" si="60"/>
        <v>-42.45000000000001</v>
      </c>
      <c r="F131" s="277">
        <f t="shared" si="60"/>
        <v>-50.975000000000009</v>
      </c>
      <c r="G131" s="277">
        <f t="shared" si="60"/>
        <v>-50.975000000000009</v>
      </c>
      <c r="H131" s="277">
        <f t="shared" si="60"/>
        <v>541.67790510370946</v>
      </c>
      <c r="I131" s="277">
        <f t="shared" si="60"/>
        <v>1199.1620456653125</v>
      </c>
      <c r="J131" s="277">
        <f t="shared" si="60"/>
        <v>1917.6798192320332</v>
      </c>
      <c r="K131" s="277">
        <f t="shared" si="60"/>
        <v>2690.2953811880434</v>
      </c>
      <c r="L131" s="277">
        <f t="shared" si="60"/>
        <v>3516.290373440338</v>
      </c>
      <c r="M131" s="277">
        <f t="shared" si="60"/>
        <v>4394.8265640907975</v>
      </c>
      <c r="N131" s="277">
        <f t="shared" si="60"/>
        <v>5324.9439217501567</v>
      </c>
      <c r="O131" s="277">
        <f t="shared" si="60"/>
        <v>6308.5790451911926</v>
      </c>
      <c r="P131" s="277">
        <f t="shared" si="60"/>
        <v>7351.7361263805687</v>
      </c>
      <c r="Q131" s="277">
        <f t="shared" si="60"/>
        <v>8406.305684615927</v>
      </c>
      <c r="R131" s="277">
        <f t="shared" si="60"/>
        <v>9402.9102102598172</v>
      </c>
      <c r="S131" s="277">
        <f t="shared" si="60"/>
        <v>10351.079202906156</v>
      </c>
      <c r="T131" s="277">
        <f t="shared" si="60"/>
        <v>11236.305154431135</v>
      </c>
      <c r="U131" s="277">
        <f t="shared" si="60"/>
        <v>12054.385702080666</v>
      </c>
    </row>
    <row r="132" spans="2:21" s="34" customFormat="1" x14ac:dyDescent="0.35">
      <c r="B132" s="34" t="s">
        <v>87</v>
      </c>
      <c r="F132" s="277">
        <f t="shared" ref="F132:U132" si="61">F35</f>
        <v>0</v>
      </c>
      <c r="G132" s="277">
        <f t="shared" si="61"/>
        <v>651.09655064751189</v>
      </c>
      <c r="H132" s="277">
        <f t="shared" si="61"/>
        <v>715.57483874566469</v>
      </c>
      <c r="I132" s="277">
        <f t="shared" si="61"/>
        <v>779.39388004062653</v>
      </c>
      <c r="J132" s="277">
        <f t="shared" si="61"/>
        <v>832.97238376901453</v>
      </c>
      <c r="K132" s="277">
        <f t="shared" si="61"/>
        <v>890.76072329619365</v>
      </c>
      <c r="L132" s="277">
        <f t="shared" si="61"/>
        <v>945.462461247276</v>
      </c>
      <c r="M132" s="277">
        <f t="shared" si="61"/>
        <v>996.37098326387468</v>
      </c>
      <c r="N132" s="277">
        <f t="shared" si="61"/>
        <v>1053.9220575022516</v>
      </c>
      <c r="O132" s="277">
        <f t="shared" si="61"/>
        <v>1114.3907475565554</v>
      </c>
      <c r="P132" s="277">
        <f t="shared" si="61"/>
        <v>1113.4180624367309</v>
      </c>
      <c r="Q132" s="277">
        <f t="shared" si="61"/>
        <v>1064.6282874964925</v>
      </c>
      <c r="R132" s="277">
        <f t="shared" si="61"/>
        <v>1008.6017209236461</v>
      </c>
      <c r="S132" s="277">
        <f t="shared" si="61"/>
        <v>954.17894518839466</v>
      </c>
      <c r="T132" s="277">
        <f t="shared" si="61"/>
        <v>879.63256403881985</v>
      </c>
      <c r="U132" s="277">
        <f t="shared" si="61"/>
        <v>807.06083908492155</v>
      </c>
    </row>
    <row r="133" spans="2:21" s="34" customFormat="1" x14ac:dyDescent="0.35">
      <c r="B133" s="34" t="s">
        <v>302</v>
      </c>
      <c r="D133" s="277">
        <f>-D117</f>
        <v>-42.45000000000001</v>
      </c>
      <c r="E133" s="277">
        <f>-E117</f>
        <v>-8.5250000000000021</v>
      </c>
      <c r="F133" s="277">
        <f>F90</f>
        <v>0</v>
      </c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</row>
    <row r="134" spans="2:21" s="34" customFormat="1" x14ac:dyDescent="0.35">
      <c r="B134" s="335" t="s">
        <v>256</v>
      </c>
      <c r="G134" s="277">
        <f>-G132*G135</f>
        <v>-58.443645543802425</v>
      </c>
      <c r="H134" s="277">
        <f t="shared" ref="H134:U134" si="62">-H132*H135</f>
        <v>-58.090698184061701</v>
      </c>
      <c r="I134" s="277">
        <f t="shared" si="62"/>
        <v>-60.876106473905693</v>
      </c>
      <c r="J134" s="277">
        <f t="shared" si="62"/>
        <v>-60.356821813004231</v>
      </c>
      <c r="K134" s="277">
        <f t="shared" si="62"/>
        <v>-64.765731043898924</v>
      </c>
      <c r="L134" s="277">
        <f t="shared" si="62"/>
        <v>-66.926270596816636</v>
      </c>
      <c r="M134" s="277">
        <f t="shared" si="62"/>
        <v>-66.253625604515051</v>
      </c>
      <c r="N134" s="277">
        <f t="shared" si="62"/>
        <v>-70.286934061215945</v>
      </c>
      <c r="O134" s="277">
        <f t="shared" si="62"/>
        <v>-71.233666367179296</v>
      </c>
      <c r="P134" s="277">
        <f t="shared" si="62"/>
        <v>-58.848504201372073</v>
      </c>
      <c r="Q134" s="277">
        <f t="shared" si="62"/>
        <v>-68.02376185260195</v>
      </c>
      <c r="R134" s="277">
        <f t="shared" si="62"/>
        <v>-60.432728277307454</v>
      </c>
      <c r="S134" s="277">
        <f t="shared" si="62"/>
        <v>-68.952993663415498</v>
      </c>
      <c r="T134" s="277">
        <f t="shared" si="62"/>
        <v>-61.55201638928974</v>
      </c>
      <c r="U134" s="277">
        <f t="shared" si="62"/>
        <v>-57.838382178114898</v>
      </c>
    </row>
    <row r="135" spans="2:21" s="34" customFormat="1" x14ac:dyDescent="0.35">
      <c r="B135" s="34" t="s">
        <v>199</v>
      </c>
      <c r="D135" s="337"/>
      <c r="E135" s="337"/>
      <c r="F135" s="337"/>
      <c r="G135" s="338">
        <v>8.9761872468346743E-2</v>
      </c>
      <c r="H135" s="338">
        <v>8.1180465045262384E-2</v>
      </c>
      <c r="I135" s="338">
        <v>7.8106985483042901E-2</v>
      </c>
      <c r="J135" s="338">
        <v>7.245957127642462E-2</v>
      </c>
      <c r="K135" s="338">
        <v>7.2708337211185248E-2</v>
      </c>
      <c r="L135" s="338">
        <v>7.0786808932134598E-2</v>
      </c>
      <c r="M135" s="338">
        <v>6.6494936843186567E-2</v>
      </c>
      <c r="N135" s="338">
        <v>6.6690827429679994E-2</v>
      </c>
      <c r="O135" s="338">
        <v>6.3921624011477343E-2</v>
      </c>
      <c r="P135" s="338">
        <v>5.2853915511826083E-2</v>
      </c>
      <c r="Q135" s="338">
        <v>6.389437764476652E-2</v>
      </c>
      <c r="R135" s="338">
        <v>5.9917336073911358E-2</v>
      </c>
      <c r="S135" s="338">
        <v>7.226421627842701E-2</v>
      </c>
      <c r="T135" s="338">
        <v>6.9974690462429642E-2</v>
      </c>
      <c r="U135" s="338">
        <v>7.1665454916254409E-2</v>
      </c>
    </row>
    <row r="136" spans="2:21" s="34" customFormat="1" x14ac:dyDescent="0.35">
      <c r="B136" s="335" t="s">
        <v>200</v>
      </c>
      <c r="D136" s="277">
        <f>D131+D132+D133+D134</f>
        <v>-42.45000000000001</v>
      </c>
      <c r="E136" s="277">
        <f>E131+E132+E133+E134</f>
        <v>-50.975000000000009</v>
      </c>
      <c r="F136" s="277">
        <f>F131+F132+F133+F134</f>
        <v>-50.975000000000009</v>
      </c>
      <c r="G136" s="277">
        <f>G131+G132+G133+G134</f>
        <v>541.67790510370946</v>
      </c>
      <c r="H136" s="277">
        <f t="shared" ref="H136:U136" si="63">H131+H132+H133+H134</f>
        <v>1199.1620456653125</v>
      </c>
      <c r="I136" s="277">
        <f t="shared" si="63"/>
        <v>1917.6798192320332</v>
      </c>
      <c r="J136" s="277">
        <f t="shared" si="63"/>
        <v>2690.2953811880434</v>
      </c>
      <c r="K136" s="277">
        <f t="shared" si="63"/>
        <v>3516.290373440338</v>
      </c>
      <c r="L136" s="277">
        <f t="shared" si="63"/>
        <v>4394.8265640907975</v>
      </c>
      <c r="M136" s="277">
        <f t="shared" si="63"/>
        <v>5324.9439217501567</v>
      </c>
      <c r="N136" s="277">
        <f t="shared" si="63"/>
        <v>6308.5790451911926</v>
      </c>
      <c r="O136" s="277">
        <f t="shared" si="63"/>
        <v>7351.7361263805687</v>
      </c>
      <c r="P136" s="277">
        <f t="shared" si="63"/>
        <v>8406.305684615927</v>
      </c>
      <c r="Q136" s="277">
        <f t="shared" si="63"/>
        <v>9402.9102102598172</v>
      </c>
      <c r="R136" s="277">
        <f t="shared" si="63"/>
        <v>10351.079202906156</v>
      </c>
      <c r="S136" s="277">
        <f t="shared" si="63"/>
        <v>11236.305154431135</v>
      </c>
      <c r="T136" s="277">
        <f t="shared" si="63"/>
        <v>12054.385702080666</v>
      </c>
      <c r="U136" s="277">
        <f t="shared" si="63"/>
        <v>12803.608158987472</v>
      </c>
    </row>
    <row r="137" spans="2:21" s="34" customFormat="1" ht="8.75" customHeight="1" x14ac:dyDescent="0.35"/>
    <row r="138" spans="2:21" s="34" customFormat="1" ht="25.75" customHeight="1" x14ac:dyDescent="0.35">
      <c r="B138" s="361" t="s">
        <v>235</v>
      </c>
      <c r="C138" s="356" t="s">
        <v>228</v>
      </c>
      <c r="E138" s="356" t="s">
        <v>227</v>
      </c>
      <c r="G138" s="356" t="s">
        <v>229</v>
      </c>
    </row>
    <row r="139" spans="2:21" s="34" customFormat="1" x14ac:dyDescent="0.35">
      <c r="B139" s="34" t="s">
        <v>224</v>
      </c>
      <c r="C139" s="277">
        <f>U68</f>
        <v>1496.5761511216056</v>
      </c>
      <c r="E139" s="357">
        <v>0.1</v>
      </c>
      <c r="G139" s="277">
        <f>C139*E139</f>
        <v>149.65761511216056</v>
      </c>
    </row>
    <row r="140" spans="2:21" s="34" customFormat="1" x14ac:dyDescent="0.35">
      <c r="B140" s="34" t="s">
        <v>8</v>
      </c>
      <c r="C140" s="277">
        <f>U67</f>
        <v>3350</v>
      </c>
      <c r="E140" s="357">
        <v>0.1</v>
      </c>
      <c r="G140" s="277">
        <f>C140*E140</f>
        <v>335</v>
      </c>
    </row>
    <row r="141" spans="2:21" s="34" customFormat="1" x14ac:dyDescent="0.35">
      <c r="B141" s="34" t="s">
        <v>226</v>
      </c>
      <c r="C141" s="277">
        <f>U69</f>
        <v>740</v>
      </c>
      <c r="E141" s="357">
        <v>0</v>
      </c>
      <c r="G141" s="277">
        <f>C141*E141</f>
        <v>0</v>
      </c>
    </row>
    <row r="142" spans="2:21" s="34" customFormat="1" x14ac:dyDescent="0.35">
      <c r="B142" s="34" t="s">
        <v>9</v>
      </c>
      <c r="C142" s="277">
        <f>U70</f>
        <v>12628.007007865865</v>
      </c>
      <c r="E142" s="357">
        <v>1</v>
      </c>
      <c r="G142" s="358">
        <f>C142*E142</f>
        <v>12628.007007865865</v>
      </c>
    </row>
    <row r="143" spans="2:21" s="34" customFormat="1" x14ac:dyDescent="0.35">
      <c r="B143" s="360" t="s">
        <v>236</v>
      </c>
      <c r="C143" s="277"/>
      <c r="G143" s="359">
        <f>SUM(G139:G142)</f>
        <v>13112.664622978025</v>
      </c>
    </row>
    <row r="144" spans="2:21" s="34" customFormat="1" x14ac:dyDescent="0.35">
      <c r="B144" s="34" t="s">
        <v>225</v>
      </c>
      <c r="C144" s="277">
        <f>-U60</f>
        <v>-1200</v>
      </c>
      <c r="E144" s="357">
        <v>1</v>
      </c>
      <c r="G144" s="358">
        <f>C144*E144</f>
        <v>-1200</v>
      </c>
    </row>
    <row r="145" spans="2:21" s="34" customFormat="1" x14ac:dyDescent="0.35">
      <c r="B145" s="360" t="s">
        <v>237</v>
      </c>
      <c r="C145" s="277"/>
      <c r="G145" s="359">
        <f>G143+G144</f>
        <v>11912.664622978025</v>
      </c>
    </row>
    <row r="146" spans="2:21" s="34" customFormat="1" x14ac:dyDescent="0.35"/>
    <row r="147" spans="2:21" s="34" customFormat="1" ht="15" thickBot="1" x14ac:dyDescent="0.4"/>
    <row r="148" spans="2:21" s="34" customFormat="1" ht="17.5" thickBot="1" x14ac:dyDescent="0.4">
      <c r="B148" s="310" t="s">
        <v>238</v>
      </c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2"/>
    </row>
    <row r="149" spans="2:21" s="34" customFormat="1" ht="16" thickBot="1" x14ac:dyDescent="0.4">
      <c r="B149" s="95" t="s">
        <v>109</v>
      </c>
      <c r="C149" s="96">
        <v>2009</v>
      </c>
      <c r="D149" s="96">
        <v>2010</v>
      </c>
      <c r="E149" s="97">
        <v>2011</v>
      </c>
      <c r="F149" s="97">
        <v>2012</v>
      </c>
      <c r="G149" s="97">
        <v>2013</v>
      </c>
      <c r="H149" s="97">
        <v>2014</v>
      </c>
      <c r="I149" s="97">
        <v>2015</v>
      </c>
      <c r="J149" s="97">
        <v>2016</v>
      </c>
      <c r="K149" s="97">
        <v>2017</v>
      </c>
      <c r="L149" s="97">
        <v>2018</v>
      </c>
      <c r="M149" s="97">
        <v>2019</v>
      </c>
      <c r="N149" s="97">
        <v>2020</v>
      </c>
      <c r="O149" s="97">
        <v>2021</v>
      </c>
      <c r="P149" s="97">
        <v>2022</v>
      </c>
      <c r="Q149" s="97">
        <v>2023</v>
      </c>
      <c r="R149" s="97">
        <v>2024</v>
      </c>
      <c r="S149" s="97">
        <v>2025</v>
      </c>
      <c r="T149" s="97">
        <v>2026</v>
      </c>
      <c r="U149" s="98">
        <v>2027</v>
      </c>
    </row>
    <row r="150" spans="2:21" s="34" customFormat="1" ht="15.5" x14ac:dyDescent="0.35">
      <c r="B150" s="355" t="s">
        <v>247</v>
      </c>
      <c r="C150" s="198"/>
      <c r="D150" s="198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200"/>
    </row>
    <row r="151" spans="2:21" ht="15.5" x14ac:dyDescent="0.35">
      <c r="B151" s="103" t="s">
        <v>87</v>
      </c>
      <c r="C151" s="202"/>
      <c r="D151" s="202">
        <f t="shared" ref="D151:U151" si="64">D77</f>
        <v>0</v>
      </c>
      <c r="E151" s="202">
        <f t="shared" si="64"/>
        <v>0</v>
      </c>
      <c r="F151" s="202">
        <f t="shared" si="64"/>
        <v>0</v>
      </c>
      <c r="G151" s="202">
        <f t="shared" si="64"/>
        <v>651.09655064751189</v>
      </c>
      <c r="H151" s="202">
        <f t="shared" si="64"/>
        <v>715.57483874566469</v>
      </c>
      <c r="I151" s="202">
        <f t="shared" si="64"/>
        <v>779.39388004062653</v>
      </c>
      <c r="J151" s="202">
        <f t="shared" si="64"/>
        <v>832.97238376901453</v>
      </c>
      <c r="K151" s="202">
        <f t="shared" si="64"/>
        <v>890.76072329619365</v>
      </c>
      <c r="L151" s="202">
        <f t="shared" si="64"/>
        <v>945.462461247276</v>
      </c>
      <c r="M151" s="202">
        <f t="shared" si="64"/>
        <v>996.37098326387468</v>
      </c>
      <c r="N151" s="202">
        <f t="shared" si="64"/>
        <v>1053.9220575022516</v>
      </c>
      <c r="O151" s="202">
        <f t="shared" si="64"/>
        <v>1114.3907475565554</v>
      </c>
      <c r="P151" s="202">
        <f t="shared" si="64"/>
        <v>1113.4180624367309</v>
      </c>
      <c r="Q151" s="202">
        <f t="shared" si="64"/>
        <v>1064.6282874964925</v>
      </c>
      <c r="R151" s="202">
        <f t="shared" si="64"/>
        <v>1008.6017209236461</v>
      </c>
      <c r="S151" s="202">
        <f t="shared" si="64"/>
        <v>954.17894518839466</v>
      </c>
      <c r="T151" s="202">
        <f t="shared" si="64"/>
        <v>879.63256403881985</v>
      </c>
      <c r="U151" s="203">
        <f t="shared" si="64"/>
        <v>807.06083908492155</v>
      </c>
    </row>
    <row r="152" spans="2:21" ht="15.5" x14ac:dyDescent="0.35">
      <c r="B152" s="103" t="s">
        <v>30</v>
      </c>
      <c r="C152" s="202"/>
      <c r="D152" s="202"/>
      <c r="E152" s="202"/>
      <c r="F152" s="202"/>
      <c r="G152" s="202">
        <f t="shared" ref="G152:U152" si="65">G78</f>
        <v>680</v>
      </c>
      <c r="H152" s="202">
        <f t="shared" si="65"/>
        <v>680</v>
      </c>
      <c r="I152" s="202">
        <f t="shared" si="65"/>
        <v>680</v>
      </c>
      <c r="J152" s="202">
        <f t="shared" si="65"/>
        <v>680</v>
      </c>
      <c r="K152" s="202">
        <f t="shared" si="65"/>
        <v>680</v>
      </c>
      <c r="L152" s="202">
        <f t="shared" si="65"/>
        <v>680</v>
      </c>
      <c r="M152" s="202">
        <f t="shared" si="65"/>
        <v>680</v>
      </c>
      <c r="N152" s="202">
        <f t="shared" si="65"/>
        <v>680</v>
      </c>
      <c r="O152" s="202">
        <f t="shared" si="65"/>
        <v>680</v>
      </c>
      <c r="P152" s="202">
        <f t="shared" si="65"/>
        <v>680</v>
      </c>
      <c r="Q152" s="202">
        <f t="shared" si="65"/>
        <v>680</v>
      </c>
      <c r="R152" s="202">
        <f t="shared" si="65"/>
        <v>680</v>
      </c>
      <c r="S152" s="202">
        <f t="shared" si="65"/>
        <v>680</v>
      </c>
      <c r="T152" s="202">
        <f t="shared" si="65"/>
        <v>680</v>
      </c>
      <c r="U152" s="203">
        <f t="shared" si="65"/>
        <v>680</v>
      </c>
    </row>
    <row r="153" spans="2:21" ht="15.5" x14ac:dyDescent="0.35">
      <c r="B153" s="103" t="s">
        <v>184</v>
      </c>
      <c r="C153" s="202"/>
      <c r="D153" s="202">
        <f t="shared" ref="D153:F153" si="66">D79</f>
        <v>-3460</v>
      </c>
      <c r="E153" s="202">
        <f t="shared" si="66"/>
        <v>-5520</v>
      </c>
      <c r="F153" s="202">
        <f t="shared" si="66"/>
        <v>-4570</v>
      </c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3"/>
    </row>
    <row r="154" spans="2:21" ht="15.5" x14ac:dyDescent="0.35">
      <c r="B154" s="103" t="s">
        <v>257</v>
      </c>
      <c r="C154" s="202"/>
      <c r="D154" s="202"/>
      <c r="E154" s="202"/>
      <c r="F154" s="202">
        <f>-13860-D153-E153-F153</f>
        <v>-310</v>
      </c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3"/>
    </row>
    <row r="155" spans="2:21" ht="15.5" x14ac:dyDescent="0.35">
      <c r="B155" s="103" t="s">
        <v>230</v>
      </c>
      <c r="C155" s="202"/>
      <c r="D155" s="202"/>
      <c r="E155" s="202"/>
      <c r="F155" s="202"/>
      <c r="G155" s="202">
        <f t="shared" ref="G155:U155" si="67">G80</f>
        <v>-1159.8465171192443</v>
      </c>
      <c r="H155" s="202">
        <f t="shared" si="67"/>
        <v>-9.3536009445101627</v>
      </c>
      <c r="I155" s="202">
        <f t="shared" si="67"/>
        <v>-28.060802833530033</v>
      </c>
      <c r="J155" s="202">
        <f t="shared" si="67"/>
        <v>-18.707201889020098</v>
      </c>
      <c r="K155" s="202">
        <f t="shared" si="67"/>
        <v>-18.707201889020098</v>
      </c>
      <c r="L155" s="202">
        <f t="shared" si="67"/>
        <v>-28.060802833530033</v>
      </c>
      <c r="M155" s="202">
        <f t="shared" si="67"/>
        <v>-18.707201889020325</v>
      </c>
      <c r="N155" s="202">
        <f t="shared" si="67"/>
        <v>-28.060802833530033</v>
      </c>
      <c r="O155" s="202">
        <f t="shared" si="67"/>
        <v>-28.060802833530033</v>
      </c>
      <c r="P155" s="202">
        <f t="shared" si="67"/>
        <v>-18.707201889020098</v>
      </c>
      <c r="Q155" s="202">
        <f t="shared" si="67"/>
        <v>-28.060802833530033</v>
      </c>
      <c r="R155" s="202">
        <f t="shared" si="67"/>
        <v>-28.060802833530033</v>
      </c>
      <c r="S155" s="202">
        <f t="shared" si="67"/>
        <v>-28.060802833530033</v>
      </c>
      <c r="T155" s="202">
        <f t="shared" si="67"/>
        <v>-28.060802833530261</v>
      </c>
      <c r="U155" s="203">
        <f t="shared" si="67"/>
        <v>-28.060802833530033</v>
      </c>
    </row>
    <row r="156" spans="2:21" ht="15.5" x14ac:dyDescent="0.35">
      <c r="B156" s="103" t="s">
        <v>231</v>
      </c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>
        <f t="shared" ref="N156:U157" si="68">N81</f>
        <v>-10</v>
      </c>
      <c r="O156" s="202">
        <f t="shared" si="68"/>
        <v>-40</v>
      </c>
      <c r="P156" s="202">
        <f t="shared" si="68"/>
        <v>-70</v>
      </c>
      <c r="Q156" s="202">
        <f t="shared" si="68"/>
        <v>-90</v>
      </c>
      <c r="R156" s="202">
        <f t="shared" si="68"/>
        <v>-110</v>
      </c>
      <c r="S156" s="202">
        <f t="shared" si="68"/>
        <v>-130</v>
      </c>
      <c r="T156" s="202">
        <f t="shared" si="68"/>
        <v>-140</v>
      </c>
      <c r="U156" s="203">
        <f t="shared" si="68"/>
        <v>-150</v>
      </c>
    </row>
    <row r="157" spans="2:21" ht="15.5" x14ac:dyDescent="0.35">
      <c r="B157" s="103" t="s">
        <v>145</v>
      </c>
      <c r="C157" s="202"/>
      <c r="D157" s="202"/>
      <c r="E157" s="202"/>
      <c r="F157" s="202"/>
      <c r="G157" s="202">
        <f t="shared" ref="G157:M157" si="69">G82</f>
        <v>1178.5999999999999</v>
      </c>
      <c r="H157" s="202">
        <f t="shared" si="69"/>
        <v>1049.8666666666668</v>
      </c>
      <c r="I157" s="202">
        <f t="shared" si="69"/>
        <v>922.33333333333337</v>
      </c>
      <c r="J157" s="202">
        <f t="shared" si="69"/>
        <v>795.4</v>
      </c>
      <c r="K157" s="202">
        <f t="shared" si="69"/>
        <v>667.86666666666656</v>
      </c>
      <c r="L157" s="202">
        <f t="shared" si="69"/>
        <v>540.33333333333326</v>
      </c>
      <c r="M157" s="202">
        <f t="shared" si="69"/>
        <v>413.39999999999981</v>
      </c>
      <c r="N157" s="202">
        <f t="shared" si="68"/>
        <v>286.46666666666647</v>
      </c>
      <c r="O157" s="202">
        <f t="shared" si="68"/>
        <v>175.69999999999976</v>
      </c>
      <c r="P157" s="202">
        <f t="shared" si="68"/>
        <v>129.59999999999977</v>
      </c>
      <c r="Q157" s="202">
        <f t="shared" si="68"/>
        <v>131.99999999999977</v>
      </c>
      <c r="R157" s="202">
        <f t="shared" si="68"/>
        <v>134.39999999999978</v>
      </c>
      <c r="S157" s="202">
        <f t="shared" si="68"/>
        <v>137.39999999999978</v>
      </c>
      <c r="T157" s="202">
        <f t="shared" si="68"/>
        <v>140.39999999999978</v>
      </c>
      <c r="U157" s="203">
        <f t="shared" si="68"/>
        <v>142.79999999999976</v>
      </c>
    </row>
    <row r="158" spans="2:21" ht="15.5" x14ac:dyDescent="0.35">
      <c r="B158" s="374" t="s">
        <v>248</v>
      </c>
      <c r="C158" s="307"/>
      <c r="D158" s="307">
        <f>SUM(D151:D157)</f>
        <v>-3460</v>
      </c>
      <c r="E158" s="307">
        <f t="shared" ref="E158:U158" si="70">SUM(E151:E157)</f>
        <v>-5520</v>
      </c>
      <c r="F158" s="307">
        <f t="shared" si="70"/>
        <v>-4880</v>
      </c>
      <c r="G158" s="307">
        <f t="shared" si="70"/>
        <v>1349.8500335282674</v>
      </c>
      <c r="H158" s="307">
        <f t="shared" si="70"/>
        <v>2436.0879044678213</v>
      </c>
      <c r="I158" s="307">
        <f t="shared" si="70"/>
        <v>2353.6664105404298</v>
      </c>
      <c r="J158" s="307">
        <f t="shared" si="70"/>
        <v>2289.6651818799942</v>
      </c>
      <c r="K158" s="307">
        <f t="shared" si="70"/>
        <v>2219.9201880738401</v>
      </c>
      <c r="L158" s="307">
        <f t="shared" si="70"/>
        <v>2137.7349917470792</v>
      </c>
      <c r="M158" s="307">
        <f t="shared" si="70"/>
        <v>2071.063781374854</v>
      </c>
      <c r="N158" s="307">
        <f t="shared" si="70"/>
        <v>1982.3279213353881</v>
      </c>
      <c r="O158" s="307">
        <f t="shared" si="70"/>
        <v>1902.0299447230252</v>
      </c>
      <c r="P158" s="307">
        <f t="shared" si="70"/>
        <v>1834.3108605477105</v>
      </c>
      <c r="Q158" s="307">
        <f t="shared" si="70"/>
        <v>1758.5674846629622</v>
      </c>
      <c r="R158" s="307">
        <f t="shared" si="70"/>
        <v>1684.9409180901159</v>
      </c>
      <c r="S158" s="307">
        <f t="shared" si="70"/>
        <v>1613.5181423548645</v>
      </c>
      <c r="T158" s="307">
        <f t="shared" si="70"/>
        <v>1531.9717612052896</v>
      </c>
      <c r="U158" s="308">
        <f t="shared" si="70"/>
        <v>1451.8000362513912</v>
      </c>
    </row>
    <row r="159" spans="2:21" s="34" customFormat="1" ht="15.5" x14ac:dyDescent="0.35">
      <c r="B159" s="107" t="s">
        <v>307</v>
      </c>
      <c r="C159" s="204"/>
      <c r="D159" s="204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3">
        <f>G143</f>
        <v>13112.664622978025</v>
      </c>
    </row>
    <row r="160" spans="2:21" s="34" customFormat="1" ht="16" thickBot="1" x14ac:dyDescent="0.4">
      <c r="B160" s="123" t="s">
        <v>249</v>
      </c>
      <c r="C160" s="216"/>
      <c r="D160" s="363">
        <f t="shared" ref="D160:S160" si="71">D158+D159</f>
        <v>-3460</v>
      </c>
      <c r="E160" s="363">
        <f t="shared" si="71"/>
        <v>-5520</v>
      </c>
      <c r="F160" s="363">
        <f t="shared" si="71"/>
        <v>-4880</v>
      </c>
      <c r="G160" s="363">
        <f t="shared" si="71"/>
        <v>1349.8500335282674</v>
      </c>
      <c r="H160" s="363">
        <f t="shared" si="71"/>
        <v>2436.0879044678213</v>
      </c>
      <c r="I160" s="363">
        <f t="shared" si="71"/>
        <v>2353.6664105404298</v>
      </c>
      <c r="J160" s="363">
        <f t="shared" si="71"/>
        <v>2289.6651818799942</v>
      </c>
      <c r="K160" s="363">
        <f t="shared" si="71"/>
        <v>2219.9201880738401</v>
      </c>
      <c r="L160" s="363">
        <f t="shared" si="71"/>
        <v>2137.7349917470792</v>
      </c>
      <c r="M160" s="363">
        <f t="shared" si="71"/>
        <v>2071.063781374854</v>
      </c>
      <c r="N160" s="363">
        <f t="shared" si="71"/>
        <v>1982.3279213353881</v>
      </c>
      <c r="O160" s="363">
        <f t="shared" si="71"/>
        <v>1902.0299447230252</v>
      </c>
      <c r="P160" s="363">
        <f t="shared" si="71"/>
        <v>1834.3108605477105</v>
      </c>
      <c r="Q160" s="363">
        <f t="shared" si="71"/>
        <v>1758.5674846629622</v>
      </c>
      <c r="R160" s="363">
        <f t="shared" si="71"/>
        <v>1684.9409180901159</v>
      </c>
      <c r="S160" s="363">
        <f t="shared" si="71"/>
        <v>1613.5181423548645</v>
      </c>
      <c r="T160" s="363">
        <f>T158+T159</f>
        <v>1531.9717612052896</v>
      </c>
      <c r="U160" s="364">
        <f>U158+U159</f>
        <v>14564.464659229416</v>
      </c>
    </row>
    <row r="161" spans="2:24" s="34" customFormat="1" ht="7.5" customHeight="1" x14ac:dyDescent="0.35">
      <c r="B161" s="369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2:24" s="34" customFormat="1" ht="15.5" x14ac:dyDescent="0.35">
      <c r="B162" s="370" t="s">
        <v>242</v>
      </c>
      <c r="C162" s="371">
        <f>IRR(D160:U160)</f>
        <v>0.1245699587188438</v>
      </c>
      <c r="D162" s="418">
        <f>C162/C162</f>
        <v>1</v>
      </c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</row>
    <row r="163" spans="2:24" s="34" customFormat="1" ht="15.5" x14ac:dyDescent="0.35">
      <c r="B163" s="372" t="s">
        <v>243</v>
      </c>
      <c r="C163" s="373">
        <f>IRR(D158:U158)</f>
        <v>9.8871632031779511E-2</v>
      </c>
      <c r="D163" s="419">
        <f>C163/C162</f>
        <v>0.79370365896110007</v>
      </c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</row>
    <row r="164" spans="2:24" s="34" customFormat="1" ht="15.5" x14ac:dyDescent="0.35">
      <c r="B164" s="372" t="s">
        <v>244</v>
      </c>
      <c r="C164" s="373">
        <f>C162-C163</f>
        <v>2.5698326687064288E-2</v>
      </c>
      <c r="D164" s="419">
        <f>C164/C162</f>
        <v>0.20629634103889993</v>
      </c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</row>
    <row r="165" spans="2:24" s="34" customFormat="1" ht="15" thickBot="1" x14ac:dyDescent="0.4"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</row>
    <row r="166" spans="2:24" s="34" customFormat="1" ht="17.5" thickBot="1" x14ac:dyDescent="0.4">
      <c r="B166" s="310" t="s">
        <v>239</v>
      </c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2"/>
    </row>
    <row r="167" spans="2:24" s="34" customFormat="1" ht="16" thickBot="1" x14ac:dyDescent="0.4">
      <c r="B167" s="95" t="s">
        <v>109</v>
      </c>
      <c r="C167" s="96">
        <v>2009</v>
      </c>
      <c r="D167" s="96">
        <v>2010</v>
      </c>
      <c r="E167" s="97">
        <v>2011</v>
      </c>
      <c r="F167" s="97">
        <v>2012</v>
      </c>
      <c r="G167" s="97">
        <v>2013</v>
      </c>
      <c r="H167" s="97">
        <v>2014</v>
      </c>
      <c r="I167" s="97">
        <v>2015</v>
      </c>
      <c r="J167" s="97">
        <v>2016</v>
      </c>
      <c r="K167" s="97">
        <v>2017</v>
      </c>
      <c r="L167" s="97">
        <v>2018</v>
      </c>
      <c r="M167" s="97">
        <v>2019</v>
      </c>
      <c r="N167" s="97">
        <v>2020</v>
      </c>
      <c r="O167" s="97">
        <v>2021</v>
      </c>
      <c r="P167" s="97">
        <v>2022</v>
      </c>
      <c r="Q167" s="97">
        <v>2023</v>
      </c>
      <c r="R167" s="97">
        <v>2024</v>
      </c>
      <c r="S167" s="97">
        <v>2025</v>
      </c>
      <c r="T167" s="97">
        <v>2026</v>
      </c>
      <c r="U167" s="98">
        <v>2027</v>
      </c>
    </row>
    <row r="168" spans="2:24" s="34" customFormat="1" ht="15.5" x14ac:dyDescent="0.35">
      <c r="B168" s="355" t="s">
        <v>247</v>
      </c>
      <c r="C168" s="198"/>
      <c r="D168" s="198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200"/>
    </row>
    <row r="169" spans="2:24" s="134" customFormat="1" ht="15.5" x14ac:dyDescent="0.35">
      <c r="B169" s="103" t="s">
        <v>248</v>
      </c>
      <c r="C169" s="201"/>
      <c r="D169" s="201">
        <f t="shared" ref="D169:U169" si="72">D158</f>
        <v>-3460</v>
      </c>
      <c r="E169" s="201">
        <f t="shared" si="72"/>
        <v>-5520</v>
      </c>
      <c r="F169" s="201">
        <f t="shared" si="72"/>
        <v>-4880</v>
      </c>
      <c r="G169" s="201">
        <f t="shared" si="72"/>
        <v>1349.8500335282674</v>
      </c>
      <c r="H169" s="201">
        <f t="shared" si="72"/>
        <v>2436.0879044678213</v>
      </c>
      <c r="I169" s="201">
        <f t="shared" si="72"/>
        <v>2353.6664105404298</v>
      </c>
      <c r="J169" s="201">
        <f t="shared" si="72"/>
        <v>2289.6651818799942</v>
      </c>
      <c r="K169" s="201">
        <f t="shared" si="72"/>
        <v>2219.9201880738401</v>
      </c>
      <c r="L169" s="201">
        <f t="shared" si="72"/>
        <v>2137.7349917470792</v>
      </c>
      <c r="M169" s="201">
        <f t="shared" si="72"/>
        <v>2071.063781374854</v>
      </c>
      <c r="N169" s="201">
        <f t="shared" si="72"/>
        <v>1982.3279213353881</v>
      </c>
      <c r="O169" s="201">
        <f t="shared" si="72"/>
        <v>1902.0299447230252</v>
      </c>
      <c r="P169" s="201">
        <f t="shared" si="72"/>
        <v>1834.3108605477105</v>
      </c>
      <c r="Q169" s="201">
        <f t="shared" si="72"/>
        <v>1758.5674846629622</v>
      </c>
      <c r="R169" s="201">
        <f t="shared" si="72"/>
        <v>1684.9409180901159</v>
      </c>
      <c r="S169" s="201">
        <f t="shared" si="72"/>
        <v>1613.5181423548645</v>
      </c>
      <c r="T169" s="201">
        <f t="shared" si="72"/>
        <v>1531.9717612052896</v>
      </c>
      <c r="U169" s="203">
        <f t="shared" si="72"/>
        <v>1451.8000362513912</v>
      </c>
    </row>
    <row r="170" spans="2:24" s="34" customFormat="1" ht="15.5" x14ac:dyDescent="0.35">
      <c r="B170" s="355" t="s">
        <v>254</v>
      </c>
      <c r="C170" s="198"/>
      <c r="D170" s="198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200"/>
    </row>
    <row r="171" spans="2:24" ht="15.5" x14ac:dyDescent="0.35">
      <c r="B171" s="103" t="s">
        <v>190</v>
      </c>
      <c r="C171" s="202"/>
      <c r="D171" s="202">
        <f>D86</f>
        <v>2420.0000000000005</v>
      </c>
      <c r="E171" s="202">
        <f t="shared" ref="E171:F171" si="73">E86</f>
        <v>3870.0000000000009</v>
      </c>
      <c r="F171" s="202">
        <f t="shared" si="73"/>
        <v>3410.0000000000005</v>
      </c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3"/>
      <c r="W171" s="408">
        <f>SUM(D171:F171)</f>
        <v>9700.0000000000018</v>
      </c>
      <c r="X171" t="s">
        <v>305</v>
      </c>
    </row>
    <row r="172" spans="2:24" ht="15.5" x14ac:dyDescent="0.35">
      <c r="B172" s="103" t="s">
        <v>241</v>
      </c>
      <c r="C172" s="202"/>
      <c r="D172" s="202"/>
      <c r="E172" s="202"/>
      <c r="F172" s="202"/>
      <c r="G172" s="202">
        <f t="shared" ref="G172:P172" si="74">G87</f>
        <v>-1077.7777777777781</v>
      </c>
      <c r="H172" s="202">
        <f t="shared" si="74"/>
        <v>-1077.7777777777781</v>
      </c>
      <c r="I172" s="202">
        <f t="shared" si="74"/>
        <v>-1077.7777777777781</v>
      </c>
      <c r="J172" s="202">
        <f t="shared" si="74"/>
        <v>-1077.7777777777781</v>
      </c>
      <c r="K172" s="202">
        <f t="shared" si="74"/>
        <v>-1077.7777777777781</v>
      </c>
      <c r="L172" s="202">
        <f t="shared" si="74"/>
        <v>-1077.7777777777781</v>
      </c>
      <c r="M172" s="202">
        <f t="shared" si="74"/>
        <v>-1077.7777777777781</v>
      </c>
      <c r="N172" s="202">
        <f t="shared" si="74"/>
        <v>-1077.7777777777781</v>
      </c>
      <c r="O172" s="202">
        <f t="shared" si="74"/>
        <v>-808.33333333333348</v>
      </c>
      <c r="P172" s="202">
        <f t="shared" si="74"/>
        <v>0</v>
      </c>
      <c r="Q172" s="202"/>
      <c r="R172" s="202"/>
      <c r="S172" s="202"/>
      <c r="T172" s="202"/>
      <c r="U172" s="203"/>
      <c r="W172" s="276">
        <f>R4</f>
        <v>0.69985569985569995</v>
      </c>
      <c r="X172" t="s">
        <v>116</v>
      </c>
    </row>
    <row r="173" spans="2:24" ht="15.5" x14ac:dyDescent="0.35">
      <c r="B173" s="103" t="s">
        <v>186</v>
      </c>
      <c r="C173" s="339"/>
      <c r="D173" s="202"/>
      <c r="E173" s="202"/>
      <c r="F173" s="202"/>
      <c r="G173" s="202">
        <f>G88</f>
        <v>930</v>
      </c>
      <c r="H173" s="202">
        <f t="shared" ref="H173:T173" si="75">H88</f>
        <v>10</v>
      </c>
      <c r="I173" s="202">
        <f t="shared" si="75"/>
        <v>20</v>
      </c>
      <c r="J173" s="202">
        <f t="shared" si="75"/>
        <v>20</v>
      </c>
      <c r="K173" s="202">
        <f t="shared" si="75"/>
        <v>10</v>
      </c>
      <c r="L173" s="202">
        <f t="shared" si="75"/>
        <v>20</v>
      </c>
      <c r="M173" s="202">
        <f t="shared" si="75"/>
        <v>20</v>
      </c>
      <c r="N173" s="202">
        <f t="shared" si="75"/>
        <v>20</v>
      </c>
      <c r="O173" s="202">
        <f t="shared" si="75"/>
        <v>20</v>
      </c>
      <c r="P173" s="202">
        <f t="shared" si="75"/>
        <v>20</v>
      </c>
      <c r="Q173" s="202">
        <f t="shared" si="75"/>
        <v>20</v>
      </c>
      <c r="R173" s="202">
        <f t="shared" si="75"/>
        <v>20</v>
      </c>
      <c r="S173" s="202">
        <f t="shared" si="75"/>
        <v>30</v>
      </c>
      <c r="T173" s="202">
        <f t="shared" si="75"/>
        <v>20</v>
      </c>
      <c r="U173" s="203">
        <f>U88</f>
        <v>20</v>
      </c>
      <c r="V173" s="284"/>
    </row>
    <row r="174" spans="2:24" ht="15.5" x14ac:dyDescent="0.35">
      <c r="B174" s="103" t="s">
        <v>240</v>
      </c>
      <c r="C174" s="339"/>
      <c r="D174" s="202"/>
      <c r="E174" s="202"/>
      <c r="F174" s="202"/>
      <c r="G174" s="202">
        <f>G89</f>
        <v>0</v>
      </c>
      <c r="H174" s="202">
        <f t="shared" ref="H174:T174" si="76">H89</f>
        <v>0</v>
      </c>
      <c r="I174" s="202">
        <f t="shared" si="76"/>
        <v>0</v>
      </c>
      <c r="J174" s="202">
        <f t="shared" si="76"/>
        <v>0</v>
      </c>
      <c r="K174" s="202">
        <f t="shared" si="76"/>
        <v>0</v>
      </c>
      <c r="L174" s="202">
        <f t="shared" si="76"/>
        <v>0</v>
      </c>
      <c r="M174" s="202">
        <f t="shared" si="76"/>
        <v>0</v>
      </c>
      <c r="N174" s="202">
        <f t="shared" si="76"/>
        <v>0</v>
      </c>
      <c r="O174" s="202">
        <f t="shared" si="76"/>
        <v>0</v>
      </c>
      <c r="P174" s="202">
        <f t="shared" si="76"/>
        <v>0</v>
      </c>
      <c r="Q174" s="202">
        <f t="shared" si="76"/>
        <v>0</v>
      </c>
      <c r="R174" s="202">
        <f t="shared" si="76"/>
        <v>0</v>
      </c>
      <c r="S174" s="202">
        <f t="shared" si="76"/>
        <v>0</v>
      </c>
      <c r="T174" s="202">
        <f t="shared" si="76"/>
        <v>0</v>
      </c>
      <c r="U174" s="203">
        <f>U89</f>
        <v>0</v>
      </c>
      <c r="V174" s="284"/>
    </row>
    <row r="175" spans="2:24" ht="15.5" x14ac:dyDescent="0.35">
      <c r="B175" s="103" t="s">
        <v>145</v>
      </c>
      <c r="C175" s="202"/>
      <c r="D175" s="202">
        <f>D133</f>
        <v>-42.45000000000001</v>
      </c>
      <c r="E175" s="202">
        <f>E133</f>
        <v>-8.5250000000000021</v>
      </c>
      <c r="F175" s="202">
        <f>F133</f>
        <v>0</v>
      </c>
      <c r="G175" s="202">
        <f>G90</f>
        <v>-1178.5999999999999</v>
      </c>
      <c r="H175" s="202">
        <f t="shared" ref="H175:T175" si="77">H90</f>
        <v>-1049.8666666666668</v>
      </c>
      <c r="I175" s="202">
        <f t="shared" si="77"/>
        <v>-922.33333333333337</v>
      </c>
      <c r="J175" s="202">
        <f t="shared" si="77"/>
        <v>-795.4</v>
      </c>
      <c r="K175" s="202">
        <f t="shared" si="77"/>
        <v>-667.86666666666656</v>
      </c>
      <c r="L175" s="202">
        <f t="shared" si="77"/>
        <v>-540.33333333333326</v>
      </c>
      <c r="M175" s="202">
        <f t="shared" si="77"/>
        <v>-413.39999999999981</v>
      </c>
      <c r="N175" s="202">
        <f t="shared" si="77"/>
        <v>-286.46666666666647</v>
      </c>
      <c r="O175" s="202">
        <f t="shared" si="77"/>
        <v>-175.69999999999976</v>
      </c>
      <c r="P175" s="202">
        <f t="shared" si="77"/>
        <v>-129.59999999999977</v>
      </c>
      <c r="Q175" s="202">
        <f t="shared" si="77"/>
        <v>-131.99999999999977</v>
      </c>
      <c r="R175" s="202">
        <f t="shared" si="77"/>
        <v>-134.39999999999978</v>
      </c>
      <c r="S175" s="202">
        <f t="shared" si="77"/>
        <v>-137.39999999999978</v>
      </c>
      <c r="T175" s="202">
        <f t="shared" si="77"/>
        <v>-140.39999999999978</v>
      </c>
      <c r="U175" s="203">
        <f>U90</f>
        <v>-142.79999999999976</v>
      </c>
    </row>
    <row r="176" spans="2:24" ht="5.75" customHeight="1" thickBot="1" x14ac:dyDescent="0.4">
      <c r="B176" s="123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</row>
    <row r="177" spans="2:24" s="34" customFormat="1" ht="15.5" x14ac:dyDescent="0.35">
      <c r="B177" s="119" t="s">
        <v>253</v>
      </c>
      <c r="C177" s="213"/>
      <c r="D177" s="362">
        <f t="shared" ref="D177:U177" si="78">SUM(D169:D175)</f>
        <v>-1082.4499999999996</v>
      </c>
      <c r="E177" s="362">
        <f t="shared" si="78"/>
        <v>-1658.5249999999992</v>
      </c>
      <c r="F177" s="362">
        <f t="shared" si="78"/>
        <v>-1469.9999999999995</v>
      </c>
      <c r="G177" s="362">
        <f t="shared" si="78"/>
        <v>23.472255750489467</v>
      </c>
      <c r="H177" s="362">
        <f t="shared" si="78"/>
        <v>318.44346002337647</v>
      </c>
      <c r="I177" s="362">
        <f t="shared" si="78"/>
        <v>373.55529942931832</v>
      </c>
      <c r="J177" s="362">
        <f t="shared" si="78"/>
        <v>436.48740410221615</v>
      </c>
      <c r="K177" s="362">
        <f t="shared" si="78"/>
        <v>484.27574362939549</v>
      </c>
      <c r="L177" s="362">
        <f t="shared" si="78"/>
        <v>539.62388063596791</v>
      </c>
      <c r="M177" s="362">
        <f t="shared" si="78"/>
        <v>599.88600359707607</v>
      </c>
      <c r="N177" s="362">
        <f t="shared" si="78"/>
        <v>638.08347689094353</v>
      </c>
      <c r="O177" s="362">
        <f t="shared" si="78"/>
        <v>937.99661138969191</v>
      </c>
      <c r="P177" s="362">
        <f t="shared" si="78"/>
        <v>1724.7108605477108</v>
      </c>
      <c r="Q177" s="362">
        <f t="shared" si="78"/>
        <v>1646.5674846629624</v>
      </c>
      <c r="R177" s="362">
        <f t="shared" si="78"/>
        <v>1570.5409180901161</v>
      </c>
      <c r="S177" s="362">
        <f t="shared" si="78"/>
        <v>1506.1181423548646</v>
      </c>
      <c r="T177" s="362">
        <f t="shared" si="78"/>
        <v>1411.5717612052897</v>
      </c>
      <c r="U177" s="365">
        <f t="shared" si="78"/>
        <v>1329.0000362513915</v>
      </c>
      <c r="W177" s="277">
        <f>-Q6+D175+E175</f>
        <v>-4210.9749999999985</v>
      </c>
      <c r="X177" s="34" t="s">
        <v>306</v>
      </c>
    </row>
    <row r="178" spans="2:24" s="34" customFormat="1" ht="15.5" x14ac:dyDescent="0.35">
      <c r="B178" s="107" t="s">
        <v>308</v>
      </c>
      <c r="C178" s="204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3">
        <f>G145</f>
        <v>11912.664622978025</v>
      </c>
      <c r="W178" s="277">
        <f>D177+E177+F177</f>
        <v>-4210.9749999999985</v>
      </c>
    </row>
    <row r="179" spans="2:24" s="34" customFormat="1" ht="16" thickBot="1" x14ac:dyDescent="0.4">
      <c r="B179" s="123" t="s">
        <v>250</v>
      </c>
      <c r="C179" s="216"/>
      <c r="D179" s="363">
        <f t="shared" ref="D179:S179" si="79">D177+D178</f>
        <v>-1082.4499999999996</v>
      </c>
      <c r="E179" s="363">
        <f t="shared" si="79"/>
        <v>-1658.5249999999992</v>
      </c>
      <c r="F179" s="363">
        <f t="shared" si="79"/>
        <v>-1469.9999999999995</v>
      </c>
      <c r="G179" s="363">
        <f t="shared" si="79"/>
        <v>23.472255750489467</v>
      </c>
      <c r="H179" s="363">
        <f t="shared" si="79"/>
        <v>318.44346002337647</v>
      </c>
      <c r="I179" s="363">
        <f t="shared" si="79"/>
        <v>373.55529942931832</v>
      </c>
      <c r="J179" s="363">
        <f t="shared" si="79"/>
        <v>436.48740410221615</v>
      </c>
      <c r="K179" s="363">
        <f t="shared" si="79"/>
        <v>484.27574362939549</v>
      </c>
      <c r="L179" s="363">
        <f t="shared" si="79"/>
        <v>539.62388063596791</v>
      </c>
      <c r="M179" s="363">
        <f t="shared" si="79"/>
        <v>599.88600359707607</v>
      </c>
      <c r="N179" s="363">
        <f t="shared" si="79"/>
        <v>638.08347689094353</v>
      </c>
      <c r="O179" s="363">
        <f t="shared" si="79"/>
        <v>937.99661138969191</v>
      </c>
      <c r="P179" s="363">
        <f t="shared" si="79"/>
        <v>1724.7108605477108</v>
      </c>
      <c r="Q179" s="363">
        <f t="shared" si="79"/>
        <v>1646.5674846629624</v>
      </c>
      <c r="R179" s="363">
        <f t="shared" si="79"/>
        <v>1570.5409180901161</v>
      </c>
      <c r="S179" s="363">
        <f t="shared" si="79"/>
        <v>1506.1181423548646</v>
      </c>
      <c r="T179" s="363">
        <f>T177+T178</f>
        <v>1411.5717612052897</v>
      </c>
      <c r="U179" s="364">
        <f>U177+U178</f>
        <v>13241.664659229416</v>
      </c>
    </row>
    <row r="180" spans="2:24" s="34" customFormat="1" ht="7.5" customHeight="1" x14ac:dyDescent="0.35">
      <c r="B180" s="369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</row>
    <row r="181" spans="2:24" s="34" customFormat="1" ht="15.5" x14ac:dyDescent="0.35">
      <c r="B181" s="370" t="s">
        <v>242</v>
      </c>
      <c r="C181" s="371">
        <f>IRR(D179:U179)</f>
        <v>0.15552800638353959</v>
      </c>
      <c r="D181" s="418">
        <f>C181/C181</f>
        <v>1</v>
      </c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</row>
    <row r="182" spans="2:24" s="34" customFormat="1" ht="15.5" x14ac:dyDescent="0.35">
      <c r="B182" s="372" t="s">
        <v>243</v>
      </c>
      <c r="C182" s="373">
        <f>IRR(D177:U177)</f>
        <v>0.11647787697877443</v>
      </c>
      <c r="D182" s="419">
        <f>C182/C181</f>
        <v>0.74891898692210035</v>
      </c>
      <c r="E182" s="367"/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</row>
    <row r="183" spans="2:24" s="34" customFormat="1" ht="15.5" x14ac:dyDescent="0.35">
      <c r="B183" s="372" t="s">
        <v>244</v>
      </c>
      <c r="C183" s="373">
        <f>C181-C182</f>
        <v>3.9050129404765155E-2</v>
      </c>
      <c r="D183" s="419">
        <f>C183/C181</f>
        <v>0.2510810130778996</v>
      </c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</row>
    <row r="184" spans="2:24" s="34" customFormat="1" x14ac:dyDescent="0.35"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</row>
    <row r="185" spans="2:24" s="34" customFormat="1" x14ac:dyDescent="0.35">
      <c r="H185" s="134"/>
      <c r="I185" s="134"/>
      <c r="J185" s="134"/>
      <c r="K185" s="134"/>
      <c r="L185" s="134"/>
      <c r="M185" s="134"/>
      <c r="N185" s="134"/>
      <c r="O185" s="134"/>
    </row>
    <row r="186" spans="2:24" s="34" customFormat="1" x14ac:dyDescent="0.35">
      <c r="B186" s="420" t="s">
        <v>279</v>
      </c>
      <c r="C186" s="421"/>
      <c r="D186" s="422">
        <v>2010</v>
      </c>
      <c r="E186" s="422">
        <v>2011</v>
      </c>
      <c r="F186" s="422">
        <v>2012</v>
      </c>
      <c r="G186" s="422" t="s">
        <v>166</v>
      </c>
      <c r="H186" s="134"/>
      <c r="I186" s="134"/>
      <c r="J186" s="134"/>
      <c r="K186" s="134"/>
      <c r="L186" s="134"/>
      <c r="M186" s="134"/>
      <c r="N186" s="134"/>
      <c r="O186" s="134"/>
    </row>
    <row r="187" spans="2:24" s="34" customFormat="1" x14ac:dyDescent="0.35">
      <c r="B187" s="421" t="s">
        <v>280</v>
      </c>
      <c r="C187" s="421"/>
      <c r="D187" s="423">
        <f>D92</f>
        <v>1039.9999999999998</v>
      </c>
      <c r="E187" s="423">
        <f>E92</f>
        <v>1649.9999999999995</v>
      </c>
      <c r="F187" s="423">
        <f>F92</f>
        <v>1469.9999999999998</v>
      </c>
      <c r="G187" s="423">
        <f>D187+E187+F187</f>
        <v>4159.9999999999991</v>
      </c>
    </row>
    <row r="188" spans="2:24" s="34" customFormat="1" x14ac:dyDescent="0.35">
      <c r="B188" s="421" t="s">
        <v>281</v>
      </c>
      <c r="C188" s="421"/>
      <c r="D188" s="424">
        <f>-D177</f>
        <v>1082.4499999999996</v>
      </c>
      <c r="E188" s="424">
        <f>-E177</f>
        <v>1658.5249999999992</v>
      </c>
      <c r="F188" s="424">
        <f>-F177</f>
        <v>1469.9999999999995</v>
      </c>
      <c r="G188" s="424">
        <f>D188+E188+F188</f>
        <v>4210.9749999999985</v>
      </c>
    </row>
    <row r="189" spans="2:24" s="34" customFormat="1" x14ac:dyDescent="0.35">
      <c r="B189" s="421" t="s">
        <v>309</v>
      </c>
      <c r="C189" s="421"/>
      <c r="D189" s="423">
        <f>D187-D188</f>
        <v>-42.449999999999818</v>
      </c>
      <c r="E189" s="423">
        <f>E187-E188</f>
        <v>-8.5249999999996362</v>
      </c>
      <c r="F189" s="423">
        <f>F187-F188</f>
        <v>0</v>
      </c>
      <c r="G189" s="423">
        <f>G187-G188</f>
        <v>-50.974999999999454</v>
      </c>
    </row>
    <row r="190" spans="2:24" s="34" customFormat="1" x14ac:dyDescent="0.35">
      <c r="C190" s="421" t="s">
        <v>164</v>
      </c>
      <c r="D190" s="426">
        <f>D133-D189</f>
        <v>-1.9184653865522705E-13</v>
      </c>
      <c r="E190" s="426">
        <f>E133-E189</f>
        <v>-3.659295089164516E-13</v>
      </c>
      <c r="F190" s="426">
        <f>F133-F189</f>
        <v>0</v>
      </c>
      <c r="G190" s="425"/>
    </row>
    <row r="191" spans="2:24" s="34" customFormat="1" x14ac:dyDescent="0.35"/>
    <row r="192" spans="2:24" s="34" customFormat="1" x14ac:dyDescent="0.35"/>
    <row r="193" s="34" customFormat="1" x14ac:dyDescent="0.35"/>
    <row r="194" s="34" customFormat="1" x14ac:dyDescent="0.35"/>
    <row r="195" s="34" customFormat="1" x14ac:dyDescent="0.35"/>
    <row r="196" s="34" customFormat="1" x14ac:dyDescent="0.35"/>
    <row r="197" s="34" customFormat="1" x14ac:dyDescent="0.35"/>
    <row r="198" s="34" customFormat="1" x14ac:dyDescent="0.35"/>
    <row r="199" s="34" customFormat="1" x14ac:dyDescent="0.35"/>
    <row r="200" s="34" customFormat="1" x14ac:dyDescent="0.35"/>
    <row r="201" s="34" customFormat="1" x14ac:dyDescent="0.35"/>
    <row r="202" s="34" customFormat="1" x14ac:dyDescent="0.35"/>
    <row r="203" s="34" customFormat="1" x14ac:dyDescent="0.35"/>
    <row r="204" s="34" customFormat="1" x14ac:dyDescent="0.35"/>
    <row r="205" s="34" customFormat="1" x14ac:dyDescent="0.35"/>
    <row r="206" s="34" customFormat="1" x14ac:dyDescent="0.35"/>
    <row r="207" s="34" customFormat="1" x14ac:dyDescent="0.35"/>
    <row r="208" s="34" customFormat="1" x14ac:dyDescent="0.35"/>
    <row r="209" s="34" customFormat="1" x14ac:dyDescent="0.35"/>
    <row r="210" s="34" customFormat="1" x14ac:dyDescent="0.35"/>
    <row r="211" s="34" customFormat="1" x14ac:dyDescent="0.35"/>
    <row r="212" s="34" customFormat="1" x14ac:dyDescent="0.35"/>
    <row r="213" s="34" customFormat="1" x14ac:dyDescent="0.35"/>
    <row r="214" s="34" customFormat="1" x14ac:dyDescent="0.35"/>
    <row r="215" s="34" customFormat="1" x14ac:dyDescent="0.35"/>
    <row r="216" s="34" customFormat="1" x14ac:dyDescent="0.35"/>
    <row r="217" s="34" customFormat="1" x14ac:dyDescent="0.35"/>
    <row r="218" s="34" customFormat="1" x14ac:dyDescent="0.35"/>
    <row r="219" s="34" customFormat="1" x14ac:dyDescent="0.35"/>
    <row r="220" s="34" customFormat="1" x14ac:dyDescent="0.35"/>
    <row r="221" s="34" customFormat="1" x14ac:dyDescent="0.35"/>
  </sheetData>
  <pageMargins left="0.75" right="0.75" top="1" bottom="1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716D-E9F5-415E-B168-4D5D12958A6E}">
  <dimension ref="A1:Z221"/>
  <sheetViews>
    <sheetView showGridLines="0" topLeftCell="A22" zoomScale="94" zoomScaleNormal="94" workbookViewId="0">
      <selection activeCell="G42" sqref="G42"/>
    </sheetView>
  </sheetViews>
  <sheetFormatPr baseColWidth="10" defaultColWidth="8.81640625" defaultRowHeight="14.5" outlineLevelRow="1" outlineLevelCol="1" x14ac:dyDescent="0.35"/>
  <cols>
    <col min="1" max="1" width="1.54296875" customWidth="1"/>
    <col min="2" max="2" width="43.1796875" customWidth="1"/>
    <col min="3" max="6" width="7.6328125" customWidth="1"/>
    <col min="7" max="16" width="7.81640625" customWidth="1"/>
    <col min="17" max="17" width="8.54296875" customWidth="1"/>
    <col min="18" max="18" width="7.81640625" customWidth="1"/>
    <col min="19" max="19" width="8.08984375" hidden="1" customWidth="1" outlineLevel="1"/>
    <col min="20" max="20" width="8" hidden="1" customWidth="1" outlineLevel="1"/>
    <col min="21" max="21" width="7.90625" hidden="1" customWidth="1" outlineLevel="1"/>
    <col min="22" max="22" width="12.453125" bestFit="1" customWidth="1" collapsed="1"/>
  </cols>
  <sheetData>
    <row r="1" spans="2:21" ht="15" thickBot="1" x14ac:dyDescent="0.4"/>
    <row r="2" spans="2:21" ht="12" customHeight="1" thickBot="1" x14ac:dyDescent="0.4">
      <c r="B2" s="377" t="s">
        <v>258</v>
      </c>
      <c r="C2" s="378"/>
      <c r="E2" s="377" t="s">
        <v>261</v>
      </c>
      <c r="F2" s="380"/>
      <c r="G2" s="380"/>
      <c r="H2" s="380"/>
      <c r="I2" s="380"/>
      <c r="J2" s="379"/>
      <c r="L2" s="377" t="s">
        <v>293</v>
      </c>
      <c r="M2" s="380"/>
      <c r="N2" s="380"/>
      <c r="O2" s="380"/>
      <c r="P2" s="380"/>
      <c r="Q2" s="380"/>
      <c r="R2" s="379"/>
      <c r="S2" s="34"/>
    </row>
    <row r="3" spans="2:21" ht="12" customHeight="1" x14ac:dyDescent="0.35">
      <c r="B3" s="59" t="s">
        <v>15</v>
      </c>
      <c r="C3" s="388">
        <v>300</v>
      </c>
      <c r="E3" s="381" t="s">
        <v>251</v>
      </c>
      <c r="F3" s="384"/>
      <c r="G3" s="384"/>
      <c r="H3" s="384"/>
      <c r="I3" s="384"/>
      <c r="J3" s="376">
        <v>0.69985569985569995</v>
      </c>
      <c r="K3" s="34"/>
      <c r="L3" s="433" t="s">
        <v>291</v>
      </c>
      <c r="M3" s="384"/>
      <c r="N3" s="34">
        <v>2010</v>
      </c>
      <c r="O3">
        <v>2011</v>
      </c>
      <c r="P3">
        <v>2012</v>
      </c>
      <c r="Q3" s="434" t="s">
        <v>290</v>
      </c>
      <c r="R3" s="435" t="s">
        <v>292</v>
      </c>
    </row>
    <row r="4" spans="2:21" ht="12" customHeight="1" thickBot="1" x14ac:dyDescent="0.4">
      <c r="B4" s="66" t="s">
        <v>16</v>
      </c>
      <c r="C4" s="452">
        <v>0.85</v>
      </c>
      <c r="E4" s="484" t="s">
        <v>263</v>
      </c>
      <c r="F4" s="485"/>
      <c r="G4" s="485"/>
      <c r="H4" s="485"/>
      <c r="I4" s="485"/>
      <c r="J4" s="486">
        <v>0.14000000000000001</v>
      </c>
      <c r="L4" s="382" t="s">
        <v>288</v>
      </c>
      <c r="M4" s="436"/>
      <c r="N4" s="202">
        <f>Q4*N5</f>
        <v>2420.0000000000005</v>
      </c>
      <c r="O4" s="202">
        <f>Q4*O5</f>
        <v>3870.0000000000009</v>
      </c>
      <c r="P4" s="202">
        <f>Q4*P5</f>
        <v>3410.0000000000005</v>
      </c>
      <c r="Q4" s="202">
        <f>R4*Q8</f>
        <v>9700.0000000000018</v>
      </c>
      <c r="R4" s="437">
        <f>J3</f>
        <v>0.69985569985569995</v>
      </c>
    </row>
    <row r="5" spans="2:21" ht="12" customHeight="1" x14ac:dyDescent="0.35">
      <c r="B5" s="31" t="s">
        <v>111</v>
      </c>
      <c r="C5" s="451">
        <v>3.3</v>
      </c>
      <c r="E5" s="381" t="s">
        <v>252</v>
      </c>
      <c r="F5" s="443"/>
      <c r="G5" s="443"/>
      <c r="H5" s="443"/>
      <c r="I5" s="443"/>
      <c r="J5" s="444">
        <f>C162</f>
        <v>0.16094327864640579</v>
      </c>
      <c r="K5" s="269"/>
      <c r="L5" s="382"/>
      <c r="M5" s="436"/>
      <c r="N5" s="439">
        <v>0.24948453608247423</v>
      </c>
      <c r="O5" s="439">
        <v>0.39896907216494848</v>
      </c>
      <c r="P5" s="439">
        <v>0.35154639175257729</v>
      </c>
      <c r="Q5" s="438">
        <f>Q4/Q4</f>
        <v>1</v>
      </c>
      <c r="R5" s="437"/>
    </row>
    <row r="6" spans="2:21" ht="12" customHeight="1" thickBot="1" x14ac:dyDescent="0.4">
      <c r="B6" s="66" t="s">
        <v>262</v>
      </c>
      <c r="C6" s="455">
        <v>0.01</v>
      </c>
      <c r="E6" s="383" t="s">
        <v>131</v>
      </c>
      <c r="F6" s="386"/>
      <c r="G6" s="386"/>
      <c r="H6" s="386"/>
      <c r="I6" s="386"/>
      <c r="J6" s="404">
        <f>WACC!I30</f>
        <v>0.12920518238021639</v>
      </c>
      <c r="L6" s="382" t="s">
        <v>289</v>
      </c>
      <c r="M6" s="385"/>
      <c r="N6" s="202">
        <f>Q6*N7</f>
        <v>1039.9999999999998</v>
      </c>
      <c r="O6" s="202">
        <f>Q6*O7</f>
        <v>1649.9999999999995</v>
      </c>
      <c r="P6" s="202">
        <f>Q6*P7</f>
        <v>1469.9999999999998</v>
      </c>
      <c r="Q6" s="202">
        <f>R6*Q8</f>
        <v>4159.9999999999991</v>
      </c>
      <c r="R6" s="437">
        <f>1-R4</f>
        <v>0.30014430014430005</v>
      </c>
    </row>
    <row r="7" spans="2:21" ht="12" customHeight="1" thickBot="1" x14ac:dyDescent="0.4">
      <c r="B7" s="453" t="s">
        <v>68</v>
      </c>
      <c r="C7" s="454">
        <f>'Operating Data'!C23</f>
        <v>2947.3638769273243</v>
      </c>
      <c r="E7" s="381" t="s">
        <v>259</v>
      </c>
      <c r="F7" s="443"/>
      <c r="G7" s="443"/>
      <c r="H7" s="443"/>
      <c r="I7" s="443"/>
      <c r="J7" s="444">
        <f>C181</f>
        <v>0.21148830539502117</v>
      </c>
      <c r="K7" s="269"/>
      <c r="L7" s="383"/>
      <c r="M7" s="458"/>
      <c r="N7" s="448">
        <v>0.25</v>
      </c>
      <c r="O7" s="449">
        <v>0.39663461538461536</v>
      </c>
      <c r="P7" s="449">
        <v>0.35336538461538464</v>
      </c>
      <c r="Q7" s="450">
        <f>Q6/Q6</f>
        <v>1</v>
      </c>
      <c r="R7" s="459"/>
    </row>
    <row r="8" spans="2:21" ht="12" customHeight="1" thickBot="1" x14ac:dyDescent="0.4">
      <c r="B8" s="66" t="s">
        <v>304</v>
      </c>
      <c r="C8" s="389">
        <v>1</v>
      </c>
      <c r="E8" s="383" t="s">
        <v>260</v>
      </c>
      <c r="F8" s="386"/>
      <c r="G8" s="386"/>
      <c r="H8" s="386"/>
      <c r="I8" s="386"/>
      <c r="J8" s="404">
        <f>WACC!I21</f>
        <v>0.19548394126738794</v>
      </c>
      <c r="L8" s="456" t="s">
        <v>166</v>
      </c>
      <c r="M8" s="457"/>
      <c r="N8" s="446">
        <f>N4+N6</f>
        <v>3460</v>
      </c>
      <c r="O8" s="446">
        <f>O4+O6</f>
        <v>5520</v>
      </c>
      <c r="P8" s="446">
        <f>P4+P6</f>
        <v>4880</v>
      </c>
      <c r="Q8" s="447">
        <v>13860</v>
      </c>
      <c r="R8" s="460">
        <f>Q8/Q8</f>
        <v>1</v>
      </c>
    </row>
    <row r="9" spans="2:21" ht="6.25" customHeight="1" x14ac:dyDescent="0.35">
      <c r="E9" s="318"/>
      <c r="F9" s="318"/>
      <c r="G9" s="318"/>
      <c r="H9" s="392"/>
    </row>
    <row r="10" spans="2:21" ht="6.25" customHeight="1" thickBot="1" x14ac:dyDescent="0.4"/>
    <row r="11" spans="2:21" ht="12" customHeight="1" thickBot="1" x14ac:dyDescent="0.4">
      <c r="B11" s="302" t="s">
        <v>106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8"/>
    </row>
    <row r="12" spans="2:21" s="68" customFormat="1" ht="12" customHeight="1" thickBot="1" x14ac:dyDescent="0.4">
      <c r="B12" s="306" t="s">
        <v>110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  <c r="I12" s="2">
        <v>2015</v>
      </c>
      <c r="J12" s="2">
        <v>2016</v>
      </c>
      <c r="K12" s="2">
        <v>2017</v>
      </c>
      <c r="L12" s="2">
        <v>2018</v>
      </c>
      <c r="M12" s="2">
        <v>2019</v>
      </c>
      <c r="N12" s="2">
        <v>2020</v>
      </c>
      <c r="O12" s="2">
        <v>2021</v>
      </c>
      <c r="P12" s="2">
        <v>2022</v>
      </c>
      <c r="Q12" s="2">
        <v>2023</v>
      </c>
      <c r="R12" s="2">
        <v>2024</v>
      </c>
      <c r="S12" s="2">
        <v>2025</v>
      </c>
      <c r="T12" s="2">
        <v>2026</v>
      </c>
      <c r="U12" s="3">
        <v>2027</v>
      </c>
    </row>
    <row r="13" spans="2:21" s="34" customFormat="1" ht="12" customHeight="1" x14ac:dyDescent="0.35">
      <c r="B13" s="303" t="s">
        <v>175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</row>
    <row r="14" spans="2:21" s="34" customFormat="1" ht="12" customHeight="1" x14ac:dyDescent="0.35">
      <c r="B14" s="31" t="s">
        <v>15</v>
      </c>
      <c r="C14" s="178">
        <v>0</v>
      </c>
      <c r="D14" s="178">
        <v>0</v>
      </c>
      <c r="E14" s="178">
        <v>0</v>
      </c>
      <c r="F14" s="178">
        <v>0</v>
      </c>
      <c r="G14" s="178">
        <v>300</v>
      </c>
      <c r="H14" s="178">
        <v>300</v>
      </c>
      <c r="I14" s="178">
        <v>300</v>
      </c>
      <c r="J14" s="178">
        <v>300</v>
      </c>
      <c r="K14" s="178">
        <v>300</v>
      </c>
      <c r="L14" s="178">
        <v>300</v>
      </c>
      <c r="M14" s="178">
        <v>300</v>
      </c>
      <c r="N14" s="178">
        <v>300</v>
      </c>
      <c r="O14" s="178">
        <v>300</v>
      </c>
      <c r="P14" s="178">
        <v>300</v>
      </c>
      <c r="Q14" s="178">
        <v>300</v>
      </c>
      <c r="R14" s="178">
        <v>300</v>
      </c>
      <c r="S14" s="178">
        <v>300</v>
      </c>
      <c r="T14" s="178">
        <v>300</v>
      </c>
      <c r="U14" s="179">
        <v>300</v>
      </c>
    </row>
    <row r="15" spans="2:21" s="34" customFormat="1" ht="12" customHeight="1" x14ac:dyDescent="0.35">
      <c r="B15" s="35" t="s">
        <v>16</v>
      </c>
      <c r="C15" s="72">
        <v>0</v>
      </c>
      <c r="D15" s="72">
        <v>0</v>
      </c>
      <c r="E15" s="72">
        <v>0</v>
      </c>
      <c r="F15" s="72">
        <v>0</v>
      </c>
      <c r="G15" s="72">
        <f t="shared" ref="G15:U15" si="0">$C$4</f>
        <v>0.85</v>
      </c>
      <c r="H15" s="72">
        <f t="shared" si="0"/>
        <v>0.85</v>
      </c>
      <c r="I15" s="72">
        <f t="shared" si="0"/>
        <v>0.85</v>
      </c>
      <c r="J15" s="72">
        <f t="shared" si="0"/>
        <v>0.85</v>
      </c>
      <c r="K15" s="72">
        <f t="shared" si="0"/>
        <v>0.85</v>
      </c>
      <c r="L15" s="72">
        <f t="shared" si="0"/>
        <v>0.85</v>
      </c>
      <c r="M15" s="72">
        <f t="shared" si="0"/>
        <v>0.85</v>
      </c>
      <c r="N15" s="72">
        <f t="shared" si="0"/>
        <v>0.85</v>
      </c>
      <c r="O15" s="72">
        <f t="shared" si="0"/>
        <v>0.85</v>
      </c>
      <c r="P15" s="72">
        <f t="shared" si="0"/>
        <v>0.85</v>
      </c>
      <c r="Q15" s="72">
        <f t="shared" si="0"/>
        <v>0.85</v>
      </c>
      <c r="R15" s="72">
        <f t="shared" si="0"/>
        <v>0.85</v>
      </c>
      <c r="S15" s="72">
        <f t="shared" si="0"/>
        <v>0.85</v>
      </c>
      <c r="T15" s="72">
        <f t="shared" si="0"/>
        <v>0.85</v>
      </c>
      <c r="U15" s="73">
        <f t="shared" si="0"/>
        <v>0.85</v>
      </c>
    </row>
    <row r="16" spans="2:21" s="34" customFormat="1" ht="12" customHeight="1" x14ac:dyDescent="0.35">
      <c r="B16" s="35" t="s">
        <v>80</v>
      </c>
      <c r="C16" s="180">
        <v>0</v>
      </c>
      <c r="D16" s="180">
        <v>0</v>
      </c>
      <c r="E16" s="180">
        <v>0</v>
      </c>
      <c r="F16" s="180">
        <v>0</v>
      </c>
      <c r="G16" s="180">
        <f t="shared" ref="G16:U16" si="1">G14*1000*24*365*G15/1000000</f>
        <v>2233.8000000000002</v>
      </c>
      <c r="H16" s="180">
        <f t="shared" si="1"/>
        <v>2233.8000000000002</v>
      </c>
      <c r="I16" s="180">
        <f t="shared" si="1"/>
        <v>2233.8000000000002</v>
      </c>
      <c r="J16" s="180">
        <f t="shared" si="1"/>
        <v>2233.8000000000002</v>
      </c>
      <c r="K16" s="180">
        <f t="shared" si="1"/>
        <v>2233.8000000000002</v>
      </c>
      <c r="L16" s="180">
        <f t="shared" si="1"/>
        <v>2233.8000000000002</v>
      </c>
      <c r="M16" s="180">
        <f t="shared" si="1"/>
        <v>2233.8000000000002</v>
      </c>
      <c r="N16" s="180">
        <f t="shared" si="1"/>
        <v>2233.8000000000002</v>
      </c>
      <c r="O16" s="180">
        <f t="shared" si="1"/>
        <v>2233.8000000000002</v>
      </c>
      <c r="P16" s="180">
        <f t="shared" si="1"/>
        <v>2233.8000000000002</v>
      </c>
      <c r="Q16" s="180">
        <f t="shared" si="1"/>
        <v>2233.8000000000002</v>
      </c>
      <c r="R16" s="180">
        <f t="shared" si="1"/>
        <v>2233.8000000000002</v>
      </c>
      <c r="S16" s="180">
        <f t="shared" si="1"/>
        <v>2233.8000000000002</v>
      </c>
      <c r="T16" s="180">
        <f t="shared" si="1"/>
        <v>2233.8000000000002</v>
      </c>
      <c r="U16" s="181">
        <f t="shared" si="1"/>
        <v>2233.8000000000002</v>
      </c>
    </row>
    <row r="17" spans="2:22" s="34" customFormat="1" ht="12" customHeight="1" x14ac:dyDescent="0.35">
      <c r="B17" s="35" t="s">
        <v>81</v>
      </c>
      <c r="C17" s="180">
        <v>0</v>
      </c>
      <c r="D17" s="180">
        <v>0</v>
      </c>
      <c r="E17" s="180">
        <v>0</v>
      </c>
      <c r="F17" s="180">
        <v>0</v>
      </c>
      <c r="G17" s="180">
        <v>201</v>
      </c>
      <c r="H17" s="180">
        <v>201</v>
      </c>
      <c r="I17" s="180">
        <v>201</v>
      </c>
      <c r="J17" s="180">
        <v>201</v>
      </c>
      <c r="K17" s="180">
        <v>201</v>
      </c>
      <c r="L17" s="180">
        <v>201</v>
      </c>
      <c r="M17" s="180">
        <v>201</v>
      </c>
      <c r="N17" s="180">
        <v>201</v>
      </c>
      <c r="O17" s="180">
        <v>201</v>
      </c>
      <c r="P17" s="180">
        <v>201</v>
      </c>
      <c r="Q17" s="180">
        <v>201</v>
      </c>
      <c r="R17" s="180">
        <v>201</v>
      </c>
      <c r="S17" s="180">
        <v>201</v>
      </c>
      <c r="T17" s="180">
        <v>201</v>
      </c>
      <c r="U17" s="181">
        <v>201</v>
      </c>
    </row>
    <row r="18" spans="2:22" s="34" customFormat="1" ht="12" customHeight="1" x14ac:dyDescent="0.35">
      <c r="B18" s="78" t="s">
        <v>82</v>
      </c>
      <c r="C18" s="180">
        <v>0</v>
      </c>
      <c r="D18" s="180">
        <v>0</v>
      </c>
      <c r="E18" s="180">
        <v>0</v>
      </c>
      <c r="F18" s="180">
        <v>0</v>
      </c>
      <c r="G18" s="180">
        <f t="shared" ref="G18:U18" si="2">G16-G17</f>
        <v>2032.8000000000002</v>
      </c>
      <c r="H18" s="180">
        <f t="shared" si="2"/>
        <v>2032.8000000000002</v>
      </c>
      <c r="I18" s="180">
        <f t="shared" si="2"/>
        <v>2032.8000000000002</v>
      </c>
      <c r="J18" s="180">
        <f t="shared" si="2"/>
        <v>2032.8000000000002</v>
      </c>
      <c r="K18" s="180">
        <f t="shared" si="2"/>
        <v>2032.8000000000002</v>
      </c>
      <c r="L18" s="180">
        <f t="shared" si="2"/>
        <v>2032.8000000000002</v>
      </c>
      <c r="M18" s="180">
        <f t="shared" si="2"/>
        <v>2032.8000000000002</v>
      </c>
      <c r="N18" s="180">
        <f t="shared" si="2"/>
        <v>2032.8000000000002</v>
      </c>
      <c r="O18" s="180">
        <f t="shared" si="2"/>
        <v>2032.8000000000002</v>
      </c>
      <c r="P18" s="180">
        <f t="shared" si="2"/>
        <v>2032.8000000000002</v>
      </c>
      <c r="Q18" s="180">
        <f t="shared" si="2"/>
        <v>2032.8000000000002</v>
      </c>
      <c r="R18" s="180">
        <f t="shared" si="2"/>
        <v>2032.8000000000002</v>
      </c>
      <c r="S18" s="180">
        <f t="shared" si="2"/>
        <v>2032.8000000000002</v>
      </c>
      <c r="T18" s="180">
        <f t="shared" si="2"/>
        <v>2032.8000000000002</v>
      </c>
      <c r="U18" s="181">
        <f t="shared" si="2"/>
        <v>2032.8000000000002</v>
      </c>
    </row>
    <row r="19" spans="2:22" s="34" customFormat="1" ht="12" customHeight="1" x14ac:dyDescent="0.35">
      <c r="B19" s="35" t="s">
        <v>111</v>
      </c>
      <c r="C19" s="195">
        <v>0</v>
      </c>
      <c r="D19" s="195">
        <v>0</v>
      </c>
      <c r="E19" s="195">
        <v>0</v>
      </c>
      <c r="F19" s="195">
        <v>0</v>
      </c>
      <c r="G19" s="195">
        <f>C5</f>
        <v>3.3</v>
      </c>
      <c r="H19" s="195">
        <f t="shared" ref="H19:U19" si="3">G19*(1+$C$6)</f>
        <v>3.3329999999999997</v>
      </c>
      <c r="I19" s="195">
        <f t="shared" si="3"/>
        <v>3.3663299999999996</v>
      </c>
      <c r="J19" s="195">
        <f t="shared" si="3"/>
        <v>3.3999932999999998</v>
      </c>
      <c r="K19" s="195">
        <f t="shared" si="3"/>
        <v>3.4339932329999998</v>
      </c>
      <c r="L19" s="195">
        <f t="shared" si="3"/>
        <v>3.4683331653299998</v>
      </c>
      <c r="M19" s="195">
        <f t="shared" si="3"/>
        <v>3.5030164969833</v>
      </c>
      <c r="N19" s="195">
        <f t="shared" si="3"/>
        <v>3.5380466619531332</v>
      </c>
      <c r="O19" s="195">
        <f t="shared" si="3"/>
        <v>3.5734271285726646</v>
      </c>
      <c r="P19" s="195">
        <f t="shared" si="3"/>
        <v>3.6091613998583911</v>
      </c>
      <c r="Q19" s="195">
        <f t="shared" si="3"/>
        <v>3.645253013856975</v>
      </c>
      <c r="R19" s="195">
        <f t="shared" si="3"/>
        <v>3.6817055439955446</v>
      </c>
      <c r="S19" s="195">
        <f t="shared" si="3"/>
        <v>3.7185225994355</v>
      </c>
      <c r="T19" s="195">
        <f t="shared" si="3"/>
        <v>3.7557078254298553</v>
      </c>
      <c r="U19" s="196">
        <f t="shared" si="3"/>
        <v>3.7932649036841539</v>
      </c>
    </row>
    <row r="20" spans="2:22" s="34" customFormat="1" ht="12" customHeight="1" x14ac:dyDescent="0.35">
      <c r="B20" s="303" t="s">
        <v>174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</row>
    <row r="21" spans="2:22" s="34" customFormat="1" ht="12" customHeight="1" x14ac:dyDescent="0.35">
      <c r="B21" s="82" t="s">
        <v>21</v>
      </c>
      <c r="C21" s="182">
        <f>C18*C19</f>
        <v>0</v>
      </c>
      <c r="D21" s="182">
        <f>D18*D19</f>
        <v>0</v>
      </c>
      <c r="E21" s="182">
        <f>E18*E19</f>
        <v>0</v>
      </c>
      <c r="F21" s="182">
        <f>F18*F19</f>
        <v>0</v>
      </c>
      <c r="G21" s="182">
        <f>G18*G19</f>
        <v>6708.2400000000007</v>
      </c>
      <c r="H21" s="182">
        <f t="shared" ref="H21:U21" si="4">H18*H19</f>
        <v>6775.3224</v>
      </c>
      <c r="I21" s="182">
        <f t="shared" si="4"/>
        <v>6843.0756240000001</v>
      </c>
      <c r="J21" s="182">
        <f t="shared" si="4"/>
        <v>6911.50638024</v>
      </c>
      <c r="K21" s="182">
        <f t="shared" si="4"/>
        <v>6980.6214440424001</v>
      </c>
      <c r="L21" s="182">
        <f t="shared" si="4"/>
        <v>7050.427658482824</v>
      </c>
      <c r="M21" s="182">
        <f t="shared" si="4"/>
        <v>7120.9319350676524</v>
      </c>
      <c r="N21" s="182">
        <f t="shared" si="4"/>
        <v>7192.1412544183295</v>
      </c>
      <c r="O21" s="182">
        <f t="shared" si="4"/>
        <v>7264.0626669625135</v>
      </c>
      <c r="P21" s="182">
        <f t="shared" si="4"/>
        <v>7336.7032936321384</v>
      </c>
      <c r="Q21" s="182">
        <f t="shared" si="4"/>
        <v>7410.0703265684597</v>
      </c>
      <c r="R21" s="182">
        <f t="shared" si="4"/>
        <v>7484.1710298341441</v>
      </c>
      <c r="S21" s="182">
        <f t="shared" si="4"/>
        <v>7559.0127401324853</v>
      </c>
      <c r="T21" s="182">
        <f t="shared" si="4"/>
        <v>7634.6028675338102</v>
      </c>
      <c r="U21" s="183">
        <f t="shared" si="4"/>
        <v>7710.9488962091491</v>
      </c>
    </row>
    <row r="22" spans="2:22" s="34" customFormat="1" ht="12" customHeight="1" x14ac:dyDescent="0.35">
      <c r="B22" s="323" t="s">
        <v>189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5"/>
    </row>
    <row r="23" spans="2:22" s="34" customFormat="1" ht="12" customHeight="1" x14ac:dyDescent="0.35">
      <c r="B23" s="35" t="s">
        <v>41</v>
      </c>
      <c r="C23" s="180">
        <v>0</v>
      </c>
      <c r="D23" s="180">
        <v>0</v>
      </c>
      <c r="E23" s="180">
        <v>0</v>
      </c>
      <c r="F23" s="180">
        <v>0</v>
      </c>
      <c r="G23" s="180">
        <f>($C$7*$C$8)*((1.03^(G12-2012)))</f>
        <v>3035.7847932351442</v>
      </c>
      <c r="H23" s="180">
        <f t="shared" ref="H23:U23" si="5">($C$7*((1.03^(H12-2012))))*$C$8</f>
        <v>3126.8583370321981</v>
      </c>
      <c r="I23" s="180">
        <f t="shared" si="5"/>
        <v>3220.6640871431641</v>
      </c>
      <c r="J23" s="180">
        <f t="shared" si="5"/>
        <v>3317.284009757459</v>
      </c>
      <c r="K23" s="180">
        <f t="shared" si="5"/>
        <v>3416.8025300501827</v>
      </c>
      <c r="L23" s="180">
        <f t="shared" si="5"/>
        <v>3519.3066059516882</v>
      </c>
      <c r="M23" s="180">
        <f t="shared" si="5"/>
        <v>3624.8858041302392</v>
      </c>
      <c r="N23" s="180">
        <f t="shared" si="5"/>
        <v>3733.6323782541458</v>
      </c>
      <c r="O23" s="180">
        <f t="shared" si="5"/>
        <v>3845.6413496017703</v>
      </c>
      <c r="P23" s="180">
        <f t="shared" si="5"/>
        <v>3961.0105900898234</v>
      </c>
      <c r="Q23" s="180">
        <f t="shared" si="5"/>
        <v>4079.8409077925185</v>
      </c>
      <c r="R23" s="180">
        <f t="shared" si="5"/>
        <v>4202.2361350262936</v>
      </c>
      <c r="S23" s="180">
        <f t="shared" si="5"/>
        <v>4328.3032190770818</v>
      </c>
      <c r="T23" s="180">
        <f t="shared" si="5"/>
        <v>4458.152315649395</v>
      </c>
      <c r="U23" s="181">
        <f t="shared" si="5"/>
        <v>4591.8968851188765</v>
      </c>
    </row>
    <row r="24" spans="2:22" s="34" customFormat="1" ht="12" customHeight="1" x14ac:dyDescent="0.35">
      <c r="B24" s="35" t="s">
        <v>84</v>
      </c>
      <c r="C24" s="180">
        <v>0</v>
      </c>
      <c r="D24" s="180">
        <v>0</v>
      </c>
      <c r="E24" s="180">
        <v>0</v>
      </c>
      <c r="F24" s="180">
        <v>0</v>
      </c>
      <c r="G24" s="180">
        <f t="shared" ref="G24:U24" si="6">((1.55*G14*((1.04)^(G12-2012))))*($C$4/85%)</f>
        <v>483.6</v>
      </c>
      <c r="H24" s="180">
        <f t="shared" si="6"/>
        <v>502.94400000000007</v>
      </c>
      <c r="I24" s="180">
        <f t="shared" si="6"/>
        <v>523.06176000000005</v>
      </c>
      <c r="J24" s="180">
        <f t="shared" si="6"/>
        <v>543.98423040000011</v>
      </c>
      <c r="K24" s="180">
        <f t="shared" si="6"/>
        <v>565.74359961600021</v>
      </c>
      <c r="L24" s="180">
        <f t="shared" si="6"/>
        <v>588.37334360064017</v>
      </c>
      <c r="M24" s="180">
        <f t="shared" si="6"/>
        <v>611.90827734466575</v>
      </c>
      <c r="N24" s="180">
        <f t="shared" si="6"/>
        <v>636.38460843845246</v>
      </c>
      <c r="O24" s="180">
        <f t="shared" si="6"/>
        <v>661.83999277599059</v>
      </c>
      <c r="P24" s="180">
        <f t="shared" si="6"/>
        <v>688.31359248703018</v>
      </c>
      <c r="Q24" s="180">
        <f t="shared" si="6"/>
        <v>715.84613618651144</v>
      </c>
      <c r="R24" s="180">
        <f t="shared" si="6"/>
        <v>744.47998163397199</v>
      </c>
      <c r="S24" s="180">
        <f t="shared" si="6"/>
        <v>774.25918089933089</v>
      </c>
      <c r="T24" s="180">
        <f t="shared" si="6"/>
        <v>805.22954813530419</v>
      </c>
      <c r="U24" s="181">
        <f t="shared" si="6"/>
        <v>837.43873006071624</v>
      </c>
    </row>
    <row r="25" spans="2:22" s="34" customFormat="1" ht="12" customHeight="1" x14ac:dyDescent="0.35">
      <c r="B25" s="82" t="s">
        <v>25</v>
      </c>
      <c r="C25" s="180">
        <v>0</v>
      </c>
      <c r="D25" s="180">
        <v>0</v>
      </c>
      <c r="E25" s="180">
        <v>0</v>
      </c>
      <c r="F25" s="180">
        <v>0</v>
      </c>
      <c r="G25" s="393">
        <f t="shared" ref="G25:U25" si="7">SUM(G23:G24)</f>
        <v>3519.3847932351441</v>
      </c>
      <c r="H25" s="393">
        <f t="shared" si="7"/>
        <v>3629.802337032198</v>
      </c>
      <c r="I25" s="393">
        <f t="shared" si="7"/>
        <v>3743.7258471431642</v>
      </c>
      <c r="J25" s="393">
        <f t="shared" si="7"/>
        <v>3861.2682401574593</v>
      </c>
      <c r="K25" s="393">
        <f t="shared" si="7"/>
        <v>3982.5461296661829</v>
      </c>
      <c r="L25" s="393">
        <f t="shared" si="7"/>
        <v>4107.6799495523283</v>
      </c>
      <c r="M25" s="393">
        <f t="shared" si="7"/>
        <v>4236.7940814749054</v>
      </c>
      <c r="N25" s="393">
        <f t="shared" si="7"/>
        <v>4370.016986692598</v>
      </c>
      <c r="O25" s="393">
        <f t="shared" si="7"/>
        <v>4507.4813423777614</v>
      </c>
      <c r="P25" s="393">
        <f t="shared" si="7"/>
        <v>4649.3241825768537</v>
      </c>
      <c r="Q25" s="393">
        <f t="shared" si="7"/>
        <v>4795.68704397903</v>
      </c>
      <c r="R25" s="393">
        <f t="shared" si="7"/>
        <v>4946.7161166602655</v>
      </c>
      <c r="S25" s="393">
        <f t="shared" si="7"/>
        <v>5102.562399976413</v>
      </c>
      <c r="T25" s="393">
        <f t="shared" si="7"/>
        <v>5263.3818637846989</v>
      </c>
      <c r="U25" s="394">
        <f t="shared" si="7"/>
        <v>5429.3356151795924</v>
      </c>
      <c r="V25" s="145"/>
    </row>
    <row r="26" spans="2:22" s="34" customFormat="1" ht="12" customHeight="1" x14ac:dyDescent="0.35">
      <c r="B26" s="85" t="s">
        <v>272</v>
      </c>
      <c r="C26" s="182">
        <f t="shared" ref="C26:U26" si="8">C21-C25</f>
        <v>0</v>
      </c>
      <c r="D26" s="182">
        <f t="shared" si="8"/>
        <v>0</v>
      </c>
      <c r="E26" s="182">
        <f t="shared" si="8"/>
        <v>0</v>
      </c>
      <c r="F26" s="182">
        <f t="shared" si="8"/>
        <v>0</v>
      </c>
      <c r="G26" s="182">
        <f t="shared" si="8"/>
        <v>3188.8552067648566</v>
      </c>
      <c r="H26" s="182">
        <f t="shared" si="8"/>
        <v>3145.520062967802</v>
      </c>
      <c r="I26" s="182">
        <f t="shared" si="8"/>
        <v>3099.3497768568359</v>
      </c>
      <c r="J26" s="182">
        <f t="shared" si="8"/>
        <v>3050.2381400825407</v>
      </c>
      <c r="K26" s="182">
        <f t="shared" si="8"/>
        <v>2998.0753143762172</v>
      </c>
      <c r="L26" s="182">
        <f t="shared" si="8"/>
        <v>2942.7477089304957</v>
      </c>
      <c r="M26" s="182">
        <f t="shared" si="8"/>
        <v>2884.137853592747</v>
      </c>
      <c r="N26" s="182">
        <f t="shared" si="8"/>
        <v>2822.1242677257314</v>
      </c>
      <c r="O26" s="182">
        <f t="shared" si="8"/>
        <v>2756.5813245847521</v>
      </c>
      <c r="P26" s="182">
        <f t="shared" si="8"/>
        <v>2687.3791110552847</v>
      </c>
      <c r="Q26" s="182">
        <f t="shared" si="8"/>
        <v>2614.3832825894297</v>
      </c>
      <c r="R26" s="182">
        <f t="shared" si="8"/>
        <v>2537.4549131738786</v>
      </c>
      <c r="S26" s="182">
        <f t="shared" si="8"/>
        <v>2456.4503401560723</v>
      </c>
      <c r="T26" s="182">
        <f t="shared" si="8"/>
        <v>2371.2210037491113</v>
      </c>
      <c r="U26" s="183">
        <f t="shared" si="8"/>
        <v>2281.6132810295567</v>
      </c>
    </row>
    <row r="27" spans="2:22" s="34" customFormat="1" ht="12" customHeight="1" x14ac:dyDescent="0.35">
      <c r="B27" s="323" t="s">
        <v>145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2:22" s="34" customFormat="1" ht="12" customHeight="1" x14ac:dyDescent="0.35">
      <c r="B28" s="35" t="s">
        <v>187</v>
      </c>
      <c r="C28" s="180">
        <v>0</v>
      </c>
      <c r="D28" s="180">
        <v>0</v>
      </c>
      <c r="E28" s="180">
        <v>0</v>
      </c>
      <c r="F28" s="410">
        <v>0</v>
      </c>
      <c r="G28" s="410">
        <f t="shared" ref="G28:U28" si="9">$J$4*((G109+G112)/2)</f>
        <v>1244.8333333333337</v>
      </c>
      <c r="H28" s="410">
        <f t="shared" si="9"/>
        <v>1093.9444444444448</v>
      </c>
      <c r="I28" s="410">
        <f t="shared" si="9"/>
        <v>943.05555555555566</v>
      </c>
      <c r="J28" s="410">
        <f t="shared" si="9"/>
        <v>792.16666666666686</v>
      </c>
      <c r="K28" s="410">
        <f t="shared" si="9"/>
        <v>641.27777777777771</v>
      </c>
      <c r="L28" s="410">
        <f t="shared" si="9"/>
        <v>490.3888888888888</v>
      </c>
      <c r="M28" s="410">
        <f t="shared" si="9"/>
        <v>339.49999999999983</v>
      </c>
      <c r="N28" s="410">
        <f t="shared" si="9"/>
        <v>188.61111111111094</v>
      </c>
      <c r="O28" s="410">
        <f t="shared" si="9"/>
        <v>56.583333333333094</v>
      </c>
      <c r="P28" s="410">
        <f t="shared" si="9"/>
        <v>-2.5465851649641993E-13</v>
      </c>
      <c r="Q28" s="410">
        <f t="shared" si="9"/>
        <v>-2.5465851649641993E-13</v>
      </c>
      <c r="R28" s="410">
        <f t="shared" si="9"/>
        <v>-2.5465851649641993E-13</v>
      </c>
      <c r="S28" s="410">
        <f t="shared" si="9"/>
        <v>-2.5465851649641993E-13</v>
      </c>
      <c r="T28" s="410">
        <f t="shared" si="9"/>
        <v>-2.5465851649641993E-13</v>
      </c>
      <c r="U28" s="441">
        <f t="shared" si="9"/>
        <v>-2.5465851649641993E-13</v>
      </c>
    </row>
    <row r="29" spans="2:22" s="34" customFormat="1" ht="12" customHeight="1" x14ac:dyDescent="0.35">
      <c r="B29" s="35" t="s">
        <v>188</v>
      </c>
      <c r="C29" s="180">
        <v>0</v>
      </c>
      <c r="D29" s="180">
        <v>0</v>
      </c>
      <c r="E29" s="180">
        <v>0</v>
      </c>
      <c r="F29" s="180">
        <v>0</v>
      </c>
      <c r="G29" s="187">
        <f>$J$4*G60</f>
        <v>130.20000000000002</v>
      </c>
      <c r="H29" s="187">
        <f t="shared" ref="H29:U29" si="10">$J$4*((G60+H60)/2)</f>
        <v>130.9</v>
      </c>
      <c r="I29" s="187">
        <f t="shared" si="10"/>
        <v>133</v>
      </c>
      <c r="J29" s="187">
        <f t="shared" si="10"/>
        <v>135.80000000000001</v>
      </c>
      <c r="K29" s="187">
        <f t="shared" si="10"/>
        <v>137.9</v>
      </c>
      <c r="L29" s="187">
        <f t="shared" si="10"/>
        <v>140</v>
      </c>
      <c r="M29" s="187">
        <f t="shared" si="10"/>
        <v>142.80000000000001</v>
      </c>
      <c r="N29" s="187">
        <f t="shared" si="10"/>
        <v>145.60000000000002</v>
      </c>
      <c r="O29" s="187">
        <f t="shared" si="10"/>
        <v>148.4</v>
      </c>
      <c r="P29" s="187">
        <f t="shared" si="10"/>
        <v>151.20000000000002</v>
      </c>
      <c r="Q29" s="187">
        <f t="shared" si="10"/>
        <v>154.00000000000003</v>
      </c>
      <c r="R29" s="187">
        <f t="shared" si="10"/>
        <v>156.80000000000001</v>
      </c>
      <c r="S29" s="187">
        <f t="shared" si="10"/>
        <v>160.30000000000001</v>
      </c>
      <c r="T29" s="187">
        <f t="shared" si="10"/>
        <v>163.80000000000001</v>
      </c>
      <c r="U29" s="340">
        <f t="shared" si="10"/>
        <v>166.60000000000002</v>
      </c>
    </row>
    <row r="30" spans="2:22" s="34" customFormat="1" ht="12" customHeight="1" x14ac:dyDescent="0.35">
      <c r="B30" s="35" t="s">
        <v>30</v>
      </c>
      <c r="C30" s="180">
        <v>0</v>
      </c>
      <c r="D30" s="180">
        <v>0</v>
      </c>
      <c r="E30" s="180">
        <v>0</v>
      </c>
      <c r="F30" s="180">
        <v>0</v>
      </c>
      <c r="G30" s="187">
        <v>680</v>
      </c>
      <c r="H30" s="187">
        <v>680</v>
      </c>
      <c r="I30" s="187">
        <v>680</v>
      </c>
      <c r="J30" s="187">
        <v>680</v>
      </c>
      <c r="K30" s="187">
        <v>680</v>
      </c>
      <c r="L30" s="187">
        <v>680</v>
      </c>
      <c r="M30" s="187">
        <v>680</v>
      </c>
      <c r="N30" s="187">
        <v>680</v>
      </c>
      <c r="O30" s="187">
        <v>680</v>
      </c>
      <c r="P30" s="187">
        <v>680</v>
      </c>
      <c r="Q30" s="187">
        <v>680</v>
      </c>
      <c r="R30" s="187">
        <v>680</v>
      </c>
      <c r="S30" s="187">
        <v>680</v>
      </c>
      <c r="T30" s="187">
        <v>680</v>
      </c>
      <c r="U30" s="340">
        <v>680</v>
      </c>
    </row>
    <row r="31" spans="2:22" s="34" customFormat="1" ht="12" hidden="1" customHeight="1" outlineLevel="1" x14ac:dyDescent="0.35">
      <c r="B31" s="52" t="s">
        <v>86</v>
      </c>
      <c r="C31" s="186">
        <f t="shared" ref="C31:U31" si="11">C26-C28-C29-C30</f>
        <v>0</v>
      </c>
      <c r="D31" s="186">
        <f t="shared" si="11"/>
        <v>0</v>
      </c>
      <c r="E31" s="186">
        <f t="shared" si="11"/>
        <v>0</v>
      </c>
      <c r="F31" s="186">
        <f t="shared" si="11"/>
        <v>0</v>
      </c>
      <c r="G31" s="186">
        <f t="shared" si="11"/>
        <v>1133.8218734315228</v>
      </c>
      <c r="H31" s="186">
        <f t="shared" si="11"/>
        <v>1240.6756185233571</v>
      </c>
      <c r="I31" s="186">
        <f t="shared" si="11"/>
        <v>1343.2942213012802</v>
      </c>
      <c r="J31" s="186">
        <f t="shared" si="11"/>
        <v>1442.2714734158735</v>
      </c>
      <c r="K31" s="186">
        <f t="shared" si="11"/>
        <v>1538.8975365984393</v>
      </c>
      <c r="L31" s="186">
        <f t="shared" si="11"/>
        <v>1632.358820041607</v>
      </c>
      <c r="M31" s="186">
        <f t="shared" si="11"/>
        <v>1721.8378535927468</v>
      </c>
      <c r="N31" s="186">
        <f t="shared" si="11"/>
        <v>1807.9131566146207</v>
      </c>
      <c r="O31" s="186">
        <f t="shared" si="11"/>
        <v>1871.597991251419</v>
      </c>
      <c r="P31" s="186">
        <f t="shared" si="11"/>
        <v>1856.1791110552854</v>
      </c>
      <c r="Q31" s="186">
        <f t="shared" si="11"/>
        <v>1780.3832825894301</v>
      </c>
      <c r="R31" s="186">
        <f t="shared" si="11"/>
        <v>1700.6549131738789</v>
      </c>
      <c r="S31" s="186">
        <f t="shared" si="11"/>
        <v>1616.1503401560726</v>
      </c>
      <c r="T31" s="186">
        <f t="shared" si="11"/>
        <v>1527.4210037491116</v>
      </c>
      <c r="U31" s="183">
        <f t="shared" si="11"/>
        <v>1435.0132810295572</v>
      </c>
    </row>
    <row r="32" spans="2:22" s="34" customFormat="1" ht="12" hidden="1" customHeight="1" outlineLevel="1" x14ac:dyDescent="0.35">
      <c r="B32" s="323" t="s">
        <v>32</v>
      </c>
      <c r="C32" s="46"/>
      <c r="D32" s="46"/>
      <c r="E32" s="46"/>
      <c r="F32" s="46"/>
      <c r="G32" s="4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</row>
    <row r="33" spans="2:21" s="34" customFormat="1" ht="12" hidden="1" customHeight="1" outlineLevel="1" x14ac:dyDescent="0.35">
      <c r="B33" s="35" t="s">
        <v>195</v>
      </c>
      <c r="C33" s="180">
        <v>0</v>
      </c>
      <c r="D33" s="180">
        <v>0</v>
      </c>
      <c r="E33" s="180">
        <v>0</v>
      </c>
      <c r="F33" s="187">
        <f>F127</f>
        <v>0</v>
      </c>
      <c r="G33" s="187">
        <f>G127</f>
        <v>179.1675753983088</v>
      </c>
      <c r="H33" s="187">
        <f t="shared" ref="H33:U33" si="12">H127</f>
        <v>197.36226059936763</v>
      </c>
      <c r="I33" s="187">
        <f t="shared" si="12"/>
        <v>210.7353911009688</v>
      </c>
      <c r="J33" s="187">
        <f t="shared" si="12"/>
        <v>233.90744179664324</v>
      </c>
      <c r="K33" s="187">
        <f t="shared" si="12"/>
        <v>247.43101944733942</v>
      </c>
      <c r="L33" s="187">
        <f t="shared" si="12"/>
        <v>260.89681324330746</v>
      </c>
      <c r="M33" s="187">
        <f t="shared" si="12"/>
        <v>274.31748189520187</v>
      </c>
      <c r="N33" s="187">
        <f t="shared" si="12"/>
        <v>287.73301951122181</v>
      </c>
      <c r="O33" s="187">
        <f t="shared" si="12"/>
        <v>298.15918793098001</v>
      </c>
      <c r="P33" s="187">
        <f t="shared" si="12"/>
        <v>301.75573679174653</v>
      </c>
      <c r="Q33" s="187">
        <f t="shared" si="12"/>
        <v>286.46024235708956</v>
      </c>
      <c r="R33" s="187">
        <f t="shared" si="12"/>
        <v>276.35995350348594</v>
      </c>
      <c r="S33" s="187">
        <f t="shared" si="12"/>
        <v>256.36740870360762</v>
      </c>
      <c r="T33" s="187">
        <f t="shared" si="12"/>
        <v>246.22780450751085</v>
      </c>
      <c r="U33" s="51">
        <f t="shared" si="12"/>
        <v>226.24763492958019</v>
      </c>
    </row>
    <row r="34" spans="2:21" s="34" customFormat="1" ht="12" hidden="1" customHeight="1" outlineLevel="1" x14ac:dyDescent="0.35">
      <c r="B34" s="35" t="s">
        <v>196</v>
      </c>
      <c r="C34" s="180">
        <v>0</v>
      </c>
      <c r="D34" s="180">
        <v>0</v>
      </c>
      <c r="E34" s="180">
        <v>0</v>
      </c>
      <c r="F34" s="180">
        <v>0</v>
      </c>
      <c r="G34" s="187">
        <v>0</v>
      </c>
      <c r="H34" s="187">
        <v>0</v>
      </c>
      <c r="I34" s="187">
        <v>0</v>
      </c>
      <c r="J34" s="187">
        <v>0</v>
      </c>
      <c r="K34" s="187">
        <v>0</v>
      </c>
      <c r="L34" s="187">
        <v>0</v>
      </c>
      <c r="M34" s="187">
        <v>0</v>
      </c>
      <c r="N34" s="187">
        <v>-10</v>
      </c>
      <c r="O34" s="187">
        <v>-40</v>
      </c>
      <c r="P34" s="187">
        <v>-70</v>
      </c>
      <c r="Q34" s="187">
        <v>-90</v>
      </c>
      <c r="R34" s="187">
        <v>-110</v>
      </c>
      <c r="S34" s="187">
        <v>-130</v>
      </c>
      <c r="T34" s="187">
        <v>-140</v>
      </c>
      <c r="U34" s="188">
        <v>-150</v>
      </c>
    </row>
    <row r="35" spans="2:21" s="34" customFormat="1" ht="12" customHeight="1" collapsed="1" x14ac:dyDescent="0.35">
      <c r="B35" s="86" t="s">
        <v>87</v>
      </c>
      <c r="C35" s="186">
        <f t="shared" ref="C35:U35" si="13">C31-C33-C34</f>
        <v>0</v>
      </c>
      <c r="D35" s="186">
        <f t="shared" si="13"/>
        <v>0</v>
      </c>
      <c r="E35" s="186">
        <f t="shared" si="13"/>
        <v>0</v>
      </c>
      <c r="F35" s="186">
        <f t="shared" si="13"/>
        <v>0</v>
      </c>
      <c r="G35" s="186">
        <f t="shared" si="13"/>
        <v>954.65429803321399</v>
      </c>
      <c r="H35" s="182">
        <f t="shared" si="13"/>
        <v>1043.3133579239895</v>
      </c>
      <c r="I35" s="182">
        <f t="shared" si="13"/>
        <v>1132.5588302003114</v>
      </c>
      <c r="J35" s="182">
        <f t="shared" si="13"/>
        <v>1208.3640316192302</v>
      </c>
      <c r="K35" s="182">
        <f t="shared" si="13"/>
        <v>1291.4665171510999</v>
      </c>
      <c r="L35" s="182">
        <f t="shared" si="13"/>
        <v>1371.4620067982996</v>
      </c>
      <c r="M35" s="182">
        <f t="shared" si="13"/>
        <v>1447.520371697545</v>
      </c>
      <c r="N35" s="182">
        <f t="shared" si="13"/>
        <v>1530.1801371033989</v>
      </c>
      <c r="O35" s="182">
        <f t="shared" si="13"/>
        <v>1613.4388033204391</v>
      </c>
      <c r="P35" s="182">
        <f t="shared" si="13"/>
        <v>1624.4233742635388</v>
      </c>
      <c r="Q35" s="182">
        <f t="shared" si="13"/>
        <v>1583.9230402323406</v>
      </c>
      <c r="R35" s="182">
        <f t="shared" si="13"/>
        <v>1534.2949596703929</v>
      </c>
      <c r="S35" s="182">
        <f t="shared" si="13"/>
        <v>1489.7829314524649</v>
      </c>
      <c r="T35" s="182">
        <f t="shared" si="13"/>
        <v>1421.1931992416007</v>
      </c>
      <c r="U35" s="183">
        <f t="shared" si="13"/>
        <v>1358.7656460999769</v>
      </c>
    </row>
    <row r="36" spans="2:21" s="34" customFormat="1" ht="3.65" customHeight="1" x14ac:dyDescent="0.35">
      <c r="B36" s="86"/>
      <c r="C36" s="186"/>
      <c r="D36" s="186"/>
      <c r="E36" s="186"/>
      <c r="F36" s="186"/>
      <c r="G36" s="186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3"/>
    </row>
    <row r="37" spans="2:21" s="34" customFormat="1" ht="12" customHeight="1" x14ac:dyDescent="0.35">
      <c r="B37" s="86" t="s">
        <v>88</v>
      </c>
      <c r="C37" s="189">
        <f t="shared" ref="C37:U37" si="14">C35+C30+C34</f>
        <v>0</v>
      </c>
      <c r="D37" s="189">
        <f t="shared" si="14"/>
        <v>0</v>
      </c>
      <c r="E37" s="189">
        <f t="shared" si="14"/>
        <v>0</v>
      </c>
      <c r="F37" s="189">
        <f t="shared" si="14"/>
        <v>0</v>
      </c>
      <c r="G37" s="189">
        <f t="shared" si="14"/>
        <v>1634.654298033214</v>
      </c>
      <c r="H37" s="190">
        <f t="shared" si="14"/>
        <v>1723.3133579239895</v>
      </c>
      <c r="I37" s="190">
        <f t="shared" si="14"/>
        <v>1812.5588302003114</v>
      </c>
      <c r="J37" s="190">
        <f t="shared" si="14"/>
        <v>1888.3640316192302</v>
      </c>
      <c r="K37" s="190">
        <f t="shared" si="14"/>
        <v>1971.4665171510999</v>
      </c>
      <c r="L37" s="190">
        <f t="shared" si="14"/>
        <v>2051.4620067982996</v>
      </c>
      <c r="M37" s="190">
        <f t="shared" si="14"/>
        <v>2127.5203716975448</v>
      </c>
      <c r="N37" s="190">
        <f t="shared" si="14"/>
        <v>2200.1801371033989</v>
      </c>
      <c r="O37" s="190">
        <f t="shared" si="14"/>
        <v>2253.4388033204391</v>
      </c>
      <c r="P37" s="190">
        <f t="shared" si="14"/>
        <v>2234.4233742635388</v>
      </c>
      <c r="Q37" s="190">
        <f t="shared" si="14"/>
        <v>2173.9230402323406</v>
      </c>
      <c r="R37" s="190">
        <f t="shared" si="14"/>
        <v>2104.2949596703929</v>
      </c>
      <c r="S37" s="190">
        <f t="shared" si="14"/>
        <v>2039.7829314524652</v>
      </c>
      <c r="T37" s="190">
        <f t="shared" si="14"/>
        <v>1961.1931992416007</v>
      </c>
      <c r="U37" s="191">
        <f t="shared" si="14"/>
        <v>1888.7656460999769</v>
      </c>
    </row>
    <row r="38" spans="2:21" s="34" customFormat="1" ht="12" customHeight="1" x14ac:dyDescent="0.35">
      <c r="B38" s="86" t="s">
        <v>266</v>
      </c>
      <c r="C38" s="398">
        <v>0</v>
      </c>
      <c r="D38" s="398">
        <v>0</v>
      </c>
      <c r="E38" s="398">
        <v>0</v>
      </c>
      <c r="F38" s="398">
        <v>0</v>
      </c>
      <c r="G38" s="398">
        <f>+G31+G30+G29+G28</f>
        <v>3188.8552067648566</v>
      </c>
      <c r="H38" s="398">
        <f t="shared" ref="H38:U38" si="15">+H31+H30+H29+H28</f>
        <v>3145.520062967802</v>
      </c>
      <c r="I38" s="398">
        <f t="shared" si="15"/>
        <v>3099.3497768568359</v>
      </c>
      <c r="J38" s="398">
        <f t="shared" si="15"/>
        <v>3050.2381400825407</v>
      </c>
      <c r="K38" s="398">
        <f t="shared" si="15"/>
        <v>2998.0753143762172</v>
      </c>
      <c r="L38" s="398">
        <f t="shared" si="15"/>
        <v>2942.7477089304957</v>
      </c>
      <c r="M38" s="398">
        <f t="shared" si="15"/>
        <v>2884.137853592747</v>
      </c>
      <c r="N38" s="398">
        <f t="shared" si="15"/>
        <v>2822.1242677257314</v>
      </c>
      <c r="O38" s="398">
        <f t="shared" si="15"/>
        <v>2756.5813245847521</v>
      </c>
      <c r="P38" s="398">
        <f t="shared" si="15"/>
        <v>2687.3791110552847</v>
      </c>
      <c r="Q38" s="398">
        <f t="shared" si="15"/>
        <v>2614.3832825894297</v>
      </c>
      <c r="R38" s="398">
        <f t="shared" si="15"/>
        <v>2537.4549131738786</v>
      </c>
      <c r="S38" s="398">
        <f t="shared" si="15"/>
        <v>2456.4503401560723</v>
      </c>
      <c r="T38" s="398">
        <f t="shared" si="15"/>
        <v>2371.2210037491113</v>
      </c>
      <c r="U38" s="191">
        <f t="shared" si="15"/>
        <v>2281.6132810295567</v>
      </c>
    </row>
    <row r="39" spans="2:21" s="34" customFormat="1" ht="5.75" customHeight="1" x14ac:dyDescent="0.35">
      <c r="B39" s="86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51"/>
    </row>
    <row r="40" spans="2:21" s="34" customFormat="1" ht="12" customHeight="1" x14ac:dyDescent="0.35">
      <c r="B40" s="399" t="s">
        <v>264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397"/>
    </row>
    <row r="41" spans="2:21" s="34" customFormat="1" ht="12" customHeight="1" x14ac:dyDescent="0.35">
      <c r="B41" s="461" t="s">
        <v>265</v>
      </c>
      <c r="C41" s="462"/>
      <c r="D41" s="463">
        <f>D61/D62</f>
        <v>0.69942196531791923</v>
      </c>
      <c r="E41" s="463">
        <f>E61/E62</f>
        <v>0.70044543429844108</v>
      </c>
      <c r="F41" s="463">
        <f>F61/F62</f>
        <v>0.69390508114295069</v>
      </c>
      <c r="G41" s="463">
        <f>G61/G62</f>
        <v>0.64861277814565332</v>
      </c>
      <c r="H41" s="463">
        <f t="shared" ref="H41:U41" si="16">H61/H62</f>
        <v>0.57841605727921175</v>
      </c>
      <c r="I41" s="463">
        <f t="shared" si="16"/>
        <v>0.50442404680724551</v>
      </c>
      <c r="J41" s="463">
        <f t="shared" si="16"/>
        <v>0.42797327167121474</v>
      </c>
      <c r="K41" s="463">
        <f t="shared" si="16"/>
        <v>0.34986550882579887</v>
      </c>
      <c r="L41" s="463">
        <f t="shared" si="16"/>
        <v>0.27221550113667758</v>
      </c>
      <c r="M41" s="463">
        <f t="shared" si="16"/>
        <v>0.19581979777588215</v>
      </c>
      <c r="N41" s="463">
        <f t="shared" si="16"/>
        <v>0.1217608117851357</v>
      </c>
      <c r="O41" s="463">
        <f t="shared" si="16"/>
        <v>6.6941378018792741E-2</v>
      </c>
      <c r="P41" s="463">
        <f t="shared" si="16"/>
        <v>6.2134103912753876E-2</v>
      </c>
      <c r="Q41" s="463">
        <f t="shared" si="16"/>
        <v>5.8281728156802687E-2</v>
      </c>
      <c r="R41" s="463">
        <f t="shared" si="16"/>
        <v>5.5101028294355744E-2</v>
      </c>
      <c r="S41" s="463">
        <f t="shared" si="16"/>
        <v>5.2919927285711842E-2</v>
      </c>
      <c r="T41" s="463">
        <f t="shared" si="16"/>
        <v>5.0727259466014106E-2</v>
      </c>
      <c r="U41" s="464">
        <f t="shared" si="16"/>
        <v>4.8893690781630757E-2</v>
      </c>
    </row>
    <row r="42" spans="2:21" s="34" customFormat="1" ht="12" customHeight="1" x14ac:dyDescent="0.35">
      <c r="B42" s="336" t="s">
        <v>267</v>
      </c>
      <c r="C42" s="90"/>
      <c r="D42" s="398">
        <v>0</v>
      </c>
      <c r="E42" s="398">
        <v>0</v>
      </c>
      <c r="F42" s="398">
        <v>0</v>
      </c>
      <c r="G42" s="176">
        <f>G61/G38</f>
        <v>2.9110063567907503</v>
      </c>
      <c r="H42" s="176">
        <f t="shared" ref="H42:U42" si="17">H61/H38</f>
        <v>2.6116508035396655</v>
      </c>
      <c r="I42" s="176">
        <f t="shared" si="17"/>
        <v>2.3092657291106473</v>
      </c>
      <c r="J42" s="176">
        <f t="shared" si="17"/>
        <v>1.9996617196188462</v>
      </c>
      <c r="K42" s="176">
        <f t="shared" si="17"/>
        <v>1.6782989548458225</v>
      </c>
      <c r="L42" s="176">
        <f t="shared" si="17"/>
        <v>1.3504008097021498</v>
      </c>
      <c r="M42" s="176">
        <f t="shared" si="17"/>
        <v>1.0110858978112067</v>
      </c>
      <c r="N42" s="176">
        <f t="shared" si="17"/>
        <v>0.65848742189900411</v>
      </c>
      <c r="O42" s="176">
        <f t="shared" si="17"/>
        <v>0.38816195642665524</v>
      </c>
      <c r="P42" s="176">
        <f t="shared" si="17"/>
        <v>0.4055996400046345</v>
      </c>
      <c r="Q42" s="176">
        <f t="shared" si="17"/>
        <v>0.42457431830752562</v>
      </c>
      <c r="R42" s="176">
        <f t="shared" si="17"/>
        <v>0.44532810972652154</v>
      </c>
      <c r="S42" s="176">
        <f t="shared" si="17"/>
        <v>0.47222611466523551</v>
      </c>
      <c r="T42" s="176">
        <f t="shared" si="17"/>
        <v>0.49763391861590006</v>
      </c>
      <c r="U42" s="402">
        <f t="shared" si="17"/>
        <v>0.5259436425871914</v>
      </c>
    </row>
    <row r="43" spans="2:21" s="34" customFormat="1" ht="12" customHeight="1" x14ac:dyDescent="0.35">
      <c r="B43" s="461" t="s">
        <v>270</v>
      </c>
      <c r="C43" s="465"/>
      <c r="D43" s="466">
        <v>0</v>
      </c>
      <c r="E43" s="466">
        <v>0</v>
      </c>
      <c r="F43" s="466">
        <v>0</v>
      </c>
      <c r="G43" s="467">
        <f t="shared" ref="G43:U43" si="18">(G35+G28+G29+G30)/(G28+G29-G87)</f>
        <v>1.2270360394784632</v>
      </c>
      <c r="H43" s="467">
        <f t="shared" si="18"/>
        <v>1.2803480197125934</v>
      </c>
      <c r="I43" s="467">
        <f t="shared" si="18"/>
        <v>1.3411503764246071</v>
      </c>
      <c r="J43" s="467">
        <f t="shared" si="18"/>
        <v>1.4041323689499088</v>
      </c>
      <c r="K43" s="467">
        <f t="shared" si="18"/>
        <v>1.4812655514019299</v>
      </c>
      <c r="L43" s="468">
        <f t="shared" si="18"/>
        <v>1.5700171113399479</v>
      </c>
      <c r="M43" s="468">
        <f t="shared" si="18"/>
        <v>1.6728783711124018</v>
      </c>
      <c r="N43" s="468">
        <f t="shared" si="18"/>
        <v>1.8019909846576212</v>
      </c>
      <c r="O43" s="468">
        <f t="shared" si="18"/>
        <v>2.4655887136174335</v>
      </c>
      <c r="P43" s="468">
        <f t="shared" si="18"/>
        <v>16.240895332430835</v>
      </c>
      <c r="Q43" s="468">
        <f t="shared" si="18"/>
        <v>15.700798962547687</v>
      </c>
      <c r="R43" s="468">
        <f t="shared" si="18"/>
        <v>15.121779079530588</v>
      </c>
      <c r="S43" s="468">
        <f t="shared" si="18"/>
        <v>14.535763764519452</v>
      </c>
      <c r="T43" s="468">
        <f t="shared" si="18"/>
        <v>13.8277973091673</v>
      </c>
      <c r="U43" s="469">
        <f t="shared" si="18"/>
        <v>13.23748887214874</v>
      </c>
    </row>
    <row r="44" spans="2:21" s="34" customFormat="1" ht="12" customHeight="1" x14ac:dyDescent="0.35">
      <c r="B44" s="336" t="s">
        <v>271</v>
      </c>
      <c r="C44" s="173"/>
      <c r="D44" s="398">
        <v>0</v>
      </c>
      <c r="E44" s="398">
        <v>0</v>
      </c>
      <c r="F44" s="398">
        <v>0</v>
      </c>
      <c r="G44" s="176">
        <f t="shared" ref="G44:U44" si="19">G83/(G28+G29-G87)</f>
        <v>0.72149364594360776</v>
      </c>
      <c r="H44" s="176">
        <f t="shared" si="19"/>
        <v>1.2760051449224989</v>
      </c>
      <c r="I44" s="176">
        <f t="shared" si="19"/>
        <v>1.327221722087379</v>
      </c>
      <c r="J44" s="176">
        <f t="shared" si="19"/>
        <v>1.394161008911796</v>
      </c>
      <c r="K44" s="176">
        <f t="shared" si="19"/>
        <v>1.4704952343955995</v>
      </c>
      <c r="L44" s="176">
        <f t="shared" si="19"/>
        <v>1.5524544222971146</v>
      </c>
      <c r="M44" s="176">
        <f t="shared" si="19"/>
        <v>1.6600584974593786</v>
      </c>
      <c r="N44" s="176">
        <f t="shared" si="19"/>
        <v>1.7736621498383356</v>
      </c>
      <c r="O44" s="176">
        <f t="shared" si="19"/>
        <v>2.3965086300634275</v>
      </c>
      <c r="P44" s="176">
        <f t="shared" si="19"/>
        <v>15.64565723719274</v>
      </c>
      <c r="Q44" s="176">
        <f t="shared" si="19"/>
        <v>14.921578183326906</v>
      </c>
      <c r="R44" s="176">
        <f t="shared" si="19"/>
        <v>14.228921936673444</v>
      </c>
      <c r="S44" s="176">
        <f t="shared" si="19"/>
        <v>13.537635255473912</v>
      </c>
      <c r="T44" s="176">
        <f t="shared" si="19"/>
        <v>12.789946271316261</v>
      </c>
      <c r="U44" s="402">
        <f t="shared" si="19"/>
        <v>12.157056699279588</v>
      </c>
    </row>
    <row r="45" spans="2:21" s="34" customFormat="1" ht="12" customHeight="1" x14ac:dyDescent="0.35">
      <c r="B45" s="461" t="s">
        <v>326</v>
      </c>
      <c r="C45" s="465"/>
      <c r="D45" s="466">
        <v>0</v>
      </c>
      <c r="E45" s="466">
        <v>0</v>
      </c>
      <c r="F45" s="466">
        <v>0</v>
      </c>
      <c r="G45" s="468">
        <f t="shared" ref="G45:U45" si="20">G26/(G28+G29)</f>
        <v>2.3191112022240836</v>
      </c>
      <c r="H45" s="468">
        <f t="shared" si="20"/>
        <v>2.5680975876038867</v>
      </c>
      <c r="I45" s="468">
        <f t="shared" si="20"/>
        <v>2.8802878818433086</v>
      </c>
      <c r="J45" s="468">
        <f t="shared" si="20"/>
        <v>3.2870126154846151</v>
      </c>
      <c r="K45" s="468">
        <f t="shared" si="20"/>
        <v>3.8477423251555711</v>
      </c>
      <c r="L45" s="468">
        <f t="shared" si="20"/>
        <v>4.6681465374767717</v>
      </c>
      <c r="M45" s="468">
        <f t="shared" si="20"/>
        <v>5.9799665220666558</v>
      </c>
      <c r="N45" s="468">
        <f t="shared" si="20"/>
        <v>8.4441365768581367</v>
      </c>
      <c r="O45" s="468">
        <f t="shared" si="20"/>
        <v>13.447831488339322</v>
      </c>
      <c r="P45" s="468">
        <f t="shared" si="20"/>
        <v>17.773671369413286</v>
      </c>
      <c r="Q45" s="468">
        <f t="shared" si="20"/>
        <v>16.97651482200931</v>
      </c>
      <c r="R45" s="468">
        <f t="shared" si="20"/>
        <v>16.1827481707518</v>
      </c>
      <c r="S45" s="468">
        <f t="shared" si="20"/>
        <v>15.324081972277455</v>
      </c>
      <c r="T45" s="468">
        <f t="shared" si="20"/>
        <v>14.476318704207051</v>
      </c>
      <c r="U45" s="469">
        <f t="shared" si="20"/>
        <v>13.695157749277071</v>
      </c>
    </row>
    <row r="46" spans="2:21" s="34" customFormat="1" ht="12" customHeight="1" thickBot="1" x14ac:dyDescent="0.4">
      <c r="B46" s="54" t="s">
        <v>269</v>
      </c>
      <c r="C46" s="175"/>
      <c r="D46" s="175">
        <v>0</v>
      </c>
      <c r="E46" s="175">
        <v>0</v>
      </c>
      <c r="F46" s="175">
        <v>0</v>
      </c>
      <c r="G46" s="177">
        <f t="shared" ref="G46:U46" si="21">G83/(G28+G29)</f>
        <v>1.2870143497368891</v>
      </c>
      <c r="H46" s="177">
        <f t="shared" si="21"/>
        <v>2.3988007748209204</v>
      </c>
      <c r="I46" s="177">
        <f t="shared" si="21"/>
        <v>2.656567656750767</v>
      </c>
      <c r="J46" s="177">
        <f t="shared" si="21"/>
        <v>3.0133956301798519</v>
      </c>
      <c r="K46" s="177">
        <f t="shared" si="21"/>
        <v>3.5045202427573083</v>
      </c>
      <c r="L46" s="177">
        <f t="shared" si="21"/>
        <v>4.2066904135339209</v>
      </c>
      <c r="M46" s="177">
        <f t="shared" si="21"/>
        <v>5.3697291554997832</v>
      </c>
      <c r="N46" s="177">
        <f t="shared" si="21"/>
        <v>7.4934410166330645</v>
      </c>
      <c r="O46" s="177">
        <f t="shared" si="21"/>
        <v>11.846924806831979</v>
      </c>
      <c r="P46" s="177">
        <f t="shared" si="21"/>
        <v>15.64565723719274</v>
      </c>
      <c r="Q46" s="177">
        <f t="shared" si="21"/>
        <v>14.921578183326906</v>
      </c>
      <c r="R46" s="177">
        <f t="shared" si="21"/>
        <v>14.228921936673444</v>
      </c>
      <c r="S46" s="177">
        <f t="shared" si="21"/>
        <v>13.537635255473912</v>
      </c>
      <c r="T46" s="177">
        <f t="shared" si="21"/>
        <v>12.789946271316261</v>
      </c>
      <c r="U46" s="403">
        <f t="shared" si="21"/>
        <v>12.157056699279588</v>
      </c>
    </row>
    <row r="47" spans="2:21" s="34" customFormat="1" x14ac:dyDescent="0.35">
      <c r="B47" s="34" t="s">
        <v>325</v>
      </c>
      <c r="D47" s="309"/>
      <c r="G47" s="489">
        <f>G67/G61</f>
        <v>1.3864384463462802</v>
      </c>
      <c r="H47" s="489">
        <f t="shared" ref="H47:R47" si="22">H67/H61</f>
        <v>1.4838709677419355</v>
      </c>
      <c r="I47" s="489">
        <f t="shared" si="22"/>
        <v>1.6081657998913295</v>
      </c>
      <c r="J47" s="489">
        <f t="shared" si="22"/>
        <v>1.7755715456781127</v>
      </c>
      <c r="K47" s="489">
        <f t="shared" si="22"/>
        <v>2.0172242464392185</v>
      </c>
      <c r="L47" s="489">
        <f t="shared" si="22"/>
        <v>2.383056060394241</v>
      </c>
      <c r="M47" s="489">
        <f t="shared" si="22"/>
        <v>3.0142884358925528</v>
      </c>
      <c r="N47" s="489">
        <f t="shared" si="22"/>
        <v>4.3641255605381204</v>
      </c>
      <c r="O47" s="489">
        <f t="shared" si="22"/>
        <v>6.9439252336448716</v>
      </c>
      <c r="P47" s="489">
        <f t="shared" si="22"/>
        <v>6.1926605504587258</v>
      </c>
      <c r="Q47" s="489">
        <f t="shared" si="22"/>
        <v>5.468468468468477</v>
      </c>
      <c r="R47" s="489">
        <f t="shared" si="22"/>
        <v>4.7699115044247868</v>
      </c>
      <c r="S47" s="277"/>
      <c r="T47" s="277"/>
      <c r="U47" s="277"/>
    </row>
    <row r="48" spans="2:21" ht="15" thickBot="1" x14ac:dyDescent="0.4">
      <c r="G48" s="408"/>
      <c r="H48" s="408"/>
    </row>
    <row r="49" spans="2:21" ht="16" thickBot="1" x14ac:dyDescent="0.4">
      <c r="B49" s="299" t="s">
        <v>106</v>
      </c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1"/>
    </row>
    <row r="50" spans="2:21" ht="16" thickBot="1" x14ac:dyDescent="0.4">
      <c r="B50" s="306" t="s">
        <v>110</v>
      </c>
      <c r="C50" s="2">
        <v>2009</v>
      </c>
      <c r="D50" s="2">
        <v>2010</v>
      </c>
      <c r="E50" s="2">
        <v>2011</v>
      </c>
      <c r="F50" s="2">
        <v>2012</v>
      </c>
      <c r="G50" s="2">
        <v>2013</v>
      </c>
      <c r="H50" s="2">
        <v>2014</v>
      </c>
      <c r="I50" s="2">
        <v>2015</v>
      </c>
      <c r="J50" s="2">
        <v>2016</v>
      </c>
      <c r="K50" s="2">
        <v>2017</v>
      </c>
      <c r="L50" s="2">
        <v>2018</v>
      </c>
      <c r="M50" s="2">
        <v>2019</v>
      </c>
      <c r="N50" s="2">
        <v>2020</v>
      </c>
      <c r="O50" s="2">
        <v>2021</v>
      </c>
      <c r="P50" s="2">
        <v>2022</v>
      </c>
      <c r="Q50" s="2">
        <v>2023</v>
      </c>
      <c r="R50" s="2">
        <v>2024</v>
      </c>
      <c r="S50" s="2">
        <v>2025</v>
      </c>
      <c r="T50" s="2">
        <v>2026</v>
      </c>
      <c r="U50" s="3">
        <v>2027</v>
      </c>
    </row>
    <row r="51" spans="2:21" ht="15.5" x14ac:dyDescent="0.35">
      <c r="B51" s="305" t="s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2:21" ht="15.5" x14ac:dyDescent="0.35">
      <c r="B52" s="304" t="s">
        <v>107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 ht="15.5" x14ac:dyDescent="0.35">
      <c r="B53" s="313" t="s">
        <v>2</v>
      </c>
      <c r="C53" s="202">
        <v>0</v>
      </c>
      <c r="D53" s="407">
        <f>C53+D92+D91</f>
        <v>1082.4499999999998</v>
      </c>
      <c r="E53" s="407">
        <f>D53+E92+E91</f>
        <v>2740.9749999999995</v>
      </c>
      <c r="F53" s="202">
        <f t="shared" ref="F53:U53" si="23">E53+F92</f>
        <v>4210.9749999999995</v>
      </c>
      <c r="G53" s="202">
        <f t="shared" si="23"/>
        <v>4210.9749999999995</v>
      </c>
      <c r="H53" s="202">
        <f t="shared" si="23"/>
        <v>4210.9749999999995</v>
      </c>
      <c r="I53" s="202">
        <f t="shared" si="23"/>
        <v>4210.9749999999995</v>
      </c>
      <c r="J53" s="202">
        <f t="shared" si="23"/>
        <v>4210.9749999999995</v>
      </c>
      <c r="K53" s="202">
        <f t="shared" si="23"/>
        <v>4210.9749999999995</v>
      </c>
      <c r="L53" s="202">
        <f t="shared" si="23"/>
        <v>4210.9749999999995</v>
      </c>
      <c r="M53" s="202">
        <f t="shared" si="23"/>
        <v>4210.9749999999995</v>
      </c>
      <c r="N53" s="202">
        <f t="shared" si="23"/>
        <v>4210.9749999999995</v>
      </c>
      <c r="O53" s="202">
        <f t="shared" si="23"/>
        <v>4210.9749999999995</v>
      </c>
      <c r="P53" s="202">
        <f t="shared" si="23"/>
        <v>4210.9749999999995</v>
      </c>
      <c r="Q53" s="202">
        <f t="shared" si="23"/>
        <v>4210.9749999999995</v>
      </c>
      <c r="R53" s="202">
        <f t="shared" si="23"/>
        <v>4210.9749999999995</v>
      </c>
      <c r="S53" s="202">
        <f t="shared" si="23"/>
        <v>4210.9749999999995</v>
      </c>
      <c r="T53" s="202">
        <f t="shared" si="23"/>
        <v>4210.9749999999995</v>
      </c>
      <c r="U53" s="203">
        <f t="shared" si="23"/>
        <v>4210.9749999999995</v>
      </c>
    </row>
    <row r="54" spans="2:21" ht="15.5" x14ac:dyDescent="0.35">
      <c r="B54" s="313" t="s">
        <v>76</v>
      </c>
      <c r="C54" s="202">
        <v>0</v>
      </c>
      <c r="D54" s="202">
        <f t="shared" ref="D54:U54" si="24">D136</f>
        <v>-42.45000000000001</v>
      </c>
      <c r="E54" s="202">
        <f t="shared" si="24"/>
        <v>-50.975000000000009</v>
      </c>
      <c r="F54" s="202">
        <f t="shared" si="24"/>
        <v>-50.975000000000009</v>
      </c>
      <c r="G54" s="202">
        <f t="shared" si="24"/>
        <v>817.9877406817975</v>
      </c>
      <c r="H54" s="202">
        <f t="shared" si="24"/>
        <v>1776.6044350215832</v>
      </c>
      <c r="I54" s="202">
        <f t="shared" si="24"/>
        <v>2820.7025091127466</v>
      </c>
      <c r="J54" s="202">
        <f t="shared" si="24"/>
        <v>3941.5090010549952</v>
      </c>
      <c r="K54" s="202">
        <f t="shared" si="24"/>
        <v>5139.0751351801182</v>
      </c>
      <c r="L54" s="202">
        <f t="shared" si="24"/>
        <v>6413.4557229455049</v>
      </c>
      <c r="M54" s="202">
        <f t="shared" si="24"/>
        <v>7764.7233189477956</v>
      </c>
      <c r="N54" s="202">
        <f t="shared" si="24"/>
        <v>9192.8544765913066</v>
      </c>
      <c r="O54" s="202">
        <f t="shared" si="24"/>
        <v>10703.159651360369</v>
      </c>
      <c r="P54" s="202">
        <f t="shared" si="24"/>
        <v>12241.725889845147</v>
      </c>
      <c r="Q54" s="202">
        <f t="shared" si="24"/>
        <v>13724.445153184637</v>
      </c>
      <c r="R54" s="202">
        <f t="shared" si="24"/>
        <v>15166.80924611995</v>
      </c>
      <c r="S54" s="202">
        <f t="shared" si="24"/>
        <v>16548.934181606026</v>
      </c>
      <c r="T54" s="202">
        <f t="shared" si="24"/>
        <v>17870.679826643383</v>
      </c>
      <c r="U54" s="203">
        <f t="shared" si="24"/>
        <v>19132.068914591029</v>
      </c>
    </row>
    <row r="55" spans="2:21" ht="15.5" x14ac:dyDescent="0.35">
      <c r="B55" s="7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3"/>
    </row>
    <row r="56" spans="2:21" ht="15.5" x14ac:dyDescent="0.35">
      <c r="B56" s="7" t="s">
        <v>108</v>
      </c>
      <c r="C56" s="307">
        <v>0</v>
      </c>
      <c r="D56" s="307">
        <f t="shared" ref="D56:U56" si="25">D53+D54</f>
        <v>1039.9999999999998</v>
      </c>
      <c r="E56" s="307">
        <f t="shared" si="25"/>
        <v>2689.9999999999995</v>
      </c>
      <c r="F56" s="307">
        <f t="shared" si="25"/>
        <v>4159.9999999999991</v>
      </c>
      <c r="G56" s="307">
        <f t="shared" si="25"/>
        <v>5028.9627406817972</v>
      </c>
      <c r="H56" s="307">
        <f t="shared" si="25"/>
        <v>5987.5794350215829</v>
      </c>
      <c r="I56" s="307">
        <f t="shared" si="25"/>
        <v>7031.6775091127456</v>
      </c>
      <c r="J56" s="307">
        <f t="shared" si="25"/>
        <v>8152.4840010549942</v>
      </c>
      <c r="K56" s="307">
        <f t="shared" si="25"/>
        <v>9350.0501351801176</v>
      </c>
      <c r="L56" s="307">
        <f t="shared" si="25"/>
        <v>10624.430722945504</v>
      </c>
      <c r="M56" s="307">
        <f t="shared" si="25"/>
        <v>11975.698318947794</v>
      </c>
      <c r="N56" s="307">
        <f t="shared" si="25"/>
        <v>13403.829476591305</v>
      </c>
      <c r="O56" s="307">
        <f t="shared" si="25"/>
        <v>14914.134651360368</v>
      </c>
      <c r="P56" s="307">
        <f t="shared" si="25"/>
        <v>16452.700889845146</v>
      </c>
      <c r="Q56" s="307">
        <f t="shared" si="25"/>
        <v>17935.420153184637</v>
      </c>
      <c r="R56" s="307">
        <f t="shared" si="25"/>
        <v>19377.784246119951</v>
      </c>
      <c r="S56" s="307">
        <f t="shared" si="25"/>
        <v>20759.909181606025</v>
      </c>
      <c r="T56" s="307">
        <f t="shared" si="25"/>
        <v>22081.654826643382</v>
      </c>
      <c r="U56" s="308">
        <f t="shared" si="25"/>
        <v>23343.043914591028</v>
      </c>
    </row>
    <row r="57" spans="2:21" ht="15.5" x14ac:dyDescent="0.35">
      <c r="B57" s="7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3"/>
    </row>
    <row r="58" spans="2:21" ht="15.5" x14ac:dyDescent="0.35">
      <c r="B58" s="304" t="s">
        <v>3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3"/>
    </row>
    <row r="59" spans="2:21" ht="15.5" x14ac:dyDescent="0.35">
      <c r="B59" s="7" t="s">
        <v>77</v>
      </c>
      <c r="C59" s="202">
        <v>0</v>
      </c>
      <c r="D59" s="202">
        <f t="shared" ref="D59:U59" si="26">C59+D86+D87</f>
        <v>2420.0000000000005</v>
      </c>
      <c r="E59" s="202">
        <f t="shared" si="26"/>
        <v>6290.0000000000018</v>
      </c>
      <c r="F59" s="202">
        <f t="shared" si="26"/>
        <v>9430.5555555555566</v>
      </c>
      <c r="G59" s="202">
        <f t="shared" si="26"/>
        <v>8352.7777777777792</v>
      </c>
      <c r="H59" s="202">
        <f t="shared" si="26"/>
        <v>7275.0000000000009</v>
      </c>
      <c r="I59" s="202">
        <f t="shared" si="26"/>
        <v>6197.2222222222226</v>
      </c>
      <c r="J59" s="202">
        <f t="shared" si="26"/>
        <v>5119.4444444444443</v>
      </c>
      <c r="K59" s="202">
        <f t="shared" si="26"/>
        <v>4041.6666666666661</v>
      </c>
      <c r="L59" s="202">
        <f t="shared" si="26"/>
        <v>2963.8888888888878</v>
      </c>
      <c r="M59" s="202">
        <f t="shared" si="26"/>
        <v>1886.1111111111097</v>
      </c>
      <c r="N59" s="202">
        <f t="shared" si="26"/>
        <v>808.33333333333167</v>
      </c>
      <c r="O59" s="202">
        <f t="shared" si="26"/>
        <v>-1.8189894035458565E-12</v>
      </c>
      <c r="P59" s="202">
        <f t="shared" si="26"/>
        <v>-1.8189894035458565E-12</v>
      </c>
      <c r="Q59" s="202">
        <f t="shared" si="26"/>
        <v>-1.8189894035458565E-12</v>
      </c>
      <c r="R59" s="202">
        <f t="shared" si="26"/>
        <v>-1.8189894035458565E-12</v>
      </c>
      <c r="S59" s="202">
        <f t="shared" si="26"/>
        <v>-1.8189894035458565E-12</v>
      </c>
      <c r="T59" s="202">
        <f t="shared" si="26"/>
        <v>-1.8189894035458565E-12</v>
      </c>
      <c r="U59" s="203">
        <f t="shared" si="26"/>
        <v>-1.8189894035458565E-12</v>
      </c>
    </row>
    <row r="60" spans="2:21" ht="15.5" x14ac:dyDescent="0.35">
      <c r="B60" s="7" t="s">
        <v>78</v>
      </c>
      <c r="C60" s="202">
        <v>0</v>
      </c>
      <c r="D60" s="202">
        <f>C60+D88</f>
        <v>0</v>
      </c>
      <c r="E60" s="202">
        <f>D60+E88</f>
        <v>0</v>
      </c>
      <c r="F60" s="202">
        <f t="shared" ref="F60:U60" si="27">E60+F88+F89</f>
        <v>0</v>
      </c>
      <c r="G60" s="202">
        <f t="shared" si="27"/>
        <v>930</v>
      </c>
      <c r="H60" s="202">
        <f t="shared" si="27"/>
        <v>940</v>
      </c>
      <c r="I60" s="202">
        <f t="shared" si="27"/>
        <v>960</v>
      </c>
      <c r="J60" s="202">
        <f t="shared" si="27"/>
        <v>980</v>
      </c>
      <c r="K60" s="202">
        <f t="shared" si="27"/>
        <v>990</v>
      </c>
      <c r="L60" s="202">
        <f t="shared" si="27"/>
        <v>1010</v>
      </c>
      <c r="M60" s="202">
        <f t="shared" si="27"/>
        <v>1030</v>
      </c>
      <c r="N60" s="202">
        <f t="shared" si="27"/>
        <v>1050</v>
      </c>
      <c r="O60" s="202">
        <f t="shared" si="27"/>
        <v>1070</v>
      </c>
      <c r="P60" s="202">
        <f t="shared" si="27"/>
        <v>1090</v>
      </c>
      <c r="Q60" s="202">
        <f t="shared" si="27"/>
        <v>1110</v>
      </c>
      <c r="R60" s="202">
        <f t="shared" si="27"/>
        <v>1130</v>
      </c>
      <c r="S60" s="202">
        <f t="shared" si="27"/>
        <v>1160</v>
      </c>
      <c r="T60" s="202">
        <f t="shared" si="27"/>
        <v>1180</v>
      </c>
      <c r="U60" s="203">
        <f t="shared" si="27"/>
        <v>1200</v>
      </c>
    </row>
    <row r="61" spans="2:21" ht="15.5" x14ac:dyDescent="0.35">
      <c r="B61" s="7" t="s">
        <v>4</v>
      </c>
      <c r="C61" s="307">
        <v>0</v>
      </c>
      <c r="D61" s="307">
        <f t="shared" ref="D61:U61" si="28">D59+D60</f>
        <v>2420.0000000000005</v>
      </c>
      <c r="E61" s="307">
        <f t="shared" si="28"/>
        <v>6290.0000000000018</v>
      </c>
      <c r="F61" s="307">
        <f t="shared" si="28"/>
        <v>9430.5555555555566</v>
      </c>
      <c r="G61" s="307">
        <f t="shared" si="28"/>
        <v>9282.7777777777792</v>
      </c>
      <c r="H61" s="307">
        <f t="shared" si="28"/>
        <v>8215</v>
      </c>
      <c r="I61" s="307">
        <f t="shared" si="28"/>
        <v>7157.2222222222226</v>
      </c>
      <c r="J61" s="307">
        <f t="shared" si="28"/>
        <v>6099.4444444444443</v>
      </c>
      <c r="K61" s="307">
        <f t="shared" si="28"/>
        <v>5031.6666666666661</v>
      </c>
      <c r="L61" s="307">
        <f t="shared" si="28"/>
        <v>3973.8888888888878</v>
      </c>
      <c r="M61" s="307">
        <f t="shared" si="28"/>
        <v>2916.1111111111095</v>
      </c>
      <c r="N61" s="307">
        <f t="shared" si="28"/>
        <v>1858.3333333333317</v>
      </c>
      <c r="O61" s="307">
        <f t="shared" si="28"/>
        <v>1069.9999999999982</v>
      </c>
      <c r="P61" s="307">
        <f t="shared" si="28"/>
        <v>1089.9999999999982</v>
      </c>
      <c r="Q61" s="307">
        <f t="shared" si="28"/>
        <v>1109.9999999999982</v>
      </c>
      <c r="R61" s="307">
        <f t="shared" si="28"/>
        <v>1129.9999999999982</v>
      </c>
      <c r="S61" s="307">
        <f t="shared" si="28"/>
        <v>1159.9999999999982</v>
      </c>
      <c r="T61" s="307">
        <f t="shared" si="28"/>
        <v>1179.9999999999982</v>
      </c>
      <c r="U61" s="308">
        <f t="shared" si="28"/>
        <v>1199.9999999999982</v>
      </c>
    </row>
    <row r="62" spans="2:21" ht="15.5" x14ac:dyDescent="0.35">
      <c r="B62" s="7" t="s">
        <v>5</v>
      </c>
      <c r="C62" s="307">
        <v>0</v>
      </c>
      <c r="D62" s="307">
        <f t="shared" ref="D62:U62" si="29">D56+D61</f>
        <v>3460</v>
      </c>
      <c r="E62" s="307">
        <f t="shared" si="29"/>
        <v>8980.0000000000018</v>
      </c>
      <c r="F62" s="307">
        <f t="shared" si="29"/>
        <v>13590.555555555555</v>
      </c>
      <c r="G62" s="307">
        <f t="shared" si="29"/>
        <v>14311.740518459577</v>
      </c>
      <c r="H62" s="307">
        <f t="shared" si="29"/>
        <v>14202.579435021584</v>
      </c>
      <c r="I62" s="307">
        <f t="shared" si="29"/>
        <v>14188.899731334968</v>
      </c>
      <c r="J62" s="307">
        <f t="shared" si="29"/>
        <v>14251.928445499438</v>
      </c>
      <c r="K62" s="307">
        <f t="shared" si="29"/>
        <v>14381.716801846784</v>
      </c>
      <c r="L62" s="307">
        <f t="shared" si="29"/>
        <v>14598.319611834391</v>
      </c>
      <c r="M62" s="307">
        <f t="shared" si="29"/>
        <v>14891.809430058904</v>
      </c>
      <c r="N62" s="307">
        <f t="shared" si="29"/>
        <v>15262.162809924637</v>
      </c>
      <c r="O62" s="307">
        <f t="shared" si="29"/>
        <v>15984.134651360366</v>
      </c>
      <c r="P62" s="307">
        <f t="shared" si="29"/>
        <v>17542.700889845146</v>
      </c>
      <c r="Q62" s="307">
        <f t="shared" si="29"/>
        <v>19045.420153184634</v>
      </c>
      <c r="R62" s="307">
        <f t="shared" si="29"/>
        <v>20507.784246119947</v>
      </c>
      <c r="S62" s="307">
        <f t="shared" si="29"/>
        <v>21919.909181606025</v>
      </c>
      <c r="T62" s="307">
        <f t="shared" si="29"/>
        <v>23261.654826643382</v>
      </c>
      <c r="U62" s="308">
        <f t="shared" si="29"/>
        <v>24543.043914591028</v>
      </c>
    </row>
    <row r="63" spans="2:21" ht="15.5" x14ac:dyDescent="0.35">
      <c r="B63" s="7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3"/>
    </row>
    <row r="64" spans="2:21" ht="15.5" x14ac:dyDescent="0.35">
      <c r="B64" s="304" t="s">
        <v>6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3"/>
    </row>
    <row r="65" spans="2:26" ht="15.5" x14ac:dyDescent="0.35">
      <c r="B65" s="7" t="s">
        <v>197</v>
      </c>
      <c r="C65" s="202">
        <v>0</v>
      </c>
      <c r="D65" s="202">
        <v>3460</v>
      </c>
      <c r="E65" s="202">
        <v>8980</v>
      </c>
      <c r="F65" s="202">
        <v>13550</v>
      </c>
      <c r="G65" s="202">
        <v>13550</v>
      </c>
      <c r="H65" s="202">
        <v>13550</v>
      </c>
      <c r="I65" s="202">
        <v>13550</v>
      </c>
      <c r="J65" s="202">
        <v>13550</v>
      </c>
      <c r="K65" s="202">
        <v>13550</v>
      </c>
      <c r="L65" s="202">
        <v>13550</v>
      </c>
      <c r="M65" s="202">
        <v>13550</v>
      </c>
      <c r="N65" s="202">
        <v>13550</v>
      </c>
      <c r="O65" s="202">
        <v>13550</v>
      </c>
      <c r="P65" s="202">
        <v>13550</v>
      </c>
      <c r="Q65" s="202">
        <v>13550</v>
      </c>
      <c r="R65" s="202">
        <v>13550</v>
      </c>
      <c r="S65" s="202">
        <v>13550</v>
      </c>
      <c r="T65" s="202">
        <v>13550</v>
      </c>
      <c r="U65" s="203">
        <v>13550</v>
      </c>
    </row>
    <row r="66" spans="2:26" ht="15.5" x14ac:dyDescent="0.35">
      <c r="B66" s="7" t="s">
        <v>7</v>
      </c>
      <c r="C66" s="202">
        <v>0</v>
      </c>
      <c r="D66" s="202">
        <f>D30</f>
        <v>0</v>
      </c>
      <c r="E66" s="202">
        <f t="shared" ref="E66:U66" si="30">D66+E30</f>
        <v>0</v>
      </c>
      <c r="F66" s="202">
        <f t="shared" si="30"/>
        <v>0</v>
      </c>
      <c r="G66" s="202">
        <f t="shared" si="30"/>
        <v>680</v>
      </c>
      <c r="H66" s="202">
        <f t="shared" si="30"/>
        <v>1360</v>
      </c>
      <c r="I66" s="202">
        <f t="shared" si="30"/>
        <v>2040</v>
      </c>
      <c r="J66" s="202">
        <f t="shared" si="30"/>
        <v>2720</v>
      </c>
      <c r="K66" s="202">
        <f t="shared" si="30"/>
        <v>3400</v>
      </c>
      <c r="L66" s="202">
        <f t="shared" si="30"/>
        <v>4080</v>
      </c>
      <c r="M66" s="202">
        <f t="shared" si="30"/>
        <v>4760</v>
      </c>
      <c r="N66" s="202">
        <f t="shared" si="30"/>
        <v>5440</v>
      </c>
      <c r="O66" s="202">
        <f t="shared" si="30"/>
        <v>6120</v>
      </c>
      <c r="P66" s="202">
        <f t="shared" si="30"/>
        <v>6800</v>
      </c>
      <c r="Q66" s="202">
        <f t="shared" si="30"/>
        <v>7480</v>
      </c>
      <c r="R66" s="202">
        <f t="shared" si="30"/>
        <v>8160</v>
      </c>
      <c r="S66" s="202">
        <f t="shared" si="30"/>
        <v>8840</v>
      </c>
      <c r="T66" s="202">
        <f t="shared" si="30"/>
        <v>9520</v>
      </c>
      <c r="U66" s="203">
        <f t="shared" si="30"/>
        <v>10200</v>
      </c>
    </row>
    <row r="67" spans="2:26" ht="15.5" x14ac:dyDescent="0.35">
      <c r="B67" s="7" t="s">
        <v>8</v>
      </c>
      <c r="C67" s="202">
        <v>0</v>
      </c>
      <c r="D67" s="187">
        <f>D65-D66</f>
        <v>3460</v>
      </c>
      <c r="E67" s="187">
        <f>E65-E66</f>
        <v>8980</v>
      </c>
      <c r="F67" s="187">
        <f>F65-F66</f>
        <v>13550</v>
      </c>
      <c r="G67" s="187">
        <f>G65-G66</f>
        <v>12870</v>
      </c>
      <c r="H67" s="187">
        <f t="shared" ref="H67:U67" si="31">H65-H66</f>
        <v>12190</v>
      </c>
      <c r="I67" s="202">
        <f t="shared" si="31"/>
        <v>11510</v>
      </c>
      <c r="J67" s="202">
        <f t="shared" si="31"/>
        <v>10830</v>
      </c>
      <c r="K67" s="202">
        <f t="shared" si="31"/>
        <v>10150</v>
      </c>
      <c r="L67" s="202">
        <f t="shared" si="31"/>
        <v>9470</v>
      </c>
      <c r="M67" s="202">
        <f t="shared" si="31"/>
        <v>8790</v>
      </c>
      <c r="N67" s="202">
        <f t="shared" si="31"/>
        <v>8110</v>
      </c>
      <c r="O67" s="202">
        <f t="shared" si="31"/>
        <v>7430</v>
      </c>
      <c r="P67" s="202">
        <f t="shared" si="31"/>
        <v>6750</v>
      </c>
      <c r="Q67" s="202">
        <f t="shared" si="31"/>
        <v>6070</v>
      </c>
      <c r="R67" s="202">
        <f t="shared" si="31"/>
        <v>5390</v>
      </c>
      <c r="S67" s="202">
        <f t="shared" si="31"/>
        <v>4710</v>
      </c>
      <c r="T67" s="202">
        <f t="shared" si="31"/>
        <v>4030</v>
      </c>
      <c r="U67" s="203">
        <f t="shared" si="31"/>
        <v>3350</v>
      </c>
    </row>
    <row r="68" spans="2:26" ht="15.5" x14ac:dyDescent="0.35">
      <c r="B68" s="7" t="s">
        <v>57</v>
      </c>
      <c r="C68" s="202">
        <v>0</v>
      </c>
      <c r="D68" s="202">
        <v>0</v>
      </c>
      <c r="E68" s="202">
        <v>0</v>
      </c>
      <c r="F68" s="202">
        <v>0</v>
      </c>
      <c r="G68" s="202">
        <f>G105</f>
        <v>1240</v>
      </c>
      <c r="H68" s="202">
        <f t="shared" ref="H68:U68" si="32">H105</f>
        <v>1250</v>
      </c>
      <c r="I68" s="202">
        <f t="shared" si="32"/>
        <v>1280</v>
      </c>
      <c r="J68" s="202">
        <f t="shared" si="32"/>
        <v>1300</v>
      </c>
      <c r="K68" s="202">
        <f t="shared" si="32"/>
        <v>1320</v>
      </c>
      <c r="L68" s="202">
        <f t="shared" si="32"/>
        <v>1350</v>
      </c>
      <c r="M68" s="202">
        <f t="shared" si="32"/>
        <v>1370</v>
      </c>
      <c r="N68" s="202">
        <f t="shared" si="32"/>
        <v>1400</v>
      </c>
      <c r="O68" s="202">
        <f t="shared" si="32"/>
        <v>1430</v>
      </c>
      <c r="P68" s="202">
        <f t="shared" si="32"/>
        <v>1450</v>
      </c>
      <c r="Q68" s="202">
        <f t="shared" si="32"/>
        <v>1480</v>
      </c>
      <c r="R68" s="202">
        <f t="shared" si="32"/>
        <v>1510</v>
      </c>
      <c r="S68" s="202">
        <f t="shared" si="32"/>
        <v>1540</v>
      </c>
      <c r="T68" s="202">
        <f t="shared" si="32"/>
        <v>1570</v>
      </c>
      <c r="U68" s="203">
        <f t="shared" si="32"/>
        <v>1600</v>
      </c>
    </row>
    <row r="69" spans="2:26" ht="15.5" x14ac:dyDescent="0.35">
      <c r="B69" s="7" t="s">
        <v>112</v>
      </c>
      <c r="C69" s="202">
        <v>0</v>
      </c>
      <c r="D69" s="202">
        <v>0</v>
      </c>
      <c r="E69" s="202">
        <v>0</v>
      </c>
      <c r="F69" s="202">
        <v>0</v>
      </c>
      <c r="G69" s="202">
        <v>0</v>
      </c>
      <c r="H69" s="202">
        <v>0</v>
      </c>
      <c r="I69" s="202">
        <v>0</v>
      </c>
      <c r="J69" s="202">
        <v>0</v>
      </c>
      <c r="K69" s="202">
        <v>0</v>
      </c>
      <c r="L69" s="202">
        <v>0</v>
      </c>
      <c r="M69" s="202">
        <v>0</v>
      </c>
      <c r="N69" s="202">
        <v>10</v>
      </c>
      <c r="O69" s="202">
        <v>50</v>
      </c>
      <c r="P69" s="202">
        <v>120</v>
      </c>
      <c r="Q69" s="202">
        <v>210</v>
      </c>
      <c r="R69" s="202">
        <v>320</v>
      </c>
      <c r="S69" s="187">
        <v>450</v>
      </c>
      <c r="T69" s="202">
        <v>590</v>
      </c>
      <c r="U69" s="203">
        <v>740</v>
      </c>
    </row>
    <row r="70" spans="2:26" ht="15.5" x14ac:dyDescent="0.35">
      <c r="B70" s="7" t="s">
        <v>9</v>
      </c>
      <c r="C70" s="202">
        <v>0</v>
      </c>
      <c r="D70" s="202">
        <f t="shared" ref="D70:U70" si="33">D99</f>
        <v>0</v>
      </c>
      <c r="E70" s="202">
        <f t="shared" si="33"/>
        <v>0</v>
      </c>
      <c r="F70" s="202">
        <f t="shared" si="33"/>
        <v>40.555555555555657</v>
      </c>
      <c r="G70" s="202">
        <f t="shared" si="33"/>
        <v>201.74051845957524</v>
      </c>
      <c r="H70" s="202">
        <f t="shared" si="33"/>
        <v>762.57943502158264</v>
      </c>
      <c r="I70" s="202">
        <f t="shared" si="33"/>
        <v>1398.899731334968</v>
      </c>
      <c r="J70" s="202">
        <f t="shared" si="33"/>
        <v>2121.9284454994386</v>
      </c>
      <c r="K70" s="202">
        <f t="shared" si="33"/>
        <v>2911.7168018467833</v>
      </c>
      <c r="L70" s="202">
        <f t="shared" si="33"/>
        <v>3778.3196118343913</v>
      </c>
      <c r="M70" s="202">
        <f t="shared" si="33"/>
        <v>4731.8094300589037</v>
      </c>
      <c r="N70" s="202">
        <f t="shared" si="33"/>
        <v>5742.1628099246373</v>
      </c>
      <c r="O70" s="202">
        <f t="shared" si="33"/>
        <v>7074.1346513603658</v>
      </c>
      <c r="P70" s="202">
        <f t="shared" si="33"/>
        <v>9222.700889845144</v>
      </c>
      <c r="Q70" s="202">
        <f t="shared" si="33"/>
        <v>11285.420153184632</v>
      </c>
      <c r="R70" s="202">
        <f t="shared" si="33"/>
        <v>13287.784246119945</v>
      </c>
      <c r="S70" s="202">
        <f t="shared" si="33"/>
        <v>15219.909181606021</v>
      </c>
      <c r="T70" s="202">
        <f t="shared" si="33"/>
        <v>17071.654826643382</v>
      </c>
      <c r="U70" s="203">
        <f t="shared" si="33"/>
        <v>18853.043914591024</v>
      </c>
    </row>
    <row r="71" spans="2:26" ht="15.5" x14ac:dyDescent="0.35">
      <c r="B71" s="7" t="s">
        <v>10</v>
      </c>
      <c r="C71" s="202">
        <v>0</v>
      </c>
      <c r="D71" s="186">
        <f t="shared" ref="D71:U71" si="34">SUM(D67:D70)</f>
        <v>3460</v>
      </c>
      <c r="E71" s="186">
        <f t="shared" si="34"/>
        <v>8980</v>
      </c>
      <c r="F71" s="186">
        <f t="shared" si="34"/>
        <v>13590.555555555555</v>
      </c>
      <c r="G71" s="186">
        <f t="shared" si="34"/>
        <v>14311.740518459575</v>
      </c>
      <c r="H71" s="307">
        <f t="shared" si="34"/>
        <v>14202.579435021582</v>
      </c>
      <c r="I71" s="307">
        <f t="shared" si="34"/>
        <v>14188.899731334968</v>
      </c>
      <c r="J71" s="307">
        <f t="shared" si="34"/>
        <v>14251.928445499438</v>
      </c>
      <c r="K71" s="307">
        <f t="shared" si="34"/>
        <v>14381.716801846784</v>
      </c>
      <c r="L71" s="307">
        <f t="shared" si="34"/>
        <v>14598.319611834391</v>
      </c>
      <c r="M71" s="307">
        <f t="shared" si="34"/>
        <v>14891.809430058904</v>
      </c>
      <c r="N71" s="307">
        <f t="shared" si="34"/>
        <v>15262.162809924637</v>
      </c>
      <c r="O71" s="307">
        <f t="shared" si="34"/>
        <v>15984.134651360366</v>
      </c>
      <c r="P71" s="307">
        <f t="shared" si="34"/>
        <v>17542.700889845146</v>
      </c>
      <c r="Q71" s="307">
        <f t="shared" si="34"/>
        <v>19045.420153184634</v>
      </c>
      <c r="R71" s="307">
        <f t="shared" si="34"/>
        <v>20507.784246119947</v>
      </c>
      <c r="S71" s="307">
        <f t="shared" si="34"/>
        <v>21919.909181606021</v>
      </c>
      <c r="T71" s="307">
        <f t="shared" si="34"/>
        <v>23261.654826643382</v>
      </c>
      <c r="U71" s="308">
        <f t="shared" si="34"/>
        <v>24543.043914591024</v>
      </c>
      <c r="W71" s="34"/>
      <c r="X71" s="34"/>
      <c r="Y71" s="34"/>
      <c r="Z71" s="34"/>
    </row>
    <row r="72" spans="2:26" x14ac:dyDescent="0.35">
      <c r="B72" s="329" t="s">
        <v>185</v>
      </c>
      <c r="C72" s="16"/>
      <c r="D72" s="269">
        <f t="shared" ref="D72:U72" si="35">D62-D71</f>
        <v>0</v>
      </c>
      <c r="E72" s="269">
        <f t="shared" si="35"/>
        <v>0</v>
      </c>
      <c r="F72" s="269">
        <f t="shared" si="35"/>
        <v>0</v>
      </c>
      <c r="G72" s="269">
        <f t="shared" si="35"/>
        <v>0</v>
      </c>
      <c r="H72" s="269">
        <f t="shared" si="35"/>
        <v>0</v>
      </c>
      <c r="I72" s="269">
        <f t="shared" si="35"/>
        <v>0</v>
      </c>
      <c r="J72" s="269">
        <f t="shared" si="35"/>
        <v>0</v>
      </c>
      <c r="K72" s="269">
        <f t="shared" si="35"/>
        <v>0</v>
      </c>
      <c r="L72" s="269">
        <f t="shared" si="35"/>
        <v>0</v>
      </c>
      <c r="M72" s="269">
        <f t="shared" si="35"/>
        <v>0</v>
      </c>
      <c r="N72" s="269">
        <f t="shared" si="35"/>
        <v>0</v>
      </c>
      <c r="O72" s="269">
        <f t="shared" si="35"/>
        <v>0</v>
      </c>
      <c r="P72" s="269">
        <f t="shared" si="35"/>
        <v>0</v>
      </c>
      <c r="Q72" s="269">
        <f t="shared" si="35"/>
        <v>0</v>
      </c>
      <c r="R72" s="269">
        <f t="shared" si="35"/>
        <v>0</v>
      </c>
      <c r="S72" s="269">
        <f t="shared" si="35"/>
        <v>0</v>
      </c>
      <c r="T72" s="269">
        <f t="shared" si="35"/>
        <v>0</v>
      </c>
      <c r="U72" s="269">
        <f t="shared" si="35"/>
        <v>0</v>
      </c>
    </row>
    <row r="73" spans="2:26" ht="15" thickBot="1" x14ac:dyDescent="0.4">
      <c r="B73" s="15"/>
      <c r="C73" s="16"/>
      <c r="D73" s="17"/>
      <c r="E73" s="17"/>
      <c r="F73" s="17"/>
      <c r="G73" s="13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2:26" ht="16" thickBot="1" x14ac:dyDescent="0.4">
      <c r="B74" s="299" t="s">
        <v>176</v>
      </c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1"/>
    </row>
    <row r="75" spans="2:26" ht="16" thickBot="1" x14ac:dyDescent="0.4">
      <c r="B75" s="306" t="s">
        <v>110</v>
      </c>
      <c r="C75" s="2">
        <v>2009</v>
      </c>
      <c r="D75" s="2">
        <v>2010</v>
      </c>
      <c r="E75" s="2">
        <v>2011</v>
      </c>
      <c r="F75" s="2">
        <v>2012</v>
      </c>
      <c r="G75" s="2">
        <v>2013</v>
      </c>
      <c r="H75" s="2">
        <v>2014</v>
      </c>
      <c r="I75" s="2">
        <v>2015</v>
      </c>
      <c r="J75" s="2">
        <v>2016</v>
      </c>
      <c r="K75" s="2">
        <v>2017</v>
      </c>
      <c r="L75" s="2">
        <v>2018</v>
      </c>
      <c r="M75" s="2">
        <v>2019</v>
      </c>
      <c r="N75" s="2">
        <v>2020</v>
      </c>
      <c r="O75" s="2">
        <v>2021</v>
      </c>
      <c r="P75" s="2">
        <v>2022</v>
      </c>
      <c r="Q75" s="2">
        <v>2023</v>
      </c>
      <c r="R75" s="2">
        <v>2024</v>
      </c>
      <c r="S75" s="2">
        <v>2025</v>
      </c>
      <c r="T75" s="2">
        <v>2026</v>
      </c>
      <c r="U75" s="3">
        <v>2027</v>
      </c>
    </row>
    <row r="76" spans="2:26" ht="15.5" x14ac:dyDescent="0.35">
      <c r="B76" s="305" t="s">
        <v>180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2:26" ht="15.5" x14ac:dyDescent="0.35">
      <c r="B77" s="336" t="s">
        <v>87</v>
      </c>
      <c r="C77" s="202"/>
      <c r="D77" s="202">
        <f t="shared" ref="D77:U77" si="36">D35</f>
        <v>0</v>
      </c>
      <c r="E77" s="202">
        <f t="shared" si="36"/>
        <v>0</v>
      </c>
      <c r="F77" s="202">
        <f t="shared" si="36"/>
        <v>0</v>
      </c>
      <c r="G77" s="202">
        <f t="shared" si="36"/>
        <v>954.65429803321399</v>
      </c>
      <c r="H77" s="202">
        <f t="shared" si="36"/>
        <v>1043.3133579239895</v>
      </c>
      <c r="I77" s="202">
        <f t="shared" si="36"/>
        <v>1132.5588302003114</v>
      </c>
      <c r="J77" s="202">
        <f t="shared" si="36"/>
        <v>1208.3640316192302</v>
      </c>
      <c r="K77" s="202">
        <f t="shared" si="36"/>
        <v>1291.4665171510999</v>
      </c>
      <c r="L77" s="202">
        <f t="shared" si="36"/>
        <v>1371.4620067982996</v>
      </c>
      <c r="M77" s="202">
        <f t="shared" si="36"/>
        <v>1447.520371697545</v>
      </c>
      <c r="N77" s="202">
        <f t="shared" si="36"/>
        <v>1530.1801371033989</v>
      </c>
      <c r="O77" s="202">
        <f t="shared" si="36"/>
        <v>1613.4388033204391</v>
      </c>
      <c r="P77" s="202">
        <f t="shared" si="36"/>
        <v>1624.4233742635388</v>
      </c>
      <c r="Q77" s="202">
        <f t="shared" si="36"/>
        <v>1583.9230402323406</v>
      </c>
      <c r="R77" s="202">
        <f t="shared" si="36"/>
        <v>1534.2949596703929</v>
      </c>
      <c r="S77" s="202">
        <f t="shared" si="36"/>
        <v>1489.7829314524649</v>
      </c>
      <c r="T77" s="202">
        <f t="shared" si="36"/>
        <v>1421.1931992416007</v>
      </c>
      <c r="U77" s="203">
        <f t="shared" si="36"/>
        <v>1358.7656460999769</v>
      </c>
    </row>
    <row r="78" spans="2:26" ht="15.5" x14ac:dyDescent="0.35">
      <c r="B78" s="313" t="s">
        <v>30</v>
      </c>
      <c r="C78" s="202"/>
      <c r="D78" s="202">
        <f t="shared" ref="D78:U78" si="37">D30</f>
        <v>0</v>
      </c>
      <c r="E78" s="202">
        <f t="shared" si="37"/>
        <v>0</v>
      </c>
      <c r="F78" s="202">
        <f t="shared" si="37"/>
        <v>0</v>
      </c>
      <c r="G78" s="202">
        <f t="shared" si="37"/>
        <v>680</v>
      </c>
      <c r="H78" s="202">
        <f t="shared" si="37"/>
        <v>680</v>
      </c>
      <c r="I78" s="202">
        <f t="shared" si="37"/>
        <v>680</v>
      </c>
      <c r="J78" s="202">
        <f t="shared" si="37"/>
        <v>680</v>
      </c>
      <c r="K78" s="202">
        <f t="shared" si="37"/>
        <v>680</v>
      </c>
      <c r="L78" s="202">
        <f t="shared" si="37"/>
        <v>680</v>
      </c>
      <c r="M78" s="202">
        <f t="shared" si="37"/>
        <v>680</v>
      </c>
      <c r="N78" s="202">
        <f t="shared" si="37"/>
        <v>680</v>
      </c>
      <c r="O78" s="202">
        <f t="shared" si="37"/>
        <v>680</v>
      </c>
      <c r="P78" s="202">
        <f t="shared" si="37"/>
        <v>680</v>
      </c>
      <c r="Q78" s="202">
        <f t="shared" si="37"/>
        <v>680</v>
      </c>
      <c r="R78" s="202">
        <f t="shared" si="37"/>
        <v>680</v>
      </c>
      <c r="S78" s="202">
        <f t="shared" si="37"/>
        <v>680</v>
      </c>
      <c r="T78" s="202">
        <f t="shared" si="37"/>
        <v>680</v>
      </c>
      <c r="U78" s="203">
        <f t="shared" si="37"/>
        <v>680</v>
      </c>
    </row>
    <row r="79" spans="2:26" ht="15.5" x14ac:dyDescent="0.35">
      <c r="B79" s="313" t="s">
        <v>184</v>
      </c>
      <c r="C79" s="202"/>
      <c r="D79" s="202">
        <f t="shared" ref="D79:U79" si="38">C65-D65</f>
        <v>-3460</v>
      </c>
      <c r="E79" s="202">
        <f t="shared" si="38"/>
        <v>-5520</v>
      </c>
      <c r="F79" s="202">
        <f t="shared" si="38"/>
        <v>-4570</v>
      </c>
      <c r="G79" s="202">
        <f t="shared" si="38"/>
        <v>0</v>
      </c>
      <c r="H79" s="202">
        <f t="shared" si="38"/>
        <v>0</v>
      </c>
      <c r="I79" s="202">
        <f t="shared" si="38"/>
        <v>0</v>
      </c>
      <c r="J79" s="202">
        <f t="shared" si="38"/>
        <v>0</v>
      </c>
      <c r="K79" s="202">
        <f t="shared" si="38"/>
        <v>0</v>
      </c>
      <c r="L79" s="202">
        <f t="shared" si="38"/>
        <v>0</v>
      </c>
      <c r="M79" s="202">
        <f t="shared" si="38"/>
        <v>0</v>
      </c>
      <c r="N79" s="202">
        <f t="shared" si="38"/>
        <v>0</v>
      </c>
      <c r="O79" s="202">
        <f t="shared" si="38"/>
        <v>0</v>
      </c>
      <c r="P79" s="202">
        <f t="shared" si="38"/>
        <v>0</v>
      </c>
      <c r="Q79" s="202">
        <f t="shared" si="38"/>
        <v>0</v>
      </c>
      <c r="R79" s="202">
        <f t="shared" si="38"/>
        <v>0</v>
      </c>
      <c r="S79" s="202">
        <f t="shared" si="38"/>
        <v>0</v>
      </c>
      <c r="T79" s="202">
        <f t="shared" si="38"/>
        <v>0</v>
      </c>
      <c r="U79" s="203">
        <f t="shared" si="38"/>
        <v>0</v>
      </c>
    </row>
    <row r="80" spans="2:26" ht="15.5" x14ac:dyDescent="0.35">
      <c r="B80" s="313" t="s">
        <v>230</v>
      </c>
      <c r="C80" s="202"/>
      <c r="D80" s="202">
        <f t="shared" ref="D80:U80" si="39">C68-D68</f>
        <v>0</v>
      </c>
      <c r="E80" s="202">
        <f t="shared" si="39"/>
        <v>0</v>
      </c>
      <c r="F80" s="202">
        <f t="shared" si="39"/>
        <v>0</v>
      </c>
      <c r="G80" s="202">
        <f t="shared" si="39"/>
        <v>-1240</v>
      </c>
      <c r="H80" s="202">
        <f t="shared" si="39"/>
        <v>-10</v>
      </c>
      <c r="I80" s="202">
        <f t="shared" si="39"/>
        <v>-30</v>
      </c>
      <c r="J80" s="202">
        <f t="shared" si="39"/>
        <v>-20</v>
      </c>
      <c r="K80" s="202">
        <f t="shared" si="39"/>
        <v>-20</v>
      </c>
      <c r="L80" s="202">
        <f t="shared" si="39"/>
        <v>-30</v>
      </c>
      <c r="M80" s="202">
        <f t="shared" si="39"/>
        <v>-20</v>
      </c>
      <c r="N80" s="202">
        <f t="shared" si="39"/>
        <v>-30</v>
      </c>
      <c r="O80" s="202">
        <f t="shared" si="39"/>
        <v>-30</v>
      </c>
      <c r="P80" s="202">
        <f t="shared" si="39"/>
        <v>-20</v>
      </c>
      <c r="Q80" s="202">
        <f t="shared" si="39"/>
        <v>-30</v>
      </c>
      <c r="R80" s="202">
        <f t="shared" si="39"/>
        <v>-30</v>
      </c>
      <c r="S80" s="202">
        <f t="shared" si="39"/>
        <v>-30</v>
      </c>
      <c r="T80" s="202">
        <f t="shared" si="39"/>
        <v>-30</v>
      </c>
      <c r="U80" s="203">
        <f t="shared" si="39"/>
        <v>-30</v>
      </c>
    </row>
    <row r="81" spans="2:24" ht="15.5" x14ac:dyDescent="0.35">
      <c r="B81" s="313" t="s">
        <v>231</v>
      </c>
      <c r="C81" s="202"/>
      <c r="D81" s="202">
        <f t="shared" ref="D81:U81" si="40">C69-D69</f>
        <v>0</v>
      </c>
      <c r="E81" s="202">
        <f t="shared" si="40"/>
        <v>0</v>
      </c>
      <c r="F81" s="202">
        <f t="shared" si="40"/>
        <v>0</v>
      </c>
      <c r="G81" s="202">
        <f t="shared" si="40"/>
        <v>0</v>
      </c>
      <c r="H81" s="202">
        <f t="shared" si="40"/>
        <v>0</v>
      </c>
      <c r="I81" s="202">
        <f t="shared" si="40"/>
        <v>0</v>
      </c>
      <c r="J81" s="202">
        <f t="shared" si="40"/>
        <v>0</v>
      </c>
      <c r="K81" s="202">
        <f t="shared" si="40"/>
        <v>0</v>
      </c>
      <c r="L81" s="202">
        <f t="shared" si="40"/>
        <v>0</v>
      </c>
      <c r="M81" s="202">
        <f t="shared" si="40"/>
        <v>0</v>
      </c>
      <c r="N81" s="202">
        <f t="shared" si="40"/>
        <v>-10</v>
      </c>
      <c r="O81" s="202">
        <f t="shared" si="40"/>
        <v>-40</v>
      </c>
      <c r="P81" s="202">
        <f t="shared" si="40"/>
        <v>-70</v>
      </c>
      <c r="Q81" s="202">
        <f t="shared" si="40"/>
        <v>-90</v>
      </c>
      <c r="R81" s="202">
        <f t="shared" si="40"/>
        <v>-110</v>
      </c>
      <c r="S81" s="202">
        <f t="shared" si="40"/>
        <v>-130</v>
      </c>
      <c r="T81" s="202">
        <f t="shared" si="40"/>
        <v>-140</v>
      </c>
      <c r="U81" s="203">
        <f t="shared" si="40"/>
        <v>-150</v>
      </c>
    </row>
    <row r="82" spans="2:24" ht="15.5" x14ac:dyDescent="0.35">
      <c r="B82" s="313" t="s">
        <v>145</v>
      </c>
      <c r="C82" s="202"/>
      <c r="D82" s="202">
        <f t="shared" ref="D82:U82" si="41">D28+D29</f>
        <v>0</v>
      </c>
      <c r="E82" s="202">
        <f t="shared" si="41"/>
        <v>0</v>
      </c>
      <c r="F82" s="202">
        <f t="shared" si="41"/>
        <v>0</v>
      </c>
      <c r="G82" s="202">
        <f t="shared" si="41"/>
        <v>1375.0333333333338</v>
      </c>
      <c r="H82" s="202">
        <f t="shared" si="41"/>
        <v>1224.8444444444449</v>
      </c>
      <c r="I82" s="202">
        <f t="shared" si="41"/>
        <v>1076.0555555555557</v>
      </c>
      <c r="J82" s="202">
        <f t="shared" si="41"/>
        <v>927.96666666666692</v>
      </c>
      <c r="K82" s="202">
        <f t="shared" si="41"/>
        <v>779.17777777777769</v>
      </c>
      <c r="L82" s="202">
        <f t="shared" si="41"/>
        <v>630.3888888888888</v>
      </c>
      <c r="M82" s="202">
        <f t="shared" si="41"/>
        <v>482.29999999999984</v>
      </c>
      <c r="N82" s="202">
        <f t="shared" si="41"/>
        <v>334.21111111111099</v>
      </c>
      <c r="O82" s="202">
        <f t="shared" si="41"/>
        <v>204.98333333333309</v>
      </c>
      <c r="P82" s="202">
        <f t="shared" si="41"/>
        <v>151.19999999999976</v>
      </c>
      <c r="Q82" s="202">
        <f t="shared" si="41"/>
        <v>153.99999999999977</v>
      </c>
      <c r="R82" s="202">
        <f t="shared" si="41"/>
        <v>156.79999999999976</v>
      </c>
      <c r="S82" s="202">
        <f t="shared" si="41"/>
        <v>160.29999999999976</v>
      </c>
      <c r="T82" s="202">
        <f t="shared" si="41"/>
        <v>163.79999999999976</v>
      </c>
      <c r="U82" s="203">
        <f t="shared" si="41"/>
        <v>166.59999999999977</v>
      </c>
    </row>
    <row r="83" spans="2:24" ht="15.5" x14ac:dyDescent="0.35">
      <c r="B83" s="7" t="s">
        <v>183</v>
      </c>
      <c r="C83" s="307"/>
      <c r="D83" s="307">
        <f>SUM(D77:D82)</f>
        <v>-3460</v>
      </c>
      <c r="E83" s="307">
        <f t="shared" ref="E83:U83" si="42">SUM(E77:E82)</f>
        <v>-5520</v>
      </c>
      <c r="F83" s="307">
        <f t="shared" si="42"/>
        <v>-4570</v>
      </c>
      <c r="G83" s="307">
        <f t="shared" si="42"/>
        <v>1769.6876313665477</v>
      </c>
      <c r="H83" s="307">
        <f t="shared" si="42"/>
        <v>2938.1578023684342</v>
      </c>
      <c r="I83" s="307">
        <f t="shared" si="42"/>
        <v>2858.6143857558673</v>
      </c>
      <c r="J83" s="307">
        <f t="shared" si="42"/>
        <v>2796.3306982858971</v>
      </c>
      <c r="K83" s="307">
        <f t="shared" si="42"/>
        <v>2730.6442949288776</v>
      </c>
      <c r="L83" s="307">
        <f t="shared" si="42"/>
        <v>2651.8508956871883</v>
      </c>
      <c r="M83" s="307">
        <f t="shared" si="42"/>
        <v>2589.8203716975445</v>
      </c>
      <c r="N83" s="307">
        <f t="shared" si="42"/>
        <v>2504.3912482145097</v>
      </c>
      <c r="O83" s="307">
        <f t="shared" si="42"/>
        <v>2428.4221366537722</v>
      </c>
      <c r="P83" s="307">
        <f t="shared" si="42"/>
        <v>2365.6233742635386</v>
      </c>
      <c r="Q83" s="307">
        <f t="shared" si="42"/>
        <v>2297.9230402323401</v>
      </c>
      <c r="R83" s="307">
        <f t="shared" si="42"/>
        <v>2231.0949596703927</v>
      </c>
      <c r="S83" s="307">
        <f t="shared" si="42"/>
        <v>2170.0829314524649</v>
      </c>
      <c r="T83" s="307">
        <f t="shared" si="42"/>
        <v>2094.9931992416005</v>
      </c>
      <c r="U83" s="308">
        <f t="shared" si="42"/>
        <v>2025.3656460999766</v>
      </c>
    </row>
    <row r="84" spans="2:24" ht="15.5" x14ac:dyDescent="0.35">
      <c r="B84" s="7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3"/>
    </row>
    <row r="85" spans="2:24" ht="15.5" x14ac:dyDescent="0.35">
      <c r="B85" s="304" t="s">
        <v>181</v>
      </c>
      <c r="C85" s="202"/>
      <c r="D85" s="202"/>
      <c r="E85" s="202"/>
      <c r="F85" s="202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203"/>
    </row>
    <row r="86" spans="2:24" ht="15.5" x14ac:dyDescent="0.35">
      <c r="B86" s="313" t="s">
        <v>190</v>
      </c>
      <c r="C86" s="202"/>
      <c r="D86" s="202">
        <f>N4</f>
        <v>2420.0000000000005</v>
      </c>
      <c r="E86" s="202">
        <f>O4</f>
        <v>3870.0000000000009</v>
      </c>
      <c r="F86" s="202">
        <f>P4</f>
        <v>3410.0000000000005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>
        <v>0</v>
      </c>
      <c r="T86" s="202">
        <v>0</v>
      </c>
      <c r="U86" s="203">
        <v>0</v>
      </c>
      <c r="W86" s="409">
        <f>SUM(D86:U86)</f>
        <v>9700.0000000000018</v>
      </c>
      <c r="X86" s="332" t="s">
        <v>273</v>
      </c>
    </row>
    <row r="87" spans="2:24" ht="15.5" x14ac:dyDescent="0.35">
      <c r="B87" s="313" t="s">
        <v>241</v>
      </c>
      <c r="C87" s="202"/>
      <c r="D87" s="202">
        <v>0</v>
      </c>
      <c r="E87" s="202">
        <v>0</v>
      </c>
      <c r="F87" s="407">
        <f>-(($D$86+$E$86+$F$86)/36)*1</f>
        <v>-269.44444444444451</v>
      </c>
      <c r="G87" s="407">
        <f t="shared" ref="G87:N87" si="43">-(($D$86+$E$86+$F$86)/36)*4</f>
        <v>-1077.7777777777781</v>
      </c>
      <c r="H87" s="407">
        <f t="shared" si="43"/>
        <v>-1077.7777777777781</v>
      </c>
      <c r="I87" s="407">
        <f t="shared" si="43"/>
        <v>-1077.7777777777781</v>
      </c>
      <c r="J87" s="407">
        <f t="shared" si="43"/>
        <v>-1077.7777777777781</v>
      </c>
      <c r="K87" s="407">
        <f t="shared" si="43"/>
        <v>-1077.7777777777781</v>
      </c>
      <c r="L87" s="407">
        <f t="shared" si="43"/>
        <v>-1077.7777777777781</v>
      </c>
      <c r="M87" s="407">
        <f t="shared" si="43"/>
        <v>-1077.7777777777781</v>
      </c>
      <c r="N87" s="407">
        <f t="shared" si="43"/>
        <v>-1077.7777777777781</v>
      </c>
      <c r="O87" s="407">
        <f>-(($D$86+$E$86+$F$86)/36)*3</f>
        <v>-808.33333333333348</v>
      </c>
      <c r="P87" s="407">
        <f>Loan!P22</f>
        <v>0</v>
      </c>
      <c r="Q87" s="407">
        <f>Loan!Q22</f>
        <v>0</v>
      </c>
      <c r="R87" s="202">
        <v>0</v>
      </c>
      <c r="S87" s="202">
        <v>0</v>
      </c>
      <c r="T87" s="202">
        <v>0</v>
      </c>
      <c r="U87" s="203">
        <v>0</v>
      </c>
      <c r="W87" s="409">
        <f>SUM(D87:U87)</f>
        <v>-9700.0000000000036</v>
      </c>
      <c r="X87" s="332" t="s">
        <v>273</v>
      </c>
    </row>
    <row r="88" spans="2:24" ht="15.5" x14ac:dyDescent="0.35">
      <c r="B88" s="313" t="s">
        <v>186</v>
      </c>
      <c r="C88" s="339"/>
      <c r="D88" s="202">
        <v>0</v>
      </c>
      <c r="E88" s="202">
        <v>0</v>
      </c>
      <c r="F88" s="202">
        <v>0</v>
      </c>
      <c r="G88" s="202">
        <v>930</v>
      </c>
      <c r="H88" s="202">
        <v>10</v>
      </c>
      <c r="I88" s="202">
        <v>20</v>
      </c>
      <c r="J88" s="202">
        <v>20</v>
      </c>
      <c r="K88" s="202">
        <v>10</v>
      </c>
      <c r="L88" s="202">
        <v>20</v>
      </c>
      <c r="M88" s="202">
        <v>20</v>
      </c>
      <c r="N88" s="202">
        <v>20</v>
      </c>
      <c r="O88" s="202">
        <v>20</v>
      </c>
      <c r="P88" s="202">
        <v>20</v>
      </c>
      <c r="Q88" s="202">
        <v>20</v>
      </c>
      <c r="R88" s="202">
        <v>20</v>
      </c>
      <c r="S88" s="202">
        <v>30</v>
      </c>
      <c r="T88" s="202">
        <v>20</v>
      </c>
      <c r="U88" s="203">
        <v>20</v>
      </c>
      <c r="V88" s="284"/>
    </row>
    <row r="89" spans="2:24" ht="15.5" x14ac:dyDescent="0.35">
      <c r="B89" s="313" t="s">
        <v>240</v>
      </c>
      <c r="C89" s="339"/>
      <c r="D89" s="202">
        <v>0</v>
      </c>
      <c r="E89" s="202">
        <v>0</v>
      </c>
      <c r="F89" s="202">
        <v>0</v>
      </c>
      <c r="G89" s="407">
        <f t="shared" ref="G89:U89" si="44">G123</f>
        <v>0</v>
      </c>
      <c r="H89" s="407">
        <f t="shared" si="44"/>
        <v>0</v>
      </c>
      <c r="I89" s="407">
        <f t="shared" si="44"/>
        <v>0</v>
      </c>
      <c r="J89" s="407">
        <f t="shared" si="44"/>
        <v>0</v>
      </c>
      <c r="K89" s="407">
        <f t="shared" si="44"/>
        <v>0</v>
      </c>
      <c r="L89" s="407">
        <f t="shared" si="44"/>
        <v>0</v>
      </c>
      <c r="M89" s="407">
        <f t="shared" si="44"/>
        <v>0</v>
      </c>
      <c r="N89" s="407">
        <f t="shared" si="44"/>
        <v>0</v>
      </c>
      <c r="O89" s="407">
        <f t="shared" si="44"/>
        <v>0</v>
      </c>
      <c r="P89" s="407">
        <f t="shared" si="44"/>
        <v>0</v>
      </c>
      <c r="Q89" s="407">
        <f t="shared" si="44"/>
        <v>0</v>
      </c>
      <c r="R89" s="407">
        <f t="shared" si="44"/>
        <v>0</v>
      </c>
      <c r="S89" s="407">
        <f t="shared" si="44"/>
        <v>0</v>
      </c>
      <c r="T89" s="407">
        <f t="shared" si="44"/>
        <v>0</v>
      </c>
      <c r="U89" s="417">
        <f t="shared" si="44"/>
        <v>0</v>
      </c>
      <c r="V89" s="284"/>
    </row>
    <row r="90" spans="2:24" ht="15.5" x14ac:dyDescent="0.35">
      <c r="B90" s="313" t="s">
        <v>145</v>
      </c>
      <c r="C90" s="202"/>
      <c r="D90" s="407">
        <f>-D117</f>
        <v>-42.45000000000001</v>
      </c>
      <c r="E90" s="407">
        <f>-E117</f>
        <v>-8.5250000000000021</v>
      </c>
      <c r="F90" s="407">
        <f>-F117</f>
        <v>0</v>
      </c>
      <c r="G90" s="202">
        <f t="shared" ref="G90:U90" si="45">-G82</f>
        <v>-1375.0333333333338</v>
      </c>
      <c r="H90" s="202">
        <f t="shared" si="45"/>
        <v>-1224.8444444444449</v>
      </c>
      <c r="I90" s="202">
        <f t="shared" si="45"/>
        <v>-1076.0555555555557</v>
      </c>
      <c r="J90" s="202">
        <f t="shared" si="45"/>
        <v>-927.96666666666692</v>
      </c>
      <c r="K90" s="202">
        <f t="shared" si="45"/>
        <v>-779.17777777777769</v>
      </c>
      <c r="L90" s="202">
        <f t="shared" si="45"/>
        <v>-630.3888888888888</v>
      </c>
      <c r="M90" s="202">
        <f t="shared" si="45"/>
        <v>-482.29999999999984</v>
      </c>
      <c r="N90" s="202">
        <f t="shared" si="45"/>
        <v>-334.21111111111099</v>
      </c>
      <c r="O90" s="202">
        <f t="shared" si="45"/>
        <v>-204.98333333333309</v>
      </c>
      <c r="P90" s="202">
        <f t="shared" si="45"/>
        <v>-151.19999999999976</v>
      </c>
      <c r="Q90" s="202">
        <f t="shared" si="45"/>
        <v>-153.99999999999977</v>
      </c>
      <c r="R90" s="202">
        <f t="shared" si="45"/>
        <v>-156.79999999999976</v>
      </c>
      <c r="S90" s="202">
        <f t="shared" si="45"/>
        <v>-160.29999999999976</v>
      </c>
      <c r="T90" s="202">
        <f t="shared" si="45"/>
        <v>-163.79999999999976</v>
      </c>
      <c r="U90" s="203">
        <f t="shared" si="45"/>
        <v>-166.59999999999977</v>
      </c>
    </row>
    <row r="91" spans="2:24" ht="15.5" x14ac:dyDescent="0.35">
      <c r="B91" s="313" t="s">
        <v>303</v>
      </c>
      <c r="C91" s="202"/>
      <c r="D91" s="407">
        <f>-D90</f>
        <v>42.45000000000001</v>
      </c>
      <c r="E91" s="407">
        <f>-E90</f>
        <v>8.5250000000000021</v>
      </c>
      <c r="F91" s="407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3"/>
    </row>
    <row r="92" spans="2:24" ht="15.5" x14ac:dyDescent="0.35">
      <c r="B92" s="313" t="s">
        <v>191</v>
      </c>
      <c r="C92" s="202"/>
      <c r="D92" s="202">
        <f>N6</f>
        <v>1039.9999999999998</v>
      </c>
      <c r="E92" s="202">
        <f>O6</f>
        <v>1649.9999999999995</v>
      </c>
      <c r="F92" s="202">
        <f>P6</f>
        <v>1469.9999999999998</v>
      </c>
      <c r="G92" s="202">
        <v>0</v>
      </c>
      <c r="H92" s="202">
        <v>0</v>
      </c>
      <c r="I92" s="202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>
        <v>0</v>
      </c>
      <c r="T92" s="202">
        <v>0</v>
      </c>
      <c r="U92" s="203">
        <v>0</v>
      </c>
    </row>
    <row r="93" spans="2:24" ht="15.5" x14ac:dyDescent="0.35">
      <c r="B93" s="313" t="s">
        <v>255</v>
      </c>
      <c r="C93" s="202"/>
      <c r="D93" s="202">
        <v>0</v>
      </c>
      <c r="E93" s="202">
        <v>0</v>
      </c>
      <c r="F93" s="202">
        <v>0</v>
      </c>
      <c r="G93" s="202">
        <f t="shared" ref="G93:U93" si="46">G134</f>
        <v>-85.691557351416435</v>
      </c>
      <c r="H93" s="202">
        <f t="shared" si="46"/>
        <v>-84.696663584203762</v>
      </c>
      <c r="I93" s="202">
        <f t="shared" si="46"/>
        <v>-88.460756109147766</v>
      </c>
      <c r="J93" s="202">
        <f t="shared" si="46"/>
        <v>-87.55753967698142</v>
      </c>
      <c r="K93" s="202">
        <f t="shared" si="46"/>
        <v>-93.900383025977121</v>
      </c>
      <c r="L93" s="202">
        <f t="shared" si="46"/>
        <v>-97.081419032913118</v>
      </c>
      <c r="M93" s="202">
        <f t="shared" si="46"/>
        <v>-96.252775695254201</v>
      </c>
      <c r="N93" s="202">
        <f t="shared" si="46"/>
        <v>-102.04897945988685</v>
      </c>
      <c r="O93" s="202">
        <f t="shared" si="46"/>
        <v>-103.13362855137704</v>
      </c>
      <c r="P93" s="202">
        <f t="shared" si="46"/>
        <v>-85.857135778760522</v>
      </c>
      <c r="Q93" s="202">
        <f t="shared" si="46"/>
        <v>-101.20377689285188</v>
      </c>
      <c r="R93" s="202">
        <f t="shared" si="46"/>
        <v>-91.930866735079206</v>
      </c>
      <c r="S93" s="202">
        <f t="shared" si="46"/>
        <v>-107.65799596638993</v>
      </c>
      <c r="T93" s="202">
        <f t="shared" si="46"/>
        <v>-99.447554204241115</v>
      </c>
      <c r="U93" s="203">
        <f t="shared" si="46"/>
        <v>-97.376558152333189</v>
      </c>
    </row>
    <row r="94" spans="2:24" ht="15.5" x14ac:dyDescent="0.35">
      <c r="B94" s="7" t="s">
        <v>182</v>
      </c>
      <c r="C94" s="202"/>
      <c r="D94" s="307">
        <f>SUM(D86:D93)</f>
        <v>3460</v>
      </c>
      <c r="E94" s="307">
        <f t="shared" ref="E94:U94" si="47">SUM(E86:E93)</f>
        <v>5520</v>
      </c>
      <c r="F94" s="307">
        <f t="shared" si="47"/>
        <v>4610.5555555555557</v>
      </c>
      <c r="G94" s="307">
        <f t="shared" si="47"/>
        <v>-1608.5026684625282</v>
      </c>
      <c r="H94" s="307">
        <f t="shared" si="47"/>
        <v>-2377.3188858064268</v>
      </c>
      <c r="I94" s="307">
        <f t="shared" si="47"/>
        <v>-2222.2940894424819</v>
      </c>
      <c r="J94" s="307">
        <f t="shared" si="47"/>
        <v>-2073.3019841214264</v>
      </c>
      <c r="K94" s="307">
        <f t="shared" si="47"/>
        <v>-1940.8559385815329</v>
      </c>
      <c r="L94" s="307">
        <f t="shared" si="47"/>
        <v>-1785.2480856995801</v>
      </c>
      <c r="M94" s="307">
        <f t="shared" si="47"/>
        <v>-1636.3305534730323</v>
      </c>
      <c r="N94" s="307">
        <f t="shared" si="47"/>
        <v>-1494.0378683487759</v>
      </c>
      <c r="O94" s="307">
        <f t="shared" si="47"/>
        <v>-1096.4502952180437</v>
      </c>
      <c r="P94" s="307">
        <f t="shared" si="47"/>
        <v>-217.05713577876028</v>
      </c>
      <c r="Q94" s="307">
        <f t="shared" si="47"/>
        <v>-235.20377689285164</v>
      </c>
      <c r="R94" s="307">
        <f t="shared" si="47"/>
        <v>-228.73086673507896</v>
      </c>
      <c r="S94" s="307">
        <f t="shared" si="47"/>
        <v>-237.95799596638969</v>
      </c>
      <c r="T94" s="307">
        <f t="shared" si="47"/>
        <v>-243.24755420424088</v>
      </c>
      <c r="U94" s="308">
        <f t="shared" si="47"/>
        <v>-243.97655815233296</v>
      </c>
    </row>
    <row r="95" spans="2:24" ht="15.5" x14ac:dyDescent="0.35">
      <c r="B95" s="7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3"/>
    </row>
    <row r="96" spans="2:24" ht="15.5" x14ac:dyDescent="0.35">
      <c r="B96" s="7" t="s">
        <v>179</v>
      </c>
      <c r="C96" s="202"/>
      <c r="D96" s="186">
        <f>D83+D94</f>
        <v>0</v>
      </c>
      <c r="E96" s="186">
        <f t="shared" ref="E96:U96" si="48">E83+E94</f>
        <v>0</v>
      </c>
      <c r="F96" s="186">
        <f t="shared" si="48"/>
        <v>40.555555555555657</v>
      </c>
      <c r="G96" s="186">
        <f t="shared" si="48"/>
        <v>161.18496290401959</v>
      </c>
      <c r="H96" s="186">
        <f t="shared" si="48"/>
        <v>560.8389165620074</v>
      </c>
      <c r="I96" s="186">
        <f t="shared" si="48"/>
        <v>636.32029631338537</v>
      </c>
      <c r="J96" s="186">
        <f t="shared" si="48"/>
        <v>723.02871416447078</v>
      </c>
      <c r="K96" s="186">
        <f t="shared" si="48"/>
        <v>789.78835634734469</v>
      </c>
      <c r="L96" s="186">
        <f t="shared" si="48"/>
        <v>866.60280998760823</v>
      </c>
      <c r="M96" s="186">
        <f t="shared" si="48"/>
        <v>953.48981822451219</v>
      </c>
      <c r="N96" s="186">
        <f t="shared" si="48"/>
        <v>1010.3533798657338</v>
      </c>
      <c r="O96" s="186">
        <f t="shared" si="48"/>
        <v>1331.9718414357285</v>
      </c>
      <c r="P96" s="186">
        <f t="shared" si="48"/>
        <v>2148.5662384847783</v>
      </c>
      <c r="Q96" s="186">
        <f t="shared" si="48"/>
        <v>2062.7192633394884</v>
      </c>
      <c r="R96" s="186">
        <f t="shared" si="48"/>
        <v>2002.3640929353137</v>
      </c>
      <c r="S96" s="186">
        <f t="shared" si="48"/>
        <v>1932.1249354860752</v>
      </c>
      <c r="T96" s="186">
        <f t="shared" si="48"/>
        <v>1851.7456450373595</v>
      </c>
      <c r="U96" s="308">
        <f t="shared" si="48"/>
        <v>1781.3890879476437</v>
      </c>
    </row>
    <row r="97" spans="1:21" ht="15.5" x14ac:dyDescent="0.35">
      <c r="B97" s="7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8" spans="1:21" ht="15.5" x14ac:dyDescent="0.35">
      <c r="B98" s="7" t="s">
        <v>177</v>
      </c>
      <c r="C98" s="202"/>
      <c r="D98" s="307">
        <v>0</v>
      </c>
      <c r="E98" s="307">
        <f t="shared" ref="E98:U98" si="49">D99</f>
        <v>0</v>
      </c>
      <c r="F98" s="307">
        <f t="shared" si="49"/>
        <v>0</v>
      </c>
      <c r="G98" s="307">
        <f t="shared" si="49"/>
        <v>40.555555555555657</v>
      </c>
      <c r="H98" s="307">
        <f t="shared" si="49"/>
        <v>201.74051845957524</v>
      </c>
      <c r="I98" s="307">
        <f t="shared" si="49"/>
        <v>762.57943502158264</v>
      </c>
      <c r="J98" s="307">
        <f t="shared" si="49"/>
        <v>1398.899731334968</v>
      </c>
      <c r="K98" s="307">
        <f t="shared" si="49"/>
        <v>2121.9284454994386</v>
      </c>
      <c r="L98" s="307">
        <f t="shared" si="49"/>
        <v>2911.7168018467833</v>
      </c>
      <c r="M98" s="307">
        <f t="shared" si="49"/>
        <v>3778.3196118343913</v>
      </c>
      <c r="N98" s="307">
        <f t="shared" si="49"/>
        <v>4731.8094300589037</v>
      </c>
      <c r="O98" s="307">
        <f t="shared" si="49"/>
        <v>5742.1628099246373</v>
      </c>
      <c r="P98" s="307">
        <f t="shared" si="49"/>
        <v>7074.1346513603658</v>
      </c>
      <c r="Q98" s="307">
        <f t="shared" si="49"/>
        <v>9222.700889845144</v>
      </c>
      <c r="R98" s="307">
        <f t="shared" si="49"/>
        <v>11285.420153184632</v>
      </c>
      <c r="S98" s="307">
        <f t="shared" si="49"/>
        <v>13287.784246119945</v>
      </c>
      <c r="T98" s="307">
        <f t="shared" si="49"/>
        <v>15219.909181606021</v>
      </c>
      <c r="U98" s="308">
        <f t="shared" si="49"/>
        <v>17071.654826643382</v>
      </c>
    </row>
    <row r="99" spans="1:21" ht="15.5" x14ac:dyDescent="0.35">
      <c r="B99" s="7" t="s">
        <v>178</v>
      </c>
      <c r="C99" s="202"/>
      <c r="D99" s="307">
        <f t="shared" ref="D99:U99" si="50">D96+D98</f>
        <v>0</v>
      </c>
      <c r="E99" s="307">
        <f t="shared" si="50"/>
        <v>0</v>
      </c>
      <c r="F99" s="307">
        <f t="shared" si="50"/>
        <v>40.555555555555657</v>
      </c>
      <c r="G99" s="307">
        <f t="shared" si="50"/>
        <v>201.74051845957524</v>
      </c>
      <c r="H99" s="307">
        <f t="shared" si="50"/>
        <v>762.57943502158264</v>
      </c>
      <c r="I99" s="307">
        <f t="shared" si="50"/>
        <v>1398.899731334968</v>
      </c>
      <c r="J99" s="307">
        <f t="shared" si="50"/>
        <v>2121.9284454994386</v>
      </c>
      <c r="K99" s="307">
        <f t="shared" si="50"/>
        <v>2911.7168018467833</v>
      </c>
      <c r="L99" s="307">
        <f t="shared" si="50"/>
        <v>3778.3196118343913</v>
      </c>
      <c r="M99" s="307">
        <f t="shared" si="50"/>
        <v>4731.8094300589037</v>
      </c>
      <c r="N99" s="307">
        <f t="shared" si="50"/>
        <v>5742.1628099246373</v>
      </c>
      <c r="O99" s="307">
        <f t="shared" si="50"/>
        <v>7074.1346513603658</v>
      </c>
      <c r="P99" s="307">
        <f t="shared" si="50"/>
        <v>9222.700889845144</v>
      </c>
      <c r="Q99" s="307">
        <f t="shared" si="50"/>
        <v>11285.420153184632</v>
      </c>
      <c r="R99" s="307">
        <f t="shared" si="50"/>
        <v>13287.784246119945</v>
      </c>
      <c r="S99" s="307">
        <f t="shared" si="50"/>
        <v>15219.909181606021</v>
      </c>
      <c r="T99" s="307">
        <f t="shared" si="50"/>
        <v>17071.654826643382</v>
      </c>
      <c r="U99" s="308">
        <f t="shared" si="50"/>
        <v>18853.043914591024</v>
      </c>
    </row>
    <row r="100" spans="1:21" x14ac:dyDescent="0.35">
      <c r="A100" s="332"/>
      <c r="B100" s="329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</row>
    <row r="101" spans="1:21" x14ac:dyDescent="0.35">
      <c r="B101" s="15"/>
      <c r="C101" s="16"/>
      <c r="D101" s="17"/>
      <c r="E101" s="17"/>
      <c r="F101" s="17"/>
      <c r="G101" s="13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5.5" x14ac:dyDescent="0.35">
      <c r="B102" s="315" t="s">
        <v>193</v>
      </c>
      <c r="C102" s="414">
        <v>2009</v>
      </c>
      <c r="D102" s="414">
        <v>2010</v>
      </c>
      <c r="E102" s="414">
        <v>2011</v>
      </c>
      <c r="F102" s="414">
        <v>2012</v>
      </c>
      <c r="G102" s="414">
        <v>2013</v>
      </c>
      <c r="H102" s="414">
        <v>2014</v>
      </c>
      <c r="I102" s="414">
        <v>2015</v>
      </c>
      <c r="J102" s="414">
        <v>2016</v>
      </c>
      <c r="K102" s="414">
        <v>2017</v>
      </c>
      <c r="L102" s="414">
        <v>2018</v>
      </c>
      <c r="M102" s="414">
        <v>2019</v>
      </c>
      <c r="N102" s="414">
        <v>2020</v>
      </c>
      <c r="O102" s="414">
        <v>2021</v>
      </c>
      <c r="P102" s="414">
        <v>2022</v>
      </c>
      <c r="Q102" s="414">
        <v>2023</v>
      </c>
      <c r="R102" s="414">
        <v>2024</v>
      </c>
      <c r="S102" s="414">
        <v>2025</v>
      </c>
      <c r="T102" s="414">
        <v>2026</v>
      </c>
      <c r="U102" s="414">
        <v>2027</v>
      </c>
    </row>
    <row r="103" spans="1:21" ht="6.25" customHeight="1" x14ac:dyDescent="0.35">
      <c r="B103" s="315"/>
      <c r="C103" s="16"/>
      <c r="D103" s="17"/>
      <c r="E103" s="17"/>
      <c r="F103" s="17"/>
    </row>
    <row r="104" spans="1:21" x14ac:dyDescent="0.35">
      <c r="B104" s="314" t="s">
        <v>232</v>
      </c>
      <c r="C104" s="16"/>
      <c r="D104" s="17"/>
      <c r="E104" s="17"/>
      <c r="F104" s="17"/>
      <c r="G104" s="13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35">
      <c r="B105" s="316" t="s">
        <v>57</v>
      </c>
      <c r="C105" s="317"/>
      <c r="D105" s="319">
        <v>0</v>
      </c>
      <c r="E105" s="319">
        <v>0</v>
      </c>
      <c r="F105" s="319">
        <v>0</v>
      </c>
      <c r="G105" s="319">
        <f t="shared" ref="G105:U105" si="51">G21*G106</f>
        <v>1240</v>
      </c>
      <c r="H105" s="319">
        <f t="shared" si="51"/>
        <v>1250</v>
      </c>
      <c r="I105" s="319">
        <f t="shared" si="51"/>
        <v>1280</v>
      </c>
      <c r="J105" s="319">
        <f t="shared" si="51"/>
        <v>1300</v>
      </c>
      <c r="K105" s="319">
        <f t="shared" si="51"/>
        <v>1320</v>
      </c>
      <c r="L105" s="319">
        <f t="shared" si="51"/>
        <v>1350</v>
      </c>
      <c r="M105" s="319">
        <f t="shared" si="51"/>
        <v>1370</v>
      </c>
      <c r="N105" s="319">
        <f t="shared" si="51"/>
        <v>1400</v>
      </c>
      <c r="O105" s="319">
        <f t="shared" si="51"/>
        <v>1430</v>
      </c>
      <c r="P105" s="319">
        <f t="shared" si="51"/>
        <v>1450</v>
      </c>
      <c r="Q105" s="319">
        <f t="shared" si="51"/>
        <v>1480</v>
      </c>
      <c r="R105" s="319">
        <f t="shared" si="51"/>
        <v>1510</v>
      </c>
      <c r="S105" s="319">
        <f t="shared" si="51"/>
        <v>1540</v>
      </c>
      <c r="T105" s="319">
        <f t="shared" si="51"/>
        <v>1570</v>
      </c>
      <c r="U105" s="319">
        <f t="shared" si="51"/>
        <v>1600</v>
      </c>
    </row>
    <row r="106" spans="1:21" x14ac:dyDescent="0.35">
      <c r="B106" s="316" t="s">
        <v>192</v>
      </c>
      <c r="C106" s="317"/>
      <c r="D106" s="324"/>
      <c r="E106" s="324"/>
      <c r="F106" s="324"/>
      <c r="G106" s="325">
        <v>0.1848472922853088</v>
      </c>
      <c r="H106" s="325">
        <v>0.18449306559935805</v>
      </c>
      <c r="I106" s="325">
        <v>0.18705039522152736</v>
      </c>
      <c r="J106" s="325">
        <v>0.18809213628402349</v>
      </c>
      <c r="K106" s="325">
        <v>0.18909491233428105</v>
      </c>
      <c r="L106" s="325">
        <v>0.19147774651311086</v>
      </c>
      <c r="M106" s="325">
        <v>0.19239054838501055</v>
      </c>
      <c r="N106" s="325">
        <v>0.19465691099155508</v>
      </c>
      <c r="O106" s="325">
        <v>0.19685953516119076</v>
      </c>
      <c r="P106" s="325">
        <v>0.1976364508645895</v>
      </c>
      <c r="Q106" s="325">
        <v>0.19972819889354212</v>
      </c>
      <c r="R106" s="325">
        <v>0.20175915194624608</v>
      </c>
      <c r="S106" s="325">
        <v>0.2037303088303842</v>
      </c>
      <c r="T106" s="325">
        <v>0.20564265453497699</v>
      </c>
      <c r="U106" s="325">
        <v>0.20749716040610655</v>
      </c>
    </row>
    <row r="107" spans="1:21" x14ac:dyDescent="0.35">
      <c r="B107" s="316"/>
      <c r="C107" s="317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</row>
    <row r="108" spans="1:21" x14ac:dyDescent="0.35">
      <c r="B108" s="314" t="s">
        <v>294</v>
      </c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</row>
    <row r="109" spans="1:21" x14ac:dyDescent="0.35">
      <c r="B109" s="316" t="s">
        <v>295</v>
      </c>
      <c r="C109" s="317"/>
      <c r="D109" s="321">
        <v>0</v>
      </c>
      <c r="E109" s="321">
        <f>D112</f>
        <v>2420.0000000000005</v>
      </c>
      <c r="F109" s="321">
        <f>E112</f>
        <v>6290.0000000000018</v>
      </c>
      <c r="G109" s="321">
        <f t="shared" ref="G109:U109" si="52">F112</f>
        <v>9430.5555555555566</v>
      </c>
      <c r="H109" s="321">
        <f t="shared" si="52"/>
        <v>8352.7777777777792</v>
      </c>
      <c r="I109" s="321">
        <f t="shared" si="52"/>
        <v>7275.0000000000009</v>
      </c>
      <c r="J109" s="321">
        <f t="shared" si="52"/>
        <v>6197.2222222222226</v>
      </c>
      <c r="K109" s="321">
        <f t="shared" si="52"/>
        <v>5119.4444444444443</v>
      </c>
      <c r="L109" s="321">
        <f t="shared" si="52"/>
        <v>4041.6666666666661</v>
      </c>
      <c r="M109" s="321">
        <f t="shared" si="52"/>
        <v>2963.8888888888878</v>
      </c>
      <c r="N109" s="321">
        <f t="shared" si="52"/>
        <v>1886.1111111111097</v>
      </c>
      <c r="O109" s="321">
        <f t="shared" si="52"/>
        <v>808.33333333333167</v>
      </c>
      <c r="P109" s="321">
        <f t="shared" si="52"/>
        <v>-1.8189894035458565E-12</v>
      </c>
      <c r="Q109" s="321">
        <f t="shared" si="52"/>
        <v>-1.8189894035458565E-12</v>
      </c>
      <c r="R109" s="321">
        <f t="shared" si="52"/>
        <v>-1.8189894035458565E-12</v>
      </c>
      <c r="S109" s="321">
        <f t="shared" si="52"/>
        <v>-1.8189894035458565E-12</v>
      </c>
      <c r="T109" s="321">
        <f t="shared" si="52"/>
        <v>-1.8189894035458565E-12</v>
      </c>
      <c r="U109" s="321">
        <f t="shared" si="52"/>
        <v>-1.8189894035458565E-12</v>
      </c>
    </row>
    <row r="110" spans="1:21" x14ac:dyDescent="0.35">
      <c r="B110" s="316" t="s">
        <v>296</v>
      </c>
      <c r="D110" s="321">
        <f>N4</f>
        <v>2420.0000000000005</v>
      </c>
      <c r="E110" s="321">
        <f>O4</f>
        <v>3870.0000000000009</v>
      </c>
      <c r="F110" s="321">
        <f>P4</f>
        <v>3410.0000000000005</v>
      </c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</row>
    <row r="111" spans="1:21" x14ac:dyDescent="0.35">
      <c r="B111" s="316" t="s">
        <v>297</v>
      </c>
      <c r="C111" s="317"/>
      <c r="D111" s="321">
        <v>0</v>
      </c>
      <c r="E111" s="321">
        <v>0</v>
      </c>
      <c r="F111" s="321">
        <f t="shared" ref="F111:U111" si="53">F87</f>
        <v>-269.44444444444451</v>
      </c>
      <c r="G111" s="321">
        <f t="shared" si="53"/>
        <v>-1077.7777777777781</v>
      </c>
      <c r="H111" s="321">
        <f t="shared" si="53"/>
        <v>-1077.7777777777781</v>
      </c>
      <c r="I111" s="321">
        <f t="shared" si="53"/>
        <v>-1077.7777777777781</v>
      </c>
      <c r="J111" s="321">
        <f t="shared" si="53"/>
        <v>-1077.7777777777781</v>
      </c>
      <c r="K111" s="321">
        <f t="shared" si="53"/>
        <v>-1077.7777777777781</v>
      </c>
      <c r="L111" s="321">
        <f t="shared" si="53"/>
        <v>-1077.7777777777781</v>
      </c>
      <c r="M111" s="321">
        <f t="shared" si="53"/>
        <v>-1077.7777777777781</v>
      </c>
      <c r="N111" s="321">
        <f t="shared" si="53"/>
        <v>-1077.7777777777781</v>
      </c>
      <c r="O111" s="321">
        <f t="shared" si="53"/>
        <v>-808.33333333333348</v>
      </c>
      <c r="P111" s="321">
        <f t="shared" si="53"/>
        <v>0</v>
      </c>
      <c r="Q111" s="321">
        <f t="shared" si="53"/>
        <v>0</v>
      </c>
      <c r="R111" s="321">
        <f t="shared" si="53"/>
        <v>0</v>
      </c>
      <c r="S111" s="321">
        <f t="shared" si="53"/>
        <v>0</v>
      </c>
      <c r="T111" s="321">
        <f t="shared" si="53"/>
        <v>0</v>
      </c>
      <c r="U111" s="321">
        <f t="shared" si="53"/>
        <v>0</v>
      </c>
    </row>
    <row r="112" spans="1:21" x14ac:dyDescent="0.35">
      <c r="B112" s="316" t="s">
        <v>298</v>
      </c>
      <c r="C112" s="317"/>
      <c r="D112" s="321">
        <f>D109+D110+D111</f>
        <v>2420.0000000000005</v>
      </c>
      <c r="E112" s="321">
        <f>E109+E110+E111</f>
        <v>6290.0000000000018</v>
      </c>
      <c r="F112" s="321">
        <f>F109+F110+F111</f>
        <v>9430.5555555555566</v>
      </c>
      <c r="G112" s="321">
        <f t="shared" ref="G112:U112" si="54">G109+G110+G111</f>
        <v>8352.7777777777792</v>
      </c>
      <c r="H112" s="321">
        <f t="shared" si="54"/>
        <v>7275.0000000000009</v>
      </c>
      <c r="I112" s="321">
        <f t="shared" si="54"/>
        <v>6197.2222222222226</v>
      </c>
      <c r="J112" s="321">
        <f t="shared" si="54"/>
        <v>5119.4444444444443</v>
      </c>
      <c r="K112" s="321">
        <f t="shared" si="54"/>
        <v>4041.6666666666661</v>
      </c>
      <c r="L112" s="321">
        <f t="shared" si="54"/>
        <v>2963.8888888888878</v>
      </c>
      <c r="M112" s="321">
        <f t="shared" si="54"/>
        <v>1886.1111111111097</v>
      </c>
      <c r="N112" s="321">
        <f t="shared" si="54"/>
        <v>808.33333333333167</v>
      </c>
      <c r="O112" s="321">
        <f t="shared" si="54"/>
        <v>-1.8189894035458565E-12</v>
      </c>
      <c r="P112" s="321">
        <f t="shared" si="54"/>
        <v>-1.8189894035458565E-12</v>
      </c>
      <c r="Q112" s="321">
        <f t="shared" si="54"/>
        <v>-1.8189894035458565E-12</v>
      </c>
      <c r="R112" s="321">
        <f t="shared" si="54"/>
        <v>-1.8189894035458565E-12</v>
      </c>
      <c r="S112" s="321">
        <f t="shared" si="54"/>
        <v>-1.8189894035458565E-12</v>
      </c>
      <c r="T112" s="321">
        <f t="shared" si="54"/>
        <v>-1.8189894035458565E-12</v>
      </c>
      <c r="U112" s="321">
        <f t="shared" si="54"/>
        <v>-1.8189894035458565E-12</v>
      </c>
    </row>
    <row r="113" spans="2:21" x14ac:dyDescent="0.35">
      <c r="B113" s="329" t="s">
        <v>185</v>
      </c>
      <c r="C113" s="317"/>
      <c r="D113" s="440">
        <f>D59-D112</f>
        <v>0</v>
      </c>
      <c r="E113" s="440">
        <f t="shared" ref="E113:U113" si="55">E59-E112</f>
        <v>0</v>
      </c>
      <c r="F113" s="440">
        <f t="shared" si="55"/>
        <v>0</v>
      </c>
      <c r="G113" s="440">
        <f t="shared" si="55"/>
        <v>0</v>
      </c>
      <c r="H113" s="440">
        <f t="shared" si="55"/>
        <v>0</v>
      </c>
      <c r="I113" s="440">
        <f t="shared" si="55"/>
        <v>0</v>
      </c>
      <c r="J113" s="440">
        <f t="shared" si="55"/>
        <v>0</v>
      </c>
      <c r="K113" s="440">
        <f t="shared" si="55"/>
        <v>0</v>
      </c>
      <c r="L113" s="440">
        <f t="shared" si="55"/>
        <v>0</v>
      </c>
      <c r="M113" s="440">
        <f t="shared" si="55"/>
        <v>0</v>
      </c>
      <c r="N113" s="440">
        <f t="shared" si="55"/>
        <v>0</v>
      </c>
      <c r="O113" s="440">
        <f t="shared" si="55"/>
        <v>0</v>
      </c>
      <c r="P113" s="440">
        <f t="shared" si="55"/>
        <v>0</v>
      </c>
      <c r="Q113" s="440">
        <f t="shared" si="55"/>
        <v>0</v>
      </c>
      <c r="R113" s="440">
        <f t="shared" si="55"/>
        <v>0</v>
      </c>
      <c r="S113" s="440">
        <f t="shared" si="55"/>
        <v>0</v>
      </c>
      <c r="T113" s="440">
        <f t="shared" si="55"/>
        <v>0</v>
      </c>
      <c r="U113" s="440">
        <f t="shared" si="55"/>
        <v>0</v>
      </c>
    </row>
    <row r="114" spans="2:21" x14ac:dyDescent="0.35">
      <c r="B114" s="316"/>
      <c r="C114" s="317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</row>
    <row r="115" spans="2:21" x14ac:dyDescent="0.35">
      <c r="B115" s="316" t="s">
        <v>300</v>
      </c>
      <c r="C115" s="430">
        <v>2.5000000000000001E-3</v>
      </c>
      <c r="D115" s="321">
        <f>(D110+E110+F110)*C115</f>
        <v>24.250000000000004</v>
      </c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</row>
    <row r="116" spans="2:21" ht="15" thickBot="1" x14ac:dyDescent="0.4">
      <c r="B116" s="316" t="s">
        <v>299</v>
      </c>
      <c r="C116" s="430">
        <v>2.5000000000000001E-3</v>
      </c>
      <c r="D116" s="442">
        <f>(E110+F110)*C116</f>
        <v>18.200000000000006</v>
      </c>
      <c r="E116" s="442">
        <f>F110*C116</f>
        <v>8.5250000000000021</v>
      </c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</row>
    <row r="117" spans="2:21" ht="15" thickTop="1" x14ac:dyDescent="0.35">
      <c r="B117" s="316" t="s">
        <v>301</v>
      </c>
      <c r="C117" s="317"/>
      <c r="D117" s="321">
        <f>D115+D116</f>
        <v>42.45000000000001</v>
      </c>
      <c r="E117" s="321">
        <f>E115+E116</f>
        <v>8.5250000000000021</v>
      </c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</row>
    <row r="118" spans="2:21" x14ac:dyDescent="0.35">
      <c r="B118" s="316"/>
      <c r="C118" s="317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</row>
    <row r="119" spans="2:21" x14ac:dyDescent="0.35">
      <c r="B119" s="314" t="s">
        <v>274</v>
      </c>
      <c r="C119" s="16"/>
      <c r="D119" s="17"/>
      <c r="E119" s="17"/>
      <c r="F119" s="17"/>
      <c r="G119" s="13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2:21" x14ac:dyDescent="0.35">
      <c r="B120" s="316" t="s">
        <v>275</v>
      </c>
      <c r="C120" s="317"/>
      <c r="D120" s="319">
        <v>0</v>
      </c>
      <c r="E120" s="319">
        <v>0</v>
      </c>
      <c r="F120" s="319">
        <v>0</v>
      </c>
      <c r="G120" s="319">
        <v>0</v>
      </c>
      <c r="H120" s="319">
        <f>G124</f>
        <v>930</v>
      </c>
      <c r="I120" s="319">
        <f t="shared" ref="I120:U120" si="56">H124</f>
        <v>940</v>
      </c>
      <c r="J120" s="319">
        <f t="shared" si="56"/>
        <v>960</v>
      </c>
      <c r="K120" s="319">
        <f t="shared" si="56"/>
        <v>980</v>
      </c>
      <c r="L120" s="319">
        <f t="shared" si="56"/>
        <v>990</v>
      </c>
      <c r="M120" s="319">
        <f t="shared" si="56"/>
        <v>1010</v>
      </c>
      <c r="N120" s="319">
        <f t="shared" si="56"/>
        <v>1030</v>
      </c>
      <c r="O120" s="319">
        <f t="shared" si="56"/>
        <v>1050</v>
      </c>
      <c r="P120" s="319">
        <f t="shared" si="56"/>
        <v>1070</v>
      </c>
      <c r="Q120" s="319">
        <f t="shared" si="56"/>
        <v>1090</v>
      </c>
      <c r="R120" s="319">
        <f t="shared" si="56"/>
        <v>1110</v>
      </c>
      <c r="S120" s="319">
        <f t="shared" si="56"/>
        <v>1130</v>
      </c>
      <c r="T120" s="319">
        <f t="shared" si="56"/>
        <v>1160</v>
      </c>
      <c r="U120" s="319">
        <f t="shared" si="56"/>
        <v>1180</v>
      </c>
    </row>
    <row r="121" spans="2:21" x14ac:dyDescent="0.35">
      <c r="B121" s="316" t="s">
        <v>276</v>
      </c>
      <c r="C121" s="317"/>
      <c r="D121" s="319">
        <v>0</v>
      </c>
      <c r="E121" s="319">
        <v>0</v>
      </c>
      <c r="F121" s="319">
        <v>0</v>
      </c>
      <c r="G121" s="319">
        <f t="shared" ref="G121:U121" si="57">(G105-F105)*G122</f>
        <v>930</v>
      </c>
      <c r="H121" s="319">
        <f t="shared" si="57"/>
        <v>10</v>
      </c>
      <c r="I121" s="319">
        <f t="shared" si="57"/>
        <v>20</v>
      </c>
      <c r="J121" s="319">
        <f t="shared" si="57"/>
        <v>20</v>
      </c>
      <c r="K121" s="319">
        <f t="shared" si="57"/>
        <v>10</v>
      </c>
      <c r="L121" s="319">
        <f t="shared" si="57"/>
        <v>20</v>
      </c>
      <c r="M121" s="319">
        <f t="shared" si="57"/>
        <v>20</v>
      </c>
      <c r="N121" s="319">
        <f t="shared" si="57"/>
        <v>20</v>
      </c>
      <c r="O121" s="319">
        <f t="shared" si="57"/>
        <v>20</v>
      </c>
      <c r="P121" s="319">
        <f t="shared" si="57"/>
        <v>20</v>
      </c>
      <c r="Q121" s="319">
        <f t="shared" si="57"/>
        <v>20</v>
      </c>
      <c r="R121" s="319">
        <f t="shared" si="57"/>
        <v>20</v>
      </c>
      <c r="S121" s="319">
        <f t="shared" si="57"/>
        <v>30</v>
      </c>
      <c r="T121" s="319">
        <f t="shared" si="57"/>
        <v>20</v>
      </c>
      <c r="U121" s="319">
        <f t="shared" si="57"/>
        <v>20</v>
      </c>
    </row>
    <row r="122" spans="2:21" x14ac:dyDescent="0.35">
      <c r="B122" s="316" t="s">
        <v>278</v>
      </c>
      <c r="C122" s="317"/>
      <c r="D122" s="324"/>
      <c r="E122" s="324"/>
      <c r="F122" s="324"/>
      <c r="G122" s="325">
        <v>0.75</v>
      </c>
      <c r="H122" s="325">
        <v>1</v>
      </c>
      <c r="I122" s="325">
        <v>0.66666666666666663</v>
      </c>
      <c r="J122" s="325">
        <v>1</v>
      </c>
      <c r="K122" s="325">
        <v>0.5</v>
      </c>
      <c r="L122" s="325">
        <v>0.66666666666666663</v>
      </c>
      <c r="M122" s="325">
        <v>1</v>
      </c>
      <c r="N122" s="325">
        <v>0.66666666666666663</v>
      </c>
      <c r="O122" s="325">
        <v>0.66666666666666663</v>
      </c>
      <c r="P122" s="325">
        <v>1</v>
      </c>
      <c r="Q122" s="325">
        <v>0.66666666666666663</v>
      </c>
      <c r="R122" s="325">
        <v>0.66666666666666663</v>
      </c>
      <c r="S122" s="325">
        <v>1</v>
      </c>
      <c r="T122" s="325">
        <v>0.66666666666666663</v>
      </c>
      <c r="U122" s="325">
        <v>0.66666666666666663</v>
      </c>
    </row>
    <row r="123" spans="2:21" x14ac:dyDescent="0.35">
      <c r="B123" s="316" t="s">
        <v>240</v>
      </c>
      <c r="C123" s="317"/>
      <c r="D123" s="324"/>
      <c r="E123" s="324"/>
      <c r="F123" s="324"/>
      <c r="G123" s="415">
        <v>0</v>
      </c>
      <c r="H123" s="415">
        <v>0</v>
      </c>
      <c r="I123" s="415">
        <v>0</v>
      </c>
      <c r="J123" s="415">
        <v>0</v>
      </c>
      <c r="K123" s="415">
        <v>0</v>
      </c>
      <c r="L123" s="415">
        <v>0</v>
      </c>
      <c r="M123" s="415">
        <v>0</v>
      </c>
      <c r="N123" s="415">
        <v>0</v>
      </c>
      <c r="O123" s="415">
        <v>0</v>
      </c>
      <c r="P123" s="415">
        <v>0</v>
      </c>
      <c r="Q123" s="415">
        <v>0</v>
      </c>
      <c r="R123" s="415">
        <v>0</v>
      </c>
      <c r="S123" s="415">
        <v>0</v>
      </c>
      <c r="T123" s="415">
        <v>0</v>
      </c>
      <c r="U123" s="415">
        <v>0</v>
      </c>
    </row>
    <row r="124" spans="2:21" x14ac:dyDescent="0.35">
      <c r="B124" s="316" t="s">
        <v>277</v>
      </c>
      <c r="C124" s="317"/>
      <c r="D124" s="324"/>
      <c r="E124" s="324"/>
      <c r="F124" s="324"/>
      <c r="G124" s="416">
        <f>G120+G121+G123</f>
        <v>930</v>
      </c>
      <c r="H124" s="416">
        <f t="shared" ref="H124:U124" si="58">H120+H121+H123</f>
        <v>940</v>
      </c>
      <c r="I124" s="416">
        <f t="shared" si="58"/>
        <v>960</v>
      </c>
      <c r="J124" s="416">
        <f t="shared" si="58"/>
        <v>980</v>
      </c>
      <c r="K124" s="416">
        <f t="shared" si="58"/>
        <v>990</v>
      </c>
      <c r="L124" s="416">
        <f t="shared" si="58"/>
        <v>1010</v>
      </c>
      <c r="M124" s="416">
        <f t="shared" si="58"/>
        <v>1030</v>
      </c>
      <c r="N124" s="416">
        <f t="shared" si="58"/>
        <v>1050</v>
      </c>
      <c r="O124" s="416">
        <f t="shared" si="58"/>
        <v>1070</v>
      </c>
      <c r="P124" s="416">
        <f t="shared" si="58"/>
        <v>1090</v>
      </c>
      <c r="Q124" s="416">
        <f t="shared" si="58"/>
        <v>1110</v>
      </c>
      <c r="R124" s="416">
        <f t="shared" si="58"/>
        <v>1130</v>
      </c>
      <c r="S124" s="416">
        <f t="shared" si="58"/>
        <v>1160</v>
      </c>
      <c r="T124" s="416">
        <f t="shared" si="58"/>
        <v>1180</v>
      </c>
      <c r="U124" s="416">
        <f t="shared" si="58"/>
        <v>1200</v>
      </c>
    </row>
    <row r="125" spans="2:21" x14ac:dyDescent="0.35">
      <c r="B125" s="316"/>
      <c r="C125" s="317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</row>
    <row r="126" spans="2:21" x14ac:dyDescent="0.35">
      <c r="B126" s="314" t="s">
        <v>233</v>
      </c>
      <c r="C126" s="317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</row>
    <row r="127" spans="2:21" x14ac:dyDescent="0.35">
      <c r="B127" s="316" t="s">
        <v>195</v>
      </c>
      <c r="C127" s="317"/>
      <c r="D127" s="320">
        <f>D33</f>
        <v>0</v>
      </c>
      <c r="E127" s="320">
        <f>E33</f>
        <v>0</v>
      </c>
      <c r="F127" s="320">
        <f t="shared" ref="F127:U127" si="59">F31*F128</f>
        <v>0</v>
      </c>
      <c r="G127" s="320">
        <f t="shared" si="59"/>
        <v>179.1675753983088</v>
      </c>
      <c r="H127" s="320">
        <f t="shared" si="59"/>
        <v>197.36226059936763</v>
      </c>
      <c r="I127" s="320">
        <f t="shared" si="59"/>
        <v>210.7353911009688</v>
      </c>
      <c r="J127" s="320">
        <f t="shared" si="59"/>
        <v>233.90744179664324</v>
      </c>
      <c r="K127" s="320">
        <f t="shared" si="59"/>
        <v>247.43101944733942</v>
      </c>
      <c r="L127" s="320">
        <f t="shared" si="59"/>
        <v>260.89681324330746</v>
      </c>
      <c r="M127" s="320">
        <f t="shared" si="59"/>
        <v>274.31748189520187</v>
      </c>
      <c r="N127" s="320">
        <f t="shared" si="59"/>
        <v>287.73301951122181</v>
      </c>
      <c r="O127" s="320">
        <f t="shared" si="59"/>
        <v>298.15918793098001</v>
      </c>
      <c r="P127" s="320">
        <f t="shared" si="59"/>
        <v>301.75573679174653</v>
      </c>
      <c r="Q127" s="320">
        <f t="shared" si="59"/>
        <v>286.46024235708956</v>
      </c>
      <c r="R127" s="320">
        <f t="shared" si="59"/>
        <v>276.35995350348594</v>
      </c>
      <c r="S127" s="320">
        <f t="shared" si="59"/>
        <v>256.36740870360762</v>
      </c>
      <c r="T127" s="320">
        <f t="shared" si="59"/>
        <v>246.22780450751085</v>
      </c>
      <c r="U127" s="320">
        <f t="shared" si="59"/>
        <v>226.24763492958019</v>
      </c>
    </row>
    <row r="128" spans="2:21" x14ac:dyDescent="0.35">
      <c r="B128" s="316" t="s">
        <v>194</v>
      </c>
      <c r="C128" s="317"/>
      <c r="D128" s="326">
        <v>0</v>
      </c>
      <c r="E128" s="326">
        <v>0</v>
      </c>
      <c r="F128" s="328">
        <f>G128</f>
        <v>0.15802091986112105</v>
      </c>
      <c r="G128" s="328">
        <v>0.15802091986112105</v>
      </c>
      <c r="H128" s="328">
        <v>0.15907644000795851</v>
      </c>
      <c r="I128" s="328">
        <v>0.15687954861953068</v>
      </c>
      <c r="J128" s="328">
        <v>0.16217989893584819</v>
      </c>
      <c r="K128" s="328">
        <v>0.16078459648084042</v>
      </c>
      <c r="L128" s="328">
        <v>0.1598281027676608</v>
      </c>
      <c r="M128" s="328">
        <v>0.15931667509970082</v>
      </c>
      <c r="N128" s="328">
        <v>0.15915201372283375</v>
      </c>
      <c r="O128" s="328">
        <v>0.15930728143794376</v>
      </c>
      <c r="P128" s="328">
        <v>0.16256822145799854</v>
      </c>
      <c r="Q128" s="328">
        <v>0.16089807467774875</v>
      </c>
      <c r="R128" s="328">
        <v>0.16250207573723705</v>
      </c>
      <c r="S128" s="328">
        <v>0.15862844089049913</v>
      </c>
      <c r="T128" s="328">
        <v>0.16120493557646226</v>
      </c>
      <c r="U128" s="328">
        <v>0.15766239791680375</v>
      </c>
    </row>
    <row r="129" spans="2:21" s="34" customFormat="1" x14ac:dyDescent="0.35">
      <c r="N129" s="327"/>
      <c r="O129" s="327"/>
      <c r="P129" s="327"/>
      <c r="Q129" s="327"/>
      <c r="R129" s="327"/>
      <c r="S129" s="327"/>
      <c r="T129" s="327"/>
      <c r="U129" s="327"/>
    </row>
    <row r="130" spans="2:21" s="34" customFormat="1" x14ac:dyDescent="0.35">
      <c r="B130" s="361" t="s">
        <v>234</v>
      </c>
      <c r="N130" s="327"/>
      <c r="O130" s="327"/>
      <c r="P130" s="327"/>
      <c r="Q130" s="327"/>
      <c r="R130" s="327"/>
      <c r="S130" s="327"/>
      <c r="T130" s="327"/>
      <c r="U130" s="327"/>
    </row>
    <row r="131" spans="2:21" s="34" customFormat="1" x14ac:dyDescent="0.35">
      <c r="B131" s="335" t="s">
        <v>198</v>
      </c>
      <c r="D131" s="277">
        <f t="shared" ref="D131:U131" si="60">C136</f>
        <v>0</v>
      </c>
      <c r="E131" s="277">
        <f t="shared" si="60"/>
        <v>-42.45000000000001</v>
      </c>
      <c r="F131" s="277">
        <f t="shared" si="60"/>
        <v>-50.975000000000009</v>
      </c>
      <c r="G131" s="277">
        <f t="shared" si="60"/>
        <v>-50.975000000000009</v>
      </c>
      <c r="H131" s="277">
        <f t="shared" si="60"/>
        <v>817.9877406817975</v>
      </c>
      <c r="I131" s="277">
        <f t="shared" si="60"/>
        <v>1776.6044350215832</v>
      </c>
      <c r="J131" s="277">
        <f t="shared" si="60"/>
        <v>2820.7025091127466</v>
      </c>
      <c r="K131" s="277">
        <f t="shared" si="60"/>
        <v>3941.5090010549952</v>
      </c>
      <c r="L131" s="277">
        <f t="shared" si="60"/>
        <v>5139.0751351801182</v>
      </c>
      <c r="M131" s="277">
        <f t="shared" si="60"/>
        <v>6413.4557229455049</v>
      </c>
      <c r="N131" s="277">
        <f t="shared" si="60"/>
        <v>7764.7233189477956</v>
      </c>
      <c r="O131" s="277">
        <f t="shared" si="60"/>
        <v>9192.8544765913066</v>
      </c>
      <c r="P131" s="277">
        <f t="shared" si="60"/>
        <v>10703.159651360369</v>
      </c>
      <c r="Q131" s="277">
        <f t="shared" si="60"/>
        <v>12241.725889845147</v>
      </c>
      <c r="R131" s="277">
        <f t="shared" si="60"/>
        <v>13724.445153184637</v>
      </c>
      <c r="S131" s="277">
        <f t="shared" si="60"/>
        <v>15166.80924611995</v>
      </c>
      <c r="T131" s="277">
        <f t="shared" si="60"/>
        <v>16548.934181606026</v>
      </c>
      <c r="U131" s="277">
        <f t="shared" si="60"/>
        <v>17870.679826643383</v>
      </c>
    </row>
    <row r="132" spans="2:21" s="34" customFormat="1" x14ac:dyDescent="0.35">
      <c r="B132" s="34" t="s">
        <v>87</v>
      </c>
      <c r="F132" s="277">
        <f t="shared" ref="F132:U132" si="61">F35</f>
        <v>0</v>
      </c>
      <c r="G132" s="277">
        <f t="shared" si="61"/>
        <v>954.65429803321399</v>
      </c>
      <c r="H132" s="277">
        <f t="shared" si="61"/>
        <v>1043.3133579239895</v>
      </c>
      <c r="I132" s="277">
        <f t="shared" si="61"/>
        <v>1132.5588302003114</v>
      </c>
      <c r="J132" s="277">
        <f t="shared" si="61"/>
        <v>1208.3640316192302</v>
      </c>
      <c r="K132" s="277">
        <f t="shared" si="61"/>
        <v>1291.4665171510999</v>
      </c>
      <c r="L132" s="277">
        <f t="shared" si="61"/>
        <v>1371.4620067982996</v>
      </c>
      <c r="M132" s="277">
        <f t="shared" si="61"/>
        <v>1447.520371697545</v>
      </c>
      <c r="N132" s="277">
        <f t="shared" si="61"/>
        <v>1530.1801371033989</v>
      </c>
      <c r="O132" s="277">
        <f t="shared" si="61"/>
        <v>1613.4388033204391</v>
      </c>
      <c r="P132" s="277">
        <f t="shared" si="61"/>
        <v>1624.4233742635388</v>
      </c>
      <c r="Q132" s="277">
        <f t="shared" si="61"/>
        <v>1583.9230402323406</v>
      </c>
      <c r="R132" s="277">
        <f t="shared" si="61"/>
        <v>1534.2949596703929</v>
      </c>
      <c r="S132" s="277">
        <f t="shared" si="61"/>
        <v>1489.7829314524649</v>
      </c>
      <c r="T132" s="277">
        <f t="shared" si="61"/>
        <v>1421.1931992416007</v>
      </c>
      <c r="U132" s="277">
        <f t="shared" si="61"/>
        <v>1358.7656460999769</v>
      </c>
    </row>
    <row r="133" spans="2:21" s="34" customFormat="1" x14ac:dyDescent="0.35">
      <c r="B133" s="34" t="s">
        <v>302</v>
      </c>
      <c r="D133" s="277">
        <f>-D117</f>
        <v>-42.45000000000001</v>
      </c>
      <c r="E133" s="277">
        <f>-E117</f>
        <v>-8.5250000000000021</v>
      </c>
      <c r="F133" s="277">
        <f>F90</f>
        <v>0</v>
      </c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</row>
    <row r="134" spans="2:21" s="34" customFormat="1" x14ac:dyDescent="0.35">
      <c r="B134" s="335" t="s">
        <v>256</v>
      </c>
      <c r="G134" s="277">
        <f>-G132*G135</f>
        <v>-85.691557351416435</v>
      </c>
      <c r="H134" s="277">
        <f t="shared" ref="H134:U134" si="62">-H132*H135</f>
        <v>-84.696663584203762</v>
      </c>
      <c r="I134" s="277">
        <f t="shared" si="62"/>
        <v>-88.460756109147766</v>
      </c>
      <c r="J134" s="277">
        <f t="shared" si="62"/>
        <v>-87.55753967698142</v>
      </c>
      <c r="K134" s="277">
        <f t="shared" si="62"/>
        <v>-93.900383025977121</v>
      </c>
      <c r="L134" s="277">
        <f t="shared" si="62"/>
        <v>-97.081419032913118</v>
      </c>
      <c r="M134" s="277">
        <f t="shared" si="62"/>
        <v>-96.252775695254201</v>
      </c>
      <c r="N134" s="277">
        <f t="shared" si="62"/>
        <v>-102.04897945988685</v>
      </c>
      <c r="O134" s="277">
        <f t="shared" si="62"/>
        <v>-103.13362855137704</v>
      </c>
      <c r="P134" s="277">
        <f t="shared" si="62"/>
        <v>-85.857135778760522</v>
      </c>
      <c r="Q134" s="277">
        <f t="shared" si="62"/>
        <v>-101.20377689285188</v>
      </c>
      <c r="R134" s="277">
        <f t="shared" si="62"/>
        <v>-91.930866735079206</v>
      </c>
      <c r="S134" s="277">
        <f t="shared" si="62"/>
        <v>-107.65799596638993</v>
      </c>
      <c r="T134" s="277">
        <f t="shared" si="62"/>
        <v>-99.447554204241115</v>
      </c>
      <c r="U134" s="277">
        <f t="shared" si="62"/>
        <v>-97.376558152333189</v>
      </c>
    </row>
    <row r="135" spans="2:21" s="34" customFormat="1" x14ac:dyDescent="0.35">
      <c r="B135" s="34" t="s">
        <v>199</v>
      </c>
      <c r="D135" s="337"/>
      <c r="E135" s="337"/>
      <c r="F135" s="337"/>
      <c r="G135" s="338">
        <v>8.9761872468346743E-2</v>
      </c>
      <c r="H135" s="338">
        <v>8.1180465045262384E-2</v>
      </c>
      <c r="I135" s="338">
        <v>7.8106985483042901E-2</v>
      </c>
      <c r="J135" s="338">
        <v>7.245957127642462E-2</v>
      </c>
      <c r="K135" s="338">
        <v>7.2708337211185248E-2</v>
      </c>
      <c r="L135" s="338">
        <v>7.0786808932134598E-2</v>
      </c>
      <c r="M135" s="338">
        <v>6.6494936843186567E-2</v>
      </c>
      <c r="N135" s="338">
        <v>6.6690827429679994E-2</v>
      </c>
      <c r="O135" s="338">
        <v>6.3921624011477343E-2</v>
      </c>
      <c r="P135" s="338">
        <v>5.2853915511826083E-2</v>
      </c>
      <c r="Q135" s="338">
        <v>6.389437764476652E-2</v>
      </c>
      <c r="R135" s="338">
        <v>5.9917336073911358E-2</v>
      </c>
      <c r="S135" s="338">
        <v>7.226421627842701E-2</v>
      </c>
      <c r="T135" s="338">
        <v>6.9974690462429642E-2</v>
      </c>
      <c r="U135" s="338">
        <v>7.1665454916254409E-2</v>
      </c>
    </row>
    <row r="136" spans="2:21" s="34" customFormat="1" x14ac:dyDescent="0.35">
      <c r="B136" s="335" t="s">
        <v>200</v>
      </c>
      <c r="D136" s="277">
        <f>D131+D132+D133+D134</f>
        <v>-42.45000000000001</v>
      </c>
      <c r="E136" s="277">
        <f>E131+E132+E133+E134</f>
        <v>-50.975000000000009</v>
      </c>
      <c r="F136" s="277">
        <f>F131+F132+F133+F134</f>
        <v>-50.975000000000009</v>
      </c>
      <c r="G136" s="277">
        <f>G131+G132+G133+G134</f>
        <v>817.9877406817975</v>
      </c>
      <c r="H136" s="277">
        <f t="shared" ref="H136:U136" si="63">H131+H132+H133+H134</f>
        <v>1776.6044350215832</v>
      </c>
      <c r="I136" s="277">
        <f t="shared" si="63"/>
        <v>2820.7025091127466</v>
      </c>
      <c r="J136" s="277">
        <f t="shared" si="63"/>
        <v>3941.5090010549952</v>
      </c>
      <c r="K136" s="277">
        <f t="shared" si="63"/>
        <v>5139.0751351801182</v>
      </c>
      <c r="L136" s="277">
        <f t="shared" si="63"/>
        <v>6413.4557229455049</v>
      </c>
      <c r="M136" s="277">
        <f t="shared" si="63"/>
        <v>7764.7233189477956</v>
      </c>
      <c r="N136" s="277">
        <f t="shared" si="63"/>
        <v>9192.8544765913066</v>
      </c>
      <c r="O136" s="277">
        <f t="shared" si="63"/>
        <v>10703.159651360369</v>
      </c>
      <c r="P136" s="277">
        <f t="shared" si="63"/>
        <v>12241.725889845147</v>
      </c>
      <c r="Q136" s="277">
        <f t="shared" si="63"/>
        <v>13724.445153184637</v>
      </c>
      <c r="R136" s="277">
        <f t="shared" si="63"/>
        <v>15166.80924611995</v>
      </c>
      <c r="S136" s="277">
        <f t="shared" si="63"/>
        <v>16548.934181606026</v>
      </c>
      <c r="T136" s="277">
        <f t="shared" si="63"/>
        <v>17870.679826643383</v>
      </c>
      <c r="U136" s="277">
        <f t="shared" si="63"/>
        <v>19132.068914591029</v>
      </c>
    </row>
    <row r="137" spans="2:21" s="34" customFormat="1" ht="8.75" customHeight="1" x14ac:dyDescent="0.35"/>
    <row r="138" spans="2:21" s="34" customFormat="1" ht="25.75" customHeight="1" x14ac:dyDescent="0.35">
      <c r="B138" s="361" t="s">
        <v>235</v>
      </c>
      <c r="C138" s="356" t="s">
        <v>228</v>
      </c>
      <c r="E138" s="356" t="s">
        <v>227</v>
      </c>
      <c r="G138" s="356" t="s">
        <v>229</v>
      </c>
    </row>
    <row r="139" spans="2:21" s="34" customFormat="1" x14ac:dyDescent="0.35">
      <c r="B139" s="34" t="s">
        <v>224</v>
      </c>
      <c r="C139" s="277">
        <f>U68</f>
        <v>1600</v>
      </c>
      <c r="E139" s="357">
        <v>0.1</v>
      </c>
      <c r="G139" s="277">
        <f>C139*E139</f>
        <v>160</v>
      </c>
    </row>
    <row r="140" spans="2:21" s="34" customFormat="1" x14ac:dyDescent="0.35">
      <c r="B140" s="34" t="s">
        <v>8</v>
      </c>
      <c r="C140" s="277">
        <f>U67</f>
        <v>3350</v>
      </c>
      <c r="E140" s="357">
        <v>0.1</v>
      </c>
      <c r="G140" s="277">
        <f>C140*E140</f>
        <v>335</v>
      </c>
    </row>
    <row r="141" spans="2:21" s="34" customFormat="1" x14ac:dyDescent="0.35">
      <c r="B141" s="34" t="s">
        <v>226</v>
      </c>
      <c r="C141" s="277">
        <f>U69</f>
        <v>740</v>
      </c>
      <c r="E141" s="357">
        <v>0</v>
      </c>
      <c r="G141" s="277">
        <f>C141*E141</f>
        <v>0</v>
      </c>
    </row>
    <row r="142" spans="2:21" s="34" customFormat="1" x14ac:dyDescent="0.35">
      <c r="B142" s="34" t="s">
        <v>9</v>
      </c>
      <c r="C142" s="277">
        <f>U70</f>
        <v>18853.043914591024</v>
      </c>
      <c r="E142" s="357">
        <v>1</v>
      </c>
      <c r="G142" s="358">
        <f>C142*E142</f>
        <v>18853.043914591024</v>
      </c>
    </row>
    <row r="143" spans="2:21" s="34" customFormat="1" x14ac:dyDescent="0.35">
      <c r="B143" s="360" t="s">
        <v>236</v>
      </c>
      <c r="C143" s="277"/>
      <c r="G143" s="359">
        <f>SUM(G139:G142)</f>
        <v>19348.043914591024</v>
      </c>
    </row>
    <row r="144" spans="2:21" s="34" customFormat="1" x14ac:dyDescent="0.35">
      <c r="B144" s="34" t="s">
        <v>225</v>
      </c>
      <c r="C144" s="277">
        <f>-U60</f>
        <v>-1200</v>
      </c>
      <c r="E144" s="357">
        <v>1</v>
      </c>
      <c r="G144" s="358">
        <f>C144*E144</f>
        <v>-1200</v>
      </c>
    </row>
    <row r="145" spans="2:21" s="34" customFormat="1" x14ac:dyDescent="0.35">
      <c r="B145" s="360" t="s">
        <v>237</v>
      </c>
      <c r="C145" s="277"/>
      <c r="G145" s="359">
        <f>G143+G144</f>
        <v>18148.043914591024</v>
      </c>
    </row>
    <row r="146" spans="2:21" s="34" customFormat="1" x14ac:dyDescent="0.35"/>
    <row r="147" spans="2:21" s="34" customFormat="1" ht="15" thickBot="1" x14ac:dyDescent="0.4"/>
    <row r="148" spans="2:21" s="34" customFormat="1" ht="17.5" thickBot="1" x14ac:dyDescent="0.4">
      <c r="B148" s="310" t="s">
        <v>238</v>
      </c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2"/>
    </row>
    <row r="149" spans="2:21" s="34" customFormat="1" ht="16" thickBot="1" x14ac:dyDescent="0.4">
      <c r="B149" s="95" t="s">
        <v>109</v>
      </c>
      <c r="C149" s="96">
        <v>2009</v>
      </c>
      <c r="D149" s="96">
        <v>2010</v>
      </c>
      <c r="E149" s="97">
        <v>2011</v>
      </c>
      <c r="F149" s="97">
        <v>2012</v>
      </c>
      <c r="G149" s="97">
        <v>2013</v>
      </c>
      <c r="H149" s="97">
        <v>2014</v>
      </c>
      <c r="I149" s="97">
        <v>2015</v>
      </c>
      <c r="J149" s="97">
        <v>2016</v>
      </c>
      <c r="K149" s="97">
        <v>2017</v>
      </c>
      <c r="L149" s="97">
        <v>2018</v>
      </c>
      <c r="M149" s="97">
        <v>2019</v>
      </c>
      <c r="N149" s="97">
        <v>2020</v>
      </c>
      <c r="O149" s="97">
        <v>2021</v>
      </c>
      <c r="P149" s="97">
        <v>2022</v>
      </c>
      <c r="Q149" s="97">
        <v>2023</v>
      </c>
      <c r="R149" s="97">
        <v>2024</v>
      </c>
      <c r="S149" s="97">
        <v>2025</v>
      </c>
      <c r="T149" s="97">
        <v>2026</v>
      </c>
      <c r="U149" s="98">
        <v>2027</v>
      </c>
    </row>
    <row r="150" spans="2:21" s="34" customFormat="1" ht="15.5" x14ac:dyDescent="0.35">
      <c r="B150" s="355" t="s">
        <v>247</v>
      </c>
      <c r="C150" s="198"/>
      <c r="D150" s="198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200"/>
    </row>
    <row r="151" spans="2:21" ht="15.5" x14ac:dyDescent="0.35">
      <c r="B151" s="103" t="s">
        <v>87</v>
      </c>
      <c r="C151" s="202"/>
      <c r="D151" s="202">
        <f t="shared" ref="D151:U151" si="64">D77</f>
        <v>0</v>
      </c>
      <c r="E151" s="202">
        <f t="shared" si="64"/>
        <v>0</v>
      </c>
      <c r="F151" s="202">
        <f t="shared" si="64"/>
        <v>0</v>
      </c>
      <c r="G151" s="202">
        <f t="shared" si="64"/>
        <v>954.65429803321399</v>
      </c>
      <c r="H151" s="202">
        <f t="shared" si="64"/>
        <v>1043.3133579239895</v>
      </c>
      <c r="I151" s="202">
        <f t="shared" si="64"/>
        <v>1132.5588302003114</v>
      </c>
      <c r="J151" s="202">
        <f t="shared" si="64"/>
        <v>1208.3640316192302</v>
      </c>
      <c r="K151" s="202">
        <f t="shared" si="64"/>
        <v>1291.4665171510999</v>
      </c>
      <c r="L151" s="202">
        <f t="shared" si="64"/>
        <v>1371.4620067982996</v>
      </c>
      <c r="M151" s="202">
        <f t="shared" si="64"/>
        <v>1447.520371697545</v>
      </c>
      <c r="N151" s="202">
        <f t="shared" si="64"/>
        <v>1530.1801371033989</v>
      </c>
      <c r="O151" s="202">
        <f t="shared" si="64"/>
        <v>1613.4388033204391</v>
      </c>
      <c r="P151" s="202">
        <f t="shared" si="64"/>
        <v>1624.4233742635388</v>
      </c>
      <c r="Q151" s="202">
        <f t="shared" si="64"/>
        <v>1583.9230402323406</v>
      </c>
      <c r="R151" s="202">
        <f t="shared" si="64"/>
        <v>1534.2949596703929</v>
      </c>
      <c r="S151" s="202">
        <f t="shared" si="64"/>
        <v>1489.7829314524649</v>
      </c>
      <c r="T151" s="202">
        <f t="shared" si="64"/>
        <v>1421.1931992416007</v>
      </c>
      <c r="U151" s="203">
        <f t="shared" si="64"/>
        <v>1358.7656460999769</v>
      </c>
    </row>
    <row r="152" spans="2:21" ht="15.5" x14ac:dyDescent="0.35">
      <c r="B152" s="103" t="s">
        <v>30</v>
      </c>
      <c r="C152" s="202"/>
      <c r="D152" s="202"/>
      <c r="E152" s="202"/>
      <c r="F152" s="202"/>
      <c r="G152" s="202">
        <f t="shared" ref="G152:U152" si="65">G78</f>
        <v>680</v>
      </c>
      <c r="H152" s="202">
        <f t="shared" si="65"/>
        <v>680</v>
      </c>
      <c r="I152" s="202">
        <f t="shared" si="65"/>
        <v>680</v>
      </c>
      <c r="J152" s="202">
        <f t="shared" si="65"/>
        <v>680</v>
      </c>
      <c r="K152" s="202">
        <f t="shared" si="65"/>
        <v>680</v>
      </c>
      <c r="L152" s="202">
        <f t="shared" si="65"/>
        <v>680</v>
      </c>
      <c r="M152" s="202">
        <f t="shared" si="65"/>
        <v>680</v>
      </c>
      <c r="N152" s="202">
        <f t="shared" si="65"/>
        <v>680</v>
      </c>
      <c r="O152" s="202">
        <f t="shared" si="65"/>
        <v>680</v>
      </c>
      <c r="P152" s="202">
        <f t="shared" si="65"/>
        <v>680</v>
      </c>
      <c r="Q152" s="202">
        <f t="shared" si="65"/>
        <v>680</v>
      </c>
      <c r="R152" s="202">
        <f t="shared" si="65"/>
        <v>680</v>
      </c>
      <c r="S152" s="202">
        <f t="shared" si="65"/>
        <v>680</v>
      </c>
      <c r="T152" s="202">
        <f t="shared" si="65"/>
        <v>680</v>
      </c>
      <c r="U152" s="203">
        <f t="shared" si="65"/>
        <v>680</v>
      </c>
    </row>
    <row r="153" spans="2:21" ht="15.5" x14ac:dyDescent="0.35">
      <c r="B153" s="103" t="s">
        <v>184</v>
      </c>
      <c r="C153" s="202"/>
      <c r="D153" s="202">
        <f t="shared" ref="D153:F153" si="66">D79</f>
        <v>-3460</v>
      </c>
      <c r="E153" s="202">
        <f t="shared" si="66"/>
        <v>-5520</v>
      </c>
      <c r="F153" s="202">
        <f t="shared" si="66"/>
        <v>-4570</v>
      </c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3"/>
    </row>
    <row r="154" spans="2:21" ht="15.5" x14ac:dyDescent="0.35">
      <c r="B154" s="103" t="s">
        <v>257</v>
      </c>
      <c r="C154" s="202"/>
      <c r="D154" s="202"/>
      <c r="E154" s="202"/>
      <c r="F154" s="202">
        <f>-13860-D153-E153-F153</f>
        <v>-310</v>
      </c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3"/>
    </row>
    <row r="155" spans="2:21" ht="15.5" x14ac:dyDescent="0.35">
      <c r="B155" s="103" t="s">
        <v>230</v>
      </c>
      <c r="C155" s="202"/>
      <c r="D155" s="202"/>
      <c r="E155" s="202"/>
      <c r="F155" s="202"/>
      <c r="G155" s="202">
        <f t="shared" ref="G155:U155" si="67">G80</f>
        <v>-1240</v>
      </c>
      <c r="H155" s="202">
        <f t="shared" si="67"/>
        <v>-10</v>
      </c>
      <c r="I155" s="202">
        <f t="shared" si="67"/>
        <v>-30</v>
      </c>
      <c r="J155" s="202">
        <f t="shared" si="67"/>
        <v>-20</v>
      </c>
      <c r="K155" s="202">
        <f t="shared" si="67"/>
        <v>-20</v>
      </c>
      <c r="L155" s="202">
        <f t="shared" si="67"/>
        <v>-30</v>
      </c>
      <c r="M155" s="202">
        <f t="shared" si="67"/>
        <v>-20</v>
      </c>
      <c r="N155" s="202">
        <f t="shared" si="67"/>
        <v>-30</v>
      </c>
      <c r="O155" s="202">
        <f t="shared" si="67"/>
        <v>-30</v>
      </c>
      <c r="P155" s="202">
        <f t="shared" si="67"/>
        <v>-20</v>
      </c>
      <c r="Q155" s="202">
        <f t="shared" si="67"/>
        <v>-30</v>
      </c>
      <c r="R155" s="202">
        <f t="shared" si="67"/>
        <v>-30</v>
      </c>
      <c r="S155" s="202">
        <f t="shared" si="67"/>
        <v>-30</v>
      </c>
      <c r="T155" s="202">
        <f t="shared" si="67"/>
        <v>-30</v>
      </c>
      <c r="U155" s="203">
        <f t="shared" si="67"/>
        <v>-30</v>
      </c>
    </row>
    <row r="156" spans="2:21" ht="15.5" x14ac:dyDescent="0.35">
      <c r="B156" s="103" t="s">
        <v>231</v>
      </c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>
        <f t="shared" ref="N156:U157" si="68">N81</f>
        <v>-10</v>
      </c>
      <c r="O156" s="202">
        <f t="shared" si="68"/>
        <v>-40</v>
      </c>
      <c r="P156" s="202">
        <f t="shared" si="68"/>
        <v>-70</v>
      </c>
      <c r="Q156" s="202">
        <f t="shared" si="68"/>
        <v>-90</v>
      </c>
      <c r="R156" s="202">
        <f t="shared" si="68"/>
        <v>-110</v>
      </c>
      <c r="S156" s="202">
        <f t="shared" si="68"/>
        <v>-130</v>
      </c>
      <c r="T156" s="202">
        <f t="shared" si="68"/>
        <v>-140</v>
      </c>
      <c r="U156" s="203">
        <f t="shared" si="68"/>
        <v>-150</v>
      </c>
    </row>
    <row r="157" spans="2:21" ht="15.5" x14ac:dyDescent="0.35">
      <c r="B157" s="103" t="s">
        <v>145</v>
      </c>
      <c r="C157" s="202"/>
      <c r="D157" s="202"/>
      <c r="E157" s="202"/>
      <c r="F157" s="202"/>
      <c r="G157" s="202">
        <f t="shared" ref="G157:M157" si="69">G82</f>
        <v>1375.0333333333338</v>
      </c>
      <c r="H157" s="202">
        <f t="shared" si="69"/>
        <v>1224.8444444444449</v>
      </c>
      <c r="I157" s="202">
        <f t="shared" si="69"/>
        <v>1076.0555555555557</v>
      </c>
      <c r="J157" s="202">
        <f t="shared" si="69"/>
        <v>927.96666666666692</v>
      </c>
      <c r="K157" s="202">
        <f t="shared" si="69"/>
        <v>779.17777777777769</v>
      </c>
      <c r="L157" s="202">
        <f t="shared" si="69"/>
        <v>630.3888888888888</v>
      </c>
      <c r="M157" s="202">
        <f t="shared" si="69"/>
        <v>482.29999999999984</v>
      </c>
      <c r="N157" s="202">
        <f t="shared" si="68"/>
        <v>334.21111111111099</v>
      </c>
      <c r="O157" s="202">
        <f t="shared" si="68"/>
        <v>204.98333333333309</v>
      </c>
      <c r="P157" s="202">
        <f t="shared" si="68"/>
        <v>151.19999999999976</v>
      </c>
      <c r="Q157" s="202">
        <f t="shared" si="68"/>
        <v>153.99999999999977</v>
      </c>
      <c r="R157" s="202">
        <f t="shared" si="68"/>
        <v>156.79999999999976</v>
      </c>
      <c r="S157" s="202">
        <f t="shared" si="68"/>
        <v>160.29999999999976</v>
      </c>
      <c r="T157" s="202">
        <f t="shared" si="68"/>
        <v>163.79999999999976</v>
      </c>
      <c r="U157" s="203">
        <f t="shared" si="68"/>
        <v>166.59999999999977</v>
      </c>
    </row>
    <row r="158" spans="2:21" ht="15.5" x14ac:dyDescent="0.35">
      <c r="B158" s="374" t="s">
        <v>248</v>
      </c>
      <c r="C158" s="307"/>
      <c r="D158" s="307">
        <f>SUM(D151:D157)</f>
        <v>-3460</v>
      </c>
      <c r="E158" s="307">
        <f t="shared" ref="E158:U158" si="70">SUM(E151:E157)</f>
        <v>-5520</v>
      </c>
      <c r="F158" s="307">
        <f t="shared" si="70"/>
        <v>-4880</v>
      </c>
      <c r="G158" s="307">
        <f t="shared" si="70"/>
        <v>1769.6876313665477</v>
      </c>
      <c r="H158" s="307">
        <f t="shared" si="70"/>
        <v>2938.1578023684342</v>
      </c>
      <c r="I158" s="307">
        <f t="shared" si="70"/>
        <v>2858.6143857558673</v>
      </c>
      <c r="J158" s="307">
        <f t="shared" si="70"/>
        <v>2796.3306982858971</v>
      </c>
      <c r="K158" s="307">
        <f t="shared" si="70"/>
        <v>2730.6442949288776</v>
      </c>
      <c r="L158" s="307">
        <f t="shared" si="70"/>
        <v>2651.8508956871883</v>
      </c>
      <c r="M158" s="307">
        <f t="shared" si="70"/>
        <v>2589.8203716975445</v>
      </c>
      <c r="N158" s="307">
        <f t="shared" si="70"/>
        <v>2504.3912482145097</v>
      </c>
      <c r="O158" s="307">
        <f t="shared" si="70"/>
        <v>2428.4221366537722</v>
      </c>
      <c r="P158" s="307">
        <f t="shared" si="70"/>
        <v>2365.6233742635386</v>
      </c>
      <c r="Q158" s="307">
        <f t="shared" si="70"/>
        <v>2297.9230402323401</v>
      </c>
      <c r="R158" s="307">
        <f t="shared" si="70"/>
        <v>2231.0949596703927</v>
      </c>
      <c r="S158" s="307">
        <f t="shared" si="70"/>
        <v>2170.0829314524649</v>
      </c>
      <c r="T158" s="307">
        <f t="shared" si="70"/>
        <v>2094.9931992416005</v>
      </c>
      <c r="U158" s="308">
        <f t="shared" si="70"/>
        <v>2025.3656460999766</v>
      </c>
    </row>
    <row r="159" spans="2:21" s="34" customFormat="1" ht="15.5" x14ac:dyDescent="0.35">
      <c r="B159" s="107" t="s">
        <v>307</v>
      </c>
      <c r="C159" s="204"/>
      <c r="D159" s="204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3">
        <f>G143</f>
        <v>19348.043914591024</v>
      </c>
    </row>
    <row r="160" spans="2:21" s="34" customFormat="1" ht="16" thickBot="1" x14ac:dyDescent="0.4">
      <c r="B160" s="123" t="s">
        <v>249</v>
      </c>
      <c r="C160" s="216"/>
      <c r="D160" s="363">
        <f t="shared" ref="D160:S160" si="71">D158+D159</f>
        <v>-3460</v>
      </c>
      <c r="E160" s="363">
        <f t="shared" si="71"/>
        <v>-5520</v>
      </c>
      <c r="F160" s="363">
        <f t="shared" si="71"/>
        <v>-4880</v>
      </c>
      <c r="G160" s="363">
        <f t="shared" si="71"/>
        <v>1769.6876313665477</v>
      </c>
      <c r="H160" s="363">
        <f t="shared" si="71"/>
        <v>2938.1578023684342</v>
      </c>
      <c r="I160" s="363">
        <f t="shared" si="71"/>
        <v>2858.6143857558673</v>
      </c>
      <c r="J160" s="363">
        <f t="shared" si="71"/>
        <v>2796.3306982858971</v>
      </c>
      <c r="K160" s="363">
        <f t="shared" si="71"/>
        <v>2730.6442949288776</v>
      </c>
      <c r="L160" s="363">
        <f t="shared" si="71"/>
        <v>2651.8508956871883</v>
      </c>
      <c r="M160" s="363">
        <f t="shared" si="71"/>
        <v>2589.8203716975445</v>
      </c>
      <c r="N160" s="363">
        <f t="shared" si="71"/>
        <v>2504.3912482145097</v>
      </c>
      <c r="O160" s="363">
        <f t="shared" si="71"/>
        <v>2428.4221366537722</v>
      </c>
      <c r="P160" s="363">
        <f t="shared" si="71"/>
        <v>2365.6233742635386</v>
      </c>
      <c r="Q160" s="363">
        <f t="shared" si="71"/>
        <v>2297.9230402323401</v>
      </c>
      <c r="R160" s="363">
        <f t="shared" si="71"/>
        <v>2231.0949596703927</v>
      </c>
      <c r="S160" s="363">
        <f t="shared" si="71"/>
        <v>2170.0829314524649</v>
      </c>
      <c r="T160" s="363">
        <f>T158+T159</f>
        <v>2094.9931992416005</v>
      </c>
      <c r="U160" s="364">
        <f>U158+U159</f>
        <v>21373.409560691001</v>
      </c>
    </row>
    <row r="161" spans="2:24" s="34" customFormat="1" ht="7.5" customHeight="1" x14ac:dyDescent="0.35">
      <c r="B161" s="369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2:24" s="34" customFormat="1" ht="15.5" x14ac:dyDescent="0.35">
      <c r="B162" s="370" t="s">
        <v>242</v>
      </c>
      <c r="C162" s="371">
        <f>IRR(D160:U160)</f>
        <v>0.16094327864640579</v>
      </c>
      <c r="D162" s="418">
        <f>C162/C162</f>
        <v>1</v>
      </c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</row>
    <row r="163" spans="2:24" s="34" customFormat="1" ht="15.5" x14ac:dyDescent="0.35">
      <c r="B163" s="372" t="s">
        <v>243</v>
      </c>
      <c r="C163" s="373">
        <f>IRR(D158:U158)</f>
        <v>0.13636088603166541</v>
      </c>
      <c r="D163" s="419">
        <f>C163/C162</f>
        <v>0.84726052046728728</v>
      </c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</row>
    <row r="164" spans="2:24" s="34" customFormat="1" ht="15.5" x14ac:dyDescent="0.35">
      <c r="B164" s="372" t="s">
        <v>244</v>
      </c>
      <c r="C164" s="373">
        <f>C162-C163</f>
        <v>2.4582392614740378E-2</v>
      </c>
      <c r="D164" s="419">
        <f>C164/C162</f>
        <v>0.15273947953271272</v>
      </c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</row>
    <row r="165" spans="2:24" s="34" customFormat="1" ht="15" thickBot="1" x14ac:dyDescent="0.4"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</row>
    <row r="166" spans="2:24" s="34" customFormat="1" ht="17.5" thickBot="1" x14ac:dyDescent="0.4">
      <c r="B166" s="310" t="s">
        <v>239</v>
      </c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2"/>
    </row>
    <row r="167" spans="2:24" s="34" customFormat="1" ht="16" thickBot="1" x14ac:dyDescent="0.4">
      <c r="B167" s="95" t="s">
        <v>109</v>
      </c>
      <c r="C167" s="96">
        <v>2009</v>
      </c>
      <c r="D167" s="96">
        <v>2010</v>
      </c>
      <c r="E167" s="97">
        <v>2011</v>
      </c>
      <c r="F167" s="97">
        <v>2012</v>
      </c>
      <c r="G167" s="97">
        <v>2013</v>
      </c>
      <c r="H167" s="97">
        <v>2014</v>
      </c>
      <c r="I167" s="97">
        <v>2015</v>
      </c>
      <c r="J167" s="97">
        <v>2016</v>
      </c>
      <c r="K167" s="97">
        <v>2017</v>
      </c>
      <c r="L167" s="97">
        <v>2018</v>
      </c>
      <c r="M167" s="97">
        <v>2019</v>
      </c>
      <c r="N167" s="97">
        <v>2020</v>
      </c>
      <c r="O167" s="97">
        <v>2021</v>
      </c>
      <c r="P167" s="97">
        <v>2022</v>
      </c>
      <c r="Q167" s="97">
        <v>2023</v>
      </c>
      <c r="R167" s="97">
        <v>2024</v>
      </c>
      <c r="S167" s="97">
        <v>2025</v>
      </c>
      <c r="T167" s="97">
        <v>2026</v>
      </c>
      <c r="U167" s="98">
        <v>2027</v>
      </c>
    </row>
    <row r="168" spans="2:24" s="34" customFormat="1" ht="15.5" x14ac:dyDescent="0.35">
      <c r="B168" s="355" t="s">
        <v>247</v>
      </c>
      <c r="C168" s="198"/>
      <c r="D168" s="198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200"/>
    </row>
    <row r="169" spans="2:24" s="134" customFormat="1" ht="15.5" x14ac:dyDescent="0.35">
      <c r="B169" s="103" t="s">
        <v>248</v>
      </c>
      <c r="C169" s="201"/>
      <c r="D169" s="201">
        <f t="shared" ref="D169:U169" si="72">D158</f>
        <v>-3460</v>
      </c>
      <c r="E169" s="201">
        <f t="shared" si="72"/>
        <v>-5520</v>
      </c>
      <c r="F169" s="201">
        <f t="shared" si="72"/>
        <v>-4880</v>
      </c>
      <c r="G169" s="201">
        <f t="shared" si="72"/>
        <v>1769.6876313665477</v>
      </c>
      <c r="H169" s="201">
        <f t="shared" si="72"/>
        <v>2938.1578023684342</v>
      </c>
      <c r="I169" s="201">
        <f t="shared" si="72"/>
        <v>2858.6143857558673</v>
      </c>
      <c r="J169" s="201">
        <f t="shared" si="72"/>
        <v>2796.3306982858971</v>
      </c>
      <c r="K169" s="201">
        <f t="shared" si="72"/>
        <v>2730.6442949288776</v>
      </c>
      <c r="L169" s="201">
        <f t="shared" si="72"/>
        <v>2651.8508956871883</v>
      </c>
      <c r="M169" s="201">
        <f t="shared" si="72"/>
        <v>2589.8203716975445</v>
      </c>
      <c r="N169" s="201">
        <f t="shared" si="72"/>
        <v>2504.3912482145097</v>
      </c>
      <c r="O169" s="201">
        <f t="shared" si="72"/>
        <v>2428.4221366537722</v>
      </c>
      <c r="P169" s="201">
        <f t="shared" si="72"/>
        <v>2365.6233742635386</v>
      </c>
      <c r="Q169" s="201">
        <f t="shared" si="72"/>
        <v>2297.9230402323401</v>
      </c>
      <c r="R169" s="201">
        <f t="shared" si="72"/>
        <v>2231.0949596703927</v>
      </c>
      <c r="S169" s="201">
        <f t="shared" si="72"/>
        <v>2170.0829314524649</v>
      </c>
      <c r="T169" s="201">
        <f t="shared" si="72"/>
        <v>2094.9931992416005</v>
      </c>
      <c r="U169" s="203">
        <f t="shared" si="72"/>
        <v>2025.3656460999766</v>
      </c>
    </row>
    <row r="170" spans="2:24" s="34" customFormat="1" ht="15.5" x14ac:dyDescent="0.35">
      <c r="B170" s="355" t="s">
        <v>254</v>
      </c>
      <c r="C170" s="198"/>
      <c r="D170" s="198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200"/>
    </row>
    <row r="171" spans="2:24" ht="15.5" x14ac:dyDescent="0.35">
      <c r="B171" s="103" t="s">
        <v>190</v>
      </c>
      <c r="C171" s="202"/>
      <c r="D171" s="202">
        <f>D86</f>
        <v>2420.0000000000005</v>
      </c>
      <c r="E171" s="202">
        <f t="shared" ref="E171:F171" si="73">E86</f>
        <v>3870.0000000000009</v>
      </c>
      <c r="F171" s="202">
        <f t="shared" si="73"/>
        <v>3410.0000000000005</v>
      </c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3"/>
      <c r="W171" s="408">
        <f>SUM(D171:F171)</f>
        <v>9700.0000000000018</v>
      </c>
      <c r="X171" t="s">
        <v>305</v>
      </c>
    </row>
    <row r="172" spans="2:24" ht="15.5" x14ac:dyDescent="0.35">
      <c r="B172" s="103" t="s">
        <v>241</v>
      </c>
      <c r="C172" s="202"/>
      <c r="D172" s="202"/>
      <c r="E172" s="202"/>
      <c r="F172" s="202"/>
      <c r="G172" s="202">
        <f t="shared" ref="G172:P172" si="74">G87</f>
        <v>-1077.7777777777781</v>
      </c>
      <c r="H172" s="202">
        <f t="shared" si="74"/>
        <v>-1077.7777777777781</v>
      </c>
      <c r="I172" s="202">
        <f t="shared" si="74"/>
        <v>-1077.7777777777781</v>
      </c>
      <c r="J172" s="202">
        <f t="shared" si="74"/>
        <v>-1077.7777777777781</v>
      </c>
      <c r="K172" s="202">
        <f t="shared" si="74"/>
        <v>-1077.7777777777781</v>
      </c>
      <c r="L172" s="202">
        <f t="shared" si="74"/>
        <v>-1077.7777777777781</v>
      </c>
      <c r="M172" s="202">
        <f t="shared" si="74"/>
        <v>-1077.7777777777781</v>
      </c>
      <c r="N172" s="202">
        <f t="shared" si="74"/>
        <v>-1077.7777777777781</v>
      </c>
      <c r="O172" s="202">
        <f t="shared" si="74"/>
        <v>-808.33333333333348</v>
      </c>
      <c r="P172" s="202">
        <f t="shared" si="74"/>
        <v>0</v>
      </c>
      <c r="Q172" s="202"/>
      <c r="R172" s="202"/>
      <c r="S172" s="202"/>
      <c r="T172" s="202"/>
      <c r="U172" s="203"/>
      <c r="W172" s="276">
        <f>R4</f>
        <v>0.69985569985569995</v>
      </c>
      <c r="X172" t="s">
        <v>116</v>
      </c>
    </row>
    <row r="173" spans="2:24" ht="15.5" x14ac:dyDescent="0.35">
      <c r="B173" s="103" t="s">
        <v>186</v>
      </c>
      <c r="C173" s="339"/>
      <c r="D173" s="202"/>
      <c r="E173" s="202"/>
      <c r="F173" s="202"/>
      <c r="G173" s="202">
        <f>G88</f>
        <v>930</v>
      </c>
      <c r="H173" s="202">
        <f t="shared" ref="H173:T173" si="75">H88</f>
        <v>10</v>
      </c>
      <c r="I173" s="202">
        <f t="shared" si="75"/>
        <v>20</v>
      </c>
      <c r="J173" s="202">
        <f t="shared" si="75"/>
        <v>20</v>
      </c>
      <c r="K173" s="202">
        <f t="shared" si="75"/>
        <v>10</v>
      </c>
      <c r="L173" s="202">
        <f t="shared" si="75"/>
        <v>20</v>
      </c>
      <c r="M173" s="202">
        <f t="shared" si="75"/>
        <v>20</v>
      </c>
      <c r="N173" s="202">
        <f t="shared" si="75"/>
        <v>20</v>
      </c>
      <c r="O173" s="202">
        <f t="shared" si="75"/>
        <v>20</v>
      </c>
      <c r="P173" s="202">
        <f t="shared" si="75"/>
        <v>20</v>
      </c>
      <c r="Q173" s="202">
        <f t="shared" si="75"/>
        <v>20</v>
      </c>
      <c r="R173" s="202">
        <f t="shared" si="75"/>
        <v>20</v>
      </c>
      <c r="S173" s="202">
        <f t="shared" si="75"/>
        <v>30</v>
      </c>
      <c r="T173" s="202">
        <f t="shared" si="75"/>
        <v>20</v>
      </c>
      <c r="U173" s="203">
        <f>U88</f>
        <v>20</v>
      </c>
      <c r="V173" s="284"/>
    </row>
    <row r="174" spans="2:24" ht="15.5" x14ac:dyDescent="0.35">
      <c r="B174" s="103" t="s">
        <v>240</v>
      </c>
      <c r="C174" s="339"/>
      <c r="D174" s="202"/>
      <c r="E174" s="202"/>
      <c r="F174" s="202"/>
      <c r="G174" s="202">
        <f>G89</f>
        <v>0</v>
      </c>
      <c r="H174" s="202">
        <f t="shared" ref="H174:T174" si="76">H89</f>
        <v>0</v>
      </c>
      <c r="I174" s="202">
        <f t="shared" si="76"/>
        <v>0</v>
      </c>
      <c r="J174" s="202">
        <f t="shared" si="76"/>
        <v>0</v>
      </c>
      <c r="K174" s="202">
        <f t="shared" si="76"/>
        <v>0</v>
      </c>
      <c r="L174" s="202">
        <f t="shared" si="76"/>
        <v>0</v>
      </c>
      <c r="M174" s="202">
        <f t="shared" si="76"/>
        <v>0</v>
      </c>
      <c r="N174" s="202">
        <f t="shared" si="76"/>
        <v>0</v>
      </c>
      <c r="O174" s="202">
        <f t="shared" si="76"/>
        <v>0</v>
      </c>
      <c r="P174" s="202">
        <f t="shared" si="76"/>
        <v>0</v>
      </c>
      <c r="Q174" s="202">
        <f t="shared" si="76"/>
        <v>0</v>
      </c>
      <c r="R174" s="202">
        <f t="shared" si="76"/>
        <v>0</v>
      </c>
      <c r="S174" s="202">
        <f t="shared" si="76"/>
        <v>0</v>
      </c>
      <c r="T174" s="202">
        <f t="shared" si="76"/>
        <v>0</v>
      </c>
      <c r="U174" s="203">
        <f>U89</f>
        <v>0</v>
      </c>
      <c r="V174" s="284"/>
    </row>
    <row r="175" spans="2:24" ht="15.5" x14ac:dyDescent="0.35">
      <c r="B175" s="103" t="s">
        <v>145</v>
      </c>
      <c r="C175" s="202"/>
      <c r="D175" s="202">
        <f>D133</f>
        <v>-42.45000000000001</v>
      </c>
      <c r="E175" s="202">
        <f>E133</f>
        <v>-8.5250000000000021</v>
      </c>
      <c r="F175" s="202">
        <f>F133</f>
        <v>0</v>
      </c>
      <c r="G175" s="202">
        <f>G90</f>
        <v>-1375.0333333333338</v>
      </c>
      <c r="H175" s="202">
        <f t="shared" ref="H175:T175" si="77">H90</f>
        <v>-1224.8444444444449</v>
      </c>
      <c r="I175" s="202">
        <f t="shared" si="77"/>
        <v>-1076.0555555555557</v>
      </c>
      <c r="J175" s="202">
        <f t="shared" si="77"/>
        <v>-927.96666666666692</v>
      </c>
      <c r="K175" s="202">
        <f t="shared" si="77"/>
        <v>-779.17777777777769</v>
      </c>
      <c r="L175" s="202">
        <f t="shared" si="77"/>
        <v>-630.3888888888888</v>
      </c>
      <c r="M175" s="202">
        <f t="shared" si="77"/>
        <v>-482.29999999999984</v>
      </c>
      <c r="N175" s="202">
        <f t="shared" si="77"/>
        <v>-334.21111111111099</v>
      </c>
      <c r="O175" s="202">
        <f t="shared" si="77"/>
        <v>-204.98333333333309</v>
      </c>
      <c r="P175" s="202">
        <f t="shared" si="77"/>
        <v>-151.19999999999976</v>
      </c>
      <c r="Q175" s="202">
        <f t="shared" si="77"/>
        <v>-153.99999999999977</v>
      </c>
      <c r="R175" s="202">
        <f t="shared" si="77"/>
        <v>-156.79999999999976</v>
      </c>
      <c r="S175" s="202">
        <f t="shared" si="77"/>
        <v>-160.29999999999976</v>
      </c>
      <c r="T175" s="202">
        <f t="shared" si="77"/>
        <v>-163.79999999999976</v>
      </c>
      <c r="U175" s="203">
        <f>U90</f>
        <v>-166.59999999999977</v>
      </c>
    </row>
    <row r="176" spans="2:24" ht="5.75" customHeight="1" thickBot="1" x14ac:dyDescent="0.4">
      <c r="B176" s="123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</row>
    <row r="177" spans="2:24" s="34" customFormat="1" ht="15.5" x14ac:dyDescent="0.35">
      <c r="B177" s="119" t="s">
        <v>253</v>
      </c>
      <c r="C177" s="213"/>
      <c r="D177" s="362">
        <f t="shared" ref="D177:U177" si="78">SUM(D169:D175)</f>
        <v>-1082.4499999999996</v>
      </c>
      <c r="E177" s="362">
        <f t="shared" si="78"/>
        <v>-1658.5249999999992</v>
      </c>
      <c r="F177" s="362">
        <f t="shared" si="78"/>
        <v>-1469.9999999999995</v>
      </c>
      <c r="G177" s="362">
        <f t="shared" si="78"/>
        <v>246.87652025543593</v>
      </c>
      <c r="H177" s="362">
        <f t="shared" si="78"/>
        <v>645.53558014621126</v>
      </c>
      <c r="I177" s="362">
        <f t="shared" si="78"/>
        <v>724.78105242253355</v>
      </c>
      <c r="J177" s="362">
        <f t="shared" si="78"/>
        <v>810.58625384145216</v>
      </c>
      <c r="K177" s="362">
        <f t="shared" si="78"/>
        <v>883.68873937332182</v>
      </c>
      <c r="L177" s="362">
        <f t="shared" si="78"/>
        <v>963.68422902052146</v>
      </c>
      <c r="M177" s="362">
        <f t="shared" si="78"/>
        <v>1049.7425939197665</v>
      </c>
      <c r="N177" s="362">
        <f t="shared" si="78"/>
        <v>1112.4023593256206</v>
      </c>
      <c r="O177" s="362">
        <f t="shared" si="78"/>
        <v>1435.1054699871056</v>
      </c>
      <c r="P177" s="362">
        <f t="shared" si="78"/>
        <v>2234.4233742635388</v>
      </c>
      <c r="Q177" s="362">
        <f t="shared" si="78"/>
        <v>2163.9230402323401</v>
      </c>
      <c r="R177" s="362">
        <f t="shared" si="78"/>
        <v>2094.2949596703929</v>
      </c>
      <c r="S177" s="362">
        <f t="shared" si="78"/>
        <v>2039.7829314524652</v>
      </c>
      <c r="T177" s="362">
        <f t="shared" si="78"/>
        <v>1951.1931992416007</v>
      </c>
      <c r="U177" s="365">
        <f t="shared" si="78"/>
        <v>1878.7656460999769</v>
      </c>
      <c r="W177" s="277">
        <f>-Q6+D175+E175</f>
        <v>-4210.9749999999985</v>
      </c>
      <c r="X177" s="34" t="s">
        <v>306</v>
      </c>
    </row>
    <row r="178" spans="2:24" s="34" customFormat="1" ht="15.5" x14ac:dyDescent="0.35">
      <c r="B178" s="107" t="s">
        <v>308</v>
      </c>
      <c r="C178" s="204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3">
        <f>G145</f>
        <v>18148.043914591024</v>
      </c>
      <c r="W178" s="277">
        <f>D177+E177+F177</f>
        <v>-4210.9749999999985</v>
      </c>
    </row>
    <row r="179" spans="2:24" s="34" customFormat="1" ht="16" thickBot="1" x14ac:dyDescent="0.4">
      <c r="B179" s="123" t="s">
        <v>250</v>
      </c>
      <c r="C179" s="216"/>
      <c r="D179" s="363">
        <f t="shared" ref="D179:S179" si="79">D177+D178</f>
        <v>-1082.4499999999996</v>
      </c>
      <c r="E179" s="363">
        <f t="shared" si="79"/>
        <v>-1658.5249999999992</v>
      </c>
      <c r="F179" s="363">
        <f t="shared" si="79"/>
        <v>-1469.9999999999995</v>
      </c>
      <c r="G179" s="363">
        <f t="shared" si="79"/>
        <v>246.87652025543593</v>
      </c>
      <c r="H179" s="363">
        <f t="shared" si="79"/>
        <v>645.53558014621126</v>
      </c>
      <c r="I179" s="363">
        <f t="shared" si="79"/>
        <v>724.78105242253355</v>
      </c>
      <c r="J179" s="363">
        <f t="shared" si="79"/>
        <v>810.58625384145216</v>
      </c>
      <c r="K179" s="363">
        <f t="shared" si="79"/>
        <v>883.68873937332182</v>
      </c>
      <c r="L179" s="363">
        <f t="shared" si="79"/>
        <v>963.68422902052146</v>
      </c>
      <c r="M179" s="363">
        <f t="shared" si="79"/>
        <v>1049.7425939197665</v>
      </c>
      <c r="N179" s="363">
        <f t="shared" si="79"/>
        <v>1112.4023593256206</v>
      </c>
      <c r="O179" s="363">
        <f t="shared" si="79"/>
        <v>1435.1054699871056</v>
      </c>
      <c r="P179" s="363">
        <f t="shared" si="79"/>
        <v>2234.4233742635388</v>
      </c>
      <c r="Q179" s="363">
        <f t="shared" si="79"/>
        <v>2163.9230402323401</v>
      </c>
      <c r="R179" s="363">
        <f t="shared" si="79"/>
        <v>2094.2949596703929</v>
      </c>
      <c r="S179" s="363">
        <f t="shared" si="79"/>
        <v>2039.7829314524652</v>
      </c>
      <c r="T179" s="363">
        <f>T177+T178</f>
        <v>1951.1931992416007</v>
      </c>
      <c r="U179" s="364">
        <f>U177+U178</f>
        <v>20026.809560690999</v>
      </c>
    </row>
    <row r="180" spans="2:24" s="34" customFormat="1" ht="7.5" customHeight="1" x14ac:dyDescent="0.35">
      <c r="B180" s="369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</row>
    <row r="181" spans="2:24" s="34" customFormat="1" ht="15.5" x14ac:dyDescent="0.35">
      <c r="B181" s="370" t="s">
        <v>242</v>
      </c>
      <c r="C181" s="371">
        <f>IRR(D179:U179)</f>
        <v>0.21148830539502117</v>
      </c>
      <c r="D181" s="418">
        <f>C181/C181</f>
        <v>1</v>
      </c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</row>
    <row r="182" spans="2:24" s="34" customFormat="1" ht="15.5" x14ac:dyDescent="0.35">
      <c r="B182" s="372" t="s">
        <v>243</v>
      </c>
      <c r="C182" s="373">
        <f>IRR(D177:U177)</f>
        <v>0.17829486138269179</v>
      </c>
      <c r="D182" s="419">
        <f>C182/C181</f>
        <v>0.8430483238762061</v>
      </c>
      <c r="E182" s="367"/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</row>
    <row r="183" spans="2:24" s="34" customFormat="1" ht="15.5" x14ac:dyDescent="0.35">
      <c r="B183" s="372" t="s">
        <v>244</v>
      </c>
      <c r="C183" s="373">
        <f>C181-C182</f>
        <v>3.3193444012329376E-2</v>
      </c>
      <c r="D183" s="419">
        <f>C183/C181</f>
        <v>0.1569516761237939</v>
      </c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</row>
    <row r="184" spans="2:24" s="34" customFormat="1" x14ac:dyDescent="0.35"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</row>
    <row r="185" spans="2:24" s="34" customFormat="1" x14ac:dyDescent="0.35">
      <c r="H185" s="134"/>
      <c r="I185" s="134"/>
      <c r="J185" s="134"/>
      <c r="K185" s="134"/>
      <c r="L185" s="134"/>
      <c r="M185" s="134"/>
      <c r="N185" s="134"/>
      <c r="O185" s="134"/>
    </row>
    <row r="186" spans="2:24" s="34" customFormat="1" x14ac:dyDescent="0.35">
      <c r="B186" s="420" t="s">
        <v>279</v>
      </c>
      <c r="C186" s="421"/>
      <c r="D186" s="422">
        <v>2010</v>
      </c>
      <c r="E186" s="422">
        <v>2011</v>
      </c>
      <c r="F186" s="422">
        <v>2012</v>
      </c>
      <c r="G186" s="422" t="s">
        <v>166</v>
      </c>
      <c r="H186" s="134"/>
      <c r="I186" s="134"/>
      <c r="J186" s="134"/>
      <c r="K186" s="134"/>
      <c r="L186" s="134"/>
      <c r="M186" s="134"/>
      <c r="N186" s="134"/>
      <c r="O186" s="134"/>
    </row>
    <row r="187" spans="2:24" s="34" customFormat="1" x14ac:dyDescent="0.35">
      <c r="B187" s="421" t="s">
        <v>280</v>
      </c>
      <c r="C187" s="421"/>
      <c r="D187" s="423">
        <f>D92</f>
        <v>1039.9999999999998</v>
      </c>
      <c r="E187" s="423">
        <f>E92</f>
        <v>1649.9999999999995</v>
      </c>
      <c r="F187" s="423">
        <f>F92</f>
        <v>1469.9999999999998</v>
      </c>
      <c r="G187" s="423">
        <f>D187+E187+F187</f>
        <v>4159.9999999999991</v>
      </c>
    </row>
    <row r="188" spans="2:24" s="34" customFormat="1" x14ac:dyDescent="0.35">
      <c r="B188" s="421" t="s">
        <v>281</v>
      </c>
      <c r="C188" s="421"/>
      <c r="D188" s="424">
        <f>-D177</f>
        <v>1082.4499999999996</v>
      </c>
      <c r="E188" s="424">
        <f>-E177</f>
        <v>1658.5249999999992</v>
      </c>
      <c r="F188" s="424">
        <f>-F177</f>
        <v>1469.9999999999995</v>
      </c>
      <c r="G188" s="424">
        <f>D188+E188+F188</f>
        <v>4210.9749999999985</v>
      </c>
    </row>
    <row r="189" spans="2:24" s="34" customFormat="1" x14ac:dyDescent="0.35">
      <c r="B189" s="421" t="s">
        <v>309</v>
      </c>
      <c r="C189" s="421"/>
      <c r="D189" s="423">
        <f>D187-D188</f>
        <v>-42.449999999999818</v>
      </c>
      <c r="E189" s="423">
        <f>E187-E188</f>
        <v>-8.5249999999996362</v>
      </c>
      <c r="F189" s="423">
        <f>F187-F188</f>
        <v>0</v>
      </c>
      <c r="G189" s="423">
        <f>G187-G188</f>
        <v>-50.974999999999454</v>
      </c>
    </row>
    <row r="190" spans="2:24" s="34" customFormat="1" x14ac:dyDescent="0.35">
      <c r="C190" s="421" t="s">
        <v>164</v>
      </c>
      <c r="D190" s="426">
        <f>D133-D189</f>
        <v>-1.9184653865522705E-13</v>
      </c>
      <c r="E190" s="426">
        <f>E133-E189</f>
        <v>-3.659295089164516E-13</v>
      </c>
      <c r="F190" s="426">
        <f>F133-F189</f>
        <v>0</v>
      </c>
      <c r="G190" s="425"/>
    </row>
    <row r="191" spans="2:24" s="34" customFormat="1" x14ac:dyDescent="0.35"/>
    <row r="192" spans="2:24" s="34" customFormat="1" x14ac:dyDescent="0.35"/>
    <row r="193" s="34" customFormat="1" x14ac:dyDescent="0.35"/>
    <row r="194" s="34" customFormat="1" x14ac:dyDescent="0.35"/>
    <row r="195" s="34" customFormat="1" x14ac:dyDescent="0.35"/>
    <row r="196" s="34" customFormat="1" x14ac:dyDescent="0.35"/>
    <row r="197" s="34" customFormat="1" x14ac:dyDescent="0.35"/>
    <row r="198" s="34" customFormat="1" x14ac:dyDescent="0.35"/>
    <row r="199" s="34" customFormat="1" x14ac:dyDescent="0.35"/>
    <row r="200" s="34" customFormat="1" x14ac:dyDescent="0.35"/>
    <row r="201" s="34" customFormat="1" x14ac:dyDescent="0.35"/>
    <row r="202" s="34" customFormat="1" x14ac:dyDescent="0.35"/>
    <row r="203" s="34" customFormat="1" x14ac:dyDescent="0.35"/>
    <row r="204" s="34" customFormat="1" x14ac:dyDescent="0.35"/>
    <row r="205" s="34" customFormat="1" x14ac:dyDescent="0.35"/>
    <row r="206" s="34" customFormat="1" x14ac:dyDescent="0.35"/>
    <row r="207" s="34" customFormat="1" x14ac:dyDescent="0.35"/>
    <row r="208" s="34" customFormat="1" x14ac:dyDescent="0.35"/>
    <row r="209" s="34" customFormat="1" x14ac:dyDescent="0.35"/>
    <row r="210" s="34" customFormat="1" x14ac:dyDescent="0.35"/>
    <row r="211" s="34" customFormat="1" x14ac:dyDescent="0.35"/>
    <row r="212" s="34" customFormat="1" x14ac:dyDescent="0.35"/>
    <row r="213" s="34" customFormat="1" x14ac:dyDescent="0.35"/>
    <row r="214" s="34" customFormat="1" x14ac:dyDescent="0.35"/>
    <row r="215" s="34" customFormat="1" x14ac:dyDescent="0.35"/>
    <row r="216" s="34" customFormat="1" x14ac:dyDescent="0.35"/>
    <row r="217" s="34" customFormat="1" x14ac:dyDescent="0.35"/>
    <row r="218" s="34" customFormat="1" x14ac:dyDescent="0.35"/>
    <row r="219" s="34" customFormat="1" x14ac:dyDescent="0.35"/>
    <row r="220" s="34" customFormat="1" x14ac:dyDescent="0.35"/>
    <row r="221" s="34" customFormat="1" x14ac:dyDescent="0.35"/>
  </sheetData>
  <pageMargins left="0.75" right="0.75" top="1" bottom="1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E670-7C4E-4B42-BAA3-2636B867910C}">
  <dimension ref="A1:Z221"/>
  <sheetViews>
    <sheetView showGridLines="0" topLeftCell="A21" zoomScale="94" zoomScaleNormal="94" workbookViewId="0">
      <selection activeCell="B2" sqref="B2:R46"/>
    </sheetView>
  </sheetViews>
  <sheetFormatPr baseColWidth="10" defaultColWidth="8.81640625" defaultRowHeight="14.5" outlineLevelRow="1" outlineLevelCol="1" x14ac:dyDescent="0.35"/>
  <cols>
    <col min="1" max="1" width="1.54296875" customWidth="1"/>
    <col min="2" max="2" width="43.1796875" customWidth="1"/>
    <col min="3" max="6" width="7.6328125" customWidth="1"/>
    <col min="7" max="16" width="7.81640625" customWidth="1"/>
    <col min="17" max="17" width="8.54296875" customWidth="1"/>
    <col min="18" max="18" width="7.81640625" customWidth="1"/>
    <col min="19" max="19" width="8.08984375" hidden="1" customWidth="1" outlineLevel="1"/>
    <col min="20" max="20" width="8" hidden="1" customWidth="1" outlineLevel="1"/>
    <col min="21" max="21" width="7.90625" hidden="1" customWidth="1" outlineLevel="1"/>
    <col min="22" max="22" width="12.453125" bestFit="1" customWidth="1" collapsed="1"/>
  </cols>
  <sheetData>
    <row r="1" spans="2:21" ht="15" thickBot="1" x14ac:dyDescent="0.4"/>
    <row r="2" spans="2:21" ht="12" customHeight="1" thickBot="1" x14ac:dyDescent="0.4">
      <c r="B2" s="377" t="s">
        <v>258</v>
      </c>
      <c r="C2" s="378"/>
      <c r="E2" s="377" t="s">
        <v>261</v>
      </c>
      <c r="F2" s="380"/>
      <c r="G2" s="380"/>
      <c r="H2" s="380"/>
      <c r="I2" s="380"/>
      <c r="J2" s="379"/>
      <c r="L2" s="377" t="s">
        <v>293</v>
      </c>
      <c r="M2" s="380"/>
      <c r="N2" s="380"/>
      <c r="O2" s="380"/>
      <c r="P2" s="380"/>
      <c r="Q2" s="380"/>
      <c r="R2" s="379"/>
      <c r="S2" s="34"/>
    </row>
    <row r="3" spans="2:21" ht="12" customHeight="1" x14ac:dyDescent="0.35">
      <c r="B3" s="59" t="s">
        <v>15</v>
      </c>
      <c r="C3" s="388">
        <v>300</v>
      </c>
      <c r="E3" s="381" t="s">
        <v>251</v>
      </c>
      <c r="F3" s="384"/>
      <c r="G3" s="384"/>
      <c r="H3" s="384"/>
      <c r="I3" s="384"/>
      <c r="J3" s="376">
        <v>0.69985569985569995</v>
      </c>
      <c r="K3" s="34"/>
      <c r="L3" s="433" t="s">
        <v>291</v>
      </c>
      <c r="M3" s="384"/>
      <c r="N3" s="34">
        <v>2010</v>
      </c>
      <c r="O3">
        <v>2011</v>
      </c>
      <c r="P3">
        <v>2012</v>
      </c>
      <c r="Q3" s="434" t="s">
        <v>290</v>
      </c>
      <c r="R3" s="435" t="s">
        <v>292</v>
      </c>
    </row>
    <row r="4" spans="2:21" ht="12" customHeight="1" thickBot="1" x14ac:dyDescent="0.4">
      <c r="B4" s="66" t="s">
        <v>16</v>
      </c>
      <c r="C4" s="452">
        <v>0.85</v>
      </c>
      <c r="E4" s="484" t="s">
        <v>263</v>
      </c>
      <c r="F4" s="485"/>
      <c r="G4" s="485"/>
      <c r="H4" s="485"/>
      <c r="I4" s="485"/>
      <c r="J4" s="486">
        <v>0.16</v>
      </c>
      <c r="L4" s="382" t="s">
        <v>288</v>
      </c>
      <c r="M4" s="436"/>
      <c r="N4" s="202">
        <f>Q4*N5</f>
        <v>2420.0000000000005</v>
      </c>
      <c r="O4" s="202">
        <f>Q4*O5</f>
        <v>3870.0000000000009</v>
      </c>
      <c r="P4" s="202">
        <f>Q4*P5</f>
        <v>3410.0000000000005</v>
      </c>
      <c r="Q4" s="202">
        <f>R4*Q8</f>
        <v>9700.0000000000018</v>
      </c>
      <c r="R4" s="437">
        <f>J3</f>
        <v>0.69985569985569995</v>
      </c>
    </row>
    <row r="5" spans="2:21" ht="12" customHeight="1" x14ac:dyDescent="0.35">
      <c r="B5" s="31" t="s">
        <v>111</v>
      </c>
      <c r="C5" s="451">
        <v>3.3</v>
      </c>
      <c r="E5" s="381" t="s">
        <v>252</v>
      </c>
      <c r="F5" s="443"/>
      <c r="G5" s="443"/>
      <c r="H5" s="443"/>
      <c r="I5" s="443"/>
      <c r="J5" s="444">
        <f>C162</f>
        <v>0.1609949529558119</v>
      </c>
      <c r="K5" s="269"/>
      <c r="L5" s="382"/>
      <c r="M5" s="436"/>
      <c r="N5" s="439">
        <v>0.24948453608247423</v>
      </c>
      <c r="O5" s="439">
        <v>0.39896907216494848</v>
      </c>
      <c r="P5" s="439">
        <v>0.35154639175257729</v>
      </c>
      <c r="Q5" s="438">
        <f>Q4/Q4</f>
        <v>1</v>
      </c>
      <c r="R5" s="437"/>
    </row>
    <row r="6" spans="2:21" ht="12" customHeight="1" thickBot="1" x14ac:dyDescent="0.4">
      <c r="B6" s="66" t="s">
        <v>262</v>
      </c>
      <c r="C6" s="455">
        <v>0.01</v>
      </c>
      <c r="E6" s="383" t="s">
        <v>131</v>
      </c>
      <c r="F6" s="386"/>
      <c r="G6" s="386"/>
      <c r="H6" s="386"/>
      <c r="I6" s="386"/>
      <c r="J6" s="404">
        <f>WACC!I30</f>
        <v>0.12920518238021639</v>
      </c>
      <c r="L6" s="382" t="s">
        <v>289</v>
      </c>
      <c r="M6" s="385"/>
      <c r="N6" s="202">
        <f>Q6*N7</f>
        <v>1039.9999999999998</v>
      </c>
      <c r="O6" s="202">
        <f>Q6*O7</f>
        <v>1649.9999999999995</v>
      </c>
      <c r="P6" s="202">
        <f>Q6*P7</f>
        <v>1469.9999999999998</v>
      </c>
      <c r="Q6" s="202">
        <f>R6*Q8</f>
        <v>4159.9999999999991</v>
      </c>
      <c r="R6" s="437">
        <f>1-R4</f>
        <v>0.30014430014430005</v>
      </c>
    </row>
    <row r="7" spans="2:21" ht="12" customHeight="1" thickBot="1" x14ac:dyDescent="0.4">
      <c r="B7" s="453" t="s">
        <v>68</v>
      </c>
      <c r="C7" s="454">
        <f>'Operating Data'!C23</f>
        <v>2947.3638769273243</v>
      </c>
      <c r="E7" s="381" t="s">
        <v>259</v>
      </c>
      <c r="F7" s="443"/>
      <c r="G7" s="443"/>
      <c r="H7" s="443"/>
      <c r="I7" s="443"/>
      <c r="J7" s="444">
        <f>C181</f>
        <v>0.19885052267847914</v>
      </c>
      <c r="K7" s="269"/>
      <c r="L7" s="383"/>
      <c r="M7" s="458"/>
      <c r="N7" s="448">
        <v>0.25</v>
      </c>
      <c r="O7" s="449">
        <v>0.39663461538461536</v>
      </c>
      <c r="P7" s="449">
        <v>0.35336538461538464</v>
      </c>
      <c r="Q7" s="450">
        <f>Q6/Q6</f>
        <v>1</v>
      </c>
      <c r="R7" s="459"/>
    </row>
    <row r="8" spans="2:21" ht="12" customHeight="1" thickBot="1" x14ac:dyDescent="0.4">
      <c r="B8" s="66" t="s">
        <v>304</v>
      </c>
      <c r="C8" s="389">
        <v>1</v>
      </c>
      <c r="E8" s="383" t="s">
        <v>260</v>
      </c>
      <c r="F8" s="386"/>
      <c r="G8" s="386"/>
      <c r="H8" s="386"/>
      <c r="I8" s="386"/>
      <c r="J8" s="404">
        <f>WACC!I21</f>
        <v>0.19548394126738794</v>
      </c>
      <c r="L8" s="456" t="s">
        <v>166</v>
      </c>
      <c r="M8" s="457"/>
      <c r="N8" s="446">
        <f>N4+N6</f>
        <v>3460</v>
      </c>
      <c r="O8" s="446">
        <f>O4+O6</f>
        <v>5520</v>
      </c>
      <c r="P8" s="446">
        <f>P4+P6</f>
        <v>4880</v>
      </c>
      <c r="Q8" s="447">
        <v>13860</v>
      </c>
      <c r="R8" s="460">
        <f>Q8/Q8</f>
        <v>1</v>
      </c>
    </row>
    <row r="9" spans="2:21" ht="6.25" customHeight="1" x14ac:dyDescent="0.35">
      <c r="E9" s="318"/>
      <c r="F9" s="318"/>
      <c r="G9" s="318"/>
      <c r="H9" s="392"/>
    </row>
    <row r="10" spans="2:21" ht="6.25" customHeight="1" thickBot="1" x14ac:dyDescent="0.4"/>
    <row r="11" spans="2:21" ht="12" customHeight="1" thickBot="1" x14ac:dyDescent="0.4">
      <c r="B11" s="302" t="s">
        <v>106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8"/>
    </row>
    <row r="12" spans="2:21" s="68" customFormat="1" ht="12" customHeight="1" thickBot="1" x14ac:dyDescent="0.4">
      <c r="B12" s="306" t="s">
        <v>110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  <c r="I12" s="2">
        <v>2015</v>
      </c>
      <c r="J12" s="2">
        <v>2016</v>
      </c>
      <c r="K12" s="2">
        <v>2017</v>
      </c>
      <c r="L12" s="2">
        <v>2018</v>
      </c>
      <c r="M12" s="2">
        <v>2019</v>
      </c>
      <c r="N12" s="2">
        <v>2020</v>
      </c>
      <c r="O12" s="2">
        <v>2021</v>
      </c>
      <c r="P12" s="2">
        <v>2022</v>
      </c>
      <c r="Q12" s="2">
        <v>2023</v>
      </c>
      <c r="R12" s="2">
        <v>2024</v>
      </c>
      <c r="S12" s="2">
        <v>2025</v>
      </c>
      <c r="T12" s="2">
        <v>2026</v>
      </c>
      <c r="U12" s="3">
        <v>2027</v>
      </c>
    </row>
    <row r="13" spans="2:21" s="34" customFormat="1" ht="12" customHeight="1" x14ac:dyDescent="0.35">
      <c r="B13" s="303" t="s">
        <v>175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</row>
    <row r="14" spans="2:21" s="34" customFormat="1" ht="12" customHeight="1" x14ac:dyDescent="0.35">
      <c r="B14" s="31" t="s">
        <v>15</v>
      </c>
      <c r="C14" s="178">
        <v>0</v>
      </c>
      <c r="D14" s="178">
        <v>0</v>
      </c>
      <c r="E14" s="178">
        <v>0</v>
      </c>
      <c r="F14" s="178">
        <v>0</v>
      </c>
      <c r="G14" s="178">
        <v>300</v>
      </c>
      <c r="H14" s="178">
        <v>300</v>
      </c>
      <c r="I14" s="178">
        <v>300</v>
      </c>
      <c r="J14" s="178">
        <v>300</v>
      </c>
      <c r="K14" s="178">
        <v>300</v>
      </c>
      <c r="L14" s="178">
        <v>300</v>
      </c>
      <c r="M14" s="178">
        <v>300</v>
      </c>
      <c r="N14" s="178">
        <v>300</v>
      </c>
      <c r="O14" s="178">
        <v>300</v>
      </c>
      <c r="P14" s="178">
        <v>300</v>
      </c>
      <c r="Q14" s="178">
        <v>300</v>
      </c>
      <c r="R14" s="178">
        <v>300</v>
      </c>
      <c r="S14" s="178">
        <v>300</v>
      </c>
      <c r="T14" s="178">
        <v>300</v>
      </c>
      <c r="U14" s="179">
        <v>300</v>
      </c>
    </row>
    <row r="15" spans="2:21" s="34" customFormat="1" ht="12" customHeight="1" x14ac:dyDescent="0.35">
      <c r="B15" s="35" t="s">
        <v>16</v>
      </c>
      <c r="C15" s="72">
        <v>0</v>
      </c>
      <c r="D15" s="72">
        <v>0</v>
      </c>
      <c r="E15" s="72">
        <v>0</v>
      </c>
      <c r="F15" s="72">
        <v>0</v>
      </c>
      <c r="G15" s="72">
        <f t="shared" ref="G15:U15" si="0">$C$4</f>
        <v>0.85</v>
      </c>
      <c r="H15" s="72">
        <f t="shared" si="0"/>
        <v>0.85</v>
      </c>
      <c r="I15" s="72">
        <f t="shared" si="0"/>
        <v>0.85</v>
      </c>
      <c r="J15" s="72">
        <f t="shared" si="0"/>
        <v>0.85</v>
      </c>
      <c r="K15" s="72">
        <f t="shared" si="0"/>
        <v>0.85</v>
      </c>
      <c r="L15" s="72">
        <f t="shared" si="0"/>
        <v>0.85</v>
      </c>
      <c r="M15" s="72">
        <f t="shared" si="0"/>
        <v>0.85</v>
      </c>
      <c r="N15" s="72">
        <f t="shared" si="0"/>
        <v>0.85</v>
      </c>
      <c r="O15" s="72">
        <f t="shared" si="0"/>
        <v>0.85</v>
      </c>
      <c r="P15" s="72">
        <f t="shared" si="0"/>
        <v>0.85</v>
      </c>
      <c r="Q15" s="72">
        <f t="shared" si="0"/>
        <v>0.85</v>
      </c>
      <c r="R15" s="72">
        <f t="shared" si="0"/>
        <v>0.85</v>
      </c>
      <c r="S15" s="72">
        <f t="shared" si="0"/>
        <v>0.85</v>
      </c>
      <c r="T15" s="72">
        <f t="shared" si="0"/>
        <v>0.85</v>
      </c>
      <c r="U15" s="73">
        <f t="shared" si="0"/>
        <v>0.85</v>
      </c>
    </row>
    <row r="16" spans="2:21" s="34" customFormat="1" ht="12" customHeight="1" x14ac:dyDescent="0.35">
      <c r="B16" s="35" t="s">
        <v>80</v>
      </c>
      <c r="C16" s="180">
        <v>0</v>
      </c>
      <c r="D16" s="180">
        <v>0</v>
      </c>
      <c r="E16" s="180">
        <v>0</v>
      </c>
      <c r="F16" s="180">
        <v>0</v>
      </c>
      <c r="G16" s="180">
        <f t="shared" ref="G16:U16" si="1">G14*1000*24*365*G15/1000000</f>
        <v>2233.8000000000002</v>
      </c>
      <c r="H16" s="180">
        <f t="shared" si="1"/>
        <v>2233.8000000000002</v>
      </c>
      <c r="I16" s="180">
        <f t="shared" si="1"/>
        <v>2233.8000000000002</v>
      </c>
      <c r="J16" s="180">
        <f t="shared" si="1"/>
        <v>2233.8000000000002</v>
      </c>
      <c r="K16" s="180">
        <f t="shared" si="1"/>
        <v>2233.8000000000002</v>
      </c>
      <c r="L16" s="180">
        <f t="shared" si="1"/>
        <v>2233.8000000000002</v>
      </c>
      <c r="M16" s="180">
        <f t="shared" si="1"/>
        <v>2233.8000000000002</v>
      </c>
      <c r="N16" s="180">
        <f t="shared" si="1"/>
        <v>2233.8000000000002</v>
      </c>
      <c r="O16" s="180">
        <f t="shared" si="1"/>
        <v>2233.8000000000002</v>
      </c>
      <c r="P16" s="180">
        <f t="shared" si="1"/>
        <v>2233.8000000000002</v>
      </c>
      <c r="Q16" s="180">
        <f t="shared" si="1"/>
        <v>2233.8000000000002</v>
      </c>
      <c r="R16" s="180">
        <f t="shared" si="1"/>
        <v>2233.8000000000002</v>
      </c>
      <c r="S16" s="180">
        <f t="shared" si="1"/>
        <v>2233.8000000000002</v>
      </c>
      <c r="T16" s="180">
        <f t="shared" si="1"/>
        <v>2233.8000000000002</v>
      </c>
      <c r="U16" s="181">
        <f t="shared" si="1"/>
        <v>2233.8000000000002</v>
      </c>
    </row>
    <row r="17" spans="2:22" s="34" customFormat="1" ht="12" customHeight="1" x14ac:dyDescent="0.35">
      <c r="B17" s="35" t="s">
        <v>81</v>
      </c>
      <c r="C17" s="180">
        <v>0</v>
      </c>
      <c r="D17" s="180">
        <v>0</v>
      </c>
      <c r="E17" s="180">
        <v>0</v>
      </c>
      <c r="F17" s="180">
        <v>0</v>
      </c>
      <c r="G17" s="180">
        <v>201</v>
      </c>
      <c r="H17" s="180">
        <v>201</v>
      </c>
      <c r="I17" s="180">
        <v>201</v>
      </c>
      <c r="J17" s="180">
        <v>201</v>
      </c>
      <c r="K17" s="180">
        <v>201</v>
      </c>
      <c r="L17" s="180">
        <v>201</v>
      </c>
      <c r="M17" s="180">
        <v>201</v>
      </c>
      <c r="N17" s="180">
        <v>201</v>
      </c>
      <c r="O17" s="180">
        <v>201</v>
      </c>
      <c r="P17" s="180">
        <v>201</v>
      </c>
      <c r="Q17" s="180">
        <v>201</v>
      </c>
      <c r="R17" s="180">
        <v>201</v>
      </c>
      <c r="S17" s="180">
        <v>201</v>
      </c>
      <c r="T17" s="180">
        <v>201</v>
      </c>
      <c r="U17" s="181">
        <v>201</v>
      </c>
    </row>
    <row r="18" spans="2:22" s="34" customFormat="1" ht="12" customHeight="1" x14ac:dyDescent="0.35">
      <c r="B18" s="78" t="s">
        <v>82</v>
      </c>
      <c r="C18" s="180">
        <v>0</v>
      </c>
      <c r="D18" s="180">
        <v>0</v>
      </c>
      <c r="E18" s="180">
        <v>0</v>
      </c>
      <c r="F18" s="180">
        <v>0</v>
      </c>
      <c r="G18" s="180">
        <f t="shared" ref="G18:U18" si="2">G16-G17</f>
        <v>2032.8000000000002</v>
      </c>
      <c r="H18" s="180">
        <f t="shared" si="2"/>
        <v>2032.8000000000002</v>
      </c>
      <c r="I18" s="180">
        <f t="shared" si="2"/>
        <v>2032.8000000000002</v>
      </c>
      <c r="J18" s="180">
        <f t="shared" si="2"/>
        <v>2032.8000000000002</v>
      </c>
      <c r="K18" s="180">
        <f t="shared" si="2"/>
        <v>2032.8000000000002</v>
      </c>
      <c r="L18" s="180">
        <f t="shared" si="2"/>
        <v>2032.8000000000002</v>
      </c>
      <c r="M18" s="180">
        <f t="shared" si="2"/>
        <v>2032.8000000000002</v>
      </c>
      <c r="N18" s="180">
        <f t="shared" si="2"/>
        <v>2032.8000000000002</v>
      </c>
      <c r="O18" s="180">
        <f t="shared" si="2"/>
        <v>2032.8000000000002</v>
      </c>
      <c r="P18" s="180">
        <f t="shared" si="2"/>
        <v>2032.8000000000002</v>
      </c>
      <c r="Q18" s="180">
        <f t="shared" si="2"/>
        <v>2032.8000000000002</v>
      </c>
      <c r="R18" s="180">
        <f t="shared" si="2"/>
        <v>2032.8000000000002</v>
      </c>
      <c r="S18" s="180">
        <f t="shared" si="2"/>
        <v>2032.8000000000002</v>
      </c>
      <c r="T18" s="180">
        <f t="shared" si="2"/>
        <v>2032.8000000000002</v>
      </c>
      <c r="U18" s="181">
        <f t="shared" si="2"/>
        <v>2032.8000000000002</v>
      </c>
    </row>
    <row r="19" spans="2:22" s="34" customFormat="1" ht="12" customHeight="1" x14ac:dyDescent="0.35">
      <c r="B19" s="35" t="s">
        <v>111</v>
      </c>
      <c r="C19" s="195">
        <v>0</v>
      </c>
      <c r="D19" s="195">
        <v>0</v>
      </c>
      <c r="E19" s="195">
        <v>0</v>
      </c>
      <c r="F19" s="195">
        <v>0</v>
      </c>
      <c r="G19" s="195">
        <f>C5</f>
        <v>3.3</v>
      </c>
      <c r="H19" s="195">
        <f t="shared" ref="H19:U19" si="3">G19*(1+$C$6)</f>
        <v>3.3329999999999997</v>
      </c>
      <c r="I19" s="195">
        <f t="shared" si="3"/>
        <v>3.3663299999999996</v>
      </c>
      <c r="J19" s="195">
        <f t="shared" si="3"/>
        <v>3.3999932999999998</v>
      </c>
      <c r="K19" s="195">
        <f t="shared" si="3"/>
        <v>3.4339932329999998</v>
      </c>
      <c r="L19" s="195">
        <f t="shared" si="3"/>
        <v>3.4683331653299998</v>
      </c>
      <c r="M19" s="195">
        <f t="shared" si="3"/>
        <v>3.5030164969833</v>
      </c>
      <c r="N19" s="195">
        <f t="shared" si="3"/>
        <v>3.5380466619531332</v>
      </c>
      <c r="O19" s="195">
        <f t="shared" si="3"/>
        <v>3.5734271285726646</v>
      </c>
      <c r="P19" s="195">
        <f t="shared" si="3"/>
        <v>3.6091613998583911</v>
      </c>
      <c r="Q19" s="195">
        <f t="shared" si="3"/>
        <v>3.645253013856975</v>
      </c>
      <c r="R19" s="195">
        <f t="shared" si="3"/>
        <v>3.6817055439955446</v>
      </c>
      <c r="S19" s="195">
        <f t="shared" si="3"/>
        <v>3.7185225994355</v>
      </c>
      <c r="T19" s="195">
        <f t="shared" si="3"/>
        <v>3.7557078254298553</v>
      </c>
      <c r="U19" s="196">
        <f t="shared" si="3"/>
        <v>3.7932649036841539</v>
      </c>
    </row>
    <row r="20" spans="2:22" s="34" customFormat="1" ht="12" customHeight="1" x14ac:dyDescent="0.35">
      <c r="B20" s="303" t="s">
        <v>174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</row>
    <row r="21" spans="2:22" s="34" customFormat="1" ht="12" customHeight="1" x14ac:dyDescent="0.35">
      <c r="B21" s="82" t="s">
        <v>21</v>
      </c>
      <c r="C21" s="182">
        <f>C18*C19</f>
        <v>0</v>
      </c>
      <c r="D21" s="182">
        <f>D18*D19</f>
        <v>0</v>
      </c>
      <c r="E21" s="182">
        <f>E18*E19</f>
        <v>0</v>
      </c>
      <c r="F21" s="182">
        <f>F18*F19</f>
        <v>0</v>
      </c>
      <c r="G21" s="182">
        <f>G18*G19</f>
        <v>6708.2400000000007</v>
      </c>
      <c r="H21" s="182">
        <f t="shared" ref="H21:U21" si="4">H18*H19</f>
        <v>6775.3224</v>
      </c>
      <c r="I21" s="182">
        <f t="shared" si="4"/>
        <v>6843.0756240000001</v>
      </c>
      <c r="J21" s="182">
        <f t="shared" si="4"/>
        <v>6911.50638024</v>
      </c>
      <c r="K21" s="182">
        <f t="shared" si="4"/>
        <v>6980.6214440424001</v>
      </c>
      <c r="L21" s="182">
        <f t="shared" si="4"/>
        <v>7050.427658482824</v>
      </c>
      <c r="M21" s="182">
        <f t="shared" si="4"/>
        <v>7120.9319350676524</v>
      </c>
      <c r="N21" s="182">
        <f t="shared" si="4"/>
        <v>7192.1412544183295</v>
      </c>
      <c r="O21" s="182">
        <f t="shared" si="4"/>
        <v>7264.0626669625135</v>
      </c>
      <c r="P21" s="182">
        <f t="shared" si="4"/>
        <v>7336.7032936321384</v>
      </c>
      <c r="Q21" s="182">
        <f t="shared" si="4"/>
        <v>7410.0703265684597</v>
      </c>
      <c r="R21" s="182">
        <f t="shared" si="4"/>
        <v>7484.1710298341441</v>
      </c>
      <c r="S21" s="182">
        <f t="shared" si="4"/>
        <v>7559.0127401324853</v>
      </c>
      <c r="T21" s="182">
        <f t="shared" si="4"/>
        <v>7634.6028675338102</v>
      </c>
      <c r="U21" s="183">
        <f t="shared" si="4"/>
        <v>7710.9488962091491</v>
      </c>
    </row>
    <row r="22" spans="2:22" s="34" customFormat="1" ht="12" customHeight="1" x14ac:dyDescent="0.35">
      <c r="B22" s="323" t="s">
        <v>189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5"/>
    </row>
    <row r="23" spans="2:22" s="34" customFormat="1" ht="12" customHeight="1" x14ac:dyDescent="0.35">
      <c r="B23" s="35" t="s">
        <v>41</v>
      </c>
      <c r="C23" s="180">
        <v>0</v>
      </c>
      <c r="D23" s="180">
        <v>0</v>
      </c>
      <c r="E23" s="180">
        <v>0</v>
      </c>
      <c r="F23" s="180">
        <v>0</v>
      </c>
      <c r="G23" s="180">
        <f>($C$7*$C$8)*((1.03^(G12-2012)))</f>
        <v>3035.7847932351442</v>
      </c>
      <c r="H23" s="180">
        <f t="shared" ref="H23:U23" si="5">($C$7*((1.03^(H12-2012))))*$C$8</f>
        <v>3126.8583370321981</v>
      </c>
      <c r="I23" s="180">
        <f t="shared" si="5"/>
        <v>3220.6640871431641</v>
      </c>
      <c r="J23" s="180">
        <f t="shared" si="5"/>
        <v>3317.284009757459</v>
      </c>
      <c r="K23" s="180">
        <f t="shared" si="5"/>
        <v>3416.8025300501827</v>
      </c>
      <c r="L23" s="180">
        <f t="shared" si="5"/>
        <v>3519.3066059516882</v>
      </c>
      <c r="M23" s="180">
        <f t="shared" si="5"/>
        <v>3624.8858041302392</v>
      </c>
      <c r="N23" s="180">
        <f t="shared" si="5"/>
        <v>3733.6323782541458</v>
      </c>
      <c r="O23" s="180">
        <f t="shared" si="5"/>
        <v>3845.6413496017703</v>
      </c>
      <c r="P23" s="180">
        <f t="shared" si="5"/>
        <v>3961.0105900898234</v>
      </c>
      <c r="Q23" s="180">
        <f t="shared" si="5"/>
        <v>4079.8409077925185</v>
      </c>
      <c r="R23" s="180">
        <f t="shared" si="5"/>
        <v>4202.2361350262936</v>
      </c>
      <c r="S23" s="180">
        <f t="shared" si="5"/>
        <v>4328.3032190770818</v>
      </c>
      <c r="T23" s="180">
        <f t="shared" si="5"/>
        <v>4458.152315649395</v>
      </c>
      <c r="U23" s="181">
        <f t="shared" si="5"/>
        <v>4591.8968851188765</v>
      </c>
    </row>
    <row r="24" spans="2:22" s="34" customFormat="1" ht="12" customHeight="1" x14ac:dyDescent="0.35">
      <c r="B24" s="35" t="s">
        <v>84</v>
      </c>
      <c r="C24" s="180">
        <v>0</v>
      </c>
      <c r="D24" s="180">
        <v>0</v>
      </c>
      <c r="E24" s="180">
        <v>0</v>
      </c>
      <c r="F24" s="180">
        <v>0</v>
      </c>
      <c r="G24" s="180">
        <f t="shared" ref="G24:U24" si="6">((1.55*G14*((1.04)^(G12-2012))))*($C$4/85%)</f>
        <v>483.6</v>
      </c>
      <c r="H24" s="180">
        <f t="shared" si="6"/>
        <v>502.94400000000007</v>
      </c>
      <c r="I24" s="180">
        <f t="shared" si="6"/>
        <v>523.06176000000005</v>
      </c>
      <c r="J24" s="180">
        <f t="shared" si="6"/>
        <v>543.98423040000011</v>
      </c>
      <c r="K24" s="180">
        <f t="shared" si="6"/>
        <v>565.74359961600021</v>
      </c>
      <c r="L24" s="180">
        <f t="shared" si="6"/>
        <v>588.37334360064017</v>
      </c>
      <c r="M24" s="180">
        <f t="shared" si="6"/>
        <v>611.90827734466575</v>
      </c>
      <c r="N24" s="180">
        <f t="shared" si="6"/>
        <v>636.38460843845246</v>
      </c>
      <c r="O24" s="180">
        <f t="shared" si="6"/>
        <v>661.83999277599059</v>
      </c>
      <c r="P24" s="180">
        <f t="shared" si="6"/>
        <v>688.31359248703018</v>
      </c>
      <c r="Q24" s="180">
        <f t="shared" si="6"/>
        <v>715.84613618651144</v>
      </c>
      <c r="R24" s="180">
        <f t="shared" si="6"/>
        <v>744.47998163397199</v>
      </c>
      <c r="S24" s="180">
        <f t="shared" si="6"/>
        <v>774.25918089933089</v>
      </c>
      <c r="T24" s="180">
        <f t="shared" si="6"/>
        <v>805.22954813530419</v>
      </c>
      <c r="U24" s="181">
        <f t="shared" si="6"/>
        <v>837.43873006071624</v>
      </c>
    </row>
    <row r="25" spans="2:22" s="34" customFormat="1" ht="12" customHeight="1" x14ac:dyDescent="0.35">
      <c r="B25" s="82" t="s">
        <v>25</v>
      </c>
      <c r="C25" s="180">
        <v>0</v>
      </c>
      <c r="D25" s="180">
        <v>0</v>
      </c>
      <c r="E25" s="180">
        <v>0</v>
      </c>
      <c r="F25" s="180">
        <v>0</v>
      </c>
      <c r="G25" s="393">
        <f t="shared" ref="G25:U25" si="7">SUM(G23:G24)</f>
        <v>3519.3847932351441</v>
      </c>
      <c r="H25" s="393">
        <f t="shared" si="7"/>
        <v>3629.802337032198</v>
      </c>
      <c r="I25" s="393">
        <f t="shared" si="7"/>
        <v>3743.7258471431642</v>
      </c>
      <c r="J25" s="393">
        <f t="shared" si="7"/>
        <v>3861.2682401574593</v>
      </c>
      <c r="K25" s="393">
        <f t="shared" si="7"/>
        <v>3982.5461296661829</v>
      </c>
      <c r="L25" s="393">
        <f t="shared" si="7"/>
        <v>4107.6799495523283</v>
      </c>
      <c r="M25" s="393">
        <f t="shared" si="7"/>
        <v>4236.7940814749054</v>
      </c>
      <c r="N25" s="393">
        <f t="shared" si="7"/>
        <v>4370.016986692598</v>
      </c>
      <c r="O25" s="393">
        <f t="shared" si="7"/>
        <v>4507.4813423777614</v>
      </c>
      <c r="P25" s="393">
        <f t="shared" si="7"/>
        <v>4649.3241825768537</v>
      </c>
      <c r="Q25" s="393">
        <f t="shared" si="7"/>
        <v>4795.68704397903</v>
      </c>
      <c r="R25" s="393">
        <f t="shared" si="7"/>
        <v>4946.7161166602655</v>
      </c>
      <c r="S25" s="393">
        <f t="shared" si="7"/>
        <v>5102.562399976413</v>
      </c>
      <c r="T25" s="393">
        <f t="shared" si="7"/>
        <v>5263.3818637846989</v>
      </c>
      <c r="U25" s="394">
        <f t="shared" si="7"/>
        <v>5429.3356151795924</v>
      </c>
      <c r="V25" s="145"/>
    </row>
    <row r="26" spans="2:22" s="34" customFormat="1" ht="12" customHeight="1" x14ac:dyDescent="0.35">
      <c r="B26" s="85" t="s">
        <v>272</v>
      </c>
      <c r="C26" s="182">
        <f t="shared" ref="C26:U26" si="8">C21-C25</f>
        <v>0</v>
      </c>
      <c r="D26" s="182">
        <f t="shared" si="8"/>
        <v>0</v>
      </c>
      <c r="E26" s="182">
        <f t="shared" si="8"/>
        <v>0</v>
      </c>
      <c r="F26" s="182">
        <f t="shared" si="8"/>
        <v>0</v>
      </c>
      <c r="G26" s="182">
        <f t="shared" si="8"/>
        <v>3188.8552067648566</v>
      </c>
      <c r="H26" s="182">
        <f t="shared" si="8"/>
        <v>3145.520062967802</v>
      </c>
      <c r="I26" s="182">
        <f t="shared" si="8"/>
        <v>3099.3497768568359</v>
      </c>
      <c r="J26" s="182">
        <f t="shared" si="8"/>
        <v>3050.2381400825407</v>
      </c>
      <c r="K26" s="182">
        <f t="shared" si="8"/>
        <v>2998.0753143762172</v>
      </c>
      <c r="L26" s="182">
        <f t="shared" si="8"/>
        <v>2942.7477089304957</v>
      </c>
      <c r="M26" s="182">
        <f t="shared" si="8"/>
        <v>2884.137853592747</v>
      </c>
      <c r="N26" s="182">
        <f t="shared" si="8"/>
        <v>2822.1242677257314</v>
      </c>
      <c r="O26" s="182">
        <f t="shared" si="8"/>
        <v>2756.5813245847521</v>
      </c>
      <c r="P26" s="182">
        <f t="shared" si="8"/>
        <v>2687.3791110552847</v>
      </c>
      <c r="Q26" s="182">
        <f t="shared" si="8"/>
        <v>2614.3832825894297</v>
      </c>
      <c r="R26" s="182">
        <f t="shared" si="8"/>
        <v>2537.4549131738786</v>
      </c>
      <c r="S26" s="182">
        <f t="shared" si="8"/>
        <v>2456.4503401560723</v>
      </c>
      <c r="T26" s="182">
        <f t="shared" si="8"/>
        <v>2371.2210037491113</v>
      </c>
      <c r="U26" s="183">
        <f t="shared" si="8"/>
        <v>2281.6132810295567</v>
      </c>
    </row>
    <row r="27" spans="2:22" s="34" customFormat="1" ht="12" customHeight="1" x14ac:dyDescent="0.35">
      <c r="B27" s="323" t="s">
        <v>145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2:22" s="34" customFormat="1" ht="12" customHeight="1" x14ac:dyDescent="0.35">
      <c r="B28" s="35" t="s">
        <v>187</v>
      </c>
      <c r="C28" s="180">
        <v>0</v>
      </c>
      <c r="D28" s="180">
        <v>0</v>
      </c>
      <c r="E28" s="180">
        <v>0</v>
      </c>
      <c r="F28" s="410">
        <v>0</v>
      </c>
      <c r="G28" s="410">
        <f t="shared" ref="G28:U28" si="9">$J$4*((G109+G112)/2)</f>
        <v>1422.666666666667</v>
      </c>
      <c r="H28" s="410">
        <f t="shared" si="9"/>
        <v>1250.2222222222224</v>
      </c>
      <c r="I28" s="410">
        <f t="shared" si="9"/>
        <v>1077.7777777777778</v>
      </c>
      <c r="J28" s="410">
        <f t="shared" si="9"/>
        <v>905.33333333333348</v>
      </c>
      <c r="K28" s="410">
        <f t="shared" si="9"/>
        <v>732.8888888888888</v>
      </c>
      <c r="L28" s="410">
        <f t="shared" si="9"/>
        <v>560.44444444444434</v>
      </c>
      <c r="M28" s="410">
        <f t="shared" si="9"/>
        <v>387.99999999999977</v>
      </c>
      <c r="N28" s="410">
        <f t="shared" si="9"/>
        <v>215.55555555555534</v>
      </c>
      <c r="O28" s="410">
        <f t="shared" si="9"/>
        <v>64.666666666666387</v>
      </c>
      <c r="P28" s="410">
        <f t="shared" si="9"/>
        <v>-2.9103830456733704E-13</v>
      </c>
      <c r="Q28" s="410">
        <f t="shared" si="9"/>
        <v>-2.9103830456733704E-13</v>
      </c>
      <c r="R28" s="410">
        <f t="shared" si="9"/>
        <v>-2.9103830456733704E-13</v>
      </c>
      <c r="S28" s="410">
        <f t="shared" si="9"/>
        <v>-2.9103830456733704E-13</v>
      </c>
      <c r="T28" s="410">
        <f t="shared" si="9"/>
        <v>-2.9103830456733704E-13</v>
      </c>
      <c r="U28" s="441">
        <f t="shared" si="9"/>
        <v>-2.9103830456733704E-13</v>
      </c>
    </row>
    <row r="29" spans="2:22" s="34" customFormat="1" ht="12" customHeight="1" x14ac:dyDescent="0.35">
      <c r="B29" s="35" t="s">
        <v>188</v>
      </c>
      <c r="C29" s="180">
        <v>0</v>
      </c>
      <c r="D29" s="180">
        <v>0</v>
      </c>
      <c r="E29" s="180">
        <v>0</v>
      </c>
      <c r="F29" s="180">
        <v>0</v>
      </c>
      <c r="G29" s="187">
        <f>$J$4*G60</f>
        <v>148.80000000000001</v>
      </c>
      <c r="H29" s="187">
        <f t="shared" ref="H29:U29" si="10">$J$4*((G60+H60)/2)</f>
        <v>149.6</v>
      </c>
      <c r="I29" s="187">
        <f t="shared" si="10"/>
        <v>152</v>
      </c>
      <c r="J29" s="187">
        <f t="shared" si="10"/>
        <v>155.20000000000002</v>
      </c>
      <c r="K29" s="187">
        <f t="shared" si="10"/>
        <v>157.6</v>
      </c>
      <c r="L29" s="187">
        <f t="shared" si="10"/>
        <v>160</v>
      </c>
      <c r="M29" s="187">
        <f t="shared" si="10"/>
        <v>163.20000000000002</v>
      </c>
      <c r="N29" s="187">
        <f t="shared" si="10"/>
        <v>166.4</v>
      </c>
      <c r="O29" s="187">
        <f t="shared" si="10"/>
        <v>169.6</v>
      </c>
      <c r="P29" s="187">
        <f t="shared" si="10"/>
        <v>172.8</v>
      </c>
      <c r="Q29" s="187">
        <f t="shared" si="10"/>
        <v>176</v>
      </c>
      <c r="R29" s="187">
        <f t="shared" si="10"/>
        <v>179.20000000000002</v>
      </c>
      <c r="S29" s="187">
        <f t="shared" si="10"/>
        <v>183.20000000000002</v>
      </c>
      <c r="T29" s="187">
        <f t="shared" si="10"/>
        <v>187.20000000000002</v>
      </c>
      <c r="U29" s="340">
        <f t="shared" si="10"/>
        <v>190.4</v>
      </c>
    </row>
    <row r="30" spans="2:22" s="34" customFormat="1" ht="12" customHeight="1" x14ac:dyDescent="0.35">
      <c r="B30" s="35" t="s">
        <v>30</v>
      </c>
      <c r="C30" s="180">
        <v>0</v>
      </c>
      <c r="D30" s="180">
        <v>0</v>
      </c>
      <c r="E30" s="180">
        <v>0</v>
      </c>
      <c r="F30" s="180">
        <v>0</v>
      </c>
      <c r="G30" s="187">
        <v>680</v>
      </c>
      <c r="H30" s="187">
        <v>680</v>
      </c>
      <c r="I30" s="187">
        <v>680</v>
      </c>
      <c r="J30" s="187">
        <v>680</v>
      </c>
      <c r="K30" s="187">
        <v>680</v>
      </c>
      <c r="L30" s="187">
        <v>680</v>
      </c>
      <c r="M30" s="187">
        <v>680</v>
      </c>
      <c r="N30" s="187">
        <v>680</v>
      </c>
      <c r="O30" s="187">
        <v>680</v>
      </c>
      <c r="P30" s="187">
        <v>680</v>
      </c>
      <c r="Q30" s="187">
        <v>680</v>
      </c>
      <c r="R30" s="187">
        <v>680</v>
      </c>
      <c r="S30" s="187">
        <v>680</v>
      </c>
      <c r="T30" s="187">
        <v>680</v>
      </c>
      <c r="U30" s="340">
        <v>680</v>
      </c>
    </row>
    <row r="31" spans="2:22" s="34" customFormat="1" ht="12" hidden="1" customHeight="1" outlineLevel="1" x14ac:dyDescent="0.35">
      <c r="B31" s="52" t="s">
        <v>86</v>
      </c>
      <c r="C31" s="186">
        <f t="shared" ref="C31:U31" si="11">C26-C28-C29-C30</f>
        <v>0</v>
      </c>
      <c r="D31" s="186">
        <f t="shared" si="11"/>
        <v>0</v>
      </c>
      <c r="E31" s="186">
        <f t="shared" si="11"/>
        <v>0</v>
      </c>
      <c r="F31" s="186">
        <f t="shared" si="11"/>
        <v>0</v>
      </c>
      <c r="G31" s="186">
        <f t="shared" si="11"/>
        <v>937.38854009818965</v>
      </c>
      <c r="H31" s="186">
        <f t="shared" si="11"/>
        <v>1065.6978407455797</v>
      </c>
      <c r="I31" s="186">
        <f t="shared" si="11"/>
        <v>1189.5719990790581</v>
      </c>
      <c r="J31" s="186">
        <f t="shared" si="11"/>
        <v>1309.7048067492071</v>
      </c>
      <c r="K31" s="186">
        <f t="shared" si="11"/>
        <v>1427.5864254873286</v>
      </c>
      <c r="L31" s="186">
        <f t="shared" si="11"/>
        <v>1542.3032644860514</v>
      </c>
      <c r="M31" s="186">
        <f t="shared" si="11"/>
        <v>1652.9378535927472</v>
      </c>
      <c r="N31" s="186">
        <f t="shared" si="11"/>
        <v>1760.1687121701761</v>
      </c>
      <c r="O31" s="186">
        <f t="shared" si="11"/>
        <v>1842.3146579180857</v>
      </c>
      <c r="P31" s="186">
        <f t="shared" si="11"/>
        <v>1834.579111055285</v>
      </c>
      <c r="Q31" s="186">
        <f t="shared" si="11"/>
        <v>1758.3832825894301</v>
      </c>
      <c r="R31" s="186">
        <f t="shared" si="11"/>
        <v>1678.2549131738792</v>
      </c>
      <c r="S31" s="186">
        <f t="shared" si="11"/>
        <v>1593.250340156073</v>
      </c>
      <c r="T31" s="186">
        <f t="shared" si="11"/>
        <v>1504.021003749112</v>
      </c>
      <c r="U31" s="183">
        <f t="shared" si="11"/>
        <v>1411.213281029557</v>
      </c>
    </row>
    <row r="32" spans="2:22" s="34" customFormat="1" ht="12" hidden="1" customHeight="1" outlineLevel="1" x14ac:dyDescent="0.35">
      <c r="B32" s="323" t="s">
        <v>32</v>
      </c>
      <c r="C32" s="46"/>
      <c r="D32" s="46"/>
      <c r="E32" s="46"/>
      <c r="F32" s="46"/>
      <c r="G32" s="4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</row>
    <row r="33" spans="2:21" s="34" customFormat="1" ht="12" hidden="1" customHeight="1" outlineLevel="1" x14ac:dyDescent="0.35">
      <c r="B33" s="35" t="s">
        <v>195</v>
      </c>
      <c r="C33" s="180">
        <v>0</v>
      </c>
      <c r="D33" s="180">
        <v>0</v>
      </c>
      <c r="E33" s="180">
        <v>0</v>
      </c>
      <c r="F33" s="187">
        <f>F127</f>
        <v>0</v>
      </c>
      <c r="G33" s="187">
        <f>G127</f>
        <v>148.12699937358929</v>
      </c>
      <c r="H33" s="187">
        <f t="shared" ref="H33:U33" si="12">H127</f>
        <v>169.52741862997513</v>
      </c>
      <c r="I33" s="187">
        <f t="shared" si="12"/>
        <v>186.61951826595541</v>
      </c>
      <c r="J33" s="187">
        <f t="shared" si="12"/>
        <v>212.40779319438101</v>
      </c>
      <c r="K33" s="187">
        <f t="shared" si="12"/>
        <v>229.53390736350551</v>
      </c>
      <c r="L33" s="187">
        <f t="shared" si="12"/>
        <v>246.50340465517536</v>
      </c>
      <c r="M33" s="187">
        <f t="shared" si="12"/>
        <v>263.34056298083254</v>
      </c>
      <c r="N33" s="187">
        <f t="shared" si="12"/>
        <v>280.13439503381045</v>
      </c>
      <c r="O33" s="187">
        <f t="shared" si="12"/>
        <v>293.49413970620554</v>
      </c>
      <c r="P33" s="187">
        <f t="shared" si="12"/>
        <v>298.2442632082537</v>
      </c>
      <c r="Q33" s="187">
        <f t="shared" si="12"/>
        <v>282.92048471417911</v>
      </c>
      <c r="R33" s="187">
        <f t="shared" si="12"/>
        <v>272.71990700697188</v>
      </c>
      <c r="S33" s="187">
        <f t="shared" si="12"/>
        <v>252.73481740721525</v>
      </c>
      <c r="T33" s="187">
        <f t="shared" si="12"/>
        <v>242.45560901502171</v>
      </c>
      <c r="U33" s="51">
        <f t="shared" si="12"/>
        <v>222.49526985916023</v>
      </c>
    </row>
    <row r="34" spans="2:21" s="34" customFormat="1" ht="12" hidden="1" customHeight="1" outlineLevel="1" x14ac:dyDescent="0.35">
      <c r="B34" s="35" t="s">
        <v>196</v>
      </c>
      <c r="C34" s="180">
        <v>0</v>
      </c>
      <c r="D34" s="180">
        <v>0</v>
      </c>
      <c r="E34" s="180">
        <v>0</v>
      </c>
      <c r="F34" s="180">
        <v>0</v>
      </c>
      <c r="G34" s="187">
        <v>0</v>
      </c>
      <c r="H34" s="187">
        <v>0</v>
      </c>
      <c r="I34" s="187">
        <v>0</v>
      </c>
      <c r="J34" s="187">
        <v>0</v>
      </c>
      <c r="K34" s="187">
        <v>0</v>
      </c>
      <c r="L34" s="187">
        <v>0</v>
      </c>
      <c r="M34" s="187">
        <v>0</v>
      </c>
      <c r="N34" s="187">
        <v>-10</v>
      </c>
      <c r="O34" s="187">
        <v>-40</v>
      </c>
      <c r="P34" s="187">
        <v>-70</v>
      </c>
      <c r="Q34" s="187">
        <v>-90</v>
      </c>
      <c r="R34" s="187">
        <v>-110</v>
      </c>
      <c r="S34" s="187">
        <v>-130</v>
      </c>
      <c r="T34" s="187">
        <v>-140</v>
      </c>
      <c r="U34" s="188">
        <v>-150</v>
      </c>
    </row>
    <row r="35" spans="2:21" s="34" customFormat="1" ht="12" customHeight="1" collapsed="1" x14ac:dyDescent="0.35">
      <c r="B35" s="86" t="s">
        <v>87</v>
      </c>
      <c r="C35" s="186">
        <f t="shared" ref="C35:U35" si="13">C31-C33-C34</f>
        <v>0</v>
      </c>
      <c r="D35" s="186">
        <f t="shared" si="13"/>
        <v>0</v>
      </c>
      <c r="E35" s="186">
        <f t="shared" si="13"/>
        <v>0</v>
      </c>
      <c r="F35" s="186">
        <f t="shared" si="13"/>
        <v>0</v>
      </c>
      <c r="G35" s="186">
        <f t="shared" si="13"/>
        <v>789.26154072460031</v>
      </c>
      <c r="H35" s="182">
        <f t="shared" si="13"/>
        <v>896.17042211560454</v>
      </c>
      <c r="I35" s="182">
        <f t="shared" si="13"/>
        <v>1002.9524808131026</v>
      </c>
      <c r="J35" s="182">
        <f t="shared" si="13"/>
        <v>1097.2970135548262</v>
      </c>
      <c r="K35" s="182">
        <f t="shared" si="13"/>
        <v>1198.0525181238231</v>
      </c>
      <c r="L35" s="182">
        <f t="shared" si="13"/>
        <v>1295.7998598308759</v>
      </c>
      <c r="M35" s="182">
        <f t="shared" si="13"/>
        <v>1389.5972906119146</v>
      </c>
      <c r="N35" s="182">
        <f t="shared" si="13"/>
        <v>1490.0343171363656</v>
      </c>
      <c r="O35" s="182">
        <f t="shared" si="13"/>
        <v>1588.8205182118802</v>
      </c>
      <c r="P35" s="182">
        <f t="shared" si="13"/>
        <v>1606.3348478470314</v>
      </c>
      <c r="Q35" s="182">
        <f t="shared" si="13"/>
        <v>1565.462797875251</v>
      </c>
      <c r="R35" s="182">
        <f t="shared" si="13"/>
        <v>1515.5350061669074</v>
      </c>
      <c r="S35" s="182">
        <f t="shared" si="13"/>
        <v>1470.5155227488576</v>
      </c>
      <c r="T35" s="182">
        <f t="shared" si="13"/>
        <v>1401.5653947340902</v>
      </c>
      <c r="U35" s="183">
        <f t="shared" si="13"/>
        <v>1338.7180111703967</v>
      </c>
    </row>
    <row r="36" spans="2:21" s="34" customFormat="1" ht="3.65" customHeight="1" x14ac:dyDescent="0.35">
      <c r="B36" s="86"/>
      <c r="C36" s="186"/>
      <c r="D36" s="186"/>
      <c r="E36" s="186"/>
      <c r="F36" s="186"/>
      <c r="G36" s="186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3"/>
    </row>
    <row r="37" spans="2:21" s="34" customFormat="1" ht="12" customHeight="1" x14ac:dyDescent="0.35">
      <c r="B37" s="86" t="s">
        <v>88</v>
      </c>
      <c r="C37" s="189">
        <f t="shared" ref="C37:U37" si="14">C35+C30+C34</f>
        <v>0</v>
      </c>
      <c r="D37" s="189">
        <f t="shared" si="14"/>
        <v>0</v>
      </c>
      <c r="E37" s="189">
        <f t="shared" si="14"/>
        <v>0</v>
      </c>
      <c r="F37" s="189">
        <f t="shared" si="14"/>
        <v>0</v>
      </c>
      <c r="G37" s="189">
        <f t="shared" si="14"/>
        <v>1469.2615407246003</v>
      </c>
      <c r="H37" s="190">
        <f t="shared" si="14"/>
        <v>1576.1704221156047</v>
      </c>
      <c r="I37" s="190">
        <f t="shared" si="14"/>
        <v>1682.9524808131027</v>
      </c>
      <c r="J37" s="190">
        <f t="shared" si="14"/>
        <v>1777.2970135548262</v>
      </c>
      <c r="K37" s="190">
        <f t="shared" si="14"/>
        <v>1878.0525181238231</v>
      </c>
      <c r="L37" s="190">
        <f t="shared" si="14"/>
        <v>1975.7998598308759</v>
      </c>
      <c r="M37" s="190">
        <f t="shared" si="14"/>
        <v>2069.5972906119146</v>
      </c>
      <c r="N37" s="190">
        <f t="shared" si="14"/>
        <v>2160.0343171363656</v>
      </c>
      <c r="O37" s="190">
        <f t="shared" si="14"/>
        <v>2228.82051821188</v>
      </c>
      <c r="P37" s="190">
        <f t="shared" si="14"/>
        <v>2216.3348478470316</v>
      </c>
      <c r="Q37" s="190">
        <f t="shared" si="14"/>
        <v>2155.462797875251</v>
      </c>
      <c r="R37" s="190">
        <f t="shared" si="14"/>
        <v>2085.5350061669074</v>
      </c>
      <c r="S37" s="190">
        <f t="shared" si="14"/>
        <v>2020.5155227488576</v>
      </c>
      <c r="T37" s="190">
        <f t="shared" si="14"/>
        <v>1941.5653947340902</v>
      </c>
      <c r="U37" s="191">
        <f t="shared" si="14"/>
        <v>1868.7180111703967</v>
      </c>
    </row>
    <row r="38" spans="2:21" s="34" customFormat="1" ht="12" customHeight="1" x14ac:dyDescent="0.35">
      <c r="B38" s="86" t="s">
        <v>266</v>
      </c>
      <c r="C38" s="398">
        <v>0</v>
      </c>
      <c r="D38" s="398">
        <v>0</v>
      </c>
      <c r="E38" s="398">
        <v>0</v>
      </c>
      <c r="F38" s="398">
        <v>0</v>
      </c>
      <c r="G38" s="398">
        <f>+G31+G30+G29+G28</f>
        <v>3188.8552067648566</v>
      </c>
      <c r="H38" s="398">
        <f t="shared" ref="H38:U38" si="15">+H31+H30+H29+H28</f>
        <v>3145.520062967802</v>
      </c>
      <c r="I38" s="398">
        <f t="shared" si="15"/>
        <v>3099.3497768568359</v>
      </c>
      <c r="J38" s="398">
        <f t="shared" si="15"/>
        <v>3050.2381400825407</v>
      </c>
      <c r="K38" s="398">
        <f t="shared" si="15"/>
        <v>2998.0753143762172</v>
      </c>
      <c r="L38" s="398">
        <f t="shared" si="15"/>
        <v>2942.7477089304957</v>
      </c>
      <c r="M38" s="398">
        <f t="shared" si="15"/>
        <v>2884.137853592747</v>
      </c>
      <c r="N38" s="398">
        <f t="shared" si="15"/>
        <v>2822.1242677257314</v>
      </c>
      <c r="O38" s="398">
        <f t="shared" si="15"/>
        <v>2756.5813245847521</v>
      </c>
      <c r="P38" s="398">
        <f t="shared" si="15"/>
        <v>2687.3791110552847</v>
      </c>
      <c r="Q38" s="398">
        <f t="shared" si="15"/>
        <v>2614.3832825894297</v>
      </c>
      <c r="R38" s="398">
        <f t="shared" si="15"/>
        <v>2537.4549131738786</v>
      </c>
      <c r="S38" s="398">
        <f t="shared" si="15"/>
        <v>2456.4503401560723</v>
      </c>
      <c r="T38" s="398">
        <f t="shared" si="15"/>
        <v>2371.2210037491113</v>
      </c>
      <c r="U38" s="191">
        <f t="shared" si="15"/>
        <v>2281.6132810295567</v>
      </c>
    </row>
    <row r="39" spans="2:21" s="34" customFormat="1" ht="5.75" customHeight="1" x14ac:dyDescent="0.35">
      <c r="B39" s="86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51"/>
    </row>
    <row r="40" spans="2:21" s="34" customFormat="1" ht="12" customHeight="1" x14ac:dyDescent="0.35">
      <c r="B40" s="399" t="s">
        <v>264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397"/>
    </row>
    <row r="41" spans="2:21" s="34" customFormat="1" ht="12" customHeight="1" x14ac:dyDescent="0.35">
      <c r="B41" s="461" t="s">
        <v>265</v>
      </c>
      <c r="C41" s="462"/>
      <c r="D41" s="463">
        <f>D61/D62</f>
        <v>0.69942196531791923</v>
      </c>
      <c r="E41" s="463">
        <f>E61/E62</f>
        <v>0.70044543429844108</v>
      </c>
      <c r="F41" s="463">
        <f>F61/F62</f>
        <v>0.69390508114295069</v>
      </c>
      <c r="G41" s="463">
        <f>G61/G62</f>
        <v>0.65550814134833235</v>
      </c>
      <c r="H41" s="463">
        <f t="shared" ref="H41:U41" si="16">H61/H62</f>
        <v>0.59029226803018042</v>
      </c>
      <c r="I41" s="463">
        <f t="shared" si="16"/>
        <v>0.51925366843144505</v>
      </c>
      <c r="J41" s="463">
        <f t="shared" si="16"/>
        <v>0.44379989742199399</v>
      </c>
      <c r="K41" s="463">
        <f t="shared" si="16"/>
        <v>0.36496135473199343</v>
      </c>
      <c r="L41" s="463">
        <f t="shared" si="16"/>
        <v>0.28521120415638346</v>
      </c>
      <c r="M41" s="463">
        <f t="shared" si="16"/>
        <v>0.20575750266003781</v>
      </c>
      <c r="N41" s="463">
        <f t="shared" si="16"/>
        <v>0.12811278769251572</v>
      </c>
      <c r="O41" s="463">
        <f t="shared" si="16"/>
        <v>7.0374481803388664E-2</v>
      </c>
      <c r="P41" s="463">
        <f t="shared" si="16"/>
        <v>6.5090914772106157E-2</v>
      </c>
      <c r="Q41" s="463">
        <f t="shared" si="16"/>
        <v>6.0884479961010866E-2</v>
      </c>
      <c r="R41" s="463">
        <f t="shared" si="16"/>
        <v>5.7430444101442921E-2</v>
      </c>
      <c r="S41" s="463">
        <f t="shared" si="16"/>
        <v>5.5053991602440996E-2</v>
      </c>
      <c r="T41" s="463">
        <f t="shared" si="16"/>
        <v>5.2693352695294009E-2</v>
      </c>
      <c r="U41" s="464">
        <f t="shared" si="16"/>
        <v>5.0726027590742552E-2</v>
      </c>
    </row>
    <row r="42" spans="2:21" s="34" customFormat="1" ht="12" customHeight="1" x14ac:dyDescent="0.35">
      <c r="B42" s="336" t="s">
        <v>267</v>
      </c>
      <c r="C42" s="90"/>
      <c r="D42" s="398">
        <v>0</v>
      </c>
      <c r="E42" s="398">
        <v>0</v>
      </c>
      <c r="F42" s="398">
        <v>0</v>
      </c>
      <c r="G42" s="176">
        <f>G61/G38</f>
        <v>2.9110063567907503</v>
      </c>
      <c r="H42" s="176">
        <f t="shared" ref="H42:U42" si="17">H61/H38</f>
        <v>2.6116508035396655</v>
      </c>
      <c r="I42" s="176">
        <f t="shared" si="17"/>
        <v>2.3092657291106473</v>
      </c>
      <c r="J42" s="176">
        <f t="shared" si="17"/>
        <v>1.9996617196188462</v>
      </c>
      <c r="K42" s="176">
        <f t="shared" si="17"/>
        <v>1.6782989548458225</v>
      </c>
      <c r="L42" s="176">
        <f t="shared" si="17"/>
        <v>1.3504008097021498</v>
      </c>
      <c r="M42" s="176">
        <f t="shared" si="17"/>
        <v>1.0110858978112067</v>
      </c>
      <c r="N42" s="176">
        <f t="shared" si="17"/>
        <v>0.65848742189900411</v>
      </c>
      <c r="O42" s="176">
        <f t="shared" si="17"/>
        <v>0.38816195642665524</v>
      </c>
      <c r="P42" s="176">
        <f t="shared" si="17"/>
        <v>0.4055996400046345</v>
      </c>
      <c r="Q42" s="176">
        <f t="shared" si="17"/>
        <v>0.42457431830752562</v>
      </c>
      <c r="R42" s="176">
        <f t="shared" si="17"/>
        <v>0.44532810972652154</v>
      </c>
      <c r="S42" s="176">
        <f t="shared" si="17"/>
        <v>0.47222611466523551</v>
      </c>
      <c r="T42" s="176">
        <f t="shared" si="17"/>
        <v>0.49763391861590006</v>
      </c>
      <c r="U42" s="402">
        <f t="shared" si="17"/>
        <v>0.5259436425871914</v>
      </c>
    </row>
    <row r="43" spans="2:21" s="34" customFormat="1" ht="12" customHeight="1" x14ac:dyDescent="0.35">
      <c r="B43" s="461" t="s">
        <v>270</v>
      </c>
      <c r="C43" s="465"/>
      <c r="D43" s="466">
        <v>0</v>
      </c>
      <c r="E43" s="466">
        <v>0</v>
      </c>
      <c r="F43" s="466">
        <v>0</v>
      </c>
      <c r="G43" s="467">
        <f t="shared" ref="G43:U43" si="18">(G35+G28+G29+G30)/(G28+G29-G87)</f>
        <v>1.1477718538837656</v>
      </c>
      <c r="H43" s="467">
        <f t="shared" si="18"/>
        <v>1.2011594463746473</v>
      </c>
      <c r="I43" s="467">
        <f t="shared" si="18"/>
        <v>1.2622579125249385</v>
      </c>
      <c r="J43" s="467">
        <f t="shared" si="18"/>
        <v>1.3271363236819</v>
      </c>
      <c r="K43" s="467">
        <f t="shared" si="18"/>
        <v>1.4065885755720997</v>
      </c>
      <c r="L43" s="468">
        <f t="shared" si="18"/>
        <v>1.4993943857190979</v>
      </c>
      <c r="M43" s="468">
        <f t="shared" si="18"/>
        <v>1.608860063264435</v>
      </c>
      <c r="N43" s="468">
        <f t="shared" si="18"/>
        <v>1.7482575854210274</v>
      </c>
      <c r="O43" s="468">
        <f t="shared" si="18"/>
        <v>2.4008125694212032</v>
      </c>
      <c r="P43" s="468">
        <f t="shared" si="18"/>
        <v>14.231104443559229</v>
      </c>
      <c r="Q43" s="468">
        <f t="shared" si="18"/>
        <v>13.758311351563945</v>
      </c>
      <c r="R43" s="468">
        <f t="shared" si="18"/>
        <v>13.251869454056422</v>
      </c>
      <c r="S43" s="468">
        <f t="shared" si="18"/>
        <v>12.738621849065835</v>
      </c>
      <c r="T43" s="468">
        <f t="shared" si="18"/>
        <v>12.119473262468446</v>
      </c>
      <c r="U43" s="469">
        <f t="shared" si="18"/>
        <v>11.602510562869748</v>
      </c>
    </row>
    <row r="44" spans="2:21" s="34" customFormat="1" ht="12" customHeight="1" x14ac:dyDescent="0.35">
      <c r="B44" s="336" t="s">
        <v>271</v>
      </c>
      <c r="C44" s="173"/>
      <c r="D44" s="398">
        <v>0</v>
      </c>
      <c r="E44" s="398">
        <v>0</v>
      </c>
      <c r="F44" s="398">
        <v>0</v>
      </c>
      <c r="G44" s="176">
        <f t="shared" ref="G44:U44" si="19">G83/(G28+G29-G87)</f>
        <v>0.67971387508897307</v>
      </c>
      <c r="H44" s="176">
        <f t="shared" si="19"/>
        <v>1.1971232823449414</v>
      </c>
      <c r="I44" s="176">
        <f t="shared" si="19"/>
        <v>1.2492571421089138</v>
      </c>
      <c r="J44" s="176">
        <f t="shared" si="19"/>
        <v>1.3177831477590534</v>
      </c>
      <c r="K44" s="176">
        <f t="shared" si="19"/>
        <v>1.3964273508058078</v>
      </c>
      <c r="L44" s="176">
        <f t="shared" si="19"/>
        <v>1.4827112418733244</v>
      </c>
      <c r="M44" s="176">
        <f t="shared" si="19"/>
        <v>1.5965824249363765</v>
      </c>
      <c r="N44" s="176">
        <f t="shared" si="19"/>
        <v>1.7208553201670997</v>
      </c>
      <c r="O44" s="176">
        <f t="shared" si="19"/>
        <v>2.3336727267202635</v>
      </c>
      <c r="P44" s="176">
        <f t="shared" si="19"/>
        <v>13.710271110225897</v>
      </c>
      <c r="Q44" s="176">
        <f t="shared" si="19"/>
        <v>13.076493169745763</v>
      </c>
      <c r="R44" s="176">
        <f t="shared" si="19"/>
        <v>12.47061945405642</v>
      </c>
      <c r="S44" s="176">
        <f t="shared" si="19"/>
        <v>11.865259403650986</v>
      </c>
      <c r="T44" s="176">
        <f t="shared" si="19"/>
        <v>11.211353604348787</v>
      </c>
      <c r="U44" s="402">
        <f t="shared" si="19"/>
        <v>10.65713241160924</v>
      </c>
    </row>
    <row r="45" spans="2:21" s="34" customFormat="1" ht="12" customHeight="1" x14ac:dyDescent="0.35">
      <c r="B45" s="461" t="s">
        <v>326</v>
      </c>
      <c r="C45" s="465"/>
      <c r="D45" s="466">
        <v>0</v>
      </c>
      <c r="E45" s="466">
        <v>0</v>
      </c>
      <c r="F45" s="466">
        <v>0</v>
      </c>
      <c r="G45" s="468">
        <f t="shared" ref="G45:U45" si="20">G26/(G28+G29)</f>
        <v>2.0292223019460733</v>
      </c>
      <c r="H45" s="468">
        <f t="shared" si="20"/>
        <v>2.2470853891534017</v>
      </c>
      <c r="I45" s="468">
        <f t="shared" si="20"/>
        <v>2.5202518966128951</v>
      </c>
      <c r="J45" s="468">
        <f t="shared" si="20"/>
        <v>2.8761360385490384</v>
      </c>
      <c r="K45" s="468">
        <f t="shared" si="20"/>
        <v>3.3667745345111246</v>
      </c>
      <c r="L45" s="468">
        <f t="shared" si="20"/>
        <v>4.0846282202921751</v>
      </c>
      <c r="M45" s="468">
        <f t="shared" si="20"/>
        <v>5.2324707068083232</v>
      </c>
      <c r="N45" s="468">
        <f t="shared" si="20"/>
        <v>7.3886195047508716</v>
      </c>
      <c r="O45" s="468">
        <f t="shared" si="20"/>
        <v>11.766852552296909</v>
      </c>
      <c r="P45" s="468">
        <f t="shared" si="20"/>
        <v>15.551962448236626</v>
      </c>
      <c r="Q45" s="468">
        <f t="shared" si="20"/>
        <v>14.854450469258147</v>
      </c>
      <c r="R45" s="468">
        <f t="shared" si="20"/>
        <v>14.159904649407826</v>
      </c>
      <c r="S45" s="468">
        <f t="shared" si="20"/>
        <v>13.408571725742773</v>
      </c>
      <c r="T45" s="468">
        <f t="shared" si="20"/>
        <v>12.666778866181168</v>
      </c>
      <c r="U45" s="469">
        <f t="shared" si="20"/>
        <v>11.983263030617437</v>
      </c>
    </row>
    <row r="46" spans="2:21" s="34" customFormat="1" ht="12" customHeight="1" thickBot="1" x14ac:dyDescent="0.4">
      <c r="B46" s="54" t="s">
        <v>269</v>
      </c>
      <c r="C46" s="175"/>
      <c r="D46" s="175">
        <v>0</v>
      </c>
      <c r="E46" s="175">
        <v>0</v>
      </c>
      <c r="F46" s="175">
        <v>0</v>
      </c>
      <c r="G46" s="177">
        <f t="shared" ref="G46:U46" si="21">G83/(G28+G29)</f>
        <v>1.1458901710024183</v>
      </c>
      <c r="H46" s="177">
        <f t="shared" si="21"/>
        <v>2.118835232969301</v>
      </c>
      <c r="I46" s="177">
        <f t="shared" si="21"/>
        <v>2.3441066432343627</v>
      </c>
      <c r="J46" s="177">
        <f t="shared" si="21"/>
        <v>2.6569936637743514</v>
      </c>
      <c r="K46" s="177">
        <f t="shared" si="21"/>
        <v>3.0865532869727499</v>
      </c>
      <c r="L46" s="177">
        <f t="shared" si="21"/>
        <v>3.7008326246881378</v>
      </c>
      <c r="M46" s="177">
        <f t="shared" si="21"/>
        <v>4.7184275954497741</v>
      </c>
      <c r="N46" s="177">
        <f t="shared" si="21"/>
        <v>6.5766548912692873</v>
      </c>
      <c r="O46" s="177">
        <f t="shared" si="21"/>
        <v>10.385972616157725</v>
      </c>
      <c r="P46" s="177">
        <f t="shared" si="21"/>
        <v>13.710271110225897</v>
      </c>
      <c r="Q46" s="177">
        <f t="shared" si="21"/>
        <v>13.076493169745763</v>
      </c>
      <c r="R46" s="177">
        <f t="shared" si="21"/>
        <v>12.47061945405642</v>
      </c>
      <c r="S46" s="177">
        <f t="shared" si="21"/>
        <v>11.865259403650986</v>
      </c>
      <c r="T46" s="177">
        <f t="shared" si="21"/>
        <v>11.211353604348787</v>
      </c>
      <c r="U46" s="403">
        <f t="shared" si="21"/>
        <v>10.65713241160924</v>
      </c>
    </row>
    <row r="47" spans="2:21" s="34" customFormat="1" x14ac:dyDescent="0.35">
      <c r="B47" s="34" t="s">
        <v>325</v>
      </c>
      <c r="D47" s="309"/>
      <c r="G47" s="489">
        <f>G67/G61</f>
        <v>1.3864384463462802</v>
      </c>
      <c r="H47" s="489">
        <f t="shared" ref="H47:R47" si="22">H67/H61</f>
        <v>1.4838709677419355</v>
      </c>
      <c r="I47" s="489">
        <f t="shared" si="22"/>
        <v>1.6081657998913295</v>
      </c>
      <c r="J47" s="489">
        <f t="shared" si="22"/>
        <v>1.7755715456781127</v>
      </c>
      <c r="K47" s="489">
        <f t="shared" si="22"/>
        <v>2.0172242464392185</v>
      </c>
      <c r="L47" s="489">
        <f t="shared" si="22"/>
        <v>2.383056060394241</v>
      </c>
      <c r="M47" s="489">
        <f t="shared" si="22"/>
        <v>3.0142884358925528</v>
      </c>
      <c r="N47" s="489">
        <f t="shared" si="22"/>
        <v>4.3641255605381204</v>
      </c>
      <c r="O47" s="489">
        <f t="shared" si="22"/>
        <v>6.9439252336448716</v>
      </c>
      <c r="P47" s="489">
        <f t="shared" si="22"/>
        <v>6.1926605504587258</v>
      </c>
      <c r="Q47" s="489">
        <f t="shared" si="22"/>
        <v>5.468468468468477</v>
      </c>
      <c r="R47" s="489">
        <f t="shared" si="22"/>
        <v>4.7699115044247868</v>
      </c>
      <c r="S47" s="277"/>
      <c r="T47" s="277"/>
      <c r="U47" s="277"/>
    </row>
    <row r="48" spans="2:21" ht="15" thickBot="1" x14ac:dyDescent="0.4">
      <c r="G48" s="408"/>
      <c r="H48" s="408"/>
    </row>
    <row r="49" spans="2:21" ht="16" thickBot="1" x14ac:dyDescent="0.4">
      <c r="B49" s="299" t="s">
        <v>106</v>
      </c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1"/>
    </row>
    <row r="50" spans="2:21" ht="16" thickBot="1" x14ac:dyDescent="0.4">
      <c r="B50" s="306" t="s">
        <v>110</v>
      </c>
      <c r="C50" s="2">
        <v>2009</v>
      </c>
      <c r="D50" s="2">
        <v>2010</v>
      </c>
      <c r="E50" s="2">
        <v>2011</v>
      </c>
      <c r="F50" s="2">
        <v>2012</v>
      </c>
      <c r="G50" s="2">
        <v>2013</v>
      </c>
      <c r="H50" s="2">
        <v>2014</v>
      </c>
      <c r="I50" s="2">
        <v>2015</v>
      </c>
      <c r="J50" s="2">
        <v>2016</v>
      </c>
      <c r="K50" s="2">
        <v>2017</v>
      </c>
      <c r="L50" s="2">
        <v>2018</v>
      </c>
      <c r="M50" s="2">
        <v>2019</v>
      </c>
      <c r="N50" s="2">
        <v>2020</v>
      </c>
      <c r="O50" s="2">
        <v>2021</v>
      </c>
      <c r="P50" s="2">
        <v>2022</v>
      </c>
      <c r="Q50" s="2">
        <v>2023</v>
      </c>
      <c r="R50" s="2">
        <v>2024</v>
      </c>
      <c r="S50" s="2">
        <v>2025</v>
      </c>
      <c r="T50" s="2">
        <v>2026</v>
      </c>
      <c r="U50" s="3">
        <v>2027</v>
      </c>
    </row>
    <row r="51" spans="2:21" ht="15.5" x14ac:dyDescent="0.35">
      <c r="B51" s="305" t="s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2:21" ht="15.5" x14ac:dyDescent="0.35">
      <c r="B52" s="304" t="s">
        <v>107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 ht="15.5" x14ac:dyDescent="0.35">
      <c r="B53" s="313" t="s">
        <v>2</v>
      </c>
      <c r="C53" s="202">
        <v>0</v>
      </c>
      <c r="D53" s="407">
        <f>C53+D92+D91</f>
        <v>1082.4499999999998</v>
      </c>
      <c r="E53" s="407">
        <f>D53+E92+E91</f>
        <v>2740.9749999999995</v>
      </c>
      <c r="F53" s="202">
        <f t="shared" ref="F53:U53" si="23">E53+F92</f>
        <v>4210.9749999999995</v>
      </c>
      <c r="G53" s="202">
        <f t="shared" si="23"/>
        <v>4210.9749999999995</v>
      </c>
      <c r="H53" s="202">
        <f t="shared" si="23"/>
        <v>4210.9749999999995</v>
      </c>
      <c r="I53" s="202">
        <f t="shared" si="23"/>
        <v>4210.9749999999995</v>
      </c>
      <c r="J53" s="202">
        <f t="shared" si="23"/>
        <v>4210.9749999999995</v>
      </c>
      <c r="K53" s="202">
        <f t="shared" si="23"/>
        <v>4210.9749999999995</v>
      </c>
      <c r="L53" s="202">
        <f t="shared" si="23"/>
        <v>4210.9749999999995</v>
      </c>
      <c r="M53" s="202">
        <f t="shared" si="23"/>
        <v>4210.9749999999995</v>
      </c>
      <c r="N53" s="202">
        <f t="shared" si="23"/>
        <v>4210.9749999999995</v>
      </c>
      <c r="O53" s="202">
        <f t="shared" si="23"/>
        <v>4210.9749999999995</v>
      </c>
      <c r="P53" s="202">
        <f t="shared" si="23"/>
        <v>4210.9749999999995</v>
      </c>
      <c r="Q53" s="202">
        <f t="shared" si="23"/>
        <v>4210.9749999999995</v>
      </c>
      <c r="R53" s="202">
        <f t="shared" si="23"/>
        <v>4210.9749999999995</v>
      </c>
      <c r="S53" s="202">
        <f t="shared" si="23"/>
        <v>4210.9749999999995</v>
      </c>
      <c r="T53" s="202">
        <f t="shared" si="23"/>
        <v>4210.9749999999995</v>
      </c>
      <c r="U53" s="203">
        <f t="shared" si="23"/>
        <v>4210.9749999999995</v>
      </c>
    </row>
    <row r="54" spans="2:21" ht="15.5" x14ac:dyDescent="0.35">
      <c r="B54" s="313" t="s">
        <v>76</v>
      </c>
      <c r="C54" s="202">
        <v>0</v>
      </c>
      <c r="D54" s="202">
        <f t="shared" ref="D54:U54" si="24">D136</f>
        <v>-42.45000000000001</v>
      </c>
      <c r="E54" s="202">
        <f t="shared" si="24"/>
        <v>-50.975000000000009</v>
      </c>
      <c r="F54" s="202">
        <f t="shared" si="24"/>
        <v>-50.975000000000009</v>
      </c>
      <c r="G54" s="202">
        <f t="shared" si="24"/>
        <v>667.44094696190791</v>
      </c>
      <c r="H54" s="202">
        <f t="shared" si="24"/>
        <v>1490.8598374503586</v>
      </c>
      <c r="I54" s="202">
        <f t="shared" si="24"/>
        <v>2415.4747234044103</v>
      </c>
      <c r="J54" s="202">
        <f t="shared" si="24"/>
        <v>3433.2620657941525</v>
      </c>
      <c r="K54" s="202">
        <f t="shared" si="24"/>
        <v>4544.2061774335198</v>
      </c>
      <c r="L54" s="202">
        <f t="shared" si="24"/>
        <v>5748.2805001722609</v>
      </c>
      <c r="M54" s="202">
        <f t="shared" si="24"/>
        <v>7045.4766067074734</v>
      </c>
      <c r="N54" s="202">
        <f t="shared" si="24"/>
        <v>8436.1393023353958</v>
      </c>
      <c r="O54" s="202">
        <f t="shared" si="24"/>
        <v>9923.3998327604149</v>
      </c>
      <c r="P54" s="202">
        <f t="shared" si="24"/>
        <v>11444.833594275637</v>
      </c>
      <c r="Q54" s="202">
        <f t="shared" si="24"/>
        <v>12910.272120954613</v>
      </c>
      <c r="R54" s="202">
        <f t="shared" si="24"/>
        <v>14335.000306825239</v>
      </c>
      <c r="S54" s="202">
        <f t="shared" si="24"/>
        <v>15699.250177797388</v>
      </c>
      <c r="T54" s="202">
        <f t="shared" si="24"/>
        <v>17002.741467872107</v>
      </c>
      <c r="U54" s="203">
        <f t="shared" si="24"/>
        <v>18245.519643767395</v>
      </c>
    </row>
    <row r="55" spans="2:21" ht="15.5" x14ac:dyDescent="0.35">
      <c r="B55" s="7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3"/>
    </row>
    <row r="56" spans="2:21" ht="15.5" x14ac:dyDescent="0.35">
      <c r="B56" s="7" t="s">
        <v>108</v>
      </c>
      <c r="C56" s="307">
        <v>0</v>
      </c>
      <c r="D56" s="307">
        <f t="shared" ref="D56:U56" si="25">D53+D54</f>
        <v>1039.9999999999998</v>
      </c>
      <c r="E56" s="307">
        <f t="shared" si="25"/>
        <v>2689.9999999999995</v>
      </c>
      <c r="F56" s="307">
        <f t="shared" si="25"/>
        <v>4159.9999999999991</v>
      </c>
      <c r="G56" s="307">
        <f t="shared" si="25"/>
        <v>4878.4159469619071</v>
      </c>
      <c r="H56" s="307">
        <f t="shared" si="25"/>
        <v>5701.8348374503585</v>
      </c>
      <c r="I56" s="307">
        <f t="shared" si="25"/>
        <v>6626.4497234044102</v>
      </c>
      <c r="J56" s="307">
        <f t="shared" si="25"/>
        <v>7644.2370657941519</v>
      </c>
      <c r="K56" s="307">
        <f t="shared" si="25"/>
        <v>8755.1811774335183</v>
      </c>
      <c r="L56" s="307">
        <f t="shared" si="25"/>
        <v>9959.2555001722612</v>
      </c>
      <c r="M56" s="307">
        <f t="shared" si="25"/>
        <v>11256.451606707473</v>
      </c>
      <c r="N56" s="307">
        <f t="shared" si="25"/>
        <v>12647.114302335394</v>
      </c>
      <c r="O56" s="307">
        <f t="shared" si="25"/>
        <v>14134.374832760415</v>
      </c>
      <c r="P56" s="307">
        <f t="shared" si="25"/>
        <v>15655.808594275637</v>
      </c>
      <c r="Q56" s="307">
        <f t="shared" si="25"/>
        <v>17121.247120954613</v>
      </c>
      <c r="R56" s="307">
        <f t="shared" si="25"/>
        <v>18545.975306825239</v>
      </c>
      <c r="S56" s="307">
        <f t="shared" si="25"/>
        <v>19910.225177797387</v>
      </c>
      <c r="T56" s="307">
        <f t="shared" si="25"/>
        <v>21213.716467872106</v>
      </c>
      <c r="U56" s="308">
        <f t="shared" si="25"/>
        <v>22456.494643767393</v>
      </c>
    </row>
    <row r="57" spans="2:21" ht="15.5" x14ac:dyDescent="0.35">
      <c r="B57" s="7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3"/>
    </row>
    <row r="58" spans="2:21" ht="15.5" x14ac:dyDescent="0.35">
      <c r="B58" s="304" t="s">
        <v>3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3"/>
    </row>
    <row r="59" spans="2:21" ht="15.5" x14ac:dyDescent="0.35">
      <c r="B59" s="7" t="s">
        <v>77</v>
      </c>
      <c r="C59" s="202">
        <v>0</v>
      </c>
      <c r="D59" s="202">
        <f t="shared" ref="D59:U59" si="26">C59+D86+D87</f>
        <v>2420.0000000000005</v>
      </c>
      <c r="E59" s="202">
        <f t="shared" si="26"/>
        <v>6290.0000000000018</v>
      </c>
      <c r="F59" s="202">
        <f t="shared" si="26"/>
        <v>9430.5555555555566</v>
      </c>
      <c r="G59" s="202">
        <f t="shared" si="26"/>
        <v>8352.7777777777792</v>
      </c>
      <c r="H59" s="202">
        <f t="shared" si="26"/>
        <v>7275.0000000000009</v>
      </c>
      <c r="I59" s="202">
        <f t="shared" si="26"/>
        <v>6197.2222222222226</v>
      </c>
      <c r="J59" s="202">
        <f t="shared" si="26"/>
        <v>5119.4444444444443</v>
      </c>
      <c r="K59" s="202">
        <f t="shared" si="26"/>
        <v>4041.6666666666661</v>
      </c>
      <c r="L59" s="202">
        <f t="shared" si="26"/>
        <v>2963.8888888888878</v>
      </c>
      <c r="M59" s="202">
        <f t="shared" si="26"/>
        <v>1886.1111111111097</v>
      </c>
      <c r="N59" s="202">
        <f t="shared" si="26"/>
        <v>808.33333333333167</v>
      </c>
      <c r="O59" s="202">
        <f t="shared" si="26"/>
        <v>-1.8189894035458565E-12</v>
      </c>
      <c r="P59" s="202">
        <f t="shared" si="26"/>
        <v>-1.8189894035458565E-12</v>
      </c>
      <c r="Q59" s="202">
        <f t="shared" si="26"/>
        <v>-1.8189894035458565E-12</v>
      </c>
      <c r="R59" s="202">
        <f t="shared" si="26"/>
        <v>-1.8189894035458565E-12</v>
      </c>
      <c r="S59" s="202">
        <f t="shared" si="26"/>
        <v>-1.8189894035458565E-12</v>
      </c>
      <c r="T59" s="202">
        <f t="shared" si="26"/>
        <v>-1.8189894035458565E-12</v>
      </c>
      <c r="U59" s="203">
        <f t="shared" si="26"/>
        <v>-1.8189894035458565E-12</v>
      </c>
    </row>
    <row r="60" spans="2:21" ht="15.5" x14ac:dyDescent="0.35">
      <c r="B60" s="7" t="s">
        <v>78</v>
      </c>
      <c r="C60" s="202">
        <v>0</v>
      </c>
      <c r="D60" s="202">
        <f>C60+D88</f>
        <v>0</v>
      </c>
      <c r="E60" s="202">
        <f>D60+E88</f>
        <v>0</v>
      </c>
      <c r="F60" s="202">
        <f t="shared" ref="F60:U60" si="27">E60+F88+F89</f>
        <v>0</v>
      </c>
      <c r="G60" s="202">
        <f t="shared" si="27"/>
        <v>930</v>
      </c>
      <c r="H60" s="202">
        <f t="shared" si="27"/>
        <v>940</v>
      </c>
      <c r="I60" s="202">
        <f t="shared" si="27"/>
        <v>960</v>
      </c>
      <c r="J60" s="202">
        <f t="shared" si="27"/>
        <v>980</v>
      </c>
      <c r="K60" s="202">
        <f t="shared" si="27"/>
        <v>990</v>
      </c>
      <c r="L60" s="202">
        <f t="shared" si="27"/>
        <v>1010</v>
      </c>
      <c r="M60" s="202">
        <f t="shared" si="27"/>
        <v>1030</v>
      </c>
      <c r="N60" s="202">
        <f t="shared" si="27"/>
        <v>1050</v>
      </c>
      <c r="O60" s="202">
        <f t="shared" si="27"/>
        <v>1070</v>
      </c>
      <c r="P60" s="202">
        <f t="shared" si="27"/>
        <v>1090</v>
      </c>
      <c r="Q60" s="202">
        <f t="shared" si="27"/>
        <v>1110</v>
      </c>
      <c r="R60" s="202">
        <f t="shared" si="27"/>
        <v>1130</v>
      </c>
      <c r="S60" s="202">
        <f t="shared" si="27"/>
        <v>1160</v>
      </c>
      <c r="T60" s="202">
        <f t="shared" si="27"/>
        <v>1180</v>
      </c>
      <c r="U60" s="203">
        <f t="shared" si="27"/>
        <v>1200</v>
      </c>
    </row>
    <row r="61" spans="2:21" ht="15.5" x14ac:dyDescent="0.35">
      <c r="B61" s="7" t="s">
        <v>4</v>
      </c>
      <c r="C61" s="307">
        <v>0</v>
      </c>
      <c r="D61" s="307">
        <f t="shared" ref="D61:U61" si="28">D59+D60</f>
        <v>2420.0000000000005</v>
      </c>
      <c r="E61" s="307">
        <f t="shared" si="28"/>
        <v>6290.0000000000018</v>
      </c>
      <c r="F61" s="307">
        <f t="shared" si="28"/>
        <v>9430.5555555555566</v>
      </c>
      <c r="G61" s="307">
        <f t="shared" si="28"/>
        <v>9282.7777777777792</v>
      </c>
      <c r="H61" s="307">
        <f t="shared" si="28"/>
        <v>8215</v>
      </c>
      <c r="I61" s="307">
        <f t="shared" si="28"/>
        <v>7157.2222222222226</v>
      </c>
      <c r="J61" s="307">
        <f t="shared" si="28"/>
        <v>6099.4444444444443</v>
      </c>
      <c r="K61" s="307">
        <f t="shared" si="28"/>
        <v>5031.6666666666661</v>
      </c>
      <c r="L61" s="307">
        <f t="shared" si="28"/>
        <v>3973.8888888888878</v>
      </c>
      <c r="M61" s="307">
        <f t="shared" si="28"/>
        <v>2916.1111111111095</v>
      </c>
      <c r="N61" s="307">
        <f t="shared" si="28"/>
        <v>1858.3333333333317</v>
      </c>
      <c r="O61" s="307">
        <f t="shared" si="28"/>
        <v>1069.9999999999982</v>
      </c>
      <c r="P61" s="307">
        <f t="shared" si="28"/>
        <v>1089.9999999999982</v>
      </c>
      <c r="Q61" s="307">
        <f t="shared" si="28"/>
        <v>1109.9999999999982</v>
      </c>
      <c r="R61" s="307">
        <f t="shared" si="28"/>
        <v>1129.9999999999982</v>
      </c>
      <c r="S61" s="307">
        <f t="shared" si="28"/>
        <v>1159.9999999999982</v>
      </c>
      <c r="T61" s="307">
        <f t="shared" si="28"/>
        <v>1179.9999999999982</v>
      </c>
      <c r="U61" s="308">
        <f t="shared" si="28"/>
        <v>1199.9999999999982</v>
      </c>
    </row>
    <row r="62" spans="2:21" ht="15.5" x14ac:dyDescent="0.35">
      <c r="B62" s="7" t="s">
        <v>5</v>
      </c>
      <c r="C62" s="307">
        <v>0</v>
      </c>
      <c r="D62" s="307">
        <f t="shared" ref="D62:U62" si="29">D56+D61</f>
        <v>3460</v>
      </c>
      <c r="E62" s="307">
        <f t="shared" si="29"/>
        <v>8980.0000000000018</v>
      </c>
      <c r="F62" s="307">
        <f t="shared" si="29"/>
        <v>13590.555555555555</v>
      </c>
      <c r="G62" s="307">
        <f t="shared" si="29"/>
        <v>14161.193724739685</v>
      </c>
      <c r="H62" s="307">
        <f t="shared" si="29"/>
        <v>13916.834837450358</v>
      </c>
      <c r="I62" s="307">
        <f t="shared" si="29"/>
        <v>13783.671945626633</v>
      </c>
      <c r="J62" s="307">
        <f t="shared" si="29"/>
        <v>13743.681510238595</v>
      </c>
      <c r="K62" s="307">
        <f t="shared" si="29"/>
        <v>13786.847844100184</v>
      </c>
      <c r="L62" s="307">
        <f t="shared" si="29"/>
        <v>13933.144389061148</v>
      </c>
      <c r="M62" s="307">
        <f t="shared" si="29"/>
        <v>14172.562717818582</v>
      </c>
      <c r="N62" s="307">
        <f t="shared" si="29"/>
        <v>14505.447635668726</v>
      </c>
      <c r="O62" s="307">
        <f t="shared" si="29"/>
        <v>15204.374832760413</v>
      </c>
      <c r="P62" s="307">
        <f t="shared" si="29"/>
        <v>16745.808594275637</v>
      </c>
      <c r="Q62" s="307">
        <f t="shared" si="29"/>
        <v>18231.247120954613</v>
      </c>
      <c r="R62" s="307">
        <f t="shared" si="29"/>
        <v>19675.975306825239</v>
      </c>
      <c r="S62" s="307">
        <f t="shared" si="29"/>
        <v>21070.225177797387</v>
      </c>
      <c r="T62" s="307">
        <f t="shared" si="29"/>
        <v>22393.716467872102</v>
      </c>
      <c r="U62" s="308">
        <f t="shared" si="29"/>
        <v>23656.494643767393</v>
      </c>
    </row>
    <row r="63" spans="2:21" ht="15.5" x14ac:dyDescent="0.35">
      <c r="B63" s="7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3"/>
    </row>
    <row r="64" spans="2:21" ht="15.5" x14ac:dyDescent="0.35">
      <c r="B64" s="304" t="s">
        <v>6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3"/>
    </row>
    <row r="65" spans="2:26" ht="15.5" x14ac:dyDescent="0.35">
      <c r="B65" s="7" t="s">
        <v>197</v>
      </c>
      <c r="C65" s="202">
        <v>0</v>
      </c>
      <c r="D65" s="202">
        <v>3460</v>
      </c>
      <c r="E65" s="202">
        <v>8980</v>
      </c>
      <c r="F65" s="202">
        <v>13550</v>
      </c>
      <c r="G65" s="202">
        <v>13550</v>
      </c>
      <c r="H65" s="202">
        <v>13550</v>
      </c>
      <c r="I65" s="202">
        <v>13550</v>
      </c>
      <c r="J65" s="202">
        <v>13550</v>
      </c>
      <c r="K65" s="202">
        <v>13550</v>
      </c>
      <c r="L65" s="202">
        <v>13550</v>
      </c>
      <c r="M65" s="202">
        <v>13550</v>
      </c>
      <c r="N65" s="202">
        <v>13550</v>
      </c>
      <c r="O65" s="202">
        <v>13550</v>
      </c>
      <c r="P65" s="202">
        <v>13550</v>
      </c>
      <c r="Q65" s="202">
        <v>13550</v>
      </c>
      <c r="R65" s="202">
        <v>13550</v>
      </c>
      <c r="S65" s="202">
        <v>13550</v>
      </c>
      <c r="T65" s="202">
        <v>13550</v>
      </c>
      <c r="U65" s="203">
        <v>13550</v>
      </c>
    </row>
    <row r="66" spans="2:26" ht="15.5" x14ac:dyDescent="0.35">
      <c r="B66" s="7" t="s">
        <v>7</v>
      </c>
      <c r="C66" s="202">
        <v>0</v>
      </c>
      <c r="D66" s="202">
        <f>D30</f>
        <v>0</v>
      </c>
      <c r="E66" s="202">
        <f t="shared" ref="E66:U66" si="30">D66+E30</f>
        <v>0</v>
      </c>
      <c r="F66" s="202">
        <f t="shared" si="30"/>
        <v>0</v>
      </c>
      <c r="G66" s="202">
        <f t="shared" si="30"/>
        <v>680</v>
      </c>
      <c r="H66" s="202">
        <f t="shared" si="30"/>
        <v>1360</v>
      </c>
      <c r="I66" s="202">
        <f t="shared" si="30"/>
        <v>2040</v>
      </c>
      <c r="J66" s="202">
        <f t="shared" si="30"/>
        <v>2720</v>
      </c>
      <c r="K66" s="202">
        <f t="shared" si="30"/>
        <v>3400</v>
      </c>
      <c r="L66" s="202">
        <f t="shared" si="30"/>
        <v>4080</v>
      </c>
      <c r="M66" s="202">
        <f t="shared" si="30"/>
        <v>4760</v>
      </c>
      <c r="N66" s="202">
        <f t="shared" si="30"/>
        <v>5440</v>
      </c>
      <c r="O66" s="202">
        <f t="shared" si="30"/>
        <v>6120</v>
      </c>
      <c r="P66" s="202">
        <f t="shared" si="30"/>
        <v>6800</v>
      </c>
      <c r="Q66" s="202">
        <f t="shared" si="30"/>
        <v>7480</v>
      </c>
      <c r="R66" s="202">
        <f t="shared" si="30"/>
        <v>8160</v>
      </c>
      <c r="S66" s="202">
        <f t="shared" si="30"/>
        <v>8840</v>
      </c>
      <c r="T66" s="202">
        <f t="shared" si="30"/>
        <v>9520</v>
      </c>
      <c r="U66" s="203">
        <f t="shared" si="30"/>
        <v>10200</v>
      </c>
    </row>
    <row r="67" spans="2:26" ht="15.5" x14ac:dyDescent="0.35">
      <c r="B67" s="7" t="s">
        <v>8</v>
      </c>
      <c r="C67" s="202">
        <v>0</v>
      </c>
      <c r="D67" s="187">
        <f>D65-D66</f>
        <v>3460</v>
      </c>
      <c r="E67" s="187">
        <f>E65-E66</f>
        <v>8980</v>
      </c>
      <c r="F67" s="187">
        <f>F65-F66</f>
        <v>13550</v>
      </c>
      <c r="G67" s="187">
        <f>G65-G66</f>
        <v>12870</v>
      </c>
      <c r="H67" s="187">
        <f t="shared" ref="H67:U67" si="31">H65-H66</f>
        <v>12190</v>
      </c>
      <c r="I67" s="202">
        <f t="shared" si="31"/>
        <v>11510</v>
      </c>
      <c r="J67" s="202">
        <f t="shared" si="31"/>
        <v>10830</v>
      </c>
      <c r="K67" s="202">
        <f t="shared" si="31"/>
        <v>10150</v>
      </c>
      <c r="L67" s="202">
        <f t="shared" si="31"/>
        <v>9470</v>
      </c>
      <c r="M67" s="202">
        <f t="shared" si="31"/>
        <v>8790</v>
      </c>
      <c r="N67" s="202">
        <f t="shared" si="31"/>
        <v>8110</v>
      </c>
      <c r="O67" s="202">
        <f t="shared" si="31"/>
        <v>7430</v>
      </c>
      <c r="P67" s="202">
        <f t="shared" si="31"/>
        <v>6750</v>
      </c>
      <c r="Q67" s="202">
        <f t="shared" si="31"/>
        <v>6070</v>
      </c>
      <c r="R67" s="202">
        <f t="shared" si="31"/>
        <v>5390</v>
      </c>
      <c r="S67" s="202">
        <f t="shared" si="31"/>
        <v>4710</v>
      </c>
      <c r="T67" s="202">
        <f t="shared" si="31"/>
        <v>4030</v>
      </c>
      <c r="U67" s="203">
        <f t="shared" si="31"/>
        <v>3350</v>
      </c>
    </row>
    <row r="68" spans="2:26" ht="15.5" x14ac:dyDescent="0.35">
      <c r="B68" s="7" t="s">
        <v>57</v>
      </c>
      <c r="C68" s="202">
        <v>0</v>
      </c>
      <c r="D68" s="202">
        <v>0</v>
      </c>
      <c r="E68" s="202">
        <v>0</v>
      </c>
      <c r="F68" s="202">
        <v>0</v>
      </c>
      <c r="G68" s="202">
        <f>G105</f>
        <v>1240</v>
      </c>
      <c r="H68" s="202">
        <f t="shared" ref="H68:U68" si="32">H105</f>
        <v>1250</v>
      </c>
      <c r="I68" s="202">
        <f t="shared" si="32"/>
        <v>1280</v>
      </c>
      <c r="J68" s="202">
        <f t="shared" si="32"/>
        <v>1300</v>
      </c>
      <c r="K68" s="202">
        <f t="shared" si="32"/>
        <v>1320</v>
      </c>
      <c r="L68" s="202">
        <f t="shared" si="32"/>
        <v>1350</v>
      </c>
      <c r="M68" s="202">
        <f t="shared" si="32"/>
        <v>1370</v>
      </c>
      <c r="N68" s="202">
        <f t="shared" si="32"/>
        <v>1400</v>
      </c>
      <c r="O68" s="202">
        <f t="shared" si="32"/>
        <v>1430</v>
      </c>
      <c r="P68" s="202">
        <f t="shared" si="32"/>
        <v>1450</v>
      </c>
      <c r="Q68" s="202">
        <f t="shared" si="32"/>
        <v>1480</v>
      </c>
      <c r="R68" s="202">
        <f t="shared" si="32"/>
        <v>1510</v>
      </c>
      <c r="S68" s="202">
        <f t="shared" si="32"/>
        <v>1540</v>
      </c>
      <c r="T68" s="202">
        <f t="shared" si="32"/>
        <v>1570</v>
      </c>
      <c r="U68" s="203">
        <f t="shared" si="32"/>
        <v>1600</v>
      </c>
    </row>
    <row r="69" spans="2:26" ht="15.5" x14ac:dyDescent="0.35">
      <c r="B69" s="7" t="s">
        <v>112</v>
      </c>
      <c r="C69" s="202">
        <v>0</v>
      </c>
      <c r="D69" s="202">
        <v>0</v>
      </c>
      <c r="E69" s="202">
        <v>0</v>
      </c>
      <c r="F69" s="202">
        <v>0</v>
      </c>
      <c r="G69" s="202">
        <v>0</v>
      </c>
      <c r="H69" s="202">
        <v>0</v>
      </c>
      <c r="I69" s="202">
        <v>0</v>
      </c>
      <c r="J69" s="202">
        <v>0</v>
      </c>
      <c r="K69" s="202">
        <v>0</v>
      </c>
      <c r="L69" s="202">
        <v>0</v>
      </c>
      <c r="M69" s="202">
        <v>0</v>
      </c>
      <c r="N69" s="202">
        <v>10</v>
      </c>
      <c r="O69" s="202">
        <v>50</v>
      </c>
      <c r="P69" s="202">
        <v>120</v>
      </c>
      <c r="Q69" s="202">
        <v>210</v>
      </c>
      <c r="R69" s="202">
        <v>320</v>
      </c>
      <c r="S69" s="187">
        <v>450</v>
      </c>
      <c r="T69" s="202">
        <v>590</v>
      </c>
      <c r="U69" s="203">
        <v>740</v>
      </c>
    </row>
    <row r="70" spans="2:26" ht="15.5" x14ac:dyDescent="0.35">
      <c r="B70" s="7" t="s">
        <v>9</v>
      </c>
      <c r="C70" s="202">
        <v>0</v>
      </c>
      <c r="D70" s="202">
        <f t="shared" ref="D70:U70" si="33">D99</f>
        <v>0</v>
      </c>
      <c r="E70" s="202">
        <f t="shared" si="33"/>
        <v>0</v>
      </c>
      <c r="F70" s="202">
        <f t="shared" si="33"/>
        <v>40.555555555555657</v>
      </c>
      <c r="G70" s="202">
        <f t="shared" si="33"/>
        <v>51.193724739685422</v>
      </c>
      <c r="H70" s="202">
        <f t="shared" si="33"/>
        <v>476.83483745035846</v>
      </c>
      <c r="I70" s="202">
        <f t="shared" si="33"/>
        <v>993.67194562663235</v>
      </c>
      <c r="J70" s="202">
        <f t="shared" si="33"/>
        <v>1613.6815102385963</v>
      </c>
      <c r="K70" s="202">
        <f t="shared" si="33"/>
        <v>2316.8478441001844</v>
      </c>
      <c r="L70" s="202">
        <f t="shared" si="33"/>
        <v>3113.1443890611472</v>
      </c>
      <c r="M70" s="202">
        <f t="shared" si="33"/>
        <v>4012.5627178185814</v>
      </c>
      <c r="N70" s="202">
        <f t="shared" si="33"/>
        <v>4985.4476356687264</v>
      </c>
      <c r="O70" s="202">
        <f t="shared" si="33"/>
        <v>6294.3748327604126</v>
      </c>
      <c r="P70" s="202">
        <f t="shared" si="33"/>
        <v>8425.8085942756352</v>
      </c>
      <c r="Q70" s="202">
        <f t="shared" si="33"/>
        <v>10471.247120954613</v>
      </c>
      <c r="R70" s="202">
        <f t="shared" si="33"/>
        <v>12455.975306825241</v>
      </c>
      <c r="S70" s="202">
        <f t="shared" si="33"/>
        <v>14370.225177797391</v>
      </c>
      <c r="T70" s="202">
        <f t="shared" si="33"/>
        <v>16203.716467872109</v>
      </c>
      <c r="U70" s="203">
        <f t="shared" si="33"/>
        <v>17966.494643767397</v>
      </c>
    </row>
    <row r="71" spans="2:26" ht="15.5" x14ac:dyDescent="0.35">
      <c r="B71" s="7" t="s">
        <v>10</v>
      </c>
      <c r="C71" s="202">
        <v>0</v>
      </c>
      <c r="D71" s="186">
        <f t="shared" ref="D71:U71" si="34">SUM(D67:D70)</f>
        <v>3460</v>
      </c>
      <c r="E71" s="186">
        <f t="shared" si="34"/>
        <v>8980</v>
      </c>
      <c r="F71" s="186">
        <f t="shared" si="34"/>
        <v>13590.555555555555</v>
      </c>
      <c r="G71" s="186">
        <f t="shared" si="34"/>
        <v>14161.193724739685</v>
      </c>
      <c r="H71" s="307">
        <f t="shared" si="34"/>
        <v>13916.834837450358</v>
      </c>
      <c r="I71" s="307">
        <f t="shared" si="34"/>
        <v>13783.671945626633</v>
      </c>
      <c r="J71" s="307">
        <f t="shared" si="34"/>
        <v>13743.681510238595</v>
      </c>
      <c r="K71" s="307">
        <f t="shared" si="34"/>
        <v>13786.847844100184</v>
      </c>
      <c r="L71" s="307">
        <f t="shared" si="34"/>
        <v>13933.144389061148</v>
      </c>
      <c r="M71" s="307">
        <f t="shared" si="34"/>
        <v>14172.562717818582</v>
      </c>
      <c r="N71" s="307">
        <f t="shared" si="34"/>
        <v>14505.447635668726</v>
      </c>
      <c r="O71" s="307">
        <f t="shared" si="34"/>
        <v>15204.374832760412</v>
      </c>
      <c r="P71" s="307">
        <f t="shared" si="34"/>
        <v>16745.808594275637</v>
      </c>
      <c r="Q71" s="307">
        <f t="shared" si="34"/>
        <v>18231.247120954613</v>
      </c>
      <c r="R71" s="307">
        <f t="shared" si="34"/>
        <v>19675.975306825239</v>
      </c>
      <c r="S71" s="307">
        <f t="shared" si="34"/>
        <v>21070.225177797391</v>
      </c>
      <c r="T71" s="307">
        <f t="shared" si="34"/>
        <v>22393.716467872109</v>
      </c>
      <c r="U71" s="308">
        <f t="shared" si="34"/>
        <v>23656.494643767397</v>
      </c>
      <c r="W71" s="34"/>
      <c r="X71" s="34"/>
      <c r="Y71" s="34"/>
      <c r="Z71" s="34"/>
    </row>
    <row r="72" spans="2:26" x14ac:dyDescent="0.35">
      <c r="B72" s="329" t="s">
        <v>185</v>
      </c>
      <c r="C72" s="16"/>
      <c r="D72" s="269">
        <f t="shared" ref="D72:U72" si="35">D62-D71</f>
        <v>0</v>
      </c>
      <c r="E72" s="269">
        <f t="shared" si="35"/>
        <v>0</v>
      </c>
      <c r="F72" s="269">
        <f t="shared" si="35"/>
        <v>0</v>
      </c>
      <c r="G72" s="269">
        <f t="shared" si="35"/>
        <v>0</v>
      </c>
      <c r="H72" s="269">
        <f t="shared" si="35"/>
        <v>0</v>
      </c>
      <c r="I72" s="269">
        <f t="shared" si="35"/>
        <v>0</v>
      </c>
      <c r="J72" s="269">
        <f t="shared" si="35"/>
        <v>0</v>
      </c>
      <c r="K72" s="269">
        <f t="shared" si="35"/>
        <v>0</v>
      </c>
      <c r="L72" s="269">
        <f t="shared" si="35"/>
        <v>0</v>
      </c>
      <c r="M72" s="269">
        <f t="shared" si="35"/>
        <v>0</v>
      </c>
      <c r="N72" s="269">
        <f t="shared" si="35"/>
        <v>0</v>
      </c>
      <c r="O72" s="269">
        <f t="shared" si="35"/>
        <v>0</v>
      </c>
      <c r="P72" s="269">
        <f t="shared" si="35"/>
        <v>0</v>
      </c>
      <c r="Q72" s="269">
        <f t="shared" si="35"/>
        <v>0</v>
      </c>
      <c r="R72" s="269">
        <f t="shared" si="35"/>
        <v>0</v>
      </c>
      <c r="S72" s="269">
        <f t="shared" si="35"/>
        <v>0</v>
      </c>
      <c r="T72" s="269">
        <f t="shared" si="35"/>
        <v>0</v>
      </c>
      <c r="U72" s="269">
        <f t="shared" si="35"/>
        <v>0</v>
      </c>
    </row>
    <row r="73" spans="2:26" ht="15" thickBot="1" x14ac:dyDescent="0.4">
      <c r="B73" s="15"/>
      <c r="C73" s="16"/>
      <c r="D73" s="17"/>
      <c r="E73" s="17"/>
      <c r="F73" s="17"/>
      <c r="G73" s="13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2:26" ht="16" thickBot="1" x14ac:dyDescent="0.4">
      <c r="B74" s="299" t="s">
        <v>176</v>
      </c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1"/>
    </row>
    <row r="75" spans="2:26" ht="16" thickBot="1" x14ac:dyDescent="0.4">
      <c r="B75" s="306" t="s">
        <v>110</v>
      </c>
      <c r="C75" s="2">
        <v>2009</v>
      </c>
      <c r="D75" s="2">
        <v>2010</v>
      </c>
      <c r="E75" s="2">
        <v>2011</v>
      </c>
      <c r="F75" s="2">
        <v>2012</v>
      </c>
      <c r="G75" s="2">
        <v>2013</v>
      </c>
      <c r="H75" s="2">
        <v>2014</v>
      </c>
      <c r="I75" s="2">
        <v>2015</v>
      </c>
      <c r="J75" s="2">
        <v>2016</v>
      </c>
      <c r="K75" s="2">
        <v>2017</v>
      </c>
      <c r="L75" s="2">
        <v>2018</v>
      </c>
      <c r="M75" s="2">
        <v>2019</v>
      </c>
      <c r="N75" s="2">
        <v>2020</v>
      </c>
      <c r="O75" s="2">
        <v>2021</v>
      </c>
      <c r="P75" s="2">
        <v>2022</v>
      </c>
      <c r="Q75" s="2">
        <v>2023</v>
      </c>
      <c r="R75" s="2">
        <v>2024</v>
      </c>
      <c r="S75" s="2">
        <v>2025</v>
      </c>
      <c r="T75" s="2">
        <v>2026</v>
      </c>
      <c r="U75" s="3">
        <v>2027</v>
      </c>
    </row>
    <row r="76" spans="2:26" ht="15.5" x14ac:dyDescent="0.35">
      <c r="B76" s="305" t="s">
        <v>180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2:26" ht="15.5" x14ac:dyDescent="0.35">
      <c r="B77" s="336" t="s">
        <v>87</v>
      </c>
      <c r="C77" s="202"/>
      <c r="D77" s="202">
        <f t="shared" ref="D77:U77" si="36">D35</f>
        <v>0</v>
      </c>
      <c r="E77" s="202">
        <f t="shared" si="36"/>
        <v>0</v>
      </c>
      <c r="F77" s="202">
        <f t="shared" si="36"/>
        <v>0</v>
      </c>
      <c r="G77" s="202">
        <f t="shared" si="36"/>
        <v>789.26154072460031</v>
      </c>
      <c r="H77" s="202">
        <f t="shared" si="36"/>
        <v>896.17042211560454</v>
      </c>
      <c r="I77" s="202">
        <f t="shared" si="36"/>
        <v>1002.9524808131026</v>
      </c>
      <c r="J77" s="202">
        <f t="shared" si="36"/>
        <v>1097.2970135548262</v>
      </c>
      <c r="K77" s="202">
        <f t="shared" si="36"/>
        <v>1198.0525181238231</v>
      </c>
      <c r="L77" s="202">
        <f t="shared" si="36"/>
        <v>1295.7998598308759</v>
      </c>
      <c r="M77" s="202">
        <f t="shared" si="36"/>
        <v>1389.5972906119146</v>
      </c>
      <c r="N77" s="202">
        <f t="shared" si="36"/>
        <v>1490.0343171363656</v>
      </c>
      <c r="O77" s="202">
        <f t="shared" si="36"/>
        <v>1588.8205182118802</v>
      </c>
      <c r="P77" s="202">
        <f t="shared" si="36"/>
        <v>1606.3348478470314</v>
      </c>
      <c r="Q77" s="202">
        <f t="shared" si="36"/>
        <v>1565.462797875251</v>
      </c>
      <c r="R77" s="202">
        <f t="shared" si="36"/>
        <v>1515.5350061669074</v>
      </c>
      <c r="S77" s="202">
        <f t="shared" si="36"/>
        <v>1470.5155227488576</v>
      </c>
      <c r="T77" s="202">
        <f t="shared" si="36"/>
        <v>1401.5653947340902</v>
      </c>
      <c r="U77" s="203">
        <f t="shared" si="36"/>
        <v>1338.7180111703967</v>
      </c>
    </row>
    <row r="78" spans="2:26" ht="15.5" x14ac:dyDescent="0.35">
      <c r="B78" s="313" t="s">
        <v>30</v>
      </c>
      <c r="C78" s="202"/>
      <c r="D78" s="202">
        <f t="shared" ref="D78:U78" si="37">D30</f>
        <v>0</v>
      </c>
      <c r="E78" s="202">
        <f t="shared" si="37"/>
        <v>0</v>
      </c>
      <c r="F78" s="202">
        <f t="shared" si="37"/>
        <v>0</v>
      </c>
      <c r="G78" s="202">
        <f t="shared" si="37"/>
        <v>680</v>
      </c>
      <c r="H78" s="202">
        <f t="shared" si="37"/>
        <v>680</v>
      </c>
      <c r="I78" s="202">
        <f t="shared" si="37"/>
        <v>680</v>
      </c>
      <c r="J78" s="202">
        <f t="shared" si="37"/>
        <v>680</v>
      </c>
      <c r="K78" s="202">
        <f t="shared" si="37"/>
        <v>680</v>
      </c>
      <c r="L78" s="202">
        <f t="shared" si="37"/>
        <v>680</v>
      </c>
      <c r="M78" s="202">
        <f t="shared" si="37"/>
        <v>680</v>
      </c>
      <c r="N78" s="202">
        <f t="shared" si="37"/>
        <v>680</v>
      </c>
      <c r="O78" s="202">
        <f t="shared" si="37"/>
        <v>680</v>
      </c>
      <c r="P78" s="202">
        <f t="shared" si="37"/>
        <v>680</v>
      </c>
      <c r="Q78" s="202">
        <f t="shared" si="37"/>
        <v>680</v>
      </c>
      <c r="R78" s="202">
        <f t="shared" si="37"/>
        <v>680</v>
      </c>
      <c r="S78" s="202">
        <f t="shared" si="37"/>
        <v>680</v>
      </c>
      <c r="T78" s="202">
        <f t="shared" si="37"/>
        <v>680</v>
      </c>
      <c r="U78" s="203">
        <f t="shared" si="37"/>
        <v>680</v>
      </c>
    </row>
    <row r="79" spans="2:26" ht="15.5" x14ac:dyDescent="0.35">
      <c r="B79" s="313" t="s">
        <v>184</v>
      </c>
      <c r="C79" s="202"/>
      <c r="D79" s="202">
        <f t="shared" ref="D79:U79" si="38">C65-D65</f>
        <v>-3460</v>
      </c>
      <c r="E79" s="202">
        <f t="shared" si="38"/>
        <v>-5520</v>
      </c>
      <c r="F79" s="202">
        <f t="shared" si="38"/>
        <v>-4570</v>
      </c>
      <c r="G79" s="202">
        <f t="shared" si="38"/>
        <v>0</v>
      </c>
      <c r="H79" s="202">
        <f t="shared" si="38"/>
        <v>0</v>
      </c>
      <c r="I79" s="202">
        <f t="shared" si="38"/>
        <v>0</v>
      </c>
      <c r="J79" s="202">
        <f t="shared" si="38"/>
        <v>0</v>
      </c>
      <c r="K79" s="202">
        <f t="shared" si="38"/>
        <v>0</v>
      </c>
      <c r="L79" s="202">
        <f t="shared" si="38"/>
        <v>0</v>
      </c>
      <c r="M79" s="202">
        <f t="shared" si="38"/>
        <v>0</v>
      </c>
      <c r="N79" s="202">
        <f t="shared" si="38"/>
        <v>0</v>
      </c>
      <c r="O79" s="202">
        <f t="shared" si="38"/>
        <v>0</v>
      </c>
      <c r="P79" s="202">
        <f t="shared" si="38"/>
        <v>0</v>
      </c>
      <c r="Q79" s="202">
        <f t="shared" si="38"/>
        <v>0</v>
      </c>
      <c r="R79" s="202">
        <f t="shared" si="38"/>
        <v>0</v>
      </c>
      <c r="S79" s="202">
        <f t="shared" si="38"/>
        <v>0</v>
      </c>
      <c r="T79" s="202">
        <f t="shared" si="38"/>
        <v>0</v>
      </c>
      <c r="U79" s="203">
        <f t="shared" si="38"/>
        <v>0</v>
      </c>
    </row>
    <row r="80" spans="2:26" ht="15.5" x14ac:dyDescent="0.35">
      <c r="B80" s="313" t="s">
        <v>230</v>
      </c>
      <c r="C80" s="202"/>
      <c r="D80" s="202">
        <f t="shared" ref="D80:U80" si="39">C68-D68</f>
        <v>0</v>
      </c>
      <c r="E80" s="202">
        <f t="shared" si="39"/>
        <v>0</v>
      </c>
      <c r="F80" s="202">
        <f t="shared" si="39"/>
        <v>0</v>
      </c>
      <c r="G80" s="202">
        <f t="shared" si="39"/>
        <v>-1240</v>
      </c>
      <c r="H80" s="202">
        <f t="shared" si="39"/>
        <v>-10</v>
      </c>
      <c r="I80" s="202">
        <f t="shared" si="39"/>
        <v>-30</v>
      </c>
      <c r="J80" s="202">
        <f t="shared" si="39"/>
        <v>-20</v>
      </c>
      <c r="K80" s="202">
        <f t="shared" si="39"/>
        <v>-20</v>
      </c>
      <c r="L80" s="202">
        <f t="shared" si="39"/>
        <v>-30</v>
      </c>
      <c r="M80" s="202">
        <f t="shared" si="39"/>
        <v>-20</v>
      </c>
      <c r="N80" s="202">
        <f t="shared" si="39"/>
        <v>-30</v>
      </c>
      <c r="O80" s="202">
        <f t="shared" si="39"/>
        <v>-30</v>
      </c>
      <c r="P80" s="202">
        <f t="shared" si="39"/>
        <v>-20</v>
      </c>
      <c r="Q80" s="202">
        <f t="shared" si="39"/>
        <v>-30</v>
      </c>
      <c r="R80" s="202">
        <f t="shared" si="39"/>
        <v>-30</v>
      </c>
      <c r="S80" s="202">
        <f t="shared" si="39"/>
        <v>-30</v>
      </c>
      <c r="T80" s="202">
        <f t="shared" si="39"/>
        <v>-30</v>
      </c>
      <c r="U80" s="203">
        <f t="shared" si="39"/>
        <v>-30</v>
      </c>
    </row>
    <row r="81" spans="2:24" ht="15.5" x14ac:dyDescent="0.35">
      <c r="B81" s="313" t="s">
        <v>231</v>
      </c>
      <c r="C81" s="202"/>
      <c r="D81" s="202">
        <f t="shared" ref="D81:U81" si="40">C69-D69</f>
        <v>0</v>
      </c>
      <c r="E81" s="202">
        <f t="shared" si="40"/>
        <v>0</v>
      </c>
      <c r="F81" s="202">
        <f t="shared" si="40"/>
        <v>0</v>
      </c>
      <c r="G81" s="202">
        <f t="shared" si="40"/>
        <v>0</v>
      </c>
      <c r="H81" s="202">
        <f t="shared" si="40"/>
        <v>0</v>
      </c>
      <c r="I81" s="202">
        <f t="shared" si="40"/>
        <v>0</v>
      </c>
      <c r="J81" s="202">
        <f t="shared" si="40"/>
        <v>0</v>
      </c>
      <c r="K81" s="202">
        <f t="shared" si="40"/>
        <v>0</v>
      </c>
      <c r="L81" s="202">
        <f t="shared" si="40"/>
        <v>0</v>
      </c>
      <c r="M81" s="202">
        <f t="shared" si="40"/>
        <v>0</v>
      </c>
      <c r="N81" s="202">
        <f t="shared" si="40"/>
        <v>-10</v>
      </c>
      <c r="O81" s="202">
        <f t="shared" si="40"/>
        <v>-40</v>
      </c>
      <c r="P81" s="202">
        <f t="shared" si="40"/>
        <v>-70</v>
      </c>
      <c r="Q81" s="202">
        <f t="shared" si="40"/>
        <v>-90</v>
      </c>
      <c r="R81" s="202">
        <f t="shared" si="40"/>
        <v>-110</v>
      </c>
      <c r="S81" s="202">
        <f t="shared" si="40"/>
        <v>-130</v>
      </c>
      <c r="T81" s="202">
        <f t="shared" si="40"/>
        <v>-140</v>
      </c>
      <c r="U81" s="203">
        <f t="shared" si="40"/>
        <v>-150</v>
      </c>
    </row>
    <row r="82" spans="2:24" ht="15.5" x14ac:dyDescent="0.35">
      <c r="B82" s="313" t="s">
        <v>145</v>
      </c>
      <c r="C82" s="202"/>
      <c r="D82" s="202">
        <f t="shared" ref="D82:U82" si="41">D28+D29</f>
        <v>0</v>
      </c>
      <c r="E82" s="202">
        <f t="shared" si="41"/>
        <v>0</v>
      </c>
      <c r="F82" s="202">
        <f t="shared" si="41"/>
        <v>0</v>
      </c>
      <c r="G82" s="202">
        <f t="shared" si="41"/>
        <v>1571.4666666666669</v>
      </c>
      <c r="H82" s="202">
        <f t="shared" si="41"/>
        <v>1399.8222222222223</v>
      </c>
      <c r="I82" s="202">
        <f t="shared" si="41"/>
        <v>1229.7777777777778</v>
      </c>
      <c r="J82" s="202">
        <f t="shared" si="41"/>
        <v>1060.5333333333335</v>
      </c>
      <c r="K82" s="202">
        <f t="shared" si="41"/>
        <v>890.48888888888882</v>
      </c>
      <c r="L82" s="202">
        <f t="shared" si="41"/>
        <v>720.44444444444434</v>
      </c>
      <c r="M82" s="202">
        <f t="shared" si="41"/>
        <v>551.19999999999982</v>
      </c>
      <c r="N82" s="202">
        <f t="shared" si="41"/>
        <v>381.95555555555535</v>
      </c>
      <c r="O82" s="202">
        <f t="shared" si="41"/>
        <v>234.26666666666637</v>
      </c>
      <c r="P82" s="202">
        <f t="shared" si="41"/>
        <v>172.79999999999973</v>
      </c>
      <c r="Q82" s="202">
        <f t="shared" si="41"/>
        <v>175.99999999999972</v>
      </c>
      <c r="R82" s="202">
        <f t="shared" si="41"/>
        <v>179.19999999999973</v>
      </c>
      <c r="S82" s="202">
        <f t="shared" si="41"/>
        <v>183.19999999999973</v>
      </c>
      <c r="T82" s="202">
        <f t="shared" si="41"/>
        <v>187.19999999999973</v>
      </c>
      <c r="U82" s="203">
        <f t="shared" si="41"/>
        <v>190.39999999999972</v>
      </c>
    </row>
    <row r="83" spans="2:24" ht="15.5" x14ac:dyDescent="0.35">
      <c r="B83" s="7" t="s">
        <v>183</v>
      </c>
      <c r="C83" s="307"/>
      <c r="D83" s="307">
        <f>SUM(D77:D82)</f>
        <v>-3460</v>
      </c>
      <c r="E83" s="307">
        <f t="shared" ref="E83:U83" si="42">SUM(E77:E82)</f>
        <v>-5520</v>
      </c>
      <c r="F83" s="307">
        <f t="shared" si="42"/>
        <v>-4570</v>
      </c>
      <c r="G83" s="307">
        <f t="shared" si="42"/>
        <v>1800.7282073912672</v>
      </c>
      <c r="H83" s="307">
        <f t="shared" si="42"/>
        <v>2965.9926443378272</v>
      </c>
      <c r="I83" s="307">
        <f t="shared" si="42"/>
        <v>2882.7302585908806</v>
      </c>
      <c r="J83" s="307">
        <f t="shared" si="42"/>
        <v>2817.8303468881595</v>
      </c>
      <c r="K83" s="307">
        <f t="shared" si="42"/>
        <v>2748.5414070127117</v>
      </c>
      <c r="L83" s="307">
        <f t="shared" si="42"/>
        <v>2666.2443042753202</v>
      </c>
      <c r="M83" s="307">
        <f t="shared" si="42"/>
        <v>2600.7972906119144</v>
      </c>
      <c r="N83" s="307">
        <f t="shared" si="42"/>
        <v>2511.9898726919209</v>
      </c>
      <c r="O83" s="307">
        <f t="shared" si="42"/>
        <v>2433.0871848785464</v>
      </c>
      <c r="P83" s="307">
        <f t="shared" si="42"/>
        <v>2369.1348478470313</v>
      </c>
      <c r="Q83" s="307">
        <f t="shared" si="42"/>
        <v>2301.4627978752505</v>
      </c>
      <c r="R83" s="307">
        <f t="shared" si="42"/>
        <v>2234.7350061669072</v>
      </c>
      <c r="S83" s="307">
        <f t="shared" si="42"/>
        <v>2173.7155227488574</v>
      </c>
      <c r="T83" s="307">
        <f t="shared" si="42"/>
        <v>2098.76539473409</v>
      </c>
      <c r="U83" s="308">
        <f t="shared" si="42"/>
        <v>2029.1180111703964</v>
      </c>
    </row>
    <row r="84" spans="2:24" ht="15.5" x14ac:dyDescent="0.35">
      <c r="B84" s="7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3"/>
    </row>
    <row r="85" spans="2:24" ht="15.5" x14ac:dyDescent="0.35">
      <c r="B85" s="304" t="s">
        <v>181</v>
      </c>
      <c r="C85" s="202"/>
      <c r="D85" s="202"/>
      <c r="E85" s="202"/>
      <c r="F85" s="202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203"/>
    </row>
    <row r="86" spans="2:24" ht="15.5" x14ac:dyDescent="0.35">
      <c r="B86" s="313" t="s">
        <v>190</v>
      </c>
      <c r="C86" s="202"/>
      <c r="D86" s="202">
        <f>N4</f>
        <v>2420.0000000000005</v>
      </c>
      <c r="E86" s="202">
        <f>O4</f>
        <v>3870.0000000000009</v>
      </c>
      <c r="F86" s="202">
        <f>P4</f>
        <v>3410.0000000000005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>
        <v>0</v>
      </c>
      <c r="T86" s="202">
        <v>0</v>
      </c>
      <c r="U86" s="203">
        <v>0</v>
      </c>
      <c r="W86" s="409">
        <f>SUM(D86:U86)</f>
        <v>9700.0000000000018</v>
      </c>
      <c r="X86" s="332" t="s">
        <v>273</v>
      </c>
    </row>
    <row r="87" spans="2:24" ht="15.5" x14ac:dyDescent="0.35">
      <c r="B87" s="313" t="s">
        <v>241</v>
      </c>
      <c r="C87" s="202"/>
      <c r="D87" s="202">
        <v>0</v>
      </c>
      <c r="E87" s="202">
        <v>0</v>
      </c>
      <c r="F87" s="407">
        <f>-(($D$86+$E$86+$F$86)/36)*1</f>
        <v>-269.44444444444451</v>
      </c>
      <c r="G87" s="407">
        <f t="shared" ref="G87:N87" si="43">-(($D$86+$E$86+$F$86)/36)*4</f>
        <v>-1077.7777777777781</v>
      </c>
      <c r="H87" s="407">
        <f t="shared" si="43"/>
        <v>-1077.7777777777781</v>
      </c>
      <c r="I87" s="407">
        <f t="shared" si="43"/>
        <v>-1077.7777777777781</v>
      </c>
      <c r="J87" s="407">
        <f t="shared" si="43"/>
        <v>-1077.7777777777781</v>
      </c>
      <c r="K87" s="407">
        <f t="shared" si="43"/>
        <v>-1077.7777777777781</v>
      </c>
      <c r="L87" s="407">
        <f t="shared" si="43"/>
        <v>-1077.7777777777781</v>
      </c>
      <c r="M87" s="407">
        <f t="shared" si="43"/>
        <v>-1077.7777777777781</v>
      </c>
      <c r="N87" s="407">
        <f t="shared" si="43"/>
        <v>-1077.7777777777781</v>
      </c>
      <c r="O87" s="407">
        <f>-(($D$86+$E$86+$F$86)/36)*3</f>
        <v>-808.33333333333348</v>
      </c>
      <c r="P87" s="407">
        <f>Loan!P22</f>
        <v>0</v>
      </c>
      <c r="Q87" s="407">
        <f>Loan!Q22</f>
        <v>0</v>
      </c>
      <c r="R87" s="202">
        <v>0</v>
      </c>
      <c r="S87" s="202">
        <v>0</v>
      </c>
      <c r="T87" s="202">
        <v>0</v>
      </c>
      <c r="U87" s="203">
        <v>0</v>
      </c>
      <c r="W87" s="409">
        <f>SUM(D87:U87)</f>
        <v>-9700.0000000000036</v>
      </c>
      <c r="X87" s="332" t="s">
        <v>273</v>
      </c>
    </row>
    <row r="88" spans="2:24" ht="15.5" x14ac:dyDescent="0.35">
      <c r="B88" s="313" t="s">
        <v>186</v>
      </c>
      <c r="C88" s="339"/>
      <c r="D88" s="202">
        <v>0</v>
      </c>
      <c r="E88" s="202">
        <v>0</v>
      </c>
      <c r="F88" s="202">
        <v>0</v>
      </c>
      <c r="G88" s="202">
        <v>930</v>
      </c>
      <c r="H88" s="202">
        <v>10</v>
      </c>
      <c r="I88" s="202">
        <v>20</v>
      </c>
      <c r="J88" s="202">
        <v>20</v>
      </c>
      <c r="K88" s="202">
        <v>10</v>
      </c>
      <c r="L88" s="202">
        <v>20</v>
      </c>
      <c r="M88" s="202">
        <v>20</v>
      </c>
      <c r="N88" s="202">
        <v>20</v>
      </c>
      <c r="O88" s="202">
        <v>20</v>
      </c>
      <c r="P88" s="202">
        <v>20</v>
      </c>
      <c r="Q88" s="202">
        <v>20</v>
      </c>
      <c r="R88" s="202">
        <v>20</v>
      </c>
      <c r="S88" s="202">
        <v>30</v>
      </c>
      <c r="T88" s="202">
        <v>20</v>
      </c>
      <c r="U88" s="203">
        <v>20</v>
      </c>
      <c r="V88" s="284"/>
    </row>
    <row r="89" spans="2:24" ht="15.5" x14ac:dyDescent="0.35">
      <c r="B89" s="313" t="s">
        <v>240</v>
      </c>
      <c r="C89" s="339"/>
      <c r="D89" s="202">
        <v>0</v>
      </c>
      <c r="E89" s="202">
        <v>0</v>
      </c>
      <c r="F89" s="202">
        <v>0</v>
      </c>
      <c r="G89" s="407">
        <f t="shared" ref="G89:U89" si="44">G123</f>
        <v>0</v>
      </c>
      <c r="H89" s="407">
        <f t="shared" si="44"/>
        <v>0</v>
      </c>
      <c r="I89" s="407">
        <f t="shared" si="44"/>
        <v>0</v>
      </c>
      <c r="J89" s="407">
        <f t="shared" si="44"/>
        <v>0</v>
      </c>
      <c r="K89" s="407">
        <f t="shared" si="44"/>
        <v>0</v>
      </c>
      <c r="L89" s="407">
        <f t="shared" si="44"/>
        <v>0</v>
      </c>
      <c r="M89" s="407">
        <f t="shared" si="44"/>
        <v>0</v>
      </c>
      <c r="N89" s="407">
        <f t="shared" si="44"/>
        <v>0</v>
      </c>
      <c r="O89" s="407">
        <f t="shared" si="44"/>
        <v>0</v>
      </c>
      <c r="P89" s="407">
        <f t="shared" si="44"/>
        <v>0</v>
      </c>
      <c r="Q89" s="407">
        <f t="shared" si="44"/>
        <v>0</v>
      </c>
      <c r="R89" s="407">
        <f t="shared" si="44"/>
        <v>0</v>
      </c>
      <c r="S89" s="407">
        <f t="shared" si="44"/>
        <v>0</v>
      </c>
      <c r="T89" s="407">
        <f t="shared" si="44"/>
        <v>0</v>
      </c>
      <c r="U89" s="417">
        <f t="shared" si="44"/>
        <v>0</v>
      </c>
      <c r="V89" s="284"/>
    </row>
    <row r="90" spans="2:24" ht="15.5" x14ac:dyDescent="0.35">
      <c r="B90" s="313" t="s">
        <v>145</v>
      </c>
      <c r="C90" s="202"/>
      <c r="D90" s="407">
        <f>-D117</f>
        <v>-42.45000000000001</v>
      </c>
      <c r="E90" s="407">
        <f>-E117</f>
        <v>-8.5250000000000021</v>
      </c>
      <c r="F90" s="407">
        <f>-F117</f>
        <v>0</v>
      </c>
      <c r="G90" s="202">
        <f t="shared" ref="G90:U90" si="45">-G82</f>
        <v>-1571.4666666666669</v>
      </c>
      <c r="H90" s="202">
        <f t="shared" si="45"/>
        <v>-1399.8222222222223</v>
      </c>
      <c r="I90" s="202">
        <f t="shared" si="45"/>
        <v>-1229.7777777777778</v>
      </c>
      <c r="J90" s="202">
        <f t="shared" si="45"/>
        <v>-1060.5333333333335</v>
      </c>
      <c r="K90" s="202">
        <f t="shared" si="45"/>
        <v>-890.48888888888882</v>
      </c>
      <c r="L90" s="202">
        <f t="shared" si="45"/>
        <v>-720.44444444444434</v>
      </c>
      <c r="M90" s="202">
        <f t="shared" si="45"/>
        <v>-551.19999999999982</v>
      </c>
      <c r="N90" s="202">
        <f t="shared" si="45"/>
        <v>-381.95555555555535</v>
      </c>
      <c r="O90" s="202">
        <f t="shared" si="45"/>
        <v>-234.26666666666637</v>
      </c>
      <c r="P90" s="202">
        <f t="shared" si="45"/>
        <v>-172.79999999999973</v>
      </c>
      <c r="Q90" s="202">
        <f t="shared" si="45"/>
        <v>-175.99999999999972</v>
      </c>
      <c r="R90" s="202">
        <f t="shared" si="45"/>
        <v>-179.19999999999973</v>
      </c>
      <c r="S90" s="202">
        <f t="shared" si="45"/>
        <v>-183.19999999999973</v>
      </c>
      <c r="T90" s="202">
        <f t="shared" si="45"/>
        <v>-187.19999999999973</v>
      </c>
      <c r="U90" s="203">
        <f t="shared" si="45"/>
        <v>-190.39999999999972</v>
      </c>
    </row>
    <row r="91" spans="2:24" ht="15.5" x14ac:dyDescent="0.35">
      <c r="B91" s="313" t="s">
        <v>303</v>
      </c>
      <c r="C91" s="202"/>
      <c r="D91" s="407">
        <f>-D90</f>
        <v>42.45000000000001</v>
      </c>
      <c r="E91" s="407">
        <f>-E90</f>
        <v>8.5250000000000021</v>
      </c>
      <c r="F91" s="407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3"/>
    </row>
    <row r="92" spans="2:24" ht="15.5" x14ac:dyDescent="0.35">
      <c r="B92" s="313" t="s">
        <v>191</v>
      </c>
      <c r="C92" s="202"/>
      <c r="D92" s="202">
        <f>N6</f>
        <v>1039.9999999999998</v>
      </c>
      <c r="E92" s="202">
        <f>O6</f>
        <v>1649.9999999999995</v>
      </c>
      <c r="F92" s="202">
        <f>P6</f>
        <v>1469.9999999999998</v>
      </c>
      <c r="G92" s="202">
        <v>0</v>
      </c>
      <c r="H92" s="202">
        <v>0</v>
      </c>
      <c r="I92" s="202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>
        <v>0</v>
      </c>
      <c r="T92" s="202">
        <v>0</v>
      </c>
      <c r="U92" s="203">
        <v>0</v>
      </c>
    </row>
    <row r="93" spans="2:24" ht="15.5" x14ac:dyDescent="0.35">
      <c r="B93" s="313" t="s">
        <v>255</v>
      </c>
      <c r="C93" s="202"/>
      <c r="D93" s="202">
        <v>0</v>
      </c>
      <c r="E93" s="202">
        <v>0</v>
      </c>
      <c r="F93" s="202">
        <v>0</v>
      </c>
      <c r="G93" s="202">
        <f t="shared" ref="G93:U93" si="46">G134</f>
        <v>-70.845593762692431</v>
      </c>
      <c r="H93" s="202">
        <f t="shared" si="46"/>
        <v>-72.751531627153867</v>
      </c>
      <c r="I93" s="202">
        <f t="shared" si="46"/>
        <v>-78.337594859050867</v>
      </c>
      <c r="J93" s="202">
        <f t="shared" si="46"/>
        <v>-79.509671165083802</v>
      </c>
      <c r="K93" s="202">
        <f t="shared" si="46"/>
        <v>-87.108406484456552</v>
      </c>
      <c r="L93" s="202">
        <f t="shared" si="46"/>
        <v>-91.725537092135013</v>
      </c>
      <c r="M93" s="202">
        <f t="shared" si="46"/>
        <v>-92.401184076702421</v>
      </c>
      <c r="N93" s="202">
        <f t="shared" si="46"/>
        <v>-99.371621508442431</v>
      </c>
      <c r="O93" s="202">
        <f t="shared" si="46"/>
        <v>-101.55998778686039</v>
      </c>
      <c r="P93" s="202">
        <f t="shared" si="46"/>
        <v>-84.901086331808997</v>
      </c>
      <c r="Q93" s="202">
        <f t="shared" si="46"/>
        <v>-100.02427119627409</v>
      </c>
      <c r="R93" s="202">
        <f t="shared" si="46"/>
        <v>-90.806820296279909</v>
      </c>
      <c r="S93" s="202">
        <f t="shared" si="46"/>
        <v>-106.2656517767076</v>
      </c>
      <c r="T93" s="202">
        <f t="shared" si="46"/>
        <v>-98.074104659370974</v>
      </c>
      <c r="U93" s="203">
        <f t="shared" si="46"/>
        <v>-95.939835275109829</v>
      </c>
    </row>
    <row r="94" spans="2:24" ht="15.5" x14ac:dyDescent="0.35">
      <c r="B94" s="7" t="s">
        <v>182</v>
      </c>
      <c r="C94" s="202"/>
      <c r="D94" s="307">
        <f>SUM(D86:D93)</f>
        <v>3460</v>
      </c>
      <c r="E94" s="307">
        <f t="shared" ref="E94:U94" si="47">SUM(E86:E93)</f>
        <v>5520</v>
      </c>
      <c r="F94" s="307">
        <f t="shared" si="47"/>
        <v>4610.5555555555557</v>
      </c>
      <c r="G94" s="307">
        <f t="shared" si="47"/>
        <v>-1790.0900382071375</v>
      </c>
      <c r="H94" s="307">
        <f t="shared" si="47"/>
        <v>-2540.3515316271541</v>
      </c>
      <c r="I94" s="307">
        <f t="shared" si="47"/>
        <v>-2365.8931504146067</v>
      </c>
      <c r="J94" s="307">
        <f t="shared" si="47"/>
        <v>-2197.8207822761956</v>
      </c>
      <c r="K94" s="307">
        <f t="shared" si="47"/>
        <v>-2045.3750731511234</v>
      </c>
      <c r="L94" s="307">
        <f t="shared" si="47"/>
        <v>-1869.9477593143574</v>
      </c>
      <c r="M94" s="307">
        <f t="shared" si="47"/>
        <v>-1701.3789618544804</v>
      </c>
      <c r="N94" s="307">
        <f t="shared" si="47"/>
        <v>-1539.1049548417757</v>
      </c>
      <c r="O94" s="307">
        <f t="shared" si="47"/>
        <v>-1124.1599877868603</v>
      </c>
      <c r="P94" s="307">
        <f t="shared" si="47"/>
        <v>-237.70108633180871</v>
      </c>
      <c r="Q94" s="307">
        <f t="shared" si="47"/>
        <v>-256.02427119627379</v>
      </c>
      <c r="R94" s="307">
        <f t="shared" si="47"/>
        <v>-250.00682029627964</v>
      </c>
      <c r="S94" s="307">
        <f t="shared" si="47"/>
        <v>-259.46565177670732</v>
      </c>
      <c r="T94" s="307">
        <f t="shared" si="47"/>
        <v>-265.27410465937072</v>
      </c>
      <c r="U94" s="308">
        <f t="shared" si="47"/>
        <v>-266.33983527510952</v>
      </c>
    </row>
    <row r="95" spans="2:24" ht="15.5" x14ac:dyDescent="0.35">
      <c r="B95" s="7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3"/>
    </row>
    <row r="96" spans="2:24" ht="15.5" x14ac:dyDescent="0.35">
      <c r="B96" s="7" t="s">
        <v>179</v>
      </c>
      <c r="C96" s="202"/>
      <c r="D96" s="186">
        <f>D83+D94</f>
        <v>0</v>
      </c>
      <c r="E96" s="186">
        <f t="shared" ref="E96:U96" si="48">E83+E94</f>
        <v>0</v>
      </c>
      <c r="F96" s="186">
        <f t="shared" si="48"/>
        <v>40.555555555555657</v>
      </c>
      <c r="G96" s="186">
        <f t="shared" si="48"/>
        <v>10.638169184129765</v>
      </c>
      <c r="H96" s="186">
        <f t="shared" si="48"/>
        <v>425.64111271067304</v>
      </c>
      <c r="I96" s="186">
        <f t="shared" si="48"/>
        <v>516.83710817627389</v>
      </c>
      <c r="J96" s="186">
        <f t="shared" si="48"/>
        <v>620.00956461196392</v>
      </c>
      <c r="K96" s="186">
        <f t="shared" si="48"/>
        <v>703.16633386158833</v>
      </c>
      <c r="L96" s="186">
        <f t="shared" si="48"/>
        <v>796.29654496096282</v>
      </c>
      <c r="M96" s="186">
        <f t="shared" si="48"/>
        <v>899.41832875743398</v>
      </c>
      <c r="N96" s="186">
        <f t="shared" si="48"/>
        <v>972.88491785014526</v>
      </c>
      <c r="O96" s="186">
        <f t="shared" si="48"/>
        <v>1308.9271970916861</v>
      </c>
      <c r="P96" s="186">
        <f t="shared" si="48"/>
        <v>2131.4337615152226</v>
      </c>
      <c r="Q96" s="186">
        <f t="shared" si="48"/>
        <v>2045.4385266789768</v>
      </c>
      <c r="R96" s="186">
        <f t="shared" si="48"/>
        <v>1984.7281858706276</v>
      </c>
      <c r="S96" s="186">
        <f t="shared" si="48"/>
        <v>1914.2498709721501</v>
      </c>
      <c r="T96" s="186">
        <f t="shared" si="48"/>
        <v>1833.4912900747192</v>
      </c>
      <c r="U96" s="308">
        <f t="shared" si="48"/>
        <v>1762.7781758952869</v>
      </c>
    </row>
    <row r="97" spans="1:21" ht="15.5" x14ac:dyDescent="0.35">
      <c r="B97" s="7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8" spans="1:21" ht="15.5" x14ac:dyDescent="0.35">
      <c r="B98" s="7" t="s">
        <v>177</v>
      </c>
      <c r="C98" s="202"/>
      <c r="D98" s="307">
        <v>0</v>
      </c>
      <c r="E98" s="307">
        <f t="shared" ref="E98:U98" si="49">D99</f>
        <v>0</v>
      </c>
      <c r="F98" s="307">
        <f t="shared" si="49"/>
        <v>0</v>
      </c>
      <c r="G98" s="307">
        <f t="shared" si="49"/>
        <v>40.555555555555657</v>
      </c>
      <c r="H98" s="307">
        <f t="shared" si="49"/>
        <v>51.193724739685422</v>
      </c>
      <c r="I98" s="307">
        <f t="shared" si="49"/>
        <v>476.83483745035846</v>
      </c>
      <c r="J98" s="307">
        <f t="shared" si="49"/>
        <v>993.67194562663235</v>
      </c>
      <c r="K98" s="307">
        <f t="shared" si="49"/>
        <v>1613.6815102385963</v>
      </c>
      <c r="L98" s="307">
        <f t="shared" si="49"/>
        <v>2316.8478441001844</v>
      </c>
      <c r="M98" s="307">
        <f t="shared" si="49"/>
        <v>3113.1443890611472</v>
      </c>
      <c r="N98" s="307">
        <f t="shared" si="49"/>
        <v>4012.5627178185814</v>
      </c>
      <c r="O98" s="307">
        <f t="shared" si="49"/>
        <v>4985.4476356687264</v>
      </c>
      <c r="P98" s="307">
        <f t="shared" si="49"/>
        <v>6294.3748327604126</v>
      </c>
      <c r="Q98" s="307">
        <f t="shared" si="49"/>
        <v>8425.8085942756352</v>
      </c>
      <c r="R98" s="307">
        <f t="shared" si="49"/>
        <v>10471.247120954613</v>
      </c>
      <c r="S98" s="307">
        <f t="shared" si="49"/>
        <v>12455.975306825241</v>
      </c>
      <c r="T98" s="307">
        <f t="shared" si="49"/>
        <v>14370.225177797391</v>
      </c>
      <c r="U98" s="308">
        <f t="shared" si="49"/>
        <v>16203.716467872109</v>
      </c>
    </row>
    <row r="99" spans="1:21" ht="15.5" x14ac:dyDescent="0.35">
      <c r="B99" s="7" t="s">
        <v>178</v>
      </c>
      <c r="C99" s="202"/>
      <c r="D99" s="307">
        <f t="shared" ref="D99:U99" si="50">D96+D98</f>
        <v>0</v>
      </c>
      <c r="E99" s="307">
        <f t="shared" si="50"/>
        <v>0</v>
      </c>
      <c r="F99" s="307">
        <f t="shared" si="50"/>
        <v>40.555555555555657</v>
      </c>
      <c r="G99" s="307">
        <f t="shared" si="50"/>
        <v>51.193724739685422</v>
      </c>
      <c r="H99" s="307">
        <f t="shared" si="50"/>
        <v>476.83483745035846</v>
      </c>
      <c r="I99" s="307">
        <f t="shared" si="50"/>
        <v>993.67194562663235</v>
      </c>
      <c r="J99" s="307">
        <f t="shared" si="50"/>
        <v>1613.6815102385963</v>
      </c>
      <c r="K99" s="307">
        <f t="shared" si="50"/>
        <v>2316.8478441001844</v>
      </c>
      <c r="L99" s="307">
        <f t="shared" si="50"/>
        <v>3113.1443890611472</v>
      </c>
      <c r="M99" s="307">
        <f t="shared" si="50"/>
        <v>4012.5627178185814</v>
      </c>
      <c r="N99" s="307">
        <f t="shared" si="50"/>
        <v>4985.4476356687264</v>
      </c>
      <c r="O99" s="307">
        <f t="shared" si="50"/>
        <v>6294.3748327604126</v>
      </c>
      <c r="P99" s="307">
        <f t="shared" si="50"/>
        <v>8425.8085942756352</v>
      </c>
      <c r="Q99" s="307">
        <f t="shared" si="50"/>
        <v>10471.247120954613</v>
      </c>
      <c r="R99" s="307">
        <f t="shared" si="50"/>
        <v>12455.975306825241</v>
      </c>
      <c r="S99" s="307">
        <f t="shared" si="50"/>
        <v>14370.225177797391</v>
      </c>
      <c r="T99" s="307">
        <f t="shared" si="50"/>
        <v>16203.716467872109</v>
      </c>
      <c r="U99" s="308">
        <f t="shared" si="50"/>
        <v>17966.494643767397</v>
      </c>
    </row>
    <row r="100" spans="1:21" x14ac:dyDescent="0.35">
      <c r="A100" s="332"/>
      <c r="B100" s="329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</row>
    <row r="101" spans="1:21" x14ac:dyDescent="0.35">
      <c r="B101" s="15"/>
      <c r="C101" s="16"/>
      <c r="D101" s="17"/>
      <c r="E101" s="17"/>
      <c r="F101" s="17"/>
      <c r="G101" s="13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5.5" x14ac:dyDescent="0.35">
      <c r="B102" s="315" t="s">
        <v>193</v>
      </c>
      <c r="C102" s="414">
        <v>2009</v>
      </c>
      <c r="D102" s="414">
        <v>2010</v>
      </c>
      <c r="E102" s="414">
        <v>2011</v>
      </c>
      <c r="F102" s="414">
        <v>2012</v>
      </c>
      <c r="G102" s="414">
        <v>2013</v>
      </c>
      <c r="H102" s="414">
        <v>2014</v>
      </c>
      <c r="I102" s="414">
        <v>2015</v>
      </c>
      <c r="J102" s="414">
        <v>2016</v>
      </c>
      <c r="K102" s="414">
        <v>2017</v>
      </c>
      <c r="L102" s="414">
        <v>2018</v>
      </c>
      <c r="M102" s="414">
        <v>2019</v>
      </c>
      <c r="N102" s="414">
        <v>2020</v>
      </c>
      <c r="O102" s="414">
        <v>2021</v>
      </c>
      <c r="P102" s="414">
        <v>2022</v>
      </c>
      <c r="Q102" s="414">
        <v>2023</v>
      </c>
      <c r="R102" s="414">
        <v>2024</v>
      </c>
      <c r="S102" s="414">
        <v>2025</v>
      </c>
      <c r="T102" s="414">
        <v>2026</v>
      </c>
      <c r="U102" s="414">
        <v>2027</v>
      </c>
    </row>
    <row r="103" spans="1:21" ht="6.25" customHeight="1" x14ac:dyDescent="0.35">
      <c r="B103" s="315"/>
      <c r="C103" s="16"/>
      <c r="D103" s="17"/>
      <c r="E103" s="17"/>
      <c r="F103" s="17"/>
    </row>
    <row r="104" spans="1:21" x14ac:dyDescent="0.35">
      <c r="B104" s="314" t="s">
        <v>232</v>
      </c>
      <c r="C104" s="16"/>
      <c r="D104" s="17"/>
      <c r="E104" s="17"/>
      <c r="F104" s="17"/>
      <c r="G104" s="13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35">
      <c r="B105" s="316" t="s">
        <v>57</v>
      </c>
      <c r="C105" s="317"/>
      <c r="D105" s="319">
        <v>0</v>
      </c>
      <c r="E105" s="319">
        <v>0</v>
      </c>
      <c r="F105" s="319">
        <v>0</v>
      </c>
      <c r="G105" s="319">
        <f t="shared" ref="G105:U105" si="51">G21*G106</f>
        <v>1240</v>
      </c>
      <c r="H105" s="319">
        <f t="shared" si="51"/>
        <v>1250</v>
      </c>
      <c r="I105" s="319">
        <f t="shared" si="51"/>
        <v>1280</v>
      </c>
      <c r="J105" s="319">
        <f t="shared" si="51"/>
        <v>1300</v>
      </c>
      <c r="K105" s="319">
        <f t="shared" si="51"/>
        <v>1320</v>
      </c>
      <c r="L105" s="319">
        <f t="shared" si="51"/>
        <v>1350</v>
      </c>
      <c r="M105" s="319">
        <f t="shared" si="51"/>
        <v>1370</v>
      </c>
      <c r="N105" s="319">
        <f t="shared" si="51"/>
        <v>1400</v>
      </c>
      <c r="O105" s="319">
        <f t="shared" si="51"/>
        <v>1430</v>
      </c>
      <c r="P105" s="319">
        <f t="shared" si="51"/>
        <v>1450</v>
      </c>
      <c r="Q105" s="319">
        <f t="shared" si="51"/>
        <v>1480</v>
      </c>
      <c r="R105" s="319">
        <f t="shared" si="51"/>
        <v>1510</v>
      </c>
      <c r="S105" s="319">
        <f t="shared" si="51"/>
        <v>1540</v>
      </c>
      <c r="T105" s="319">
        <f t="shared" si="51"/>
        <v>1570</v>
      </c>
      <c r="U105" s="319">
        <f t="shared" si="51"/>
        <v>1600</v>
      </c>
    </row>
    <row r="106" spans="1:21" x14ac:dyDescent="0.35">
      <c r="B106" s="316" t="s">
        <v>192</v>
      </c>
      <c r="C106" s="317"/>
      <c r="D106" s="324"/>
      <c r="E106" s="324"/>
      <c r="F106" s="324"/>
      <c r="G106" s="325">
        <v>0.1848472922853088</v>
      </c>
      <c r="H106" s="325">
        <v>0.18449306559935805</v>
      </c>
      <c r="I106" s="325">
        <v>0.18705039522152736</v>
      </c>
      <c r="J106" s="325">
        <v>0.18809213628402349</v>
      </c>
      <c r="K106" s="325">
        <v>0.18909491233428105</v>
      </c>
      <c r="L106" s="325">
        <v>0.19147774651311086</v>
      </c>
      <c r="M106" s="325">
        <v>0.19239054838501055</v>
      </c>
      <c r="N106" s="325">
        <v>0.19465691099155508</v>
      </c>
      <c r="O106" s="325">
        <v>0.19685953516119076</v>
      </c>
      <c r="P106" s="325">
        <v>0.1976364508645895</v>
      </c>
      <c r="Q106" s="325">
        <v>0.19972819889354212</v>
      </c>
      <c r="R106" s="325">
        <v>0.20175915194624608</v>
      </c>
      <c r="S106" s="325">
        <v>0.2037303088303842</v>
      </c>
      <c r="T106" s="325">
        <v>0.20564265453497699</v>
      </c>
      <c r="U106" s="325">
        <v>0.20749716040610655</v>
      </c>
    </row>
    <row r="107" spans="1:21" x14ac:dyDescent="0.35">
      <c r="B107" s="316"/>
      <c r="C107" s="317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</row>
    <row r="108" spans="1:21" x14ac:dyDescent="0.35">
      <c r="B108" s="314" t="s">
        <v>294</v>
      </c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</row>
    <row r="109" spans="1:21" x14ac:dyDescent="0.35">
      <c r="B109" s="316" t="s">
        <v>295</v>
      </c>
      <c r="C109" s="317"/>
      <c r="D109" s="321">
        <v>0</v>
      </c>
      <c r="E109" s="321">
        <f>D112</f>
        <v>2420.0000000000005</v>
      </c>
      <c r="F109" s="321">
        <f>E112</f>
        <v>6290.0000000000018</v>
      </c>
      <c r="G109" s="321">
        <f t="shared" ref="G109:U109" si="52">F112</f>
        <v>9430.5555555555566</v>
      </c>
      <c r="H109" s="321">
        <f t="shared" si="52"/>
        <v>8352.7777777777792</v>
      </c>
      <c r="I109" s="321">
        <f t="shared" si="52"/>
        <v>7275.0000000000009</v>
      </c>
      <c r="J109" s="321">
        <f t="shared" si="52"/>
        <v>6197.2222222222226</v>
      </c>
      <c r="K109" s="321">
        <f t="shared" si="52"/>
        <v>5119.4444444444443</v>
      </c>
      <c r="L109" s="321">
        <f t="shared" si="52"/>
        <v>4041.6666666666661</v>
      </c>
      <c r="M109" s="321">
        <f t="shared" si="52"/>
        <v>2963.8888888888878</v>
      </c>
      <c r="N109" s="321">
        <f t="shared" si="52"/>
        <v>1886.1111111111097</v>
      </c>
      <c r="O109" s="321">
        <f t="shared" si="52"/>
        <v>808.33333333333167</v>
      </c>
      <c r="P109" s="321">
        <f t="shared" si="52"/>
        <v>-1.8189894035458565E-12</v>
      </c>
      <c r="Q109" s="321">
        <f t="shared" si="52"/>
        <v>-1.8189894035458565E-12</v>
      </c>
      <c r="R109" s="321">
        <f t="shared" si="52"/>
        <v>-1.8189894035458565E-12</v>
      </c>
      <c r="S109" s="321">
        <f t="shared" si="52"/>
        <v>-1.8189894035458565E-12</v>
      </c>
      <c r="T109" s="321">
        <f t="shared" si="52"/>
        <v>-1.8189894035458565E-12</v>
      </c>
      <c r="U109" s="321">
        <f t="shared" si="52"/>
        <v>-1.8189894035458565E-12</v>
      </c>
    </row>
    <row r="110" spans="1:21" x14ac:dyDescent="0.35">
      <c r="B110" s="316" t="s">
        <v>296</v>
      </c>
      <c r="D110" s="321">
        <f>N4</f>
        <v>2420.0000000000005</v>
      </c>
      <c r="E110" s="321">
        <f>O4</f>
        <v>3870.0000000000009</v>
      </c>
      <c r="F110" s="321">
        <f>P4</f>
        <v>3410.0000000000005</v>
      </c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</row>
    <row r="111" spans="1:21" x14ac:dyDescent="0.35">
      <c r="B111" s="316" t="s">
        <v>297</v>
      </c>
      <c r="C111" s="317"/>
      <c r="D111" s="321">
        <v>0</v>
      </c>
      <c r="E111" s="321">
        <v>0</v>
      </c>
      <c r="F111" s="321">
        <f t="shared" ref="F111:U111" si="53">F87</f>
        <v>-269.44444444444451</v>
      </c>
      <c r="G111" s="321">
        <f t="shared" si="53"/>
        <v>-1077.7777777777781</v>
      </c>
      <c r="H111" s="321">
        <f t="shared" si="53"/>
        <v>-1077.7777777777781</v>
      </c>
      <c r="I111" s="321">
        <f t="shared" si="53"/>
        <v>-1077.7777777777781</v>
      </c>
      <c r="J111" s="321">
        <f t="shared" si="53"/>
        <v>-1077.7777777777781</v>
      </c>
      <c r="K111" s="321">
        <f t="shared" si="53"/>
        <v>-1077.7777777777781</v>
      </c>
      <c r="L111" s="321">
        <f t="shared" si="53"/>
        <v>-1077.7777777777781</v>
      </c>
      <c r="M111" s="321">
        <f t="shared" si="53"/>
        <v>-1077.7777777777781</v>
      </c>
      <c r="N111" s="321">
        <f t="shared" si="53"/>
        <v>-1077.7777777777781</v>
      </c>
      <c r="O111" s="321">
        <f t="shared" si="53"/>
        <v>-808.33333333333348</v>
      </c>
      <c r="P111" s="321">
        <f t="shared" si="53"/>
        <v>0</v>
      </c>
      <c r="Q111" s="321">
        <f t="shared" si="53"/>
        <v>0</v>
      </c>
      <c r="R111" s="321">
        <f t="shared" si="53"/>
        <v>0</v>
      </c>
      <c r="S111" s="321">
        <f t="shared" si="53"/>
        <v>0</v>
      </c>
      <c r="T111" s="321">
        <f t="shared" si="53"/>
        <v>0</v>
      </c>
      <c r="U111" s="321">
        <f t="shared" si="53"/>
        <v>0</v>
      </c>
    </row>
    <row r="112" spans="1:21" x14ac:dyDescent="0.35">
      <c r="B112" s="316" t="s">
        <v>298</v>
      </c>
      <c r="C112" s="317"/>
      <c r="D112" s="321">
        <f>D109+D110+D111</f>
        <v>2420.0000000000005</v>
      </c>
      <c r="E112" s="321">
        <f>E109+E110+E111</f>
        <v>6290.0000000000018</v>
      </c>
      <c r="F112" s="321">
        <f>F109+F110+F111</f>
        <v>9430.5555555555566</v>
      </c>
      <c r="G112" s="321">
        <f t="shared" ref="G112:U112" si="54">G109+G110+G111</f>
        <v>8352.7777777777792</v>
      </c>
      <c r="H112" s="321">
        <f t="shared" si="54"/>
        <v>7275.0000000000009</v>
      </c>
      <c r="I112" s="321">
        <f t="shared" si="54"/>
        <v>6197.2222222222226</v>
      </c>
      <c r="J112" s="321">
        <f t="shared" si="54"/>
        <v>5119.4444444444443</v>
      </c>
      <c r="K112" s="321">
        <f t="shared" si="54"/>
        <v>4041.6666666666661</v>
      </c>
      <c r="L112" s="321">
        <f t="shared" si="54"/>
        <v>2963.8888888888878</v>
      </c>
      <c r="M112" s="321">
        <f t="shared" si="54"/>
        <v>1886.1111111111097</v>
      </c>
      <c r="N112" s="321">
        <f t="shared" si="54"/>
        <v>808.33333333333167</v>
      </c>
      <c r="O112" s="321">
        <f t="shared" si="54"/>
        <v>-1.8189894035458565E-12</v>
      </c>
      <c r="P112" s="321">
        <f t="shared" si="54"/>
        <v>-1.8189894035458565E-12</v>
      </c>
      <c r="Q112" s="321">
        <f t="shared" si="54"/>
        <v>-1.8189894035458565E-12</v>
      </c>
      <c r="R112" s="321">
        <f t="shared" si="54"/>
        <v>-1.8189894035458565E-12</v>
      </c>
      <c r="S112" s="321">
        <f t="shared" si="54"/>
        <v>-1.8189894035458565E-12</v>
      </c>
      <c r="T112" s="321">
        <f t="shared" si="54"/>
        <v>-1.8189894035458565E-12</v>
      </c>
      <c r="U112" s="321">
        <f t="shared" si="54"/>
        <v>-1.8189894035458565E-12</v>
      </c>
    </row>
    <row r="113" spans="2:21" x14ac:dyDescent="0.35">
      <c r="B113" s="329" t="s">
        <v>185</v>
      </c>
      <c r="C113" s="317"/>
      <c r="D113" s="440">
        <f>D59-D112</f>
        <v>0</v>
      </c>
      <c r="E113" s="440">
        <f t="shared" ref="E113:U113" si="55">E59-E112</f>
        <v>0</v>
      </c>
      <c r="F113" s="440">
        <f t="shared" si="55"/>
        <v>0</v>
      </c>
      <c r="G113" s="440">
        <f t="shared" si="55"/>
        <v>0</v>
      </c>
      <c r="H113" s="440">
        <f t="shared" si="55"/>
        <v>0</v>
      </c>
      <c r="I113" s="440">
        <f t="shared" si="55"/>
        <v>0</v>
      </c>
      <c r="J113" s="440">
        <f t="shared" si="55"/>
        <v>0</v>
      </c>
      <c r="K113" s="440">
        <f t="shared" si="55"/>
        <v>0</v>
      </c>
      <c r="L113" s="440">
        <f t="shared" si="55"/>
        <v>0</v>
      </c>
      <c r="M113" s="440">
        <f t="shared" si="55"/>
        <v>0</v>
      </c>
      <c r="N113" s="440">
        <f t="shared" si="55"/>
        <v>0</v>
      </c>
      <c r="O113" s="440">
        <f t="shared" si="55"/>
        <v>0</v>
      </c>
      <c r="P113" s="440">
        <f t="shared" si="55"/>
        <v>0</v>
      </c>
      <c r="Q113" s="440">
        <f t="shared" si="55"/>
        <v>0</v>
      </c>
      <c r="R113" s="440">
        <f t="shared" si="55"/>
        <v>0</v>
      </c>
      <c r="S113" s="440">
        <f t="shared" si="55"/>
        <v>0</v>
      </c>
      <c r="T113" s="440">
        <f t="shared" si="55"/>
        <v>0</v>
      </c>
      <c r="U113" s="440">
        <f t="shared" si="55"/>
        <v>0</v>
      </c>
    </row>
    <row r="114" spans="2:21" x14ac:dyDescent="0.35">
      <c r="B114" s="316"/>
      <c r="C114" s="317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</row>
    <row r="115" spans="2:21" x14ac:dyDescent="0.35">
      <c r="B115" s="316" t="s">
        <v>300</v>
      </c>
      <c r="C115" s="430">
        <v>2.5000000000000001E-3</v>
      </c>
      <c r="D115" s="321">
        <f>(D110+E110+F110)*C115</f>
        <v>24.250000000000004</v>
      </c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</row>
    <row r="116" spans="2:21" ht="15" thickBot="1" x14ac:dyDescent="0.4">
      <c r="B116" s="316" t="s">
        <v>299</v>
      </c>
      <c r="C116" s="430">
        <v>2.5000000000000001E-3</v>
      </c>
      <c r="D116" s="442">
        <f>(E110+F110)*C116</f>
        <v>18.200000000000006</v>
      </c>
      <c r="E116" s="442">
        <f>F110*C116</f>
        <v>8.5250000000000021</v>
      </c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</row>
    <row r="117" spans="2:21" ht="15" thickTop="1" x14ac:dyDescent="0.35">
      <c r="B117" s="316" t="s">
        <v>301</v>
      </c>
      <c r="C117" s="317"/>
      <c r="D117" s="321">
        <f>D115+D116</f>
        <v>42.45000000000001</v>
      </c>
      <c r="E117" s="321">
        <f>E115+E116</f>
        <v>8.5250000000000021</v>
      </c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</row>
    <row r="118" spans="2:21" x14ac:dyDescent="0.35">
      <c r="B118" s="316"/>
      <c r="C118" s="317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</row>
    <row r="119" spans="2:21" x14ac:dyDescent="0.35">
      <c r="B119" s="314" t="s">
        <v>274</v>
      </c>
      <c r="C119" s="16"/>
      <c r="D119" s="17"/>
      <c r="E119" s="17"/>
      <c r="F119" s="17"/>
      <c r="G119" s="13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2:21" x14ac:dyDescent="0.35">
      <c r="B120" s="316" t="s">
        <v>275</v>
      </c>
      <c r="C120" s="317"/>
      <c r="D120" s="319">
        <v>0</v>
      </c>
      <c r="E120" s="319">
        <v>0</v>
      </c>
      <c r="F120" s="319">
        <v>0</v>
      </c>
      <c r="G120" s="319">
        <v>0</v>
      </c>
      <c r="H120" s="319">
        <f>G124</f>
        <v>930</v>
      </c>
      <c r="I120" s="319">
        <f t="shared" ref="I120:U120" si="56">H124</f>
        <v>940</v>
      </c>
      <c r="J120" s="319">
        <f t="shared" si="56"/>
        <v>960</v>
      </c>
      <c r="K120" s="319">
        <f t="shared" si="56"/>
        <v>980</v>
      </c>
      <c r="L120" s="319">
        <f t="shared" si="56"/>
        <v>990</v>
      </c>
      <c r="M120" s="319">
        <f t="shared" si="56"/>
        <v>1010</v>
      </c>
      <c r="N120" s="319">
        <f t="shared" si="56"/>
        <v>1030</v>
      </c>
      <c r="O120" s="319">
        <f t="shared" si="56"/>
        <v>1050</v>
      </c>
      <c r="P120" s="319">
        <f t="shared" si="56"/>
        <v>1070</v>
      </c>
      <c r="Q120" s="319">
        <f t="shared" si="56"/>
        <v>1090</v>
      </c>
      <c r="R120" s="319">
        <f t="shared" si="56"/>
        <v>1110</v>
      </c>
      <c r="S120" s="319">
        <f t="shared" si="56"/>
        <v>1130</v>
      </c>
      <c r="T120" s="319">
        <f t="shared" si="56"/>
        <v>1160</v>
      </c>
      <c r="U120" s="319">
        <f t="shared" si="56"/>
        <v>1180</v>
      </c>
    </row>
    <row r="121" spans="2:21" x14ac:dyDescent="0.35">
      <c r="B121" s="316" t="s">
        <v>276</v>
      </c>
      <c r="C121" s="317"/>
      <c r="D121" s="319">
        <v>0</v>
      </c>
      <c r="E121" s="319">
        <v>0</v>
      </c>
      <c r="F121" s="319">
        <v>0</v>
      </c>
      <c r="G121" s="319">
        <f t="shared" ref="G121:U121" si="57">(G105-F105)*G122</f>
        <v>930</v>
      </c>
      <c r="H121" s="319">
        <f t="shared" si="57"/>
        <v>10</v>
      </c>
      <c r="I121" s="319">
        <f t="shared" si="57"/>
        <v>20</v>
      </c>
      <c r="J121" s="319">
        <f t="shared" si="57"/>
        <v>20</v>
      </c>
      <c r="K121" s="319">
        <f t="shared" si="57"/>
        <v>10</v>
      </c>
      <c r="L121" s="319">
        <f t="shared" si="57"/>
        <v>20</v>
      </c>
      <c r="M121" s="319">
        <f t="shared" si="57"/>
        <v>20</v>
      </c>
      <c r="N121" s="319">
        <f t="shared" si="57"/>
        <v>20</v>
      </c>
      <c r="O121" s="319">
        <f t="shared" si="57"/>
        <v>20</v>
      </c>
      <c r="P121" s="319">
        <f t="shared" si="57"/>
        <v>20</v>
      </c>
      <c r="Q121" s="319">
        <f t="shared" si="57"/>
        <v>20</v>
      </c>
      <c r="R121" s="319">
        <f t="shared" si="57"/>
        <v>20</v>
      </c>
      <c r="S121" s="319">
        <f t="shared" si="57"/>
        <v>30</v>
      </c>
      <c r="T121" s="319">
        <f t="shared" si="57"/>
        <v>20</v>
      </c>
      <c r="U121" s="319">
        <f t="shared" si="57"/>
        <v>20</v>
      </c>
    </row>
    <row r="122" spans="2:21" x14ac:dyDescent="0.35">
      <c r="B122" s="316" t="s">
        <v>278</v>
      </c>
      <c r="C122" s="317"/>
      <c r="D122" s="324"/>
      <c r="E122" s="324"/>
      <c r="F122" s="324"/>
      <c r="G122" s="325">
        <v>0.75</v>
      </c>
      <c r="H122" s="325">
        <v>1</v>
      </c>
      <c r="I122" s="325">
        <v>0.66666666666666663</v>
      </c>
      <c r="J122" s="325">
        <v>1</v>
      </c>
      <c r="K122" s="325">
        <v>0.5</v>
      </c>
      <c r="L122" s="325">
        <v>0.66666666666666663</v>
      </c>
      <c r="M122" s="325">
        <v>1</v>
      </c>
      <c r="N122" s="325">
        <v>0.66666666666666663</v>
      </c>
      <c r="O122" s="325">
        <v>0.66666666666666663</v>
      </c>
      <c r="P122" s="325">
        <v>1</v>
      </c>
      <c r="Q122" s="325">
        <v>0.66666666666666663</v>
      </c>
      <c r="R122" s="325">
        <v>0.66666666666666663</v>
      </c>
      <c r="S122" s="325">
        <v>1</v>
      </c>
      <c r="T122" s="325">
        <v>0.66666666666666663</v>
      </c>
      <c r="U122" s="325">
        <v>0.66666666666666663</v>
      </c>
    </row>
    <row r="123" spans="2:21" x14ac:dyDescent="0.35">
      <c r="B123" s="316" t="s">
        <v>240</v>
      </c>
      <c r="C123" s="317"/>
      <c r="D123" s="324"/>
      <c r="E123" s="324"/>
      <c r="F123" s="324"/>
      <c r="G123" s="415">
        <v>0</v>
      </c>
      <c r="H123" s="415">
        <v>0</v>
      </c>
      <c r="I123" s="415">
        <v>0</v>
      </c>
      <c r="J123" s="415">
        <v>0</v>
      </c>
      <c r="K123" s="415">
        <v>0</v>
      </c>
      <c r="L123" s="415">
        <v>0</v>
      </c>
      <c r="M123" s="415">
        <v>0</v>
      </c>
      <c r="N123" s="415">
        <v>0</v>
      </c>
      <c r="O123" s="415">
        <v>0</v>
      </c>
      <c r="P123" s="415">
        <v>0</v>
      </c>
      <c r="Q123" s="415">
        <v>0</v>
      </c>
      <c r="R123" s="415">
        <v>0</v>
      </c>
      <c r="S123" s="415">
        <v>0</v>
      </c>
      <c r="T123" s="415">
        <v>0</v>
      </c>
      <c r="U123" s="415">
        <v>0</v>
      </c>
    </row>
    <row r="124" spans="2:21" x14ac:dyDescent="0.35">
      <c r="B124" s="316" t="s">
        <v>277</v>
      </c>
      <c r="C124" s="317"/>
      <c r="D124" s="324"/>
      <c r="E124" s="324"/>
      <c r="F124" s="324"/>
      <c r="G124" s="416">
        <f>G120+G121+G123</f>
        <v>930</v>
      </c>
      <c r="H124" s="416">
        <f t="shared" ref="H124:U124" si="58">H120+H121+H123</f>
        <v>940</v>
      </c>
      <c r="I124" s="416">
        <f t="shared" si="58"/>
        <v>960</v>
      </c>
      <c r="J124" s="416">
        <f t="shared" si="58"/>
        <v>980</v>
      </c>
      <c r="K124" s="416">
        <f t="shared" si="58"/>
        <v>990</v>
      </c>
      <c r="L124" s="416">
        <f t="shared" si="58"/>
        <v>1010</v>
      </c>
      <c r="M124" s="416">
        <f t="shared" si="58"/>
        <v>1030</v>
      </c>
      <c r="N124" s="416">
        <f t="shared" si="58"/>
        <v>1050</v>
      </c>
      <c r="O124" s="416">
        <f t="shared" si="58"/>
        <v>1070</v>
      </c>
      <c r="P124" s="416">
        <f t="shared" si="58"/>
        <v>1090</v>
      </c>
      <c r="Q124" s="416">
        <f t="shared" si="58"/>
        <v>1110</v>
      </c>
      <c r="R124" s="416">
        <f t="shared" si="58"/>
        <v>1130</v>
      </c>
      <c r="S124" s="416">
        <f t="shared" si="58"/>
        <v>1160</v>
      </c>
      <c r="T124" s="416">
        <f t="shared" si="58"/>
        <v>1180</v>
      </c>
      <c r="U124" s="416">
        <f t="shared" si="58"/>
        <v>1200</v>
      </c>
    </row>
    <row r="125" spans="2:21" x14ac:dyDescent="0.35">
      <c r="B125" s="316"/>
      <c r="C125" s="317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</row>
    <row r="126" spans="2:21" x14ac:dyDescent="0.35">
      <c r="B126" s="314" t="s">
        <v>233</v>
      </c>
      <c r="C126" s="317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</row>
    <row r="127" spans="2:21" x14ac:dyDescent="0.35">
      <c r="B127" s="316" t="s">
        <v>195</v>
      </c>
      <c r="C127" s="317"/>
      <c r="D127" s="320">
        <f>D33</f>
        <v>0</v>
      </c>
      <c r="E127" s="320">
        <f>E33</f>
        <v>0</v>
      </c>
      <c r="F127" s="320">
        <f t="shared" ref="F127:U127" si="59">F31*F128</f>
        <v>0</v>
      </c>
      <c r="G127" s="320">
        <f t="shared" si="59"/>
        <v>148.12699937358929</v>
      </c>
      <c r="H127" s="320">
        <f t="shared" si="59"/>
        <v>169.52741862997513</v>
      </c>
      <c r="I127" s="320">
        <f t="shared" si="59"/>
        <v>186.61951826595541</v>
      </c>
      <c r="J127" s="320">
        <f t="shared" si="59"/>
        <v>212.40779319438101</v>
      </c>
      <c r="K127" s="320">
        <f t="shared" si="59"/>
        <v>229.53390736350551</v>
      </c>
      <c r="L127" s="320">
        <f t="shared" si="59"/>
        <v>246.50340465517536</v>
      </c>
      <c r="M127" s="320">
        <f t="shared" si="59"/>
        <v>263.34056298083254</v>
      </c>
      <c r="N127" s="320">
        <f t="shared" si="59"/>
        <v>280.13439503381045</v>
      </c>
      <c r="O127" s="320">
        <f t="shared" si="59"/>
        <v>293.49413970620554</v>
      </c>
      <c r="P127" s="320">
        <f t="shared" si="59"/>
        <v>298.2442632082537</v>
      </c>
      <c r="Q127" s="320">
        <f t="shared" si="59"/>
        <v>282.92048471417911</v>
      </c>
      <c r="R127" s="320">
        <f t="shared" si="59"/>
        <v>272.71990700697188</v>
      </c>
      <c r="S127" s="320">
        <f t="shared" si="59"/>
        <v>252.73481740721525</v>
      </c>
      <c r="T127" s="320">
        <f t="shared" si="59"/>
        <v>242.45560901502171</v>
      </c>
      <c r="U127" s="320">
        <f t="shared" si="59"/>
        <v>222.49526985916023</v>
      </c>
    </row>
    <row r="128" spans="2:21" x14ac:dyDescent="0.35">
      <c r="B128" s="316" t="s">
        <v>194</v>
      </c>
      <c r="C128" s="317"/>
      <c r="D128" s="326">
        <v>0</v>
      </c>
      <c r="E128" s="326">
        <v>0</v>
      </c>
      <c r="F128" s="328">
        <f>G128</f>
        <v>0.15802091986112105</v>
      </c>
      <c r="G128" s="328">
        <v>0.15802091986112105</v>
      </c>
      <c r="H128" s="328">
        <v>0.15907644000795851</v>
      </c>
      <c r="I128" s="328">
        <v>0.15687954861953068</v>
      </c>
      <c r="J128" s="328">
        <v>0.16217989893584819</v>
      </c>
      <c r="K128" s="328">
        <v>0.16078459648084042</v>
      </c>
      <c r="L128" s="328">
        <v>0.1598281027676608</v>
      </c>
      <c r="M128" s="328">
        <v>0.15931667509970082</v>
      </c>
      <c r="N128" s="328">
        <v>0.15915201372283375</v>
      </c>
      <c r="O128" s="328">
        <v>0.15930728143794376</v>
      </c>
      <c r="P128" s="328">
        <v>0.16256822145799854</v>
      </c>
      <c r="Q128" s="328">
        <v>0.16089807467774875</v>
      </c>
      <c r="R128" s="328">
        <v>0.16250207573723705</v>
      </c>
      <c r="S128" s="328">
        <v>0.15862844089049913</v>
      </c>
      <c r="T128" s="328">
        <v>0.16120493557646226</v>
      </c>
      <c r="U128" s="328">
        <v>0.15766239791680375</v>
      </c>
    </row>
    <row r="129" spans="2:21" s="34" customFormat="1" x14ac:dyDescent="0.35">
      <c r="N129" s="327"/>
      <c r="O129" s="327"/>
      <c r="P129" s="327"/>
      <c r="Q129" s="327"/>
      <c r="R129" s="327"/>
      <c r="S129" s="327"/>
      <c r="T129" s="327"/>
      <c r="U129" s="327"/>
    </row>
    <row r="130" spans="2:21" s="34" customFormat="1" x14ac:dyDescent="0.35">
      <c r="B130" s="361" t="s">
        <v>234</v>
      </c>
      <c r="N130" s="327"/>
      <c r="O130" s="327"/>
      <c r="P130" s="327"/>
      <c r="Q130" s="327"/>
      <c r="R130" s="327"/>
      <c r="S130" s="327"/>
      <c r="T130" s="327"/>
      <c r="U130" s="327"/>
    </row>
    <row r="131" spans="2:21" s="34" customFormat="1" x14ac:dyDescent="0.35">
      <c r="B131" s="335" t="s">
        <v>198</v>
      </c>
      <c r="D131" s="277">
        <f t="shared" ref="D131:U131" si="60">C136</f>
        <v>0</v>
      </c>
      <c r="E131" s="277">
        <f t="shared" si="60"/>
        <v>-42.45000000000001</v>
      </c>
      <c r="F131" s="277">
        <f t="shared" si="60"/>
        <v>-50.975000000000009</v>
      </c>
      <c r="G131" s="277">
        <f t="shared" si="60"/>
        <v>-50.975000000000009</v>
      </c>
      <c r="H131" s="277">
        <f t="shared" si="60"/>
        <v>667.44094696190791</v>
      </c>
      <c r="I131" s="277">
        <f t="shared" si="60"/>
        <v>1490.8598374503586</v>
      </c>
      <c r="J131" s="277">
        <f t="shared" si="60"/>
        <v>2415.4747234044103</v>
      </c>
      <c r="K131" s="277">
        <f t="shared" si="60"/>
        <v>3433.2620657941525</v>
      </c>
      <c r="L131" s="277">
        <f t="shared" si="60"/>
        <v>4544.2061774335198</v>
      </c>
      <c r="M131" s="277">
        <f t="shared" si="60"/>
        <v>5748.2805001722609</v>
      </c>
      <c r="N131" s="277">
        <f t="shared" si="60"/>
        <v>7045.4766067074734</v>
      </c>
      <c r="O131" s="277">
        <f t="shared" si="60"/>
        <v>8436.1393023353958</v>
      </c>
      <c r="P131" s="277">
        <f t="shared" si="60"/>
        <v>9923.3998327604149</v>
      </c>
      <c r="Q131" s="277">
        <f t="shared" si="60"/>
        <v>11444.833594275637</v>
      </c>
      <c r="R131" s="277">
        <f t="shared" si="60"/>
        <v>12910.272120954613</v>
      </c>
      <c r="S131" s="277">
        <f t="shared" si="60"/>
        <v>14335.000306825239</v>
      </c>
      <c r="T131" s="277">
        <f t="shared" si="60"/>
        <v>15699.250177797388</v>
      </c>
      <c r="U131" s="277">
        <f t="shared" si="60"/>
        <v>17002.741467872107</v>
      </c>
    </row>
    <row r="132" spans="2:21" s="34" customFormat="1" x14ac:dyDescent="0.35">
      <c r="B132" s="34" t="s">
        <v>87</v>
      </c>
      <c r="F132" s="277">
        <f t="shared" ref="F132:U132" si="61">F35</f>
        <v>0</v>
      </c>
      <c r="G132" s="277">
        <f t="shared" si="61"/>
        <v>789.26154072460031</v>
      </c>
      <c r="H132" s="277">
        <f t="shared" si="61"/>
        <v>896.17042211560454</v>
      </c>
      <c r="I132" s="277">
        <f t="shared" si="61"/>
        <v>1002.9524808131026</v>
      </c>
      <c r="J132" s="277">
        <f t="shared" si="61"/>
        <v>1097.2970135548262</v>
      </c>
      <c r="K132" s="277">
        <f t="shared" si="61"/>
        <v>1198.0525181238231</v>
      </c>
      <c r="L132" s="277">
        <f t="shared" si="61"/>
        <v>1295.7998598308759</v>
      </c>
      <c r="M132" s="277">
        <f t="shared" si="61"/>
        <v>1389.5972906119146</v>
      </c>
      <c r="N132" s="277">
        <f t="shared" si="61"/>
        <v>1490.0343171363656</v>
      </c>
      <c r="O132" s="277">
        <f t="shared" si="61"/>
        <v>1588.8205182118802</v>
      </c>
      <c r="P132" s="277">
        <f t="shared" si="61"/>
        <v>1606.3348478470314</v>
      </c>
      <c r="Q132" s="277">
        <f t="shared" si="61"/>
        <v>1565.462797875251</v>
      </c>
      <c r="R132" s="277">
        <f t="shared" si="61"/>
        <v>1515.5350061669074</v>
      </c>
      <c r="S132" s="277">
        <f t="shared" si="61"/>
        <v>1470.5155227488576</v>
      </c>
      <c r="T132" s="277">
        <f t="shared" si="61"/>
        <v>1401.5653947340902</v>
      </c>
      <c r="U132" s="277">
        <f t="shared" si="61"/>
        <v>1338.7180111703967</v>
      </c>
    </row>
    <row r="133" spans="2:21" s="34" customFormat="1" x14ac:dyDescent="0.35">
      <c r="B133" s="34" t="s">
        <v>302</v>
      </c>
      <c r="D133" s="277">
        <f>-D117</f>
        <v>-42.45000000000001</v>
      </c>
      <c r="E133" s="277">
        <f>-E117</f>
        <v>-8.5250000000000021</v>
      </c>
      <c r="F133" s="277">
        <f>F90</f>
        <v>0</v>
      </c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</row>
    <row r="134" spans="2:21" s="34" customFormat="1" x14ac:dyDescent="0.35">
      <c r="B134" s="335" t="s">
        <v>256</v>
      </c>
      <c r="G134" s="277">
        <f>-G132*G135</f>
        <v>-70.845593762692431</v>
      </c>
      <c r="H134" s="277">
        <f t="shared" ref="H134:U134" si="62">-H132*H135</f>
        <v>-72.751531627153867</v>
      </c>
      <c r="I134" s="277">
        <f t="shared" si="62"/>
        <v>-78.337594859050867</v>
      </c>
      <c r="J134" s="277">
        <f t="shared" si="62"/>
        <v>-79.509671165083802</v>
      </c>
      <c r="K134" s="277">
        <f t="shared" si="62"/>
        <v>-87.108406484456552</v>
      </c>
      <c r="L134" s="277">
        <f t="shared" si="62"/>
        <v>-91.725537092135013</v>
      </c>
      <c r="M134" s="277">
        <f t="shared" si="62"/>
        <v>-92.401184076702421</v>
      </c>
      <c r="N134" s="277">
        <f t="shared" si="62"/>
        <v>-99.371621508442431</v>
      </c>
      <c r="O134" s="277">
        <f t="shared" si="62"/>
        <v>-101.55998778686039</v>
      </c>
      <c r="P134" s="277">
        <f t="shared" si="62"/>
        <v>-84.901086331808997</v>
      </c>
      <c r="Q134" s="277">
        <f t="shared" si="62"/>
        <v>-100.02427119627409</v>
      </c>
      <c r="R134" s="277">
        <f t="shared" si="62"/>
        <v>-90.806820296279909</v>
      </c>
      <c r="S134" s="277">
        <f t="shared" si="62"/>
        <v>-106.2656517767076</v>
      </c>
      <c r="T134" s="277">
        <f t="shared" si="62"/>
        <v>-98.074104659370974</v>
      </c>
      <c r="U134" s="277">
        <f t="shared" si="62"/>
        <v>-95.939835275109829</v>
      </c>
    </row>
    <row r="135" spans="2:21" s="34" customFormat="1" x14ac:dyDescent="0.35">
      <c r="B135" s="34" t="s">
        <v>199</v>
      </c>
      <c r="D135" s="337"/>
      <c r="E135" s="337"/>
      <c r="F135" s="337"/>
      <c r="G135" s="338">
        <v>8.9761872468346743E-2</v>
      </c>
      <c r="H135" s="338">
        <v>8.1180465045262384E-2</v>
      </c>
      <c r="I135" s="338">
        <v>7.8106985483042901E-2</v>
      </c>
      <c r="J135" s="338">
        <v>7.245957127642462E-2</v>
      </c>
      <c r="K135" s="338">
        <v>7.2708337211185248E-2</v>
      </c>
      <c r="L135" s="338">
        <v>7.0786808932134598E-2</v>
      </c>
      <c r="M135" s="338">
        <v>6.6494936843186567E-2</v>
      </c>
      <c r="N135" s="338">
        <v>6.6690827429679994E-2</v>
      </c>
      <c r="O135" s="338">
        <v>6.3921624011477343E-2</v>
      </c>
      <c r="P135" s="338">
        <v>5.2853915511826083E-2</v>
      </c>
      <c r="Q135" s="338">
        <v>6.389437764476652E-2</v>
      </c>
      <c r="R135" s="338">
        <v>5.9917336073911358E-2</v>
      </c>
      <c r="S135" s="338">
        <v>7.226421627842701E-2</v>
      </c>
      <c r="T135" s="338">
        <v>6.9974690462429642E-2</v>
      </c>
      <c r="U135" s="338">
        <v>7.1665454916254409E-2</v>
      </c>
    </row>
    <row r="136" spans="2:21" s="34" customFormat="1" x14ac:dyDescent="0.35">
      <c r="B136" s="335" t="s">
        <v>200</v>
      </c>
      <c r="D136" s="277">
        <f>D131+D132+D133+D134</f>
        <v>-42.45000000000001</v>
      </c>
      <c r="E136" s="277">
        <f>E131+E132+E133+E134</f>
        <v>-50.975000000000009</v>
      </c>
      <c r="F136" s="277">
        <f>F131+F132+F133+F134</f>
        <v>-50.975000000000009</v>
      </c>
      <c r="G136" s="277">
        <f>G131+G132+G133+G134</f>
        <v>667.44094696190791</v>
      </c>
      <c r="H136" s="277">
        <f t="shared" ref="H136:U136" si="63">H131+H132+H133+H134</f>
        <v>1490.8598374503586</v>
      </c>
      <c r="I136" s="277">
        <f t="shared" si="63"/>
        <v>2415.4747234044103</v>
      </c>
      <c r="J136" s="277">
        <f t="shared" si="63"/>
        <v>3433.2620657941525</v>
      </c>
      <c r="K136" s="277">
        <f t="shared" si="63"/>
        <v>4544.2061774335198</v>
      </c>
      <c r="L136" s="277">
        <f t="shared" si="63"/>
        <v>5748.2805001722609</v>
      </c>
      <c r="M136" s="277">
        <f t="shared" si="63"/>
        <v>7045.4766067074734</v>
      </c>
      <c r="N136" s="277">
        <f t="shared" si="63"/>
        <v>8436.1393023353958</v>
      </c>
      <c r="O136" s="277">
        <f t="shared" si="63"/>
        <v>9923.3998327604149</v>
      </c>
      <c r="P136" s="277">
        <f t="shared" si="63"/>
        <v>11444.833594275637</v>
      </c>
      <c r="Q136" s="277">
        <f t="shared" si="63"/>
        <v>12910.272120954613</v>
      </c>
      <c r="R136" s="277">
        <f t="shared" si="63"/>
        <v>14335.000306825239</v>
      </c>
      <c r="S136" s="277">
        <f t="shared" si="63"/>
        <v>15699.250177797388</v>
      </c>
      <c r="T136" s="277">
        <f t="shared" si="63"/>
        <v>17002.741467872107</v>
      </c>
      <c r="U136" s="277">
        <f t="shared" si="63"/>
        <v>18245.519643767395</v>
      </c>
    </row>
    <row r="137" spans="2:21" s="34" customFormat="1" ht="8.75" customHeight="1" x14ac:dyDescent="0.35"/>
    <row r="138" spans="2:21" s="34" customFormat="1" ht="25.75" customHeight="1" x14ac:dyDescent="0.35">
      <c r="B138" s="361" t="s">
        <v>235</v>
      </c>
      <c r="C138" s="356" t="s">
        <v>228</v>
      </c>
      <c r="E138" s="356" t="s">
        <v>227</v>
      </c>
      <c r="G138" s="356" t="s">
        <v>229</v>
      </c>
    </row>
    <row r="139" spans="2:21" s="34" customFormat="1" x14ac:dyDescent="0.35">
      <c r="B139" s="34" t="s">
        <v>224</v>
      </c>
      <c r="C139" s="277">
        <f>U68</f>
        <v>1600</v>
      </c>
      <c r="E139" s="357">
        <v>0.1</v>
      </c>
      <c r="G139" s="277">
        <f>C139*E139</f>
        <v>160</v>
      </c>
    </row>
    <row r="140" spans="2:21" s="34" customFormat="1" x14ac:dyDescent="0.35">
      <c r="B140" s="34" t="s">
        <v>8</v>
      </c>
      <c r="C140" s="277">
        <f>U67</f>
        <v>3350</v>
      </c>
      <c r="E140" s="357">
        <v>0.1</v>
      </c>
      <c r="G140" s="277">
        <f>C140*E140</f>
        <v>335</v>
      </c>
    </row>
    <row r="141" spans="2:21" s="34" customFormat="1" x14ac:dyDescent="0.35">
      <c r="B141" s="34" t="s">
        <v>226</v>
      </c>
      <c r="C141" s="277">
        <f>U69</f>
        <v>740</v>
      </c>
      <c r="E141" s="357">
        <v>0</v>
      </c>
      <c r="G141" s="277">
        <f>C141*E141</f>
        <v>0</v>
      </c>
    </row>
    <row r="142" spans="2:21" s="34" customFormat="1" x14ac:dyDescent="0.35">
      <c r="B142" s="34" t="s">
        <v>9</v>
      </c>
      <c r="C142" s="277">
        <f>U70</f>
        <v>17966.494643767397</v>
      </c>
      <c r="E142" s="357">
        <v>1</v>
      </c>
      <c r="G142" s="358">
        <f>C142*E142</f>
        <v>17966.494643767397</v>
      </c>
    </row>
    <row r="143" spans="2:21" s="34" customFormat="1" x14ac:dyDescent="0.35">
      <c r="B143" s="360" t="s">
        <v>236</v>
      </c>
      <c r="C143" s="277"/>
      <c r="G143" s="359">
        <f>SUM(G139:G142)</f>
        <v>18461.494643767397</v>
      </c>
    </row>
    <row r="144" spans="2:21" s="34" customFormat="1" x14ac:dyDescent="0.35">
      <c r="B144" s="34" t="s">
        <v>225</v>
      </c>
      <c r="C144" s="277">
        <f>-U60</f>
        <v>-1200</v>
      </c>
      <c r="E144" s="357">
        <v>1</v>
      </c>
      <c r="G144" s="358">
        <f>C144*E144</f>
        <v>-1200</v>
      </c>
    </row>
    <row r="145" spans="2:21" s="34" customFormat="1" x14ac:dyDescent="0.35">
      <c r="B145" s="360" t="s">
        <v>237</v>
      </c>
      <c r="C145" s="277"/>
      <c r="G145" s="359">
        <f>G143+G144</f>
        <v>17261.494643767397</v>
      </c>
    </row>
    <row r="146" spans="2:21" s="34" customFormat="1" x14ac:dyDescent="0.35"/>
    <row r="147" spans="2:21" s="34" customFormat="1" ht="15" thickBot="1" x14ac:dyDescent="0.4"/>
    <row r="148" spans="2:21" s="34" customFormat="1" ht="17.5" thickBot="1" x14ac:dyDescent="0.4">
      <c r="B148" s="310" t="s">
        <v>238</v>
      </c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2"/>
    </row>
    <row r="149" spans="2:21" s="34" customFormat="1" ht="16" thickBot="1" x14ac:dyDescent="0.4">
      <c r="B149" s="95" t="s">
        <v>109</v>
      </c>
      <c r="C149" s="96">
        <v>2009</v>
      </c>
      <c r="D149" s="96">
        <v>2010</v>
      </c>
      <c r="E149" s="97">
        <v>2011</v>
      </c>
      <c r="F149" s="97">
        <v>2012</v>
      </c>
      <c r="G149" s="97">
        <v>2013</v>
      </c>
      <c r="H149" s="97">
        <v>2014</v>
      </c>
      <c r="I149" s="97">
        <v>2015</v>
      </c>
      <c r="J149" s="97">
        <v>2016</v>
      </c>
      <c r="K149" s="97">
        <v>2017</v>
      </c>
      <c r="L149" s="97">
        <v>2018</v>
      </c>
      <c r="M149" s="97">
        <v>2019</v>
      </c>
      <c r="N149" s="97">
        <v>2020</v>
      </c>
      <c r="O149" s="97">
        <v>2021</v>
      </c>
      <c r="P149" s="97">
        <v>2022</v>
      </c>
      <c r="Q149" s="97">
        <v>2023</v>
      </c>
      <c r="R149" s="97">
        <v>2024</v>
      </c>
      <c r="S149" s="97">
        <v>2025</v>
      </c>
      <c r="T149" s="97">
        <v>2026</v>
      </c>
      <c r="U149" s="98">
        <v>2027</v>
      </c>
    </row>
    <row r="150" spans="2:21" s="34" customFormat="1" ht="15.5" x14ac:dyDescent="0.35">
      <c r="B150" s="355" t="s">
        <v>247</v>
      </c>
      <c r="C150" s="198"/>
      <c r="D150" s="198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200"/>
    </row>
    <row r="151" spans="2:21" ht="15.5" x14ac:dyDescent="0.35">
      <c r="B151" s="103" t="s">
        <v>87</v>
      </c>
      <c r="C151" s="202"/>
      <c r="D151" s="202">
        <f t="shared" ref="D151:U151" si="64">D77</f>
        <v>0</v>
      </c>
      <c r="E151" s="202">
        <f t="shared" si="64"/>
        <v>0</v>
      </c>
      <c r="F151" s="202">
        <f t="shared" si="64"/>
        <v>0</v>
      </c>
      <c r="G151" s="202">
        <f t="shared" si="64"/>
        <v>789.26154072460031</v>
      </c>
      <c r="H151" s="202">
        <f t="shared" si="64"/>
        <v>896.17042211560454</v>
      </c>
      <c r="I151" s="202">
        <f t="shared" si="64"/>
        <v>1002.9524808131026</v>
      </c>
      <c r="J151" s="202">
        <f t="shared" si="64"/>
        <v>1097.2970135548262</v>
      </c>
      <c r="K151" s="202">
        <f t="shared" si="64"/>
        <v>1198.0525181238231</v>
      </c>
      <c r="L151" s="202">
        <f t="shared" si="64"/>
        <v>1295.7998598308759</v>
      </c>
      <c r="M151" s="202">
        <f t="shared" si="64"/>
        <v>1389.5972906119146</v>
      </c>
      <c r="N151" s="202">
        <f t="shared" si="64"/>
        <v>1490.0343171363656</v>
      </c>
      <c r="O151" s="202">
        <f t="shared" si="64"/>
        <v>1588.8205182118802</v>
      </c>
      <c r="P151" s="202">
        <f t="shared" si="64"/>
        <v>1606.3348478470314</v>
      </c>
      <c r="Q151" s="202">
        <f t="shared" si="64"/>
        <v>1565.462797875251</v>
      </c>
      <c r="R151" s="202">
        <f t="shared" si="64"/>
        <v>1515.5350061669074</v>
      </c>
      <c r="S151" s="202">
        <f t="shared" si="64"/>
        <v>1470.5155227488576</v>
      </c>
      <c r="T151" s="202">
        <f t="shared" si="64"/>
        <v>1401.5653947340902</v>
      </c>
      <c r="U151" s="203">
        <f t="shared" si="64"/>
        <v>1338.7180111703967</v>
      </c>
    </row>
    <row r="152" spans="2:21" ht="15.5" x14ac:dyDescent="0.35">
      <c r="B152" s="103" t="s">
        <v>30</v>
      </c>
      <c r="C152" s="202"/>
      <c r="D152" s="202"/>
      <c r="E152" s="202"/>
      <c r="F152" s="202"/>
      <c r="G152" s="202">
        <f t="shared" ref="G152:U152" si="65">G78</f>
        <v>680</v>
      </c>
      <c r="H152" s="202">
        <f t="shared" si="65"/>
        <v>680</v>
      </c>
      <c r="I152" s="202">
        <f t="shared" si="65"/>
        <v>680</v>
      </c>
      <c r="J152" s="202">
        <f t="shared" si="65"/>
        <v>680</v>
      </c>
      <c r="K152" s="202">
        <f t="shared" si="65"/>
        <v>680</v>
      </c>
      <c r="L152" s="202">
        <f t="shared" si="65"/>
        <v>680</v>
      </c>
      <c r="M152" s="202">
        <f t="shared" si="65"/>
        <v>680</v>
      </c>
      <c r="N152" s="202">
        <f t="shared" si="65"/>
        <v>680</v>
      </c>
      <c r="O152" s="202">
        <f t="shared" si="65"/>
        <v>680</v>
      </c>
      <c r="P152" s="202">
        <f t="shared" si="65"/>
        <v>680</v>
      </c>
      <c r="Q152" s="202">
        <f t="shared" si="65"/>
        <v>680</v>
      </c>
      <c r="R152" s="202">
        <f t="shared" si="65"/>
        <v>680</v>
      </c>
      <c r="S152" s="202">
        <f t="shared" si="65"/>
        <v>680</v>
      </c>
      <c r="T152" s="202">
        <f t="shared" si="65"/>
        <v>680</v>
      </c>
      <c r="U152" s="203">
        <f t="shared" si="65"/>
        <v>680</v>
      </c>
    </row>
    <row r="153" spans="2:21" ht="15.5" x14ac:dyDescent="0.35">
      <c r="B153" s="103" t="s">
        <v>184</v>
      </c>
      <c r="C153" s="202"/>
      <c r="D153" s="202">
        <f t="shared" ref="D153:F153" si="66">D79</f>
        <v>-3460</v>
      </c>
      <c r="E153" s="202">
        <f t="shared" si="66"/>
        <v>-5520</v>
      </c>
      <c r="F153" s="202">
        <f t="shared" si="66"/>
        <v>-4570</v>
      </c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3"/>
    </row>
    <row r="154" spans="2:21" ht="15.5" x14ac:dyDescent="0.35">
      <c r="B154" s="103" t="s">
        <v>257</v>
      </c>
      <c r="C154" s="202"/>
      <c r="D154" s="202"/>
      <c r="E154" s="202"/>
      <c r="F154" s="202">
        <f>-13860-D153-E153-F153</f>
        <v>-310</v>
      </c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3"/>
    </row>
    <row r="155" spans="2:21" ht="15.5" x14ac:dyDescent="0.35">
      <c r="B155" s="103" t="s">
        <v>230</v>
      </c>
      <c r="C155" s="202"/>
      <c r="D155" s="202"/>
      <c r="E155" s="202"/>
      <c r="F155" s="202"/>
      <c r="G155" s="202">
        <f t="shared" ref="G155:U155" si="67">G80</f>
        <v>-1240</v>
      </c>
      <c r="H155" s="202">
        <f t="shared" si="67"/>
        <v>-10</v>
      </c>
      <c r="I155" s="202">
        <f t="shared" si="67"/>
        <v>-30</v>
      </c>
      <c r="J155" s="202">
        <f t="shared" si="67"/>
        <v>-20</v>
      </c>
      <c r="K155" s="202">
        <f t="shared" si="67"/>
        <v>-20</v>
      </c>
      <c r="L155" s="202">
        <f t="shared" si="67"/>
        <v>-30</v>
      </c>
      <c r="M155" s="202">
        <f t="shared" si="67"/>
        <v>-20</v>
      </c>
      <c r="N155" s="202">
        <f t="shared" si="67"/>
        <v>-30</v>
      </c>
      <c r="O155" s="202">
        <f t="shared" si="67"/>
        <v>-30</v>
      </c>
      <c r="P155" s="202">
        <f t="shared" si="67"/>
        <v>-20</v>
      </c>
      <c r="Q155" s="202">
        <f t="shared" si="67"/>
        <v>-30</v>
      </c>
      <c r="R155" s="202">
        <f t="shared" si="67"/>
        <v>-30</v>
      </c>
      <c r="S155" s="202">
        <f t="shared" si="67"/>
        <v>-30</v>
      </c>
      <c r="T155" s="202">
        <f t="shared" si="67"/>
        <v>-30</v>
      </c>
      <c r="U155" s="203">
        <f t="shared" si="67"/>
        <v>-30</v>
      </c>
    </row>
    <row r="156" spans="2:21" ht="15.5" x14ac:dyDescent="0.35">
      <c r="B156" s="103" t="s">
        <v>231</v>
      </c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>
        <f t="shared" ref="N156:U157" si="68">N81</f>
        <v>-10</v>
      </c>
      <c r="O156" s="202">
        <f t="shared" si="68"/>
        <v>-40</v>
      </c>
      <c r="P156" s="202">
        <f t="shared" si="68"/>
        <v>-70</v>
      </c>
      <c r="Q156" s="202">
        <f t="shared" si="68"/>
        <v>-90</v>
      </c>
      <c r="R156" s="202">
        <f t="shared" si="68"/>
        <v>-110</v>
      </c>
      <c r="S156" s="202">
        <f t="shared" si="68"/>
        <v>-130</v>
      </c>
      <c r="T156" s="202">
        <f t="shared" si="68"/>
        <v>-140</v>
      </c>
      <c r="U156" s="203">
        <f t="shared" si="68"/>
        <v>-150</v>
      </c>
    </row>
    <row r="157" spans="2:21" ht="15.5" x14ac:dyDescent="0.35">
      <c r="B157" s="103" t="s">
        <v>145</v>
      </c>
      <c r="C157" s="202"/>
      <c r="D157" s="202"/>
      <c r="E157" s="202"/>
      <c r="F157" s="202"/>
      <c r="G157" s="202">
        <f t="shared" ref="G157:M157" si="69">G82</f>
        <v>1571.4666666666669</v>
      </c>
      <c r="H157" s="202">
        <f t="shared" si="69"/>
        <v>1399.8222222222223</v>
      </c>
      <c r="I157" s="202">
        <f t="shared" si="69"/>
        <v>1229.7777777777778</v>
      </c>
      <c r="J157" s="202">
        <f t="shared" si="69"/>
        <v>1060.5333333333335</v>
      </c>
      <c r="K157" s="202">
        <f t="shared" si="69"/>
        <v>890.48888888888882</v>
      </c>
      <c r="L157" s="202">
        <f t="shared" si="69"/>
        <v>720.44444444444434</v>
      </c>
      <c r="M157" s="202">
        <f t="shared" si="69"/>
        <v>551.19999999999982</v>
      </c>
      <c r="N157" s="202">
        <f t="shared" si="68"/>
        <v>381.95555555555535</v>
      </c>
      <c r="O157" s="202">
        <f t="shared" si="68"/>
        <v>234.26666666666637</v>
      </c>
      <c r="P157" s="202">
        <f t="shared" si="68"/>
        <v>172.79999999999973</v>
      </c>
      <c r="Q157" s="202">
        <f t="shared" si="68"/>
        <v>175.99999999999972</v>
      </c>
      <c r="R157" s="202">
        <f t="shared" si="68"/>
        <v>179.19999999999973</v>
      </c>
      <c r="S157" s="202">
        <f t="shared" si="68"/>
        <v>183.19999999999973</v>
      </c>
      <c r="T157" s="202">
        <f t="shared" si="68"/>
        <v>187.19999999999973</v>
      </c>
      <c r="U157" s="203">
        <f t="shared" si="68"/>
        <v>190.39999999999972</v>
      </c>
    </row>
    <row r="158" spans="2:21" ht="15.5" x14ac:dyDescent="0.35">
      <c r="B158" s="374" t="s">
        <v>248</v>
      </c>
      <c r="C158" s="307"/>
      <c r="D158" s="307">
        <f>SUM(D151:D157)</f>
        <v>-3460</v>
      </c>
      <c r="E158" s="307">
        <f t="shared" ref="E158:U158" si="70">SUM(E151:E157)</f>
        <v>-5520</v>
      </c>
      <c r="F158" s="307">
        <f t="shared" si="70"/>
        <v>-4880</v>
      </c>
      <c r="G158" s="307">
        <f t="shared" si="70"/>
        <v>1800.7282073912672</v>
      </c>
      <c r="H158" s="307">
        <f t="shared" si="70"/>
        <v>2965.9926443378272</v>
      </c>
      <c r="I158" s="307">
        <f t="shared" si="70"/>
        <v>2882.7302585908806</v>
      </c>
      <c r="J158" s="307">
        <f t="shared" si="70"/>
        <v>2817.8303468881595</v>
      </c>
      <c r="K158" s="307">
        <f t="shared" si="70"/>
        <v>2748.5414070127117</v>
      </c>
      <c r="L158" s="307">
        <f t="shared" si="70"/>
        <v>2666.2443042753202</v>
      </c>
      <c r="M158" s="307">
        <f t="shared" si="70"/>
        <v>2600.7972906119144</v>
      </c>
      <c r="N158" s="307">
        <f t="shared" si="70"/>
        <v>2511.9898726919209</v>
      </c>
      <c r="O158" s="307">
        <f t="shared" si="70"/>
        <v>2433.0871848785464</v>
      </c>
      <c r="P158" s="307">
        <f t="shared" si="70"/>
        <v>2369.1348478470313</v>
      </c>
      <c r="Q158" s="307">
        <f t="shared" si="70"/>
        <v>2301.4627978752505</v>
      </c>
      <c r="R158" s="307">
        <f t="shared" si="70"/>
        <v>2234.7350061669072</v>
      </c>
      <c r="S158" s="307">
        <f t="shared" si="70"/>
        <v>2173.7155227488574</v>
      </c>
      <c r="T158" s="307">
        <f t="shared" si="70"/>
        <v>2098.76539473409</v>
      </c>
      <c r="U158" s="308">
        <f t="shared" si="70"/>
        <v>2029.1180111703964</v>
      </c>
    </row>
    <row r="159" spans="2:21" s="34" customFormat="1" ht="15.5" x14ac:dyDescent="0.35">
      <c r="B159" s="107" t="s">
        <v>307</v>
      </c>
      <c r="C159" s="204"/>
      <c r="D159" s="204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3">
        <f>G143</f>
        <v>18461.494643767397</v>
      </c>
    </row>
    <row r="160" spans="2:21" s="34" customFormat="1" ht="16" thickBot="1" x14ac:dyDescent="0.4">
      <c r="B160" s="123" t="s">
        <v>249</v>
      </c>
      <c r="C160" s="216"/>
      <c r="D160" s="363">
        <f t="shared" ref="D160:S160" si="71">D158+D159</f>
        <v>-3460</v>
      </c>
      <c r="E160" s="363">
        <f t="shared" si="71"/>
        <v>-5520</v>
      </c>
      <c r="F160" s="363">
        <f t="shared" si="71"/>
        <v>-4880</v>
      </c>
      <c r="G160" s="363">
        <f t="shared" si="71"/>
        <v>1800.7282073912672</v>
      </c>
      <c r="H160" s="363">
        <f t="shared" si="71"/>
        <v>2965.9926443378272</v>
      </c>
      <c r="I160" s="363">
        <f t="shared" si="71"/>
        <v>2882.7302585908806</v>
      </c>
      <c r="J160" s="363">
        <f t="shared" si="71"/>
        <v>2817.8303468881595</v>
      </c>
      <c r="K160" s="363">
        <f t="shared" si="71"/>
        <v>2748.5414070127117</v>
      </c>
      <c r="L160" s="363">
        <f t="shared" si="71"/>
        <v>2666.2443042753202</v>
      </c>
      <c r="M160" s="363">
        <f t="shared" si="71"/>
        <v>2600.7972906119144</v>
      </c>
      <c r="N160" s="363">
        <f t="shared" si="71"/>
        <v>2511.9898726919209</v>
      </c>
      <c r="O160" s="363">
        <f t="shared" si="71"/>
        <v>2433.0871848785464</v>
      </c>
      <c r="P160" s="363">
        <f t="shared" si="71"/>
        <v>2369.1348478470313</v>
      </c>
      <c r="Q160" s="363">
        <f t="shared" si="71"/>
        <v>2301.4627978752505</v>
      </c>
      <c r="R160" s="363">
        <f t="shared" si="71"/>
        <v>2234.7350061669072</v>
      </c>
      <c r="S160" s="363">
        <f t="shared" si="71"/>
        <v>2173.7155227488574</v>
      </c>
      <c r="T160" s="363">
        <f>T158+T159</f>
        <v>2098.76539473409</v>
      </c>
      <c r="U160" s="364">
        <f>U158+U159</f>
        <v>20490.612654937795</v>
      </c>
    </row>
    <row r="161" spans="2:24" s="34" customFormat="1" ht="7.5" customHeight="1" x14ac:dyDescent="0.35">
      <c r="B161" s="369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2:24" s="34" customFormat="1" ht="15.5" x14ac:dyDescent="0.35">
      <c r="B162" s="370" t="s">
        <v>242</v>
      </c>
      <c r="C162" s="371">
        <f>IRR(D160:U160)</f>
        <v>0.1609949529558119</v>
      </c>
      <c r="D162" s="418">
        <f>C162/C162</f>
        <v>1</v>
      </c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</row>
    <row r="163" spans="2:24" s="34" customFormat="1" ht="15.5" x14ac:dyDescent="0.35">
      <c r="B163" s="372" t="s">
        <v>243</v>
      </c>
      <c r="C163" s="373">
        <f>IRR(D158:U158)</f>
        <v>0.13754444363543827</v>
      </c>
      <c r="D163" s="419">
        <f>C163/C162</f>
        <v>0.85434009644507269</v>
      </c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</row>
    <row r="164" spans="2:24" s="34" customFormat="1" ht="15.5" x14ac:dyDescent="0.35">
      <c r="B164" s="372" t="s">
        <v>244</v>
      </c>
      <c r="C164" s="373">
        <f>C162-C163</f>
        <v>2.3450509320373625E-2</v>
      </c>
      <c r="D164" s="419">
        <f>C164/C162</f>
        <v>0.14565990355492733</v>
      </c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</row>
    <row r="165" spans="2:24" s="34" customFormat="1" ht="15" thickBot="1" x14ac:dyDescent="0.4"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</row>
    <row r="166" spans="2:24" s="34" customFormat="1" ht="17.5" thickBot="1" x14ac:dyDescent="0.4">
      <c r="B166" s="310" t="s">
        <v>239</v>
      </c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2"/>
    </row>
    <row r="167" spans="2:24" s="34" customFormat="1" ht="16" thickBot="1" x14ac:dyDescent="0.4">
      <c r="B167" s="95" t="s">
        <v>109</v>
      </c>
      <c r="C167" s="96">
        <v>2009</v>
      </c>
      <c r="D167" s="96">
        <v>2010</v>
      </c>
      <c r="E167" s="97">
        <v>2011</v>
      </c>
      <c r="F167" s="97">
        <v>2012</v>
      </c>
      <c r="G167" s="97">
        <v>2013</v>
      </c>
      <c r="H167" s="97">
        <v>2014</v>
      </c>
      <c r="I167" s="97">
        <v>2015</v>
      </c>
      <c r="J167" s="97">
        <v>2016</v>
      </c>
      <c r="K167" s="97">
        <v>2017</v>
      </c>
      <c r="L167" s="97">
        <v>2018</v>
      </c>
      <c r="M167" s="97">
        <v>2019</v>
      </c>
      <c r="N167" s="97">
        <v>2020</v>
      </c>
      <c r="O167" s="97">
        <v>2021</v>
      </c>
      <c r="P167" s="97">
        <v>2022</v>
      </c>
      <c r="Q167" s="97">
        <v>2023</v>
      </c>
      <c r="R167" s="97">
        <v>2024</v>
      </c>
      <c r="S167" s="97">
        <v>2025</v>
      </c>
      <c r="T167" s="97">
        <v>2026</v>
      </c>
      <c r="U167" s="98">
        <v>2027</v>
      </c>
    </row>
    <row r="168" spans="2:24" s="34" customFormat="1" ht="15.5" x14ac:dyDescent="0.35">
      <c r="B168" s="355" t="s">
        <v>247</v>
      </c>
      <c r="C168" s="198"/>
      <c r="D168" s="198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200"/>
    </row>
    <row r="169" spans="2:24" s="134" customFormat="1" ht="15.5" x14ac:dyDescent="0.35">
      <c r="B169" s="103" t="s">
        <v>248</v>
      </c>
      <c r="C169" s="201"/>
      <c r="D169" s="201">
        <f t="shared" ref="D169:U169" si="72">D158</f>
        <v>-3460</v>
      </c>
      <c r="E169" s="201">
        <f t="shared" si="72"/>
        <v>-5520</v>
      </c>
      <c r="F169" s="201">
        <f t="shared" si="72"/>
        <v>-4880</v>
      </c>
      <c r="G169" s="201">
        <f t="shared" si="72"/>
        <v>1800.7282073912672</v>
      </c>
      <c r="H169" s="201">
        <f t="shared" si="72"/>
        <v>2965.9926443378272</v>
      </c>
      <c r="I169" s="201">
        <f t="shared" si="72"/>
        <v>2882.7302585908806</v>
      </c>
      <c r="J169" s="201">
        <f t="shared" si="72"/>
        <v>2817.8303468881595</v>
      </c>
      <c r="K169" s="201">
        <f t="shared" si="72"/>
        <v>2748.5414070127117</v>
      </c>
      <c r="L169" s="201">
        <f t="shared" si="72"/>
        <v>2666.2443042753202</v>
      </c>
      <c r="M169" s="201">
        <f t="shared" si="72"/>
        <v>2600.7972906119144</v>
      </c>
      <c r="N169" s="201">
        <f t="shared" si="72"/>
        <v>2511.9898726919209</v>
      </c>
      <c r="O169" s="201">
        <f t="shared" si="72"/>
        <v>2433.0871848785464</v>
      </c>
      <c r="P169" s="201">
        <f t="shared" si="72"/>
        <v>2369.1348478470313</v>
      </c>
      <c r="Q169" s="201">
        <f t="shared" si="72"/>
        <v>2301.4627978752505</v>
      </c>
      <c r="R169" s="201">
        <f t="shared" si="72"/>
        <v>2234.7350061669072</v>
      </c>
      <c r="S169" s="201">
        <f t="shared" si="72"/>
        <v>2173.7155227488574</v>
      </c>
      <c r="T169" s="201">
        <f t="shared" si="72"/>
        <v>2098.76539473409</v>
      </c>
      <c r="U169" s="203">
        <f t="shared" si="72"/>
        <v>2029.1180111703964</v>
      </c>
    </row>
    <row r="170" spans="2:24" s="34" customFormat="1" ht="15.5" x14ac:dyDescent="0.35">
      <c r="B170" s="355" t="s">
        <v>254</v>
      </c>
      <c r="C170" s="198"/>
      <c r="D170" s="198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200"/>
    </row>
    <row r="171" spans="2:24" ht="15.5" x14ac:dyDescent="0.35">
      <c r="B171" s="103" t="s">
        <v>190</v>
      </c>
      <c r="C171" s="202"/>
      <c r="D171" s="202">
        <f>D86</f>
        <v>2420.0000000000005</v>
      </c>
      <c r="E171" s="202">
        <f t="shared" ref="E171:F171" si="73">E86</f>
        <v>3870.0000000000009</v>
      </c>
      <c r="F171" s="202">
        <f t="shared" si="73"/>
        <v>3410.0000000000005</v>
      </c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3"/>
      <c r="W171" s="408">
        <f>SUM(D171:F171)</f>
        <v>9700.0000000000018</v>
      </c>
      <c r="X171" t="s">
        <v>305</v>
      </c>
    </row>
    <row r="172" spans="2:24" ht="15.5" x14ac:dyDescent="0.35">
      <c r="B172" s="103" t="s">
        <v>241</v>
      </c>
      <c r="C172" s="202"/>
      <c r="D172" s="202"/>
      <c r="E172" s="202"/>
      <c r="F172" s="202"/>
      <c r="G172" s="202">
        <f t="shared" ref="G172:P172" si="74">G87</f>
        <v>-1077.7777777777781</v>
      </c>
      <c r="H172" s="202">
        <f t="shared" si="74"/>
        <v>-1077.7777777777781</v>
      </c>
      <c r="I172" s="202">
        <f t="shared" si="74"/>
        <v>-1077.7777777777781</v>
      </c>
      <c r="J172" s="202">
        <f t="shared" si="74"/>
        <v>-1077.7777777777781</v>
      </c>
      <c r="K172" s="202">
        <f t="shared" si="74"/>
        <v>-1077.7777777777781</v>
      </c>
      <c r="L172" s="202">
        <f t="shared" si="74"/>
        <v>-1077.7777777777781</v>
      </c>
      <c r="M172" s="202">
        <f t="shared" si="74"/>
        <v>-1077.7777777777781</v>
      </c>
      <c r="N172" s="202">
        <f t="shared" si="74"/>
        <v>-1077.7777777777781</v>
      </c>
      <c r="O172" s="202">
        <f t="shared" si="74"/>
        <v>-808.33333333333348</v>
      </c>
      <c r="P172" s="202">
        <f t="shared" si="74"/>
        <v>0</v>
      </c>
      <c r="Q172" s="202"/>
      <c r="R172" s="202"/>
      <c r="S172" s="202"/>
      <c r="T172" s="202"/>
      <c r="U172" s="203"/>
      <c r="W172" s="276">
        <f>R4</f>
        <v>0.69985569985569995</v>
      </c>
      <c r="X172" t="s">
        <v>116</v>
      </c>
    </row>
    <row r="173" spans="2:24" ht="15.5" x14ac:dyDescent="0.35">
      <c r="B173" s="103" t="s">
        <v>186</v>
      </c>
      <c r="C173" s="339"/>
      <c r="D173" s="202"/>
      <c r="E173" s="202"/>
      <c r="F173" s="202"/>
      <c r="G173" s="202">
        <f>G88</f>
        <v>930</v>
      </c>
      <c r="H173" s="202">
        <f t="shared" ref="H173:T173" si="75">H88</f>
        <v>10</v>
      </c>
      <c r="I173" s="202">
        <f t="shared" si="75"/>
        <v>20</v>
      </c>
      <c r="J173" s="202">
        <f t="shared" si="75"/>
        <v>20</v>
      </c>
      <c r="K173" s="202">
        <f t="shared" si="75"/>
        <v>10</v>
      </c>
      <c r="L173" s="202">
        <f t="shared" si="75"/>
        <v>20</v>
      </c>
      <c r="M173" s="202">
        <f t="shared" si="75"/>
        <v>20</v>
      </c>
      <c r="N173" s="202">
        <f t="shared" si="75"/>
        <v>20</v>
      </c>
      <c r="O173" s="202">
        <f t="shared" si="75"/>
        <v>20</v>
      </c>
      <c r="P173" s="202">
        <f t="shared" si="75"/>
        <v>20</v>
      </c>
      <c r="Q173" s="202">
        <f t="shared" si="75"/>
        <v>20</v>
      </c>
      <c r="R173" s="202">
        <f t="shared" si="75"/>
        <v>20</v>
      </c>
      <c r="S173" s="202">
        <f t="shared" si="75"/>
        <v>30</v>
      </c>
      <c r="T173" s="202">
        <f t="shared" si="75"/>
        <v>20</v>
      </c>
      <c r="U173" s="203">
        <f>U88</f>
        <v>20</v>
      </c>
      <c r="V173" s="284"/>
    </row>
    <row r="174" spans="2:24" ht="15.5" x14ac:dyDescent="0.35">
      <c r="B174" s="103" t="s">
        <v>240</v>
      </c>
      <c r="C174" s="339"/>
      <c r="D174" s="202"/>
      <c r="E174" s="202"/>
      <c r="F174" s="202"/>
      <c r="G174" s="202">
        <f>G89</f>
        <v>0</v>
      </c>
      <c r="H174" s="202">
        <f t="shared" ref="H174:T174" si="76">H89</f>
        <v>0</v>
      </c>
      <c r="I174" s="202">
        <f t="shared" si="76"/>
        <v>0</v>
      </c>
      <c r="J174" s="202">
        <f t="shared" si="76"/>
        <v>0</v>
      </c>
      <c r="K174" s="202">
        <f t="shared" si="76"/>
        <v>0</v>
      </c>
      <c r="L174" s="202">
        <f t="shared" si="76"/>
        <v>0</v>
      </c>
      <c r="M174" s="202">
        <f t="shared" si="76"/>
        <v>0</v>
      </c>
      <c r="N174" s="202">
        <f t="shared" si="76"/>
        <v>0</v>
      </c>
      <c r="O174" s="202">
        <f t="shared" si="76"/>
        <v>0</v>
      </c>
      <c r="P174" s="202">
        <f t="shared" si="76"/>
        <v>0</v>
      </c>
      <c r="Q174" s="202">
        <f t="shared" si="76"/>
        <v>0</v>
      </c>
      <c r="R174" s="202">
        <f t="shared" si="76"/>
        <v>0</v>
      </c>
      <c r="S174" s="202">
        <f t="shared" si="76"/>
        <v>0</v>
      </c>
      <c r="T174" s="202">
        <f t="shared" si="76"/>
        <v>0</v>
      </c>
      <c r="U174" s="203">
        <f>U89</f>
        <v>0</v>
      </c>
      <c r="V174" s="284"/>
    </row>
    <row r="175" spans="2:24" ht="15.5" x14ac:dyDescent="0.35">
      <c r="B175" s="103" t="s">
        <v>145</v>
      </c>
      <c r="C175" s="202"/>
      <c r="D175" s="202">
        <f>D133</f>
        <v>-42.45000000000001</v>
      </c>
      <c r="E175" s="202">
        <f>E133</f>
        <v>-8.5250000000000021</v>
      </c>
      <c r="F175" s="202">
        <f>F133</f>
        <v>0</v>
      </c>
      <c r="G175" s="202">
        <f>G90</f>
        <v>-1571.4666666666669</v>
      </c>
      <c r="H175" s="202">
        <f t="shared" ref="H175:T175" si="77">H90</f>
        <v>-1399.8222222222223</v>
      </c>
      <c r="I175" s="202">
        <f t="shared" si="77"/>
        <v>-1229.7777777777778</v>
      </c>
      <c r="J175" s="202">
        <f t="shared" si="77"/>
        <v>-1060.5333333333335</v>
      </c>
      <c r="K175" s="202">
        <f t="shared" si="77"/>
        <v>-890.48888888888882</v>
      </c>
      <c r="L175" s="202">
        <f t="shared" si="77"/>
        <v>-720.44444444444434</v>
      </c>
      <c r="M175" s="202">
        <f t="shared" si="77"/>
        <v>-551.19999999999982</v>
      </c>
      <c r="N175" s="202">
        <f t="shared" si="77"/>
        <v>-381.95555555555535</v>
      </c>
      <c r="O175" s="202">
        <f t="shared" si="77"/>
        <v>-234.26666666666637</v>
      </c>
      <c r="P175" s="202">
        <f t="shared" si="77"/>
        <v>-172.79999999999973</v>
      </c>
      <c r="Q175" s="202">
        <f t="shared" si="77"/>
        <v>-175.99999999999972</v>
      </c>
      <c r="R175" s="202">
        <f t="shared" si="77"/>
        <v>-179.19999999999973</v>
      </c>
      <c r="S175" s="202">
        <f t="shared" si="77"/>
        <v>-183.19999999999973</v>
      </c>
      <c r="T175" s="202">
        <f t="shared" si="77"/>
        <v>-187.19999999999973</v>
      </c>
      <c r="U175" s="203">
        <f>U90</f>
        <v>-190.39999999999972</v>
      </c>
    </row>
    <row r="176" spans="2:24" ht="5.75" customHeight="1" thickBot="1" x14ac:dyDescent="0.4">
      <c r="B176" s="123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</row>
    <row r="177" spans="2:24" s="34" customFormat="1" ht="15.5" x14ac:dyDescent="0.35">
      <c r="B177" s="119" t="s">
        <v>253</v>
      </c>
      <c r="C177" s="213"/>
      <c r="D177" s="362">
        <f t="shared" ref="D177:U177" si="78">SUM(D169:D175)</f>
        <v>-1082.4499999999996</v>
      </c>
      <c r="E177" s="362">
        <f t="shared" si="78"/>
        <v>-1658.5249999999992</v>
      </c>
      <c r="F177" s="362">
        <f t="shared" si="78"/>
        <v>-1469.9999999999995</v>
      </c>
      <c r="G177" s="362">
        <f t="shared" si="78"/>
        <v>81.483762946822253</v>
      </c>
      <c r="H177" s="362">
        <f t="shared" si="78"/>
        <v>498.39264433782682</v>
      </c>
      <c r="I177" s="362">
        <f t="shared" si="78"/>
        <v>595.17470303532468</v>
      </c>
      <c r="J177" s="362">
        <f t="shared" si="78"/>
        <v>699.51923577704792</v>
      </c>
      <c r="K177" s="362">
        <f t="shared" si="78"/>
        <v>790.27474034604484</v>
      </c>
      <c r="L177" s="362">
        <f t="shared" si="78"/>
        <v>888.02208205309785</v>
      </c>
      <c r="M177" s="362">
        <f t="shared" si="78"/>
        <v>991.8195128341365</v>
      </c>
      <c r="N177" s="362">
        <f t="shared" si="78"/>
        <v>1072.2565393585876</v>
      </c>
      <c r="O177" s="362">
        <f t="shared" si="78"/>
        <v>1410.4871848785465</v>
      </c>
      <c r="P177" s="362">
        <f t="shared" si="78"/>
        <v>2216.3348478470316</v>
      </c>
      <c r="Q177" s="362">
        <f t="shared" si="78"/>
        <v>2145.462797875251</v>
      </c>
      <c r="R177" s="362">
        <f t="shared" si="78"/>
        <v>2075.5350061669074</v>
      </c>
      <c r="S177" s="362">
        <f t="shared" si="78"/>
        <v>2020.5155227488576</v>
      </c>
      <c r="T177" s="362">
        <f t="shared" si="78"/>
        <v>1931.5653947340902</v>
      </c>
      <c r="U177" s="365">
        <f t="shared" si="78"/>
        <v>1858.7180111703965</v>
      </c>
      <c r="W177" s="277">
        <f>-Q6+D175+E175</f>
        <v>-4210.9749999999985</v>
      </c>
      <c r="X177" s="34" t="s">
        <v>306</v>
      </c>
    </row>
    <row r="178" spans="2:24" s="34" customFormat="1" ht="15.5" x14ac:dyDescent="0.35">
      <c r="B178" s="107" t="s">
        <v>308</v>
      </c>
      <c r="C178" s="204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3">
        <f>G145</f>
        <v>17261.494643767397</v>
      </c>
      <c r="W178" s="277">
        <f>D177+E177+F177</f>
        <v>-4210.9749999999985</v>
      </c>
    </row>
    <row r="179" spans="2:24" s="34" customFormat="1" ht="16" thickBot="1" x14ac:dyDescent="0.4">
      <c r="B179" s="123" t="s">
        <v>250</v>
      </c>
      <c r="C179" s="216"/>
      <c r="D179" s="363">
        <f t="shared" ref="D179:S179" si="79">D177+D178</f>
        <v>-1082.4499999999996</v>
      </c>
      <c r="E179" s="363">
        <f t="shared" si="79"/>
        <v>-1658.5249999999992</v>
      </c>
      <c r="F179" s="363">
        <f t="shared" si="79"/>
        <v>-1469.9999999999995</v>
      </c>
      <c r="G179" s="363">
        <f t="shared" si="79"/>
        <v>81.483762946822253</v>
      </c>
      <c r="H179" s="363">
        <f t="shared" si="79"/>
        <v>498.39264433782682</v>
      </c>
      <c r="I179" s="363">
        <f t="shared" si="79"/>
        <v>595.17470303532468</v>
      </c>
      <c r="J179" s="363">
        <f t="shared" si="79"/>
        <v>699.51923577704792</v>
      </c>
      <c r="K179" s="363">
        <f t="shared" si="79"/>
        <v>790.27474034604484</v>
      </c>
      <c r="L179" s="363">
        <f t="shared" si="79"/>
        <v>888.02208205309785</v>
      </c>
      <c r="M179" s="363">
        <f t="shared" si="79"/>
        <v>991.8195128341365</v>
      </c>
      <c r="N179" s="363">
        <f t="shared" si="79"/>
        <v>1072.2565393585876</v>
      </c>
      <c r="O179" s="363">
        <f t="shared" si="79"/>
        <v>1410.4871848785465</v>
      </c>
      <c r="P179" s="363">
        <f t="shared" si="79"/>
        <v>2216.3348478470316</v>
      </c>
      <c r="Q179" s="363">
        <f t="shared" si="79"/>
        <v>2145.462797875251</v>
      </c>
      <c r="R179" s="363">
        <f t="shared" si="79"/>
        <v>2075.5350061669074</v>
      </c>
      <c r="S179" s="363">
        <f t="shared" si="79"/>
        <v>2020.5155227488576</v>
      </c>
      <c r="T179" s="363">
        <f>T177+T178</f>
        <v>1931.5653947340902</v>
      </c>
      <c r="U179" s="364">
        <f>U177+U178</f>
        <v>19120.212654937794</v>
      </c>
    </row>
    <row r="180" spans="2:24" s="34" customFormat="1" ht="7.5" customHeight="1" x14ac:dyDescent="0.35">
      <c r="B180" s="369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</row>
    <row r="181" spans="2:24" s="34" customFormat="1" ht="15.5" x14ac:dyDescent="0.35">
      <c r="B181" s="370" t="s">
        <v>242</v>
      </c>
      <c r="C181" s="371">
        <f>IRR(D179:U179)</f>
        <v>0.19885052267847914</v>
      </c>
      <c r="D181" s="418">
        <f>C181/C181</f>
        <v>1</v>
      </c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</row>
    <row r="182" spans="2:24" s="34" customFormat="1" ht="15.5" x14ac:dyDescent="0.35">
      <c r="B182" s="372" t="s">
        <v>243</v>
      </c>
      <c r="C182" s="373">
        <f>IRR(D177:U177)</f>
        <v>0.1640669390979097</v>
      </c>
      <c r="D182" s="419">
        <f>C182/C181</f>
        <v>0.82507673044032726</v>
      </c>
      <c r="E182" s="367"/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</row>
    <row r="183" spans="2:24" s="34" customFormat="1" ht="15.5" x14ac:dyDescent="0.35">
      <c r="B183" s="372" t="s">
        <v>244</v>
      </c>
      <c r="C183" s="373">
        <f>C181-C182</f>
        <v>3.4783583580569433E-2</v>
      </c>
      <c r="D183" s="419">
        <f>C183/C181</f>
        <v>0.1749232695596728</v>
      </c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</row>
    <row r="184" spans="2:24" s="34" customFormat="1" x14ac:dyDescent="0.35"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</row>
    <row r="185" spans="2:24" s="34" customFormat="1" x14ac:dyDescent="0.35">
      <c r="H185" s="134"/>
      <c r="I185" s="134"/>
      <c r="J185" s="134"/>
      <c r="K185" s="134"/>
      <c r="L185" s="134"/>
      <c r="M185" s="134"/>
      <c r="N185" s="134"/>
      <c r="O185" s="134"/>
    </row>
    <row r="186" spans="2:24" s="34" customFormat="1" x14ac:dyDescent="0.35">
      <c r="B186" s="420" t="s">
        <v>279</v>
      </c>
      <c r="C186" s="421"/>
      <c r="D186" s="422">
        <v>2010</v>
      </c>
      <c r="E186" s="422">
        <v>2011</v>
      </c>
      <c r="F186" s="422">
        <v>2012</v>
      </c>
      <c r="G186" s="422" t="s">
        <v>166</v>
      </c>
      <c r="H186" s="134"/>
      <c r="I186" s="134"/>
      <c r="J186" s="134"/>
      <c r="K186" s="134"/>
      <c r="L186" s="134"/>
      <c r="M186" s="134"/>
      <c r="N186" s="134"/>
      <c r="O186" s="134"/>
    </row>
    <row r="187" spans="2:24" s="34" customFormat="1" x14ac:dyDescent="0.35">
      <c r="B187" s="421" t="s">
        <v>280</v>
      </c>
      <c r="C187" s="421"/>
      <c r="D187" s="423">
        <f>D92</f>
        <v>1039.9999999999998</v>
      </c>
      <c r="E187" s="423">
        <f>E92</f>
        <v>1649.9999999999995</v>
      </c>
      <c r="F187" s="423">
        <f>F92</f>
        <v>1469.9999999999998</v>
      </c>
      <c r="G187" s="423">
        <f>D187+E187+F187</f>
        <v>4159.9999999999991</v>
      </c>
    </row>
    <row r="188" spans="2:24" s="34" customFormat="1" x14ac:dyDescent="0.35">
      <c r="B188" s="421" t="s">
        <v>281</v>
      </c>
      <c r="C188" s="421"/>
      <c r="D188" s="424">
        <f>-D177</f>
        <v>1082.4499999999996</v>
      </c>
      <c r="E188" s="424">
        <f>-E177</f>
        <v>1658.5249999999992</v>
      </c>
      <c r="F188" s="424">
        <f>-F177</f>
        <v>1469.9999999999995</v>
      </c>
      <c r="G188" s="424">
        <f>D188+E188+F188</f>
        <v>4210.9749999999985</v>
      </c>
    </row>
    <row r="189" spans="2:24" s="34" customFormat="1" x14ac:dyDescent="0.35">
      <c r="B189" s="421" t="s">
        <v>309</v>
      </c>
      <c r="C189" s="421"/>
      <c r="D189" s="423">
        <f>D187-D188</f>
        <v>-42.449999999999818</v>
      </c>
      <c r="E189" s="423">
        <f>E187-E188</f>
        <v>-8.5249999999996362</v>
      </c>
      <c r="F189" s="423">
        <f>F187-F188</f>
        <v>0</v>
      </c>
      <c r="G189" s="423">
        <f>G187-G188</f>
        <v>-50.974999999999454</v>
      </c>
    </row>
    <row r="190" spans="2:24" s="34" customFormat="1" x14ac:dyDescent="0.35">
      <c r="C190" s="421" t="s">
        <v>164</v>
      </c>
      <c r="D190" s="426">
        <f>D133-D189</f>
        <v>-1.9184653865522705E-13</v>
      </c>
      <c r="E190" s="426">
        <f>E133-E189</f>
        <v>-3.659295089164516E-13</v>
      </c>
      <c r="F190" s="426">
        <f>F133-F189</f>
        <v>0</v>
      </c>
      <c r="G190" s="425"/>
    </row>
    <row r="191" spans="2:24" s="34" customFormat="1" x14ac:dyDescent="0.35"/>
    <row r="192" spans="2:24" s="34" customFormat="1" x14ac:dyDescent="0.35"/>
    <row r="193" s="34" customFormat="1" x14ac:dyDescent="0.35"/>
    <row r="194" s="34" customFormat="1" x14ac:dyDescent="0.35"/>
    <row r="195" s="34" customFormat="1" x14ac:dyDescent="0.35"/>
    <row r="196" s="34" customFormat="1" x14ac:dyDescent="0.35"/>
    <row r="197" s="34" customFormat="1" x14ac:dyDescent="0.35"/>
    <row r="198" s="34" customFormat="1" x14ac:dyDescent="0.35"/>
    <row r="199" s="34" customFormat="1" x14ac:dyDescent="0.35"/>
    <row r="200" s="34" customFormat="1" x14ac:dyDescent="0.35"/>
    <row r="201" s="34" customFormat="1" x14ac:dyDescent="0.35"/>
    <row r="202" s="34" customFormat="1" x14ac:dyDescent="0.35"/>
    <row r="203" s="34" customFormat="1" x14ac:dyDescent="0.35"/>
    <row r="204" s="34" customFormat="1" x14ac:dyDescent="0.35"/>
    <row r="205" s="34" customFormat="1" x14ac:dyDescent="0.35"/>
    <row r="206" s="34" customFormat="1" x14ac:dyDescent="0.35"/>
    <row r="207" s="34" customFormat="1" x14ac:dyDescent="0.35"/>
    <row r="208" s="34" customFormat="1" x14ac:dyDescent="0.35"/>
    <row r="209" s="34" customFormat="1" x14ac:dyDescent="0.35"/>
    <row r="210" s="34" customFormat="1" x14ac:dyDescent="0.35"/>
    <row r="211" s="34" customFormat="1" x14ac:dyDescent="0.35"/>
    <row r="212" s="34" customFormat="1" x14ac:dyDescent="0.35"/>
    <row r="213" s="34" customFormat="1" x14ac:dyDescent="0.35"/>
    <row r="214" s="34" customFormat="1" x14ac:dyDescent="0.35"/>
    <row r="215" s="34" customFormat="1" x14ac:dyDescent="0.35"/>
    <row r="216" s="34" customFormat="1" x14ac:dyDescent="0.35"/>
    <row r="217" s="34" customFormat="1" x14ac:dyDescent="0.35"/>
    <row r="218" s="34" customFormat="1" x14ac:dyDescent="0.35"/>
    <row r="219" s="34" customFormat="1" x14ac:dyDescent="0.35"/>
    <row r="220" s="34" customFormat="1" x14ac:dyDescent="0.35"/>
    <row r="221" s="34" customFormat="1" x14ac:dyDescent="0.35"/>
  </sheetData>
  <pageMargins left="0.75" right="0.75" top="1" bottom="1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737F-95FC-4E04-9B0F-B19A78C33A7D}">
  <dimension ref="A1:Z221"/>
  <sheetViews>
    <sheetView showGridLines="0" topLeftCell="A23" zoomScale="94" zoomScaleNormal="94" workbookViewId="0">
      <selection activeCell="B2" sqref="B2:R46"/>
    </sheetView>
  </sheetViews>
  <sheetFormatPr baseColWidth="10" defaultColWidth="8.81640625" defaultRowHeight="14.5" outlineLevelRow="1" outlineLevelCol="1" x14ac:dyDescent="0.35"/>
  <cols>
    <col min="1" max="1" width="1.54296875" customWidth="1"/>
    <col min="2" max="2" width="43.1796875" customWidth="1"/>
    <col min="3" max="6" width="7.6328125" customWidth="1"/>
    <col min="7" max="16" width="7.81640625" customWidth="1"/>
    <col min="17" max="17" width="8.54296875" customWidth="1"/>
    <col min="18" max="18" width="7.81640625" customWidth="1"/>
    <col min="19" max="19" width="8.08984375" hidden="1" customWidth="1" outlineLevel="1"/>
    <col min="20" max="20" width="8" hidden="1" customWidth="1" outlineLevel="1"/>
    <col min="21" max="21" width="7.90625" hidden="1" customWidth="1" outlineLevel="1"/>
    <col min="22" max="22" width="12.453125" bestFit="1" customWidth="1" collapsed="1"/>
  </cols>
  <sheetData>
    <row r="1" spans="2:21" ht="15" thickBot="1" x14ac:dyDescent="0.4"/>
    <row r="2" spans="2:21" ht="12" customHeight="1" thickBot="1" x14ac:dyDescent="0.4">
      <c r="B2" s="377" t="s">
        <v>258</v>
      </c>
      <c r="C2" s="378"/>
      <c r="E2" s="377" t="s">
        <v>261</v>
      </c>
      <c r="F2" s="380"/>
      <c r="G2" s="380"/>
      <c r="H2" s="380"/>
      <c r="I2" s="380"/>
      <c r="J2" s="379"/>
      <c r="L2" s="377" t="s">
        <v>293</v>
      </c>
      <c r="M2" s="380"/>
      <c r="N2" s="380"/>
      <c r="O2" s="380"/>
      <c r="P2" s="380"/>
      <c r="Q2" s="380"/>
      <c r="R2" s="379"/>
      <c r="S2" s="34"/>
    </row>
    <row r="3" spans="2:21" ht="12" customHeight="1" x14ac:dyDescent="0.35">
      <c r="B3" s="59" t="s">
        <v>15</v>
      </c>
      <c r="C3" s="388">
        <v>300</v>
      </c>
      <c r="E3" s="477" t="s">
        <v>251</v>
      </c>
      <c r="F3" s="478"/>
      <c r="G3" s="478"/>
      <c r="H3" s="478"/>
      <c r="I3" s="478"/>
      <c r="J3" s="479">
        <v>0.65</v>
      </c>
      <c r="K3" s="34"/>
      <c r="L3" s="433" t="s">
        <v>291</v>
      </c>
      <c r="M3" s="384"/>
      <c r="N3" s="34">
        <v>2010</v>
      </c>
      <c r="O3">
        <v>2011</v>
      </c>
      <c r="P3">
        <v>2012</v>
      </c>
      <c r="Q3" s="434" t="s">
        <v>290</v>
      </c>
      <c r="R3" s="435" t="s">
        <v>292</v>
      </c>
    </row>
    <row r="4" spans="2:21" ht="12" customHeight="1" thickBot="1" x14ac:dyDescent="0.4">
      <c r="B4" s="66" t="s">
        <v>16</v>
      </c>
      <c r="C4" s="452">
        <v>0.85</v>
      </c>
      <c r="E4" s="383" t="s">
        <v>263</v>
      </c>
      <c r="F4" s="386"/>
      <c r="G4" s="386"/>
      <c r="H4" s="386"/>
      <c r="I4" s="386"/>
      <c r="J4" s="445">
        <v>0.12</v>
      </c>
      <c r="L4" s="382" t="s">
        <v>288</v>
      </c>
      <c r="M4" s="436"/>
      <c r="N4" s="202">
        <f>Q4*N5</f>
        <v>2247.6061855670105</v>
      </c>
      <c r="O4" s="202">
        <f>Q4*O5</f>
        <v>3594.3123711340209</v>
      </c>
      <c r="P4" s="202">
        <f>Q4*P5</f>
        <v>3167.0814432989687</v>
      </c>
      <c r="Q4" s="202">
        <f>R4*Q8</f>
        <v>9009</v>
      </c>
      <c r="R4" s="437">
        <f>J3</f>
        <v>0.65</v>
      </c>
    </row>
    <row r="5" spans="2:21" ht="12" customHeight="1" x14ac:dyDescent="0.35">
      <c r="B5" s="31" t="s">
        <v>111</v>
      </c>
      <c r="C5" s="451">
        <v>3.3</v>
      </c>
      <c r="E5" s="381" t="s">
        <v>252</v>
      </c>
      <c r="F5" s="443"/>
      <c r="G5" s="443"/>
      <c r="H5" s="443"/>
      <c r="I5" s="443"/>
      <c r="J5" s="444">
        <f>C162</f>
        <v>0.16153187641743694</v>
      </c>
      <c r="K5" s="269"/>
      <c r="L5" s="382"/>
      <c r="M5" s="436"/>
      <c r="N5" s="439">
        <v>0.24948453608247423</v>
      </c>
      <c r="O5" s="439">
        <v>0.39896907216494848</v>
      </c>
      <c r="P5" s="439">
        <v>0.35154639175257729</v>
      </c>
      <c r="Q5" s="438">
        <f>Q4/Q4</f>
        <v>1</v>
      </c>
      <c r="R5" s="437"/>
    </row>
    <row r="6" spans="2:21" ht="12" customHeight="1" thickBot="1" x14ac:dyDescent="0.4">
      <c r="B6" s="66" t="s">
        <v>262</v>
      </c>
      <c r="C6" s="455">
        <v>0.01</v>
      </c>
      <c r="E6" s="481" t="s">
        <v>131</v>
      </c>
      <c r="F6" s="482"/>
      <c r="G6" s="482"/>
      <c r="H6" s="482"/>
      <c r="I6" s="482"/>
      <c r="J6" s="483">
        <f>WACC!J30</f>
        <v>0.12801047681607419</v>
      </c>
      <c r="L6" s="382" t="s">
        <v>289</v>
      </c>
      <c r="M6" s="385"/>
      <c r="N6" s="202">
        <f>Q6*N7</f>
        <v>1212.75</v>
      </c>
      <c r="O6" s="202">
        <f>Q6*O7</f>
        <v>1924.0745192307691</v>
      </c>
      <c r="P6" s="202">
        <f>Q6*P7</f>
        <v>1714.1754807692309</v>
      </c>
      <c r="Q6" s="202">
        <f>R6*Q8</f>
        <v>4851</v>
      </c>
      <c r="R6" s="437">
        <f>1-R4</f>
        <v>0.35</v>
      </c>
    </row>
    <row r="7" spans="2:21" ht="12" customHeight="1" thickBot="1" x14ac:dyDescent="0.4">
      <c r="B7" s="453" t="s">
        <v>68</v>
      </c>
      <c r="C7" s="454">
        <f>'Operating Data'!C23</f>
        <v>2947.3638769273243</v>
      </c>
      <c r="E7" s="381" t="s">
        <v>259</v>
      </c>
      <c r="F7" s="443"/>
      <c r="G7" s="443"/>
      <c r="H7" s="443"/>
      <c r="I7" s="443"/>
      <c r="J7" s="444">
        <f>C181</f>
        <v>0.21607829422864344</v>
      </c>
      <c r="K7" s="269"/>
      <c r="L7" s="383"/>
      <c r="M7" s="458"/>
      <c r="N7" s="448">
        <v>0.25</v>
      </c>
      <c r="O7" s="449">
        <v>0.39663461538461536</v>
      </c>
      <c r="P7" s="449">
        <v>0.35336538461538464</v>
      </c>
      <c r="Q7" s="450">
        <f>Q6/Q6</f>
        <v>1</v>
      </c>
      <c r="R7" s="459"/>
    </row>
    <row r="8" spans="2:21" ht="12" customHeight="1" thickBot="1" x14ac:dyDescent="0.4">
      <c r="B8" s="66" t="s">
        <v>304</v>
      </c>
      <c r="C8" s="389">
        <v>1</v>
      </c>
      <c r="E8" s="481" t="s">
        <v>260</v>
      </c>
      <c r="F8" s="482"/>
      <c r="G8" s="482"/>
      <c r="H8" s="482"/>
      <c r="I8" s="482"/>
      <c r="J8" s="483">
        <f>WACC!J21</f>
        <v>0.1785442194744977</v>
      </c>
      <c r="L8" s="456" t="s">
        <v>166</v>
      </c>
      <c r="M8" s="457"/>
      <c r="N8" s="446">
        <f>N4+N6</f>
        <v>3460.3561855670105</v>
      </c>
      <c r="O8" s="446">
        <f>O4+O6</f>
        <v>5518.3868903647899</v>
      </c>
      <c r="P8" s="446">
        <f>P4+P6</f>
        <v>4881.2569240681996</v>
      </c>
      <c r="Q8" s="447">
        <v>13860</v>
      </c>
      <c r="R8" s="460">
        <f>Q8/Q8</f>
        <v>1</v>
      </c>
    </row>
    <row r="9" spans="2:21" ht="6.25" customHeight="1" x14ac:dyDescent="0.35">
      <c r="E9" s="318"/>
      <c r="F9" s="318"/>
      <c r="G9" s="318"/>
      <c r="H9" s="392"/>
    </row>
    <row r="10" spans="2:21" ht="6.25" customHeight="1" thickBot="1" x14ac:dyDescent="0.4"/>
    <row r="11" spans="2:21" ht="12" customHeight="1" thickBot="1" x14ac:dyDescent="0.4">
      <c r="B11" s="302" t="s">
        <v>106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8"/>
    </row>
    <row r="12" spans="2:21" s="68" customFormat="1" ht="12" customHeight="1" thickBot="1" x14ac:dyDescent="0.4">
      <c r="B12" s="306" t="s">
        <v>110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  <c r="I12" s="2">
        <v>2015</v>
      </c>
      <c r="J12" s="2">
        <v>2016</v>
      </c>
      <c r="K12" s="2">
        <v>2017</v>
      </c>
      <c r="L12" s="2">
        <v>2018</v>
      </c>
      <c r="M12" s="2">
        <v>2019</v>
      </c>
      <c r="N12" s="2">
        <v>2020</v>
      </c>
      <c r="O12" s="2">
        <v>2021</v>
      </c>
      <c r="P12" s="2">
        <v>2022</v>
      </c>
      <c r="Q12" s="2">
        <v>2023</v>
      </c>
      <c r="R12" s="2">
        <v>2024</v>
      </c>
      <c r="S12" s="2">
        <v>2025</v>
      </c>
      <c r="T12" s="2">
        <v>2026</v>
      </c>
      <c r="U12" s="3">
        <v>2027</v>
      </c>
    </row>
    <row r="13" spans="2:21" s="34" customFormat="1" ht="12" customHeight="1" x14ac:dyDescent="0.35">
      <c r="B13" s="303" t="s">
        <v>175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</row>
    <row r="14" spans="2:21" s="34" customFormat="1" ht="12" customHeight="1" x14ac:dyDescent="0.35">
      <c r="B14" s="31" t="s">
        <v>15</v>
      </c>
      <c r="C14" s="178">
        <v>0</v>
      </c>
      <c r="D14" s="178">
        <v>0</v>
      </c>
      <c r="E14" s="178">
        <v>0</v>
      </c>
      <c r="F14" s="178">
        <v>0</v>
      </c>
      <c r="G14" s="178">
        <v>300</v>
      </c>
      <c r="H14" s="178">
        <v>300</v>
      </c>
      <c r="I14" s="178">
        <v>300</v>
      </c>
      <c r="J14" s="178">
        <v>300</v>
      </c>
      <c r="K14" s="178">
        <v>300</v>
      </c>
      <c r="L14" s="178">
        <v>300</v>
      </c>
      <c r="M14" s="178">
        <v>300</v>
      </c>
      <c r="N14" s="178">
        <v>300</v>
      </c>
      <c r="O14" s="178">
        <v>300</v>
      </c>
      <c r="P14" s="178">
        <v>300</v>
      </c>
      <c r="Q14" s="178">
        <v>300</v>
      </c>
      <c r="R14" s="178">
        <v>300</v>
      </c>
      <c r="S14" s="178">
        <v>300</v>
      </c>
      <c r="T14" s="178">
        <v>300</v>
      </c>
      <c r="U14" s="179">
        <v>300</v>
      </c>
    </row>
    <row r="15" spans="2:21" s="34" customFormat="1" ht="12" customHeight="1" x14ac:dyDescent="0.35">
      <c r="B15" s="35" t="s">
        <v>16</v>
      </c>
      <c r="C15" s="72">
        <v>0</v>
      </c>
      <c r="D15" s="72">
        <v>0</v>
      </c>
      <c r="E15" s="72">
        <v>0</v>
      </c>
      <c r="F15" s="72">
        <v>0</v>
      </c>
      <c r="G15" s="72">
        <f t="shared" ref="G15:U15" si="0">$C$4</f>
        <v>0.85</v>
      </c>
      <c r="H15" s="72">
        <f t="shared" si="0"/>
        <v>0.85</v>
      </c>
      <c r="I15" s="72">
        <f t="shared" si="0"/>
        <v>0.85</v>
      </c>
      <c r="J15" s="72">
        <f t="shared" si="0"/>
        <v>0.85</v>
      </c>
      <c r="K15" s="72">
        <f t="shared" si="0"/>
        <v>0.85</v>
      </c>
      <c r="L15" s="72">
        <f t="shared" si="0"/>
        <v>0.85</v>
      </c>
      <c r="M15" s="72">
        <f t="shared" si="0"/>
        <v>0.85</v>
      </c>
      <c r="N15" s="72">
        <f t="shared" si="0"/>
        <v>0.85</v>
      </c>
      <c r="O15" s="72">
        <f t="shared" si="0"/>
        <v>0.85</v>
      </c>
      <c r="P15" s="72">
        <f t="shared" si="0"/>
        <v>0.85</v>
      </c>
      <c r="Q15" s="72">
        <f t="shared" si="0"/>
        <v>0.85</v>
      </c>
      <c r="R15" s="72">
        <f t="shared" si="0"/>
        <v>0.85</v>
      </c>
      <c r="S15" s="72">
        <f t="shared" si="0"/>
        <v>0.85</v>
      </c>
      <c r="T15" s="72">
        <f t="shared" si="0"/>
        <v>0.85</v>
      </c>
      <c r="U15" s="73">
        <f t="shared" si="0"/>
        <v>0.85</v>
      </c>
    </row>
    <row r="16" spans="2:21" s="34" customFormat="1" ht="12" customHeight="1" x14ac:dyDescent="0.35">
      <c r="B16" s="35" t="s">
        <v>80</v>
      </c>
      <c r="C16" s="180">
        <v>0</v>
      </c>
      <c r="D16" s="180">
        <v>0</v>
      </c>
      <c r="E16" s="180">
        <v>0</v>
      </c>
      <c r="F16" s="180">
        <v>0</v>
      </c>
      <c r="G16" s="180">
        <f t="shared" ref="G16:U16" si="1">G14*1000*24*365*G15/1000000</f>
        <v>2233.8000000000002</v>
      </c>
      <c r="H16" s="180">
        <f t="shared" si="1"/>
        <v>2233.8000000000002</v>
      </c>
      <c r="I16" s="180">
        <f t="shared" si="1"/>
        <v>2233.8000000000002</v>
      </c>
      <c r="J16" s="180">
        <f t="shared" si="1"/>
        <v>2233.8000000000002</v>
      </c>
      <c r="K16" s="180">
        <f t="shared" si="1"/>
        <v>2233.8000000000002</v>
      </c>
      <c r="L16" s="180">
        <f t="shared" si="1"/>
        <v>2233.8000000000002</v>
      </c>
      <c r="M16" s="180">
        <f t="shared" si="1"/>
        <v>2233.8000000000002</v>
      </c>
      <c r="N16" s="180">
        <f t="shared" si="1"/>
        <v>2233.8000000000002</v>
      </c>
      <c r="O16" s="180">
        <f t="shared" si="1"/>
        <v>2233.8000000000002</v>
      </c>
      <c r="P16" s="180">
        <f t="shared" si="1"/>
        <v>2233.8000000000002</v>
      </c>
      <c r="Q16" s="180">
        <f t="shared" si="1"/>
        <v>2233.8000000000002</v>
      </c>
      <c r="R16" s="180">
        <f t="shared" si="1"/>
        <v>2233.8000000000002</v>
      </c>
      <c r="S16" s="180">
        <f t="shared" si="1"/>
        <v>2233.8000000000002</v>
      </c>
      <c r="T16" s="180">
        <f t="shared" si="1"/>
        <v>2233.8000000000002</v>
      </c>
      <c r="U16" s="181">
        <f t="shared" si="1"/>
        <v>2233.8000000000002</v>
      </c>
    </row>
    <row r="17" spans="2:22" s="34" customFormat="1" ht="12" customHeight="1" x14ac:dyDescent="0.35">
      <c r="B17" s="35" t="s">
        <v>81</v>
      </c>
      <c r="C17" s="180">
        <v>0</v>
      </c>
      <c r="D17" s="180">
        <v>0</v>
      </c>
      <c r="E17" s="180">
        <v>0</v>
      </c>
      <c r="F17" s="180">
        <v>0</v>
      </c>
      <c r="G17" s="180">
        <v>201</v>
      </c>
      <c r="H17" s="180">
        <v>201</v>
      </c>
      <c r="I17" s="180">
        <v>201</v>
      </c>
      <c r="J17" s="180">
        <v>201</v>
      </c>
      <c r="K17" s="180">
        <v>201</v>
      </c>
      <c r="L17" s="180">
        <v>201</v>
      </c>
      <c r="M17" s="180">
        <v>201</v>
      </c>
      <c r="N17" s="180">
        <v>201</v>
      </c>
      <c r="O17" s="180">
        <v>201</v>
      </c>
      <c r="P17" s="180">
        <v>201</v>
      </c>
      <c r="Q17" s="180">
        <v>201</v>
      </c>
      <c r="R17" s="180">
        <v>201</v>
      </c>
      <c r="S17" s="180">
        <v>201</v>
      </c>
      <c r="T17" s="180">
        <v>201</v>
      </c>
      <c r="U17" s="181">
        <v>201</v>
      </c>
    </row>
    <row r="18" spans="2:22" s="34" customFormat="1" ht="12" customHeight="1" x14ac:dyDescent="0.35">
      <c r="B18" s="78" t="s">
        <v>82</v>
      </c>
      <c r="C18" s="180">
        <v>0</v>
      </c>
      <c r="D18" s="180">
        <v>0</v>
      </c>
      <c r="E18" s="180">
        <v>0</v>
      </c>
      <c r="F18" s="180">
        <v>0</v>
      </c>
      <c r="G18" s="180">
        <f t="shared" ref="G18:U18" si="2">G16-G17</f>
        <v>2032.8000000000002</v>
      </c>
      <c r="H18" s="180">
        <f t="shared" si="2"/>
        <v>2032.8000000000002</v>
      </c>
      <c r="I18" s="180">
        <f t="shared" si="2"/>
        <v>2032.8000000000002</v>
      </c>
      <c r="J18" s="180">
        <f t="shared" si="2"/>
        <v>2032.8000000000002</v>
      </c>
      <c r="K18" s="180">
        <f t="shared" si="2"/>
        <v>2032.8000000000002</v>
      </c>
      <c r="L18" s="180">
        <f t="shared" si="2"/>
        <v>2032.8000000000002</v>
      </c>
      <c r="M18" s="180">
        <f t="shared" si="2"/>
        <v>2032.8000000000002</v>
      </c>
      <c r="N18" s="180">
        <f t="shared" si="2"/>
        <v>2032.8000000000002</v>
      </c>
      <c r="O18" s="180">
        <f t="shared" si="2"/>
        <v>2032.8000000000002</v>
      </c>
      <c r="P18" s="180">
        <f t="shared" si="2"/>
        <v>2032.8000000000002</v>
      </c>
      <c r="Q18" s="180">
        <f t="shared" si="2"/>
        <v>2032.8000000000002</v>
      </c>
      <c r="R18" s="180">
        <f t="shared" si="2"/>
        <v>2032.8000000000002</v>
      </c>
      <c r="S18" s="180">
        <f t="shared" si="2"/>
        <v>2032.8000000000002</v>
      </c>
      <c r="T18" s="180">
        <f t="shared" si="2"/>
        <v>2032.8000000000002</v>
      </c>
      <c r="U18" s="181">
        <f t="shared" si="2"/>
        <v>2032.8000000000002</v>
      </c>
    </row>
    <row r="19" spans="2:22" s="34" customFormat="1" ht="12" customHeight="1" x14ac:dyDescent="0.35">
      <c r="B19" s="35" t="s">
        <v>111</v>
      </c>
      <c r="C19" s="195">
        <v>0</v>
      </c>
      <c r="D19" s="195">
        <v>0</v>
      </c>
      <c r="E19" s="195">
        <v>0</v>
      </c>
      <c r="F19" s="195">
        <v>0</v>
      </c>
      <c r="G19" s="195">
        <f>C5</f>
        <v>3.3</v>
      </c>
      <c r="H19" s="195">
        <f t="shared" ref="H19:U19" si="3">G19*(1+$C$6)</f>
        <v>3.3329999999999997</v>
      </c>
      <c r="I19" s="195">
        <f t="shared" si="3"/>
        <v>3.3663299999999996</v>
      </c>
      <c r="J19" s="195">
        <f t="shared" si="3"/>
        <v>3.3999932999999998</v>
      </c>
      <c r="K19" s="195">
        <f t="shared" si="3"/>
        <v>3.4339932329999998</v>
      </c>
      <c r="L19" s="195">
        <f t="shared" si="3"/>
        <v>3.4683331653299998</v>
      </c>
      <c r="M19" s="195">
        <f t="shared" si="3"/>
        <v>3.5030164969833</v>
      </c>
      <c r="N19" s="195">
        <f t="shared" si="3"/>
        <v>3.5380466619531332</v>
      </c>
      <c r="O19" s="195">
        <f t="shared" si="3"/>
        <v>3.5734271285726646</v>
      </c>
      <c r="P19" s="195">
        <f t="shared" si="3"/>
        <v>3.6091613998583911</v>
      </c>
      <c r="Q19" s="195">
        <f t="shared" si="3"/>
        <v>3.645253013856975</v>
      </c>
      <c r="R19" s="195">
        <f t="shared" si="3"/>
        <v>3.6817055439955446</v>
      </c>
      <c r="S19" s="195">
        <f t="shared" si="3"/>
        <v>3.7185225994355</v>
      </c>
      <c r="T19" s="195">
        <f t="shared" si="3"/>
        <v>3.7557078254298553</v>
      </c>
      <c r="U19" s="196">
        <f t="shared" si="3"/>
        <v>3.7932649036841539</v>
      </c>
    </row>
    <row r="20" spans="2:22" s="34" customFormat="1" ht="12" customHeight="1" x14ac:dyDescent="0.35">
      <c r="B20" s="303" t="s">
        <v>174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</row>
    <row r="21" spans="2:22" s="34" customFormat="1" ht="12" customHeight="1" x14ac:dyDescent="0.35">
      <c r="B21" s="82" t="s">
        <v>21</v>
      </c>
      <c r="C21" s="182">
        <f>C18*C19</f>
        <v>0</v>
      </c>
      <c r="D21" s="182">
        <f>D18*D19</f>
        <v>0</v>
      </c>
      <c r="E21" s="182">
        <f>E18*E19</f>
        <v>0</v>
      </c>
      <c r="F21" s="182">
        <f>F18*F19</f>
        <v>0</v>
      </c>
      <c r="G21" s="182">
        <f>G18*G19</f>
        <v>6708.2400000000007</v>
      </c>
      <c r="H21" s="182">
        <f t="shared" ref="H21:U21" si="4">H18*H19</f>
        <v>6775.3224</v>
      </c>
      <c r="I21" s="182">
        <f t="shared" si="4"/>
        <v>6843.0756240000001</v>
      </c>
      <c r="J21" s="182">
        <f t="shared" si="4"/>
        <v>6911.50638024</v>
      </c>
      <c r="K21" s="182">
        <f t="shared" si="4"/>
        <v>6980.6214440424001</v>
      </c>
      <c r="L21" s="182">
        <f t="shared" si="4"/>
        <v>7050.427658482824</v>
      </c>
      <c r="M21" s="182">
        <f t="shared" si="4"/>
        <v>7120.9319350676524</v>
      </c>
      <c r="N21" s="182">
        <f t="shared" si="4"/>
        <v>7192.1412544183295</v>
      </c>
      <c r="O21" s="182">
        <f t="shared" si="4"/>
        <v>7264.0626669625135</v>
      </c>
      <c r="P21" s="182">
        <f t="shared" si="4"/>
        <v>7336.7032936321384</v>
      </c>
      <c r="Q21" s="182">
        <f t="shared" si="4"/>
        <v>7410.0703265684597</v>
      </c>
      <c r="R21" s="182">
        <f t="shared" si="4"/>
        <v>7484.1710298341441</v>
      </c>
      <c r="S21" s="182">
        <f t="shared" si="4"/>
        <v>7559.0127401324853</v>
      </c>
      <c r="T21" s="182">
        <f t="shared" si="4"/>
        <v>7634.6028675338102</v>
      </c>
      <c r="U21" s="183">
        <f t="shared" si="4"/>
        <v>7710.9488962091491</v>
      </c>
    </row>
    <row r="22" spans="2:22" s="34" customFormat="1" ht="12" customHeight="1" x14ac:dyDescent="0.35">
      <c r="B22" s="323" t="s">
        <v>189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5"/>
    </row>
    <row r="23" spans="2:22" s="34" customFormat="1" ht="12" customHeight="1" x14ac:dyDescent="0.35">
      <c r="B23" s="35" t="s">
        <v>41</v>
      </c>
      <c r="C23" s="180">
        <v>0</v>
      </c>
      <c r="D23" s="180">
        <v>0</v>
      </c>
      <c r="E23" s="180">
        <v>0</v>
      </c>
      <c r="F23" s="180">
        <v>0</v>
      </c>
      <c r="G23" s="180">
        <f>($C$7*$C$8)*((1.03^(G12-2012)))</f>
        <v>3035.7847932351442</v>
      </c>
      <c r="H23" s="180">
        <f t="shared" ref="H23:U23" si="5">($C$7*((1.03^(H12-2012))))*$C$8</f>
        <v>3126.8583370321981</v>
      </c>
      <c r="I23" s="180">
        <f t="shared" si="5"/>
        <v>3220.6640871431641</v>
      </c>
      <c r="J23" s="180">
        <f t="shared" si="5"/>
        <v>3317.284009757459</v>
      </c>
      <c r="K23" s="180">
        <f t="shared" si="5"/>
        <v>3416.8025300501827</v>
      </c>
      <c r="L23" s="180">
        <f t="shared" si="5"/>
        <v>3519.3066059516882</v>
      </c>
      <c r="M23" s="180">
        <f t="shared" si="5"/>
        <v>3624.8858041302392</v>
      </c>
      <c r="N23" s="180">
        <f t="shared" si="5"/>
        <v>3733.6323782541458</v>
      </c>
      <c r="O23" s="180">
        <f t="shared" si="5"/>
        <v>3845.6413496017703</v>
      </c>
      <c r="P23" s="180">
        <f t="shared" si="5"/>
        <v>3961.0105900898234</v>
      </c>
      <c r="Q23" s="180">
        <f t="shared" si="5"/>
        <v>4079.8409077925185</v>
      </c>
      <c r="R23" s="180">
        <f t="shared" si="5"/>
        <v>4202.2361350262936</v>
      </c>
      <c r="S23" s="180">
        <f t="shared" si="5"/>
        <v>4328.3032190770818</v>
      </c>
      <c r="T23" s="180">
        <f t="shared" si="5"/>
        <v>4458.152315649395</v>
      </c>
      <c r="U23" s="181">
        <f t="shared" si="5"/>
        <v>4591.8968851188765</v>
      </c>
    </row>
    <row r="24" spans="2:22" s="34" customFormat="1" ht="12" customHeight="1" x14ac:dyDescent="0.35">
      <c r="B24" s="35" t="s">
        <v>84</v>
      </c>
      <c r="C24" s="180">
        <v>0</v>
      </c>
      <c r="D24" s="180">
        <v>0</v>
      </c>
      <c r="E24" s="180">
        <v>0</v>
      </c>
      <c r="F24" s="180">
        <v>0</v>
      </c>
      <c r="G24" s="180">
        <f t="shared" ref="G24:U24" si="6">((1.55*G14*((1.04)^(G12-2012))))*($C$4/85%)</f>
        <v>483.6</v>
      </c>
      <c r="H24" s="180">
        <f t="shared" si="6"/>
        <v>502.94400000000007</v>
      </c>
      <c r="I24" s="180">
        <f t="shared" si="6"/>
        <v>523.06176000000005</v>
      </c>
      <c r="J24" s="180">
        <f t="shared" si="6"/>
        <v>543.98423040000011</v>
      </c>
      <c r="K24" s="180">
        <f t="shared" si="6"/>
        <v>565.74359961600021</v>
      </c>
      <c r="L24" s="180">
        <f t="shared" si="6"/>
        <v>588.37334360064017</v>
      </c>
      <c r="M24" s="180">
        <f t="shared" si="6"/>
        <v>611.90827734466575</v>
      </c>
      <c r="N24" s="180">
        <f t="shared" si="6"/>
        <v>636.38460843845246</v>
      </c>
      <c r="O24" s="180">
        <f t="shared" si="6"/>
        <v>661.83999277599059</v>
      </c>
      <c r="P24" s="180">
        <f t="shared" si="6"/>
        <v>688.31359248703018</v>
      </c>
      <c r="Q24" s="180">
        <f t="shared" si="6"/>
        <v>715.84613618651144</v>
      </c>
      <c r="R24" s="180">
        <f t="shared" si="6"/>
        <v>744.47998163397199</v>
      </c>
      <c r="S24" s="180">
        <f t="shared" si="6"/>
        <v>774.25918089933089</v>
      </c>
      <c r="T24" s="180">
        <f t="shared" si="6"/>
        <v>805.22954813530419</v>
      </c>
      <c r="U24" s="181">
        <f t="shared" si="6"/>
        <v>837.43873006071624</v>
      </c>
    </row>
    <row r="25" spans="2:22" s="34" customFormat="1" ht="12" customHeight="1" x14ac:dyDescent="0.35">
      <c r="B25" s="82" t="s">
        <v>25</v>
      </c>
      <c r="C25" s="180">
        <v>0</v>
      </c>
      <c r="D25" s="180">
        <v>0</v>
      </c>
      <c r="E25" s="180">
        <v>0</v>
      </c>
      <c r="F25" s="180">
        <v>0</v>
      </c>
      <c r="G25" s="393">
        <f t="shared" ref="G25:U25" si="7">SUM(G23:G24)</f>
        <v>3519.3847932351441</v>
      </c>
      <c r="H25" s="393">
        <f t="shared" si="7"/>
        <v>3629.802337032198</v>
      </c>
      <c r="I25" s="393">
        <f t="shared" si="7"/>
        <v>3743.7258471431642</v>
      </c>
      <c r="J25" s="393">
        <f t="shared" si="7"/>
        <v>3861.2682401574593</v>
      </c>
      <c r="K25" s="393">
        <f t="shared" si="7"/>
        <v>3982.5461296661829</v>
      </c>
      <c r="L25" s="393">
        <f t="shared" si="7"/>
        <v>4107.6799495523283</v>
      </c>
      <c r="M25" s="393">
        <f t="shared" si="7"/>
        <v>4236.7940814749054</v>
      </c>
      <c r="N25" s="393">
        <f t="shared" si="7"/>
        <v>4370.016986692598</v>
      </c>
      <c r="O25" s="393">
        <f t="shared" si="7"/>
        <v>4507.4813423777614</v>
      </c>
      <c r="P25" s="393">
        <f t="shared" si="7"/>
        <v>4649.3241825768537</v>
      </c>
      <c r="Q25" s="393">
        <f t="shared" si="7"/>
        <v>4795.68704397903</v>
      </c>
      <c r="R25" s="393">
        <f t="shared" si="7"/>
        <v>4946.7161166602655</v>
      </c>
      <c r="S25" s="393">
        <f t="shared" si="7"/>
        <v>5102.562399976413</v>
      </c>
      <c r="T25" s="393">
        <f t="shared" si="7"/>
        <v>5263.3818637846989</v>
      </c>
      <c r="U25" s="394">
        <f t="shared" si="7"/>
        <v>5429.3356151795924</v>
      </c>
      <c r="V25" s="145"/>
    </row>
    <row r="26" spans="2:22" s="34" customFormat="1" ht="12" customHeight="1" x14ac:dyDescent="0.35">
      <c r="B26" s="85" t="s">
        <v>272</v>
      </c>
      <c r="C26" s="182">
        <f t="shared" ref="C26:U26" si="8">C21-C25</f>
        <v>0</v>
      </c>
      <c r="D26" s="182">
        <f t="shared" si="8"/>
        <v>0</v>
      </c>
      <c r="E26" s="182">
        <f t="shared" si="8"/>
        <v>0</v>
      </c>
      <c r="F26" s="182">
        <f t="shared" si="8"/>
        <v>0</v>
      </c>
      <c r="G26" s="182">
        <f t="shared" si="8"/>
        <v>3188.8552067648566</v>
      </c>
      <c r="H26" s="182">
        <f t="shared" si="8"/>
        <v>3145.520062967802</v>
      </c>
      <c r="I26" s="182">
        <f t="shared" si="8"/>
        <v>3099.3497768568359</v>
      </c>
      <c r="J26" s="182">
        <f t="shared" si="8"/>
        <v>3050.2381400825407</v>
      </c>
      <c r="K26" s="182">
        <f t="shared" si="8"/>
        <v>2998.0753143762172</v>
      </c>
      <c r="L26" s="182">
        <f t="shared" si="8"/>
        <v>2942.7477089304957</v>
      </c>
      <c r="M26" s="182">
        <f t="shared" si="8"/>
        <v>2884.137853592747</v>
      </c>
      <c r="N26" s="182">
        <f t="shared" si="8"/>
        <v>2822.1242677257314</v>
      </c>
      <c r="O26" s="182">
        <f t="shared" si="8"/>
        <v>2756.5813245847521</v>
      </c>
      <c r="P26" s="182">
        <f t="shared" si="8"/>
        <v>2687.3791110552847</v>
      </c>
      <c r="Q26" s="182">
        <f t="shared" si="8"/>
        <v>2614.3832825894297</v>
      </c>
      <c r="R26" s="182">
        <f t="shared" si="8"/>
        <v>2537.4549131738786</v>
      </c>
      <c r="S26" s="182">
        <f t="shared" si="8"/>
        <v>2456.4503401560723</v>
      </c>
      <c r="T26" s="182">
        <f t="shared" si="8"/>
        <v>2371.2210037491113</v>
      </c>
      <c r="U26" s="183">
        <f t="shared" si="8"/>
        <v>2281.6132810295567</v>
      </c>
    </row>
    <row r="27" spans="2:22" s="34" customFormat="1" ht="12" customHeight="1" x14ac:dyDescent="0.35">
      <c r="B27" s="323" t="s">
        <v>145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2:22" s="34" customFormat="1" ht="12" customHeight="1" x14ac:dyDescent="0.35">
      <c r="B28" s="35" t="s">
        <v>187</v>
      </c>
      <c r="C28" s="180">
        <v>0</v>
      </c>
      <c r="D28" s="180">
        <v>0</v>
      </c>
      <c r="E28" s="180">
        <v>0</v>
      </c>
      <c r="F28" s="410">
        <v>0</v>
      </c>
      <c r="G28" s="410">
        <f t="shared" ref="G28:U28" si="9">$J$4*((G109+G112)/2)</f>
        <v>990.99</v>
      </c>
      <c r="H28" s="410">
        <f t="shared" si="9"/>
        <v>870.87</v>
      </c>
      <c r="I28" s="410">
        <f t="shared" si="9"/>
        <v>750.75</v>
      </c>
      <c r="J28" s="410">
        <f t="shared" si="9"/>
        <v>630.63</v>
      </c>
      <c r="K28" s="410">
        <f t="shared" si="9"/>
        <v>510.51</v>
      </c>
      <c r="L28" s="410">
        <f t="shared" si="9"/>
        <v>390.39</v>
      </c>
      <c r="M28" s="410">
        <f t="shared" si="9"/>
        <v>270.27</v>
      </c>
      <c r="N28" s="410">
        <f t="shared" si="9"/>
        <v>150.15</v>
      </c>
      <c r="O28" s="410">
        <f t="shared" si="9"/>
        <v>45.045000000000002</v>
      </c>
      <c r="P28" s="410">
        <f t="shared" si="9"/>
        <v>0</v>
      </c>
      <c r="Q28" s="410">
        <f t="shared" si="9"/>
        <v>0</v>
      </c>
      <c r="R28" s="410">
        <f t="shared" si="9"/>
        <v>0</v>
      </c>
      <c r="S28" s="410">
        <f t="shared" si="9"/>
        <v>0</v>
      </c>
      <c r="T28" s="410">
        <f t="shared" si="9"/>
        <v>0</v>
      </c>
      <c r="U28" s="441">
        <f t="shared" si="9"/>
        <v>0</v>
      </c>
    </row>
    <row r="29" spans="2:22" s="34" customFormat="1" ht="12" customHeight="1" x14ac:dyDescent="0.35">
      <c r="B29" s="35" t="s">
        <v>188</v>
      </c>
      <c r="C29" s="180">
        <v>0</v>
      </c>
      <c r="D29" s="180">
        <v>0</v>
      </c>
      <c r="E29" s="180">
        <v>0</v>
      </c>
      <c r="F29" s="180">
        <v>0</v>
      </c>
      <c r="G29" s="187">
        <f>$J$4*G60</f>
        <v>111.6</v>
      </c>
      <c r="H29" s="187">
        <f t="shared" ref="H29:U29" si="10">$J$4*((G60+H60)/2)</f>
        <v>112.2</v>
      </c>
      <c r="I29" s="187">
        <f t="shared" si="10"/>
        <v>114</v>
      </c>
      <c r="J29" s="187">
        <f t="shared" si="10"/>
        <v>116.39999999999999</v>
      </c>
      <c r="K29" s="187">
        <f t="shared" si="10"/>
        <v>118.19999999999999</v>
      </c>
      <c r="L29" s="187">
        <f t="shared" si="10"/>
        <v>120</v>
      </c>
      <c r="M29" s="187">
        <f t="shared" si="10"/>
        <v>122.39999999999999</v>
      </c>
      <c r="N29" s="187">
        <f t="shared" si="10"/>
        <v>124.8</v>
      </c>
      <c r="O29" s="187">
        <f t="shared" si="10"/>
        <v>127.19999999999999</v>
      </c>
      <c r="P29" s="187">
        <f t="shared" si="10"/>
        <v>129.6</v>
      </c>
      <c r="Q29" s="187">
        <f t="shared" si="10"/>
        <v>132</v>
      </c>
      <c r="R29" s="187">
        <f t="shared" si="10"/>
        <v>134.4</v>
      </c>
      <c r="S29" s="187">
        <f t="shared" si="10"/>
        <v>137.4</v>
      </c>
      <c r="T29" s="187">
        <f t="shared" si="10"/>
        <v>140.4</v>
      </c>
      <c r="U29" s="340">
        <f t="shared" si="10"/>
        <v>142.79999999999998</v>
      </c>
    </row>
    <row r="30" spans="2:22" s="34" customFormat="1" ht="12" customHeight="1" x14ac:dyDescent="0.35">
      <c r="B30" s="35" t="s">
        <v>30</v>
      </c>
      <c r="C30" s="180">
        <v>0</v>
      </c>
      <c r="D30" s="180">
        <v>0</v>
      </c>
      <c r="E30" s="180">
        <v>0</v>
      </c>
      <c r="F30" s="180">
        <v>0</v>
      </c>
      <c r="G30" s="187">
        <v>680</v>
      </c>
      <c r="H30" s="187">
        <v>680</v>
      </c>
      <c r="I30" s="187">
        <v>680</v>
      </c>
      <c r="J30" s="187">
        <v>680</v>
      </c>
      <c r="K30" s="187">
        <v>680</v>
      </c>
      <c r="L30" s="187">
        <v>680</v>
      </c>
      <c r="M30" s="187">
        <v>680</v>
      </c>
      <c r="N30" s="187">
        <v>680</v>
      </c>
      <c r="O30" s="187">
        <v>680</v>
      </c>
      <c r="P30" s="187">
        <v>680</v>
      </c>
      <c r="Q30" s="187">
        <v>680</v>
      </c>
      <c r="R30" s="187">
        <v>680</v>
      </c>
      <c r="S30" s="187">
        <v>680</v>
      </c>
      <c r="T30" s="187">
        <v>680</v>
      </c>
      <c r="U30" s="340">
        <v>680</v>
      </c>
    </row>
    <row r="31" spans="2:22" s="34" customFormat="1" ht="12" hidden="1" customHeight="1" outlineLevel="1" x14ac:dyDescent="0.35">
      <c r="B31" s="52" t="s">
        <v>86</v>
      </c>
      <c r="C31" s="186">
        <f t="shared" ref="C31:U31" si="11">C26-C28-C29-C30</f>
        <v>0</v>
      </c>
      <c r="D31" s="186">
        <f t="shared" si="11"/>
        <v>0</v>
      </c>
      <c r="E31" s="186">
        <f t="shared" si="11"/>
        <v>0</v>
      </c>
      <c r="F31" s="186">
        <f t="shared" si="11"/>
        <v>0</v>
      </c>
      <c r="G31" s="186">
        <f t="shared" si="11"/>
        <v>1406.2652067648564</v>
      </c>
      <c r="H31" s="186">
        <f t="shared" si="11"/>
        <v>1482.4500629678023</v>
      </c>
      <c r="I31" s="186">
        <f t="shared" si="11"/>
        <v>1554.5997768568359</v>
      </c>
      <c r="J31" s="186">
        <f t="shared" si="11"/>
        <v>1623.2081400825405</v>
      </c>
      <c r="K31" s="186">
        <f t="shared" si="11"/>
        <v>1689.3653143762176</v>
      </c>
      <c r="L31" s="186">
        <f t="shared" si="11"/>
        <v>1752.3577089304958</v>
      </c>
      <c r="M31" s="186">
        <f t="shared" si="11"/>
        <v>1811.4678535927469</v>
      </c>
      <c r="N31" s="186">
        <f t="shared" si="11"/>
        <v>1867.1742677257312</v>
      </c>
      <c r="O31" s="186">
        <f t="shared" si="11"/>
        <v>1904.3363245847522</v>
      </c>
      <c r="P31" s="186">
        <f t="shared" si="11"/>
        <v>1877.7791110552848</v>
      </c>
      <c r="Q31" s="186">
        <f t="shared" si="11"/>
        <v>1802.3832825894297</v>
      </c>
      <c r="R31" s="186">
        <f t="shared" si="11"/>
        <v>1723.0549131738785</v>
      </c>
      <c r="S31" s="186">
        <f t="shared" si="11"/>
        <v>1639.0503401560723</v>
      </c>
      <c r="T31" s="186">
        <f t="shared" si="11"/>
        <v>1550.8210037491112</v>
      </c>
      <c r="U31" s="183">
        <f t="shared" si="11"/>
        <v>1458.8132810295565</v>
      </c>
    </row>
    <row r="32" spans="2:22" s="34" customFormat="1" ht="12" hidden="1" customHeight="1" outlineLevel="1" x14ac:dyDescent="0.35">
      <c r="B32" s="323" t="s">
        <v>32</v>
      </c>
      <c r="C32" s="46"/>
      <c r="D32" s="46"/>
      <c r="E32" s="46"/>
      <c r="F32" s="46"/>
      <c r="G32" s="4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</row>
    <row r="33" spans="2:21" s="34" customFormat="1" ht="12" hidden="1" customHeight="1" outlineLevel="1" x14ac:dyDescent="0.35">
      <c r="B33" s="35" t="s">
        <v>195</v>
      </c>
      <c r="C33" s="180">
        <v>0</v>
      </c>
      <c r="D33" s="180">
        <v>0</v>
      </c>
      <c r="E33" s="180">
        <v>0</v>
      </c>
      <c r="F33" s="187">
        <f>F127</f>
        <v>0</v>
      </c>
      <c r="G33" s="187">
        <f>G127</f>
        <v>222.2193215416722</v>
      </c>
      <c r="H33" s="187">
        <f t="shared" ref="H33:U33" si="12">H127</f>
        <v>235.82287850649192</v>
      </c>
      <c r="I33" s="187">
        <f t="shared" si="12"/>
        <v>243.88491127732354</v>
      </c>
      <c r="J33" s="187">
        <f t="shared" si="12"/>
        <v>263.25173211043256</v>
      </c>
      <c r="K33" s="187">
        <f t="shared" si="12"/>
        <v>271.62392038070828</v>
      </c>
      <c r="L33" s="187">
        <f t="shared" si="12"/>
        <v>280.07600798864593</v>
      </c>
      <c r="M33" s="187">
        <f t="shared" si="12"/>
        <v>288.59703548438807</v>
      </c>
      <c r="N33" s="187">
        <f t="shared" si="12"/>
        <v>297.16454468000762</v>
      </c>
      <c r="O33" s="187">
        <f t="shared" si="12"/>
        <v>303.37464281312253</v>
      </c>
      <c r="P33" s="187">
        <f t="shared" si="12"/>
        <v>305.26721037523919</v>
      </c>
      <c r="Q33" s="187">
        <f t="shared" si="12"/>
        <v>290</v>
      </c>
      <c r="R33" s="187">
        <f t="shared" si="12"/>
        <v>280</v>
      </c>
      <c r="S33" s="187">
        <f t="shared" si="12"/>
        <v>260</v>
      </c>
      <c r="T33" s="187">
        <f t="shared" si="12"/>
        <v>250.00000000000003</v>
      </c>
      <c r="U33" s="51">
        <f t="shared" si="12"/>
        <v>230</v>
      </c>
    </row>
    <row r="34" spans="2:21" s="34" customFormat="1" ht="12" hidden="1" customHeight="1" outlineLevel="1" x14ac:dyDescent="0.35">
      <c r="B34" s="35" t="s">
        <v>196</v>
      </c>
      <c r="C34" s="180">
        <v>0</v>
      </c>
      <c r="D34" s="180">
        <v>0</v>
      </c>
      <c r="E34" s="180">
        <v>0</v>
      </c>
      <c r="F34" s="180">
        <v>0</v>
      </c>
      <c r="G34" s="187">
        <v>0</v>
      </c>
      <c r="H34" s="187">
        <v>0</v>
      </c>
      <c r="I34" s="187">
        <v>0</v>
      </c>
      <c r="J34" s="187">
        <v>0</v>
      </c>
      <c r="K34" s="187">
        <v>0</v>
      </c>
      <c r="L34" s="187">
        <v>0</v>
      </c>
      <c r="M34" s="187">
        <v>0</v>
      </c>
      <c r="N34" s="187">
        <v>-10</v>
      </c>
      <c r="O34" s="187">
        <v>-40</v>
      </c>
      <c r="P34" s="187">
        <v>-70</v>
      </c>
      <c r="Q34" s="187">
        <v>-90</v>
      </c>
      <c r="R34" s="187">
        <v>-110</v>
      </c>
      <c r="S34" s="187">
        <v>-130</v>
      </c>
      <c r="T34" s="187">
        <v>-140</v>
      </c>
      <c r="U34" s="188">
        <v>-150</v>
      </c>
    </row>
    <row r="35" spans="2:21" s="34" customFormat="1" ht="12" customHeight="1" collapsed="1" x14ac:dyDescent="0.35">
      <c r="B35" s="86" t="s">
        <v>87</v>
      </c>
      <c r="C35" s="186">
        <f t="shared" ref="C35:U35" si="13">C31-C33-C34</f>
        <v>0</v>
      </c>
      <c r="D35" s="186">
        <f t="shared" si="13"/>
        <v>0</v>
      </c>
      <c r="E35" s="186">
        <f t="shared" si="13"/>
        <v>0</v>
      </c>
      <c r="F35" s="186">
        <f t="shared" si="13"/>
        <v>0</v>
      </c>
      <c r="G35" s="186">
        <f t="shared" si="13"/>
        <v>1184.0458852231843</v>
      </c>
      <c r="H35" s="182">
        <f t="shared" si="13"/>
        <v>1246.6271844613104</v>
      </c>
      <c r="I35" s="182">
        <f t="shared" si="13"/>
        <v>1310.7148655795124</v>
      </c>
      <c r="J35" s="182">
        <f t="shared" si="13"/>
        <v>1359.9564079721079</v>
      </c>
      <c r="K35" s="182">
        <f t="shared" si="13"/>
        <v>1417.7413939955093</v>
      </c>
      <c r="L35" s="182">
        <f t="shared" si="13"/>
        <v>1472.28170094185</v>
      </c>
      <c r="M35" s="182">
        <f t="shared" si="13"/>
        <v>1522.8708181083589</v>
      </c>
      <c r="N35" s="182">
        <f t="shared" si="13"/>
        <v>1580.0097230457236</v>
      </c>
      <c r="O35" s="182">
        <f t="shared" si="13"/>
        <v>1640.9616817716296</v>
      </c>
      <c r="P35" s="182">
        <f t="shared" si="13"/>
        <v>1642.5119006800455</v>
      </c>
      <c r="Q35" s="182">
        <f t="shared" si="13"/>
        <v>1602.3832825894297</v>
      </c>
      <c r="R35" s="182">
        <f t="shared" si="13"/>
        <v>1553.0549131738785</v>
      </c>
      <c r="S35" s="182">
        <f t="shared" si="13"/>
        <v>1509.0503401560723</v>
      </c>
      <c r="T35" s="182">
        <f t="shared" si="13"/>
        <v>1440.8210037491112</v>
      </c>
      <c r="U35" s="183">
        <f t="shared" si="13"/>
        <v>1378.8132810295565</v>
      </c>
    </row>
    <row r="36" spans="2:21" s="34" customFormat="1" ht="3.65" customHeight="1" x14ac:dyDescent="0.35">
      <c r="B36" s="86"/>
      <c r="C36" s="186"/>
      <c r="D36" s="186"/>
      <c r="E36" s="186"/>
      <c r="F36" s="186"/>
      <c r="G36" s="186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3"/>
    </row>
    <row r="37" spans="2:21" s="34" customFormat="1" ht="12" customHeight="1" x14ac:dyDescent="0.35">
      <c r="B37" s="86" t="s">
        <v>88</v>
      </c>
      <c r="C37" s="189">
        <f t="shared" ref="C37:U37" si="14">C35+C30+C34</f>
        <v>0</v>
      </c>
      <c r="D37" s="189">
        <f t="shared" si="14"/>
        <v>0</v>
      </c>
      <c r="E37" s="189">
        <f t="shared" si="14"/>
        <v>0</v>
      </c>
      <c r="F37" s="189">
        <f t="shared" si="14"/>
        <v>0</v>
      </c>
      <c r="G37" s="189">
        <f t="shared" si="14"/>
        <v>1864.0458852231843</v>
      </c>
      <c r="H37" s="190">
        <f t="shared" si="14"/>
        <v>1926.6271844613104</v>
      </c>
      <c r="I37" s="190">
        <f t="shared" si="14"/>
        <v>1990.7148655795124</v>
      </c>
      <c r="J37" s="190">
        <f t="shared" si="14"/>
        <v>2039.9564079721079</v>
      </c>
      <c r="K37" s="190">
        <f t="shared" si="14"/>
        <v>2097.7413939955095</v>
      </c>
      <c r="L37" s="190">
        <f t="shared" si="14"/>
        <v>2152.28170094185</v>
      </c>
      <c r="M37" s="190">
        <f t="shared" si="14"/>
        <v>2202.8708181083589</v>
      </c>
      <c r="N37" s="190">
        <f t="shared" si="14"/>
        <v>2250.0097230457236</v>
      </c>
      <c r="O37" s="190">
        <f t="shared" si="14"/>
        <v>2280.9616817716296</v>
      </c>
      <c r="P37" s="190">
        <f t="shared" si="14"/>
        <v>2252.5119006800455</v>
      </c>
      <c r="Q37" s="190">
        <f t="shared" si="14"/>
        <v>2192.3832825894297</v>
      </c>
      <c r="R37" s="190">
        <f t="shared" si="14"/>
        <v>2123.0549131738785</v>
      </c>
      <c r="S37" s="190">
        <f t="shared" si="14"/>
        <v>2059.0503401560723</v>
      </c>
      <c r="T37" s="190">
        <f t="shared" si="14"/>
        <v>1980.8210037491112</v>
      </c>
      <c r="U37" s="191">
        <f t="shared" si="14"/>
        <v>1908.8132810295565</v>
      </c>
    </row>
    <row r="38" spans="2:21" s="34" customFormat="1" ht="12" customHeight="1" x14ac:dyDescent="0.35">
      <c r="B38" s="86" t="s">
        <v>266</v>
      </c>
      <c r="C38" s="398">
        <v>0</v>
      </c>
      <c r="D38" s="398">
        <v>0</v>
      </c>
      <c r="E38" s="398">
        <v>0</v>
      </c>
      <c r="F38" s="398">
        <v>0</v>
      </c>
      <c r="G38" s="398">
        <f>+G31+G30+G29+G28</f>
        <v>3188.8552067648561</v>
      </c>
      <c r="H38" s="398">
        <f t="shared" ref="H38:U38" si="15">+H31+H30+H29+H28</f>
        <v>3145.520062967802</v>
      </c>
      <c r="I38" s="398">
        <f t="shared" si="15"/>
        <v>3099.3497768568359</v>
      </c>
      <c r="J38" s="398">
        <f t="shared" si="15"/>
        <v>3050.2381400825407</v>
      </c>
      <c r="K38" s="398">
        <f t="shared" si="15"/>
        <v>2998.0753143762176</v>
      </c>
      <c r="L38" s="398">
        <f t="shared" si="15"/>
        <v>2942.7477089304957</v>
      </c>
      <c r="M38" s="398">
        <f t="shared" si="15"/>
        <v>2884.137853592747</v>
      </c>
      <c r="N38" s="398">
        <f t="shared" si="15"/>
        <v>2822.1242677257314</v>
      </c>
      <c r="O38" s="398">
        <f t="shared" si="15"/>
        <v>2756.5813245847521</v>
      </c>
      <c r="P38" s="398">
        <f t="shared" si="15"/>
        <v>2687.3791110552847</v>
      </c>
      <c r="Q38" s="398">
        <f t="shared" si="15"/>
        <v>2614.3832825894297</v>
      </c>
      <c r="R38" s="398">
        <f t="shared" si="15"/>
        <v>2537.4549131738786</v>
      </c>
      <c r="S38" s="398">
        <f t="shared" si="15"/>
        <v>2456.4503401560723</v>
      </c>
      <c r="T38" s="398">
        <f t="shared" si="15"/>
        <v>2371.2210037491113</v>
      </c>
      <c r="U38" s="191">
        <f t="shared" si="15"/>
        <v>2281.6132810295567</v>
      </c>
    </row>
    <row r="39" spans="2:21" s="34" customFormat="1" ht="5.75" customHeight="1" x14ac:dyDescent="0.35">
      <c r="B39" s="86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51"/>
    </row>
    <row r="40" spans="2:21" s="34" customFormat="1" ht="12" customHeight="1" x14ac:dyDescent="0.35">
      <c r="B40" s="399" t="s">
        <v>264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397"/>
    </row>
    <row r="41" spans="2:21" s="34" customFormat="1" ht="12" customHeight="1" x14ac:dyDescent="0.35">
      <c r="B41" s="461" t="s">
        <v>265</v>
      </c>
      <c r="C41" s="462"/>
      <c r="D41" s="463">
        <f>D61/D62</f>
        <v>0.64953029833797871</v>
      </c>
      <c r="E41" s="463">
        <f>E61/E62</f>
        <v>0.65063879290195259</v>
      </c>
      <c r="F41" s="463">
        <f>F61/F62</f>
        <v>0.64356435643564358</v>
      </c>
      <c r="G41" s="463">
        <f>G61/G62</f>
        <v>0.59437908195351696</v>
      </c>
      <c r="H41" s="463">
        <f t="shared" ref="H41:U41" si="16">H61/H62</f>
        <v>0.52107384221149455</v>
      </c>
      <c r="I41" s="463">
        <f t="shared" si="16"/>
        <v>0.44776807050184569</v>
      </c>
      <c r="J41" s="463">
        <f t="shared" si="16"/>
        <v>0.37534298056656795</v>
      </c>
      <c r="K41" s="463">
        <f t="shared" si="16"/>
        <v>0.30404069219858687</v>
      </c>
      <c r="L41" s="463">
        <f t="shared" si="16"/>
        <v>0.23532754564535194</v>
      </c>
      <c r="M41" s="463">
        <f t="shared" si="16"/>
        <v>0.16930894814475794</v>
      </c>
      <c r="N41" s="463">
        <f t="shared" si="16"/>
        <v>0.10640428160418779</v>
      </c>
      <c r="O41" s="463">
        <f t="shared" si="16"/>
        <v>6.0353162455681682E-2</v>
      </c>
      <c r="P41" s="463">
        <f t="shared" si="16"/>
        <v>5.6462996640759877E-2</v>
      </c>
      <c r="Q41" s="463">
        <f t="shared" si="16"/>
        <v>5.3302143293486946E-2</v>
      </c>
      <c r="R41" s="463">
        <f t="shared" si="16"/>
        <v>5.0662016830872986E-2</v>
      </c>
      <c r="S41" s="463">
        <f t="shared" si="16"/>
        <v>4.8873634317812296E-2</v>
      </c>
      <c r="T41" s="463">
        <f t="shared" si="16"/>
        <v>4.7021921310866965E-2</v>
      </c>
      <c r="U41" s="464">
        <f t="shared" si="16"/>
        <v>4.5463709581577777E-2</v>
      </c>
    </row>
    <row r="42" spans="2:21" s="34" customFormat="1" ht="12" customHeight="1" x14ac:dyDescent="0.35">
      <c r="B42" s="336" t="s">
        <v>267</v>
      </c>
      <c r="C42" s="90"/>
      <c r="D42" s="398">
        <v>0</v>
      </c>
      <c r="E42" s="398">
        <v>0</v>
      </c>
      <c r="F42" s="398">
        <v>0</v>
      </c>
      <c r="G42" s="176">
        <f>G61/G38</f>
        <v>2.724410309245072</v>
      </c>
      <c r="H42" s="176">
        <f t="shared" ref="H42:U42" si="17">H61/H38</f>
        <v>2.4468926746371178</v>
      </c>
      <c r="I42" s="176">
        <f t="shared" si="17"/>
        <v>2.1668254580838848</v>
      </c>
      <c r="J42" s="176">
        <f t="shared" si="17"/>
        <v>1.880099105915978</v>
      </c>
      <c r="K42" s="176">
        <f t="shared" si="17"/>
        <v>1.582265120977119</v>
      </c>
      <c r="L42" s="176">
        <f t="shared" si="17"/>
        <v>1.2786519172476134</v>
      </c>
      <c r="M42" s="176">
        <f t="shared" si="17"/>
        <v>0.96449966721763902</v>
      </c>
      <c r="N42" s="176">
        <f t="shared" si="17"/>
        <v>0.63808317039531803</v>
      </c>
      <c r="O42" s="176">
        <f t="shared" si="17"/>
        <v>0.38816195642665591</v>
      </c>
      <c r="P42" s="176">
        <f t="shared" si="17"/>
        <v>0.40559964000463516</v>
      </c>
      <c r="Q42" s="176">
        <f t="shared" si="17"/>
        <v>0.42457431830752629</v>
      </c>
      <c r="R42" s="176">
        <f t="shared" si="17"/>
        <v>0.44532810972652226</v>
      </c>
      <c r="S42" s="176">
        <f t="shared" si="17"/>
        <v>0.47222611466523623</v>
      </c>
      <c r="T42" s="176">
        <f t="shared" si="17"/>
        <v>0.49763391861590084</v>
      </c>
      <c r="U42" s="402">
        <f t="shared" si="17"/>
        <v>0.52594364258719217</v>
      </c>
    </row>
    <row r="43" spans="2:21" s="34" customFormat="1" ht="12" customHeight="1" x14ac:dyDescent="0.35">
      <c r="B43" s="461" t="s">
        <v>270</v>
      </c>
      <c r="C43" s="465"/>
      <c r="D43" s="466">
        <v>0</v>
      </c>
      <c r="E43" s="466">
        <v>0</v>
      </c>
      <c r="F43" s="466">
        <v>0</v>
      </c>
      <c r="G43" s="467">
        <f t="shared" ref="G43:U43" si="18">(G35+G28+G29+G30)/(G28+G29-G87)</f>
        <v>1.4102728598363674</v>
      </c>
      <c r="H43" s="480">
        <f t="shared" si="18"/>
        <v>1.4665294996957317</v>
      </c>
      <c r="I43" s="480">
        <f t="shared" si="18"/>
        <v>1.5304648884253049</v>
      </c>
      <c r="J43" s="468">
        <f t="shared" si="18"/>
        <v>1.594358453786324</v>
      </c>
      <c r="K43" s="468">
        <f t="shared" si="18"/>
        <v>1.6729672113415941</v>
      </c>
      <c r="L43" s="468">
        <f t="shared" si="18"/>
        <v>1.7617370109249433</v>
      </c>
      <c r="M43" s="468">
        <f t="shared" si="18"/>
        <v>1.8623783378478111</v>
      </c>
      <c r="N43" s="468">
        <f t="shared" si="18"/>
        <v>1.9867234006393071</v>
      </c>
      <c r="O43" s="468">
        <f t="shared" si="18"/>
        <v>2.7012136379629679</v>
      </c>
      <c r="P43" s="468">
        <f t="shared" si="18"/>
        <v>18.920616517592943</v>
      </c>
      <c r="Q43" s="468">
        <f t="shared" si="18"/>
        <v>18.290782443859314</v>
      </c>
      <c r="R43" s="468">
        <f t="shared" si="18"/>
        <v>17.614991913496119</v>
      </c>
      <c r="S43" s="468">
        <f t="shared" si="18"/>
        <v>16.931952985124251</v>
      </c>
      <c r="T43" s="468">
        <f t="shared" si="18"/>
        <v>16.105562704765749</v>
      </c>
      <c r="U43" s="469">
        <f t="shared" si="18"/>
        <v>15.417459951187373</v>
      </c>
    </row>
    <row r="44" spans="2:21" s="34" customFormat="1" ht="12" customHeight="1" x14ac:dyDescent="0.35">
      <c r="B44" s="336" t="s">
        <v>271</v>
      </c>
      <c r="C44" s="173"/>
      <c r="D44" s="398">
        <v>0</v>
      </c>
      <c r="E44" s="398">
        <v>0</v>
      </c>
      <c r="F44" s="398">
        <v>0</v>
      </c>
      <c r="G44" s="176">
        <f t="shared" ref="G44:U44" si="19">G83/(G28+G29-G87)</f>
        <v>0.82080437976182818</v>
      </c>
      <c r="H44" s="176">
        <f t="shared" si="19"/>
        <v>1.4614893549427743</v>
      </c>
      <c r="I44" s="176">
        <f t="shared" si="19"/>
        <v>1.514385563756941</v>
      </c>
      <c r="J44" s="176">
        <f t="shared" si="19"/>
        <v>1.5829170025526496</v>
      </c>
      <c r="K44" s="176">
        <f t="shared" si="19"/>
        <v>1.6606950893076127</v>
      </c>
      <c r="L44" s="176">
        <f t="shared" si="19"/>
        <v>1.7418877331078346</v>
      </c>
      <c r="M44" s="176">
        <f t="shared" si="19"/>
        <v>1.8480277383515171</v>
      </c>
      <c r="N44" s="176">
        <f t="shared" si="19"/>
        <v>1.9553742098402942</v>
      </c>
      <c r="O44" s="176">
        <f t="shared" si="19"/>
        <v>2.6253735738239423</v>
      </c>
      <c r="P44" s="176">
        <f t="shared" si="19"/>
        <v>18.226172073148501</v>
      </c>
      <c r="Q44" s="176">
        <f t="shared" si="19"/>
        <v>17.381691534768407</v>
      </c>
      <c r="R44" s="176">
        <f t="shared" si="19"/>
        <v>16.573325246829452</v>
      </c>
      <c r="S44" s="176">
        <f t="shared" si="19"/>
        <v>15.767469724571123</v>
      </c>
      <c r="T44" s="176">
        <f t="shared" si="19"/>
        <v>14.894736493939538</v>
      </c>
      <c r="U44" s="402">
        <f t="shared" si="19"/>
        <v>14.1569557495067</v>
      </c>
    </row>
    <row r="45" spans="2:21" s="34" customFormat="1" ht="12" customHeight="1" x14ac:dyDescent="0.35">
      <c r="B45" s="461" t="s">
        <v>326</v>
      </c>
      <c r="C45" s="465"/>
      <c r="D45" s="466">
        <v>0</v>
      </c>
      <c r="E45" s="466">
        <v>0</v>
      </c>
      <c r="F45" s="466">
        <v>0</v>
      </c>
      <c r="G45" s="468">
        <f t="shared" ref="G45:U45" si="20">G26/(G28+G29)</f>
        <v>2.8921495812267994</v>
      </c>
      <c r="H45" s="468">
        <f t="shared" si="20"/>
        <v>3.1996908286976531</v>
      </c>
      <c r="I45" s="468">
        <f t="shared" si="20"/>
        <v>3.5840991926647421</v>
      </c>
      <c r="J45" s="468">
        <f t="shared" si="20"/>
        <v>4.0831534745358828</v>
      </c>
      <c r="K45" s="468">
        <f t="shared" si="20"/>
        <v>4.7686140102371795</v>
      </c>
      <c r="L45" s="468">
        <f t="shared" si="20"/>
        <v>5.7656844940741312</v>
      </c>
      <c r="M45" s="468">
        <f t="shared" si="20"/>
        <v>7.3449406717924655</v>
      </c>
      <c r="N45" s="468">
        <f t="shared" si="20"/>
        <v>10.264136271051942</v>
      </c>
      <c r="O45" s="468">
        <f t="shared" si="20"/>
        <v>16.003839441404697</v>
      </c>
      <c r="P45" s="468">
        <f t="shared" si="20"/>
        <v>20.735949930982137</v>
      </c>
      <c r="Q45" s="468">
        <f t="shared" si="20"/>
        <v>19.805933959010829</v>
      </c>
      <c r="R45" s="468">
        <f t="shared" si="20"/>
        <v>18.879872865877072</v>
      </c>
      <c r="S45" s="468">
        <f t="shared" si="20"/>
        <v>17.878095634323671</v>
      </c>
      <c r="T45" s="468">
        <f t="shared" si="20"/>
        <v>16.889038488241532</v>
      </c>
      <c r="U45" s="469">
        <f t="shared" si="20"/>
        <v>15.977684040823227</v>
      </c>
    </row>
    <row r="46" spans="2:21" s="34" customFormat="1" ht="12" customHeight="1" thickBot="1" x14ac:dyDescent="0.4">
      <c r="B46" s="54" t="s">
        <v>269</v>
      </c>
      <c r="C46" s="175"/>
      <c r="D46" s="175">
        <v>0</v>
      </c>
      <c r="E46" s="175">
        <v>0</v>
      </c>
      <c r="F46" s="175">
        <v>0</v>
      </c>
      <c r="G46" s="177">
        <f t="shared" ref="G46:U46" si="21">G83/(G28+G29)</f>
        <v>1.5659818112110435</v>
      </c>
      <c r="H46" s="177">
        <f t="shared" si="21"/>
        <v>2.9496344964868322</v>
      </c>
      <c r="I46" s="177">
        <f t="shared" si="21"/>
        <v>3.2673776994270165</v>
      </c>
      <c r="J46" s="177">
        <f t="shared" si="21"/>
        <v>3.7039829832431201</v>
      </c>
      <c r="K46" s="177">
        <f t="shared" si="21"/>
        <v>4.3047691208912049</v>
      </c>
      <c r="L46" s="177">
        <f t="shared" si="21"/>
        <v>5.1581569014711297</v>
      </c>
      <c r="M46" s="177">
        <f t="shared" si="21"/>
        <v>6.5590465737345847</v>
      </c>
      <c r="N46" s="177">
        <f t="shared" si="21"/>
        <v>9.0742306711973946</v>
      </c>
      <c r="O46" s="177">
        <f t="shared" si="21"/>
        <v>14.068371690160118</v>
      </c>
      <c r="P46" s="177">
        <f t="shared" si="21"/>
        <v>18.226172073148501</v>
      </c>
      <c r="Q46" s="177">
        <f t="shared" si="21"/>
        <v>17.381691534768407</v>
      </c>
      <c r="R46" s="177">
        <f t="shared" si="21"/>
        <v>16.573325246829452</v>
      </c>
      <c r="S46" s="177">
        <f t="shared" si="21"/>
        <v>15.767469724571123</v>
      </c>
      <c r="T46" s="177">
        <f t="shared" si="21"/>
        <v>14.894736493939538</v>
      </c>
      <c r="U46" s="403">
        <f t="shared" si="21"/>
        <v>14.1569557495067</v>
      </c>
    </row>
    <row r="47" spans="2:21" s="34" customFormat="1" x14ac:dyDescent="0.35">
      <c r="B47" s="34" t="s">
        <v>325</v>
      </c>
      <c r="D47" s="309"/>
      <c r="G47" s="489">
        <f>G67/G61</f>
        <v>1.481396218813847</v>
      </c>
      <c r="H47" s="489">
        <f t="shared" ref="H47:R47" si="22">H67/H61</f>
        <v>1.5837853639523176</v>
      </c>
      <c r="I47" s="489">
        <f t="shared" si="22"/>
        <v>1.7138815471094071</v>
      </c>
      <c r="J47" s="489">
        <f t="shared" si="22"/>
        <v>1.888486856445355</v>
      </c>
      <c r="K47" s="489">
        <f t="shared" si="22"/>
        <v>2.13965744400527</v>
      </c>
      <c r="L47" s="489">
        <f t="shared" si="22"/>
        <v>2.5167762939339577</v>
      </c>
      <c r="M47" s="489">
        <f t="shared" si="22"/>
        <v>3.159881369641413</v>
      </c>
      <c r="N47" s="489">
        <f t="shared" si="22"/>
        <v>4.5036790226294601</v>
      </c>
      <c r="O47" s="489">
        <f t="shared" si="22"/>
        <v>6.94392523364486</v>
      </c>
      <c r="P47" s="489">
        <f t="shared" si="22"/>
        <v>6.192660550458716</v>
      </c>
      <c r="Q47" s="489">
        <f t="shared" si="22"/>
        <v>5.4684684684684681</v>
      </c>
      <c r="R47" s="489">
        <f t="shared" si="22"/>
        <v>4.7699115044247788</v>
      </c>
      <c r="S47" s="277"/>
      <c r="T47" s="277"/>
      <c r="U47" s="277"/>
    </row>
    <row r="48" spans="2:21" ht="15" thickBot="1" x14ac:dyDescent="0.4">
      <c r="G48" s="408"/>
      <c r="H48" s="408"/>
    </row>
    <row r="49" spans="2:21" ht="16" thickBot="1" x14ac:dyDescent="0.4">
      <c r="B49" s="299" t="s">
        <v>106</v>
      </c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1"/>
    </row>
    <row r="50" spans="2:21" ht="16" thickBot="1" x14ac:dyDescent="0.4">
      <c r="B50" s="306" t="s">
        <v>110</v>
      </c>
      <c r="C50" s="2">
        <v>2009</v>
      </c>
      <c r="D50" s="2">
        <v>2010</v>
      </c>
      <c r="E50" s="2">
        <v>2011</v>
      </c>
      <c r="F50" s="2">
        <v>2012</v>
      </c>
      <c r="G50" s="2">
        <v>2013</v>
      </c>
      <c r="H50" s="2">
        <v>2014</v>
      </c>
      <c r="I50" s="2">
        <v>2015</v>
      </c>
      <c r="J50" s="2">
        <v>2016</v>
      </c>
      <c r="K50" s="2">
        <v>2017</v>
      </c>
      <c r="L50" s="2">
        <v>2018</v>
      </c>
      <c r="M50" s="2">
        <v>2019</v>
      </c>
      <c r="N50" s="2">
        <v>2020</v>
      </c>
      <c r="O50" s="2">
        <v>2021</v>
      </c>
      <c r="P50" s="2">
        <v>2022</v>
      </c>
      <c r="Q50" s="2">
        <v>2023</v>
      </c>
      <c r="R50" s="2">
        <v>2024</v>
      </c>
      <c r="S50" s="2">
        <v>2025</v>
      </c>
      <c r="T50" s="2">
        <v>2026</v>
      </c>
      <c r="U50" s="3">
        <v>2027</v>
      </c>
    </row>
    <row r="51" spans="2:21" ht="15.5" x14ac:dyDescent="0.35">
      <c r="B51" s="305" t="s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2:21" ht="15.5" x14ac:dyDescent="0.35">
      <c r="B52" s="304" t="s">
        <v>107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 ht="15.5" x14ac:dyDescent="0.35">
      <c r="B53" s="313" t="s">
        <v>2</v>
      </c>
      <c r="C53" s="202">
        <v>0</v>
      </c>
      <c r="D53" s="407">
        <f>C53+D92+D91</f>
        <v>1252.1759845360825</v>
      </c>
      <c r="E53" s="407">
        <f>D53+E92+E91</f>
        <v>3184.168207375099</v>
      </c>
      <c r="F53" s="202">
        <f t="shared" ref="F53:U53" si="23">E53+F92</f>
        <v>4898.3436881443304</v>
      </c>
      <c r="G53" s="202">
        <f t="shared" si="23"/>
        <v>4898.3436881443304</v>
      </c>
      <c r="H53" s="202">
        <f t="shared" si="23"/>
        <v>4898.3436881443304</v>
      </c>
      <c r="I53" s="202">
        <f t="shared" si="23"/>
        <v>4898.3436881443304</v>
      </c>
      <c r="J53" s="202">
        <f t="shared" si="23"/>
        <v>4898.3436881443304</v>
      </c>
      <c r="K53" s="202">
        <f t="shared" si="23"/>
        <v>4898.3436881443304</v>
      </c>
      <c r="L53" s="202">
        <f t="shared" si="23"/>
        <v>4898.3436881443304</v>
      </c>
      <c r="M53" s="202">
        <f t="shared" si="23"/>
        <v>4898.3436881443304</v>
      </c>
      <c r="N53" s="202">
        <f t="shared" si="23"/>
        <v>4898.3436881443304</v>
      </c>
      <c r="O53" s="202">
        <f t="shared" si="23"/>
        <v>4898.3436881443304</v>
      </c>
      <c r="P53" s="202">
        <f t="shared" si="23"/>
        <v>4898.3436881443304</v>
      </c>
      <c r="Q53" s="202">
        <f t="shared" si="23"/>
        <v>4898.3436881443304</v>
      </c>
      <c r="R53" s="202">
        <f t="shared" si="23"/>
        <v>4898.3436881443304</v>
      </c>
      <c r="S53" s="202">
        <f t="shared" si="23"/>
        <v>4898.3436881443304</v>
      </c>
      <c r="T53" s="202">
        <f t="shared" si="23"/>
        <v>4898.3436881443304</v>
      </c>
      <c r="U53" s="203">
        <f t="shared" si="23"/>
        <v>4898.3436881443304</v>
      </c>
    </row>
    <row r="54" spans="2:21" ht="15.5" x14ac:dyDescent="0.35">
      <c r="B54" s="313" t="s">
        <v>76</v>
      </c>
      <c r="C54" s="202">
        <v>0</v>
      </c>
      <c r="D54" s="202">
        <f t="shared" ref="D54:U54" si="24">D136</f>
        <v>-39.425984536082474</v>
      </c>
      <c r="E54" s="202">
        <f t="shared" si="24"/>
        <v>-47.343688144329896</v>
      </c>
      <c r="F54" s="202">
        <f t="shared" si="24"/>
        <v>-47.343688144329896</v>
      </c>
      <c r="G54" s="202">
        <f t="shared" si="24"/>
        <v>1030.4200213327802</v>
      </c>
      <c r="H54" s="202">
        <f t="shared" si="24"/>
        <v>2175.8454312214553</v>
      </c>
      <c r="I54" s="202">
        <f t="shared" si="24"/>
        <v>3384.1843098227405</v>
      </c>
      <c r="J54" s="202">
        <f t="shared" si="24"/>
        <v>4645.5988595185636</v>
      </c>
      <c r="K54" s="202">
        <f t="shared" si="24"/>
        <v>5960.2586341611914</v>
      </c>
      <c r="L54" s="202">
        <f t="shared" si="24"/>
        <v>7328.322211644193</v>
      </c>
      <c r="M54" s="202">
        <f t="shared" si="24"/>
        <v>8749.9298308821053</v>
      </c>
      <c r="N54" s="202">
        <f t="shared" si="24"/>
        <v>10224.56739815097</v>
      </c>
      <c r="O54" s="202">
        <f t="shared" si="24"/>
        <v>11760.636144283151</v>
      </c>
      <c r="P54" s="202">
        <f t="shared" si="24"/>
        <v>13316.334859737484</v>
      </c>
      <c r="Q54" s="202">
        <f t="shared" si="24"/>
        <v>14816.334859737484</v>
      </c>
      <c r="R54" s="202">
        <f t="shared" si="24"/>
        <v>16276.334859737484</v>
      </c>
      <c r="S54" s="202">
        <f t="shared" si="24"/>
        <v>17676.334859737486</v>
      </c>
      <c r="T54" s="202">
        <f t="shared" si="24"/>
        <v>19016.334859737486</v>
      </c>
      <c r="U54" s="203">
        <f t="shared" si="24"/>
        <v>20296.334859737486</v>
      </c>
    </row>
    <row r="55" spans="2:21" ht="15.5" x14ac:dyDescent="0.35">
      <c r="B55" s="7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3"/>
    </row>
    <row r="56" spans="2:21" ht="15.5" x14ac:dyDescent="0.35">
      <c r="B56" s="7" t="s">
        <v>108</v>
      </c>
      <c r="C56" s="307">
        <v>0</v>
      </c>
      <c r="D56" s="307">
        <f t="shared" ref="D56:U56" si="25">D53+D54</f>
        <v>1212.75</v>
      </c>
      <c r="E56" s="307">
        <f t="shared" si="25"/>
        <v>3136.8245192307691</v>
      </c>
      <c r="F56" s="307">
        <f t="shared" si="25"/>
        <v>4851.0000000000009</v>
      </c>
      <c r="G56" s="307">
        <f t="shared" si="25"/>
        <v>5928.7637094771108</v>
      </c>
      <c r="H56" s="307">
        <f t="shared" si="25"/>
        <v>7074.1891193657857</v>
      </c>
      <c r="I56" s="307">
        <f t="shared" si="25"/>
        <v>8282.5279979670704</v>
      </c>
      <c r="J56" s="307">
        <f t="shared" si="25"/>
        <v>9543.942547662893</v>
      </c>
      <c r="K56" s="307">
        <f t="shared" si="25"/>
        <v>10858.602322305522</v>
      </c>
      <c r="L56" s="307">
        <f t="shared" si="25"/>
        <v>12226.665899788524</v>
      </c>
      <c r="M56" s="307">
        <f t="shared" si="25"/>
        <v>13648.273519026436</v>
      </c>
      <c r="N56" s="307">
        <f t="shared" si="25"/>
        <v>15122.9110862953</v>
      </c>
      <c r="O56" s="307">
        <f t="shared" si="25"/>
        <v>16658.979832427482</v>
      </c>
      <c r="P56" s="307">
        <f t="shared" si="25"/>
        <v>18214.678547881813</v>
      </c>
      <c r="Q56" s="307">
        <f t="shared" si="25"/>
        <v>19714.678547881813</v>
      </c>
      <c r="R56" s="307">
        <f t="shared" si="25"/>
        <v>21174.678547881813</v>
      </c>
      <c r="S56" s="307">
        <f t="shared" si="25"/>
        <v>22574.678547881816</v>
      </c>
      <c r="T56" s="307">
        <f t="shared" si="25"/>
        <v>23914.678547881816</v>
      </c>
      <c r="U56" s="308">
        <f t="shared" si="25"/>
        <v>25194.678547881816</v>
      </c>
    </row>
    <row r="57" spans="2:21" ht="15.5" x14ac:dyDescent="0.35">
      <c r="B57" s="7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3"/>
    </row>
    <row r="58" spans="2:21" ht="15.5" x14ac:dyDescent="0.35">
      <c r="B58" s="304" t="s">
        <v>3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3"/>
    </row>
    <row r="59" spans="2:21" ht="15.5" x14ac:dyDescent="0.35">
      <c r="B59" s="7" t="s">
        <v>77</v>
      </c>
      <c r="C59" s="202">
        <v>0</v>
      </c>
      <c r="D59" s="202">
        <f t="shared" ref="D59:U59" si="26">C59+D86+D87</f>
        <v>2247.6061855670105</v>
      </c>
      <c r="E59" s="202">
        <f t="shared" si="26"/>
        <v>5841.9185567010318</v>
      </c>
      <c r="F59" s="202">
        <f t="shared" si="26"/>
        <v>8758.75</v>
      </c>
      <c r="G59" s="202">
        <f t="shared" si="26"/>
        <v>7757.75</v>
      </c>
      <c r="H59" s="202">
        <f t="shared" si="26"/>
        <v>6756.75</v>
      </c>
      <c r="I59" s="202">
        <f t="shared" si="26"/>
        <v>5755.75</v>
      </c>
      <c r="J59" s="202">
        <f t="shared" si="26"/>
        <v>4754.75</v>
      </c>
      <c r="K59" s="202">
        <f t="shared" si="26"/>
        <v>3753.75</v>
      </c>
      <c r="L59" s="202">
        <f t="shared" si="26"/>
        <v>2752.75</v>
      </c>
      <c r="M59" s="202">
        <f t="shared" si="26"/>
        <v>1751.75</v>
      </c>
      <c r="N59" s="202">
        <f t="shared" si="26"/>
        <v>750.75</v>
      </c>
      <c r="O59" s="202">
        <f t="shared" si="26"/>
        <v>0</v>
      </c>
      <c r="P59" s="202">
        <f t="shared" si="26"/>
        <v>0</v>
      </c>
      <c r="Q59" s="202">
        <f t="shared" si="26"/>
        <v>0</v>
      </c>
      <c r="R59" s="202">
        <f t="shared" si="26"/>
        <v>0</v>
      </c>
      <c r="S59" s="202">
        <f t="shared" si="26"/>
        <v>0</v>
      </c>
      <c r="T59" s="202">
        <f t="shared" si="26"/>
        <v>0</v>
      </c>
      <c r="U59" s="203">
        <f t="shared" si="26"/>
        <v>0</v>
      </c>
    </row>
    <row r="60" spans="2:21" ht="15.5" x14ac:dyDescent="0.35">
      <c r="B60" s="7" t="s">
        <v>78</v>
      </c>
      <c r="C60" s="202">
        <v>0</v>
      </c>
      <c r="D60" s="202">
        <f>C60+D88</f>
        <v>0</v>
      </c>
      <c r="E60" s="202">
        <f>D60+E88</f>
        <v>0</v>
      </c>
      <c r="F60" s="202">
        <f t="shared" ref="F60:U60" si="27">E60+F88+F89</f>
        <v>0</v>
      </c>
      <c r="G60" s="202">
        <f t="shared" si="27"/>
        <v>930</v>
      </c>
      <c r="H60" s="202">
        <f t="shared" si="27"/>
        <v>940</v>
      </c>
      <c r="I60" s="202">
        <f t="shared" si="27"/>
        <v>960</v>
      </c>
      <c r="J60" s="202">
        <f t="shared" si="27"/>
        <v>980</v>
      </c>
      <c r="K60" s="202">
        <f t="shared" si="27"/>
        <v>990</v>
      </c>
      <c r="L60" s="202">
        <f t="shared" si="27"/>
        <v>1010</v>
      </c>
      <c r="M60" s="202">
        <f t="shared" si="27"/>
        <v>1030</v>
      </c>
      <c r="N60" s="202">
        <f t="shared" si="27"/>
        <v>1050</v>
      </c>
      <c r="O60" s="202">
        <f t="shared" si="27"/>
        <v>1070</v>
      </c>
      <c r="P60" s="202">
        <f t="shared" si="27"/>
        <v>1090</v>
      </c>
      <c r="Q60" s="202">
        <f t="shared" si="27"/>
        <v>1110</v>
      </c>
      <c r="R60" s="202">
        <f t="shared" si="27"/>
        <v>1130</v>
      </c>
      <c r="S60" s="202">
        <f t="shared" si="27"/>
        <v>1160</v>
      </c>
      <c r="T60" s="202">
        <f t="shared" si="27"/>
        <v>1180</v>
      </c>
      <c r="U60" s="203">
        <f t="shared" si="27"/>
        <v>1200</v>
      </c>
    </row>
    <row r="61" spans="2:21" ht="15.5" x14ac:dyDescent="0.35">
      <c r="B61" s="7" t="s">
        <v>4</v>
      </c>
      <c r="C61" s="307">
        <v>0</v>
      </c>
      <c r="D61" s="307">
        <f t="shared" ref="D61:U61" si="28">D59+D60</f>
        <v>2247.6061855670105</v>
      </c>
      <c r="E61" s="307">
        <f t="shared" si="28"/>
        <v>5841.9185567010318</v>
      </c>
      <c r="F61" s="307">
        <f t="shared" si="28"/>
        <v>8758.75</v>
      </c>
      <c r="G61" s="307">
        <f t="shared" si="28"/>
        <v>8687.75</v>
      </c>
      <c r="H61" s="307">
        <f t="shared" si="28"/>
        <v>7696.75</v>
      </c>
      <c r="I61" s="307">
        <f t="shared" si="28"/>
        <v>6715.75</v>
      </c>
      <c r="J61" s="307">
        <f t="shared" si="28"/>
        <v>5734.75</v>
      </c>
      <c r="K61" s="307">
        <f t="shared" si="28"/>
        <v>4743.75</v>
      </c>
      <c r="L61" s="307">
        <f t="shared" si="28"/>
        <v>3762.75</v>
      </c>
      <c r="M61" s="307">
        <f t="shared" si="28"/>
        <v>2781.75</v>
      </c>
      <c r="N61" s="307">
        <f t="shared" si="28"/>
        <v>1800.75</v>
      </c>
      <c r="O61" s="307">
        <f t="shared" si="28"/>
        <v>1070</v>
      </c>
      <c r="P61" s="307">
        <f t="shared" si="28"/>
        <v>1090</v>
      </c>
      <c r="Q61" s="307">
        <f t="shared" si="28"/>
        <v>1110</v>
      </c>
      <c r="R61" s="307">
        <f t="shared" si="28"/>
        <v>1130</v>
      </c>
      <c r="S61" s="307">
        <f t="shared" si="28"/>
        <v>1160</v>
      </c>
      <c r="T61" s="307">
        <f t="shared" si="28"/>
        <v>1180</v>
      </c>
      <c r="U61" s="308">
        <f t="shared" si="28"/>
        <v>1200</v>
      </c>
    </row>
    <row r="62" spans="2:21" ht="15.5" x14ac:dyDescent="0.35">
      <c r="B62" s="7" t="s">
        <v>5</v>
      </c>
      <c r="C62" s="307">
        <v>0</v>
      </c>
      <c r="D62" s="307">
        <f t="shared" ref="D62:U62" si="29">D56+D61</f>
        <v>3460.3561855670105</v>
      </c>
      <c r="E62" s="307">
        <f t="shared" si="29"/>
        <v>8978.7430759318013</v>
      </c>
      <c r="F62" s="307">
        <f t="shared" si="29"/>
        <v>13609.75</v>
      </c>
      <c r="G62" s="307">
        <f t="shared" si="29"/>
        <v>14616.513709477111</v>
      </c>
      <c r="H62" s="307">
        <f t="shared" si="29"/>
        <v>14770.939119365787</v>
      </c>
      <c r="I62" s="307">
        <f t="shared" si="29"/>
        <v>14998.27799796707</v>
      </c>
      <c r="J62" s="307">
        <f t="shared" si="29"/>
        <v>15278.692547662893</v>
      </c>
      <c r="K62" s="307">
        <f t="shared" si="29"/>
        <v>15602.352322305522</v>
      </c>
      <c r="L62" s="307">
        <f t="shared" si="29"/>
        <v>15989.415899788524</v>
      </c>
      <c r="M62" s="307">
        <f t="shared" si="29"/>
        <v>16430.023519026436</v>
      </c>
      <c r="N62" s="307">
        <f t="shared" si="29"/>
        <v>16923.661086295302</v>
      </c>
      <c r="O62" s="307">
        <f t="shared" si="29"/>
        <v>17728.979832427482</v>
      </c>
      <c r="P62" s="307">
        <f t="shared" si="29"/>
        <v>19304.678547881813</v>
      </c>
      <c r="Q62" s="307">
        <f t="shared" si="29"/>
        <v>20824.678547881813</v>
      </c>
      <c r="R62" s="307">
        <f t="shared" si="29"/>
        <v>22304.678547881813</v>
      </c>
      <c r="S62" s="307">
        <f t="shared" si="29"/>
        <v>23734.678547881816</v>
      </c>
      <c r="T62" s="307">
        <f t="shared" si="29"/>
        <v>25094.678547881816</v>
      </c>
      <c r="U62" s="308">
        <f t="shared" si="29"/>
        <v>26394.678547881816</v>
      </c>
    </row>
    <row r="63" spans="2:21" ht="15.5" x14ac:dyDescent="0.35">
      <c r="B63" s="7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3"/>
    </row>
    <row r="64" spans="2:21" ht="15.5" x14ac:dyDescent="0.35">
      <c r="B64" s="304" t="s">
        <v>6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3"/>
    </row>
    <row r="65" spans="2:26" ht="15.5" x14ac:dyDescent="0.35">
      <c r="B65" s="7" t="s">
        <v>197</v>
      </c>
      <c r="C65" s="202">
        <v>0</v>
      </c>
      <c r="D65" s="202">
        <v>3460</v>
      </c>
      <c r="E65" s="202">
        <v>8980</v>
      </c>
      <c r="F65" s="202">
        <v>13550</v>
      </c>
      <c r="G65" s="202">
        <v>13550</v>
      </c>
      <c r="H65" s="202">
        <v>13550</v>
      </c>
      <c r="I65" s="202">
        <v>13550</v>
      </c>
      <c r="J65" s="202">
        <v>13550</v>
      </c>
      <c r="K65" s="202">
        <v>13550</v>
      </c>
      <c r="L65" s="202">
        <v>13550</v>
      </c>
      <c r="M65" s="202">
        <v>13550</v>
      </c>
      <c r="N65" s="202">
        <v>13550</v>
      </c>
      <c r="O65" s="202">
        <v>13550</v>
      </c>
      <c r="P65" s="202">
        <v>13550</v>
      </c>
      <c r="Q65" s="202">
        <v>13550</v>
      </c>
      <c r="R65" s="202">
        <v>13550</v>
      </c>
      <c r="S65" s="202">
        <v>13550</v>
      </c>
      <c r="T65" s="202">
        <v>13550</v>
      </c>
      <c r="U65" s="203">
        <v>13550</v>
      </c>
    </row>
    <row r="66" spans="2:26" ht="15.5" x14ac:dyDescent="0.35">
      <c r="B66" s="7" t="s">
        <v>7</v>
      </c>
      <c r="C66" s="202">
        <v>0</v>
      </c>
      <c r="D66" s="202">
        <f>D30</f>
        <v>0</v>
      </c>
      <c r="E66" s="202">
        <f t="shared" ref="E66:U66" si="30">D66+E30</f>
        <v>0</v>
      </c>
      <c r="F66" s="202">
        <f t="shared" si="30"/>
        <v>0</v>
      </c>
      <c r="G66" s="202">
        <f t="shared" si="30"/>
        <v>680</v>
      </c>
      <c r="H66" s="202">
        <f t="shared" si="30"/>
        <v>1360</v>
      </c>
      <c r="I66" s="202">
        <f t="shared" si="30"/>
        <v>2040</v>
      </c>
      <c r="J66" s="202">
        <f t="shared" si="30"/>
        <v>2720</v>
      </c>
      <c r="K66" s="202">
        <f t="shared" si="30"/>
        <v>3400</v>
      </c>
      <c r="L66" s="202">
        <f t="shared" si="30"/>
        <v>4080</v>
      </c>
      <c r="M66" s="202">
        <f t="shared" si="30"/>
        <v>4760</v>
      </c>
      <c r="N66" s="202">
        <f t="shared" si="30"/>
        <v>5440</v>
      </c>
      <c r="O66" s="202">
        <f t="shared" si="30"/>
        <v>6120</v>
      </c>
      <c r="P66" s="202">
        <f t="shared" si="30"/>
        <v>6800</v>
      </c>
      <c r="Q66" s="202">
        <f t="shared" si="30"/>
        <v>7480</v>
      </c>
      <c r="R66" s="202">
        <f t="shared" si="30"/>
        <v>8160</v>
      </c>
      <c r="S66" s="202">
        <f t="shared" si="30"/>
        <v>8840</v>
      </c>
      <c r="T66" s="202">
        <f t="shared" si="30"/>
        <v>9520</v>
      </c>
      <c r="U66" s="203">
        <f t="shared" si="30"/>
        <v>10200</v>
      </c>
    </row>
    <row r="67" spans="2:26" ht="15.5" x14ac:dyDescent="0.35">
      <c r="B67" s="7" t="s">
        <v>8</v>
      </c>
      <c r="C67" s="202">
        <v>0</v>
      </c>
      <c r="D67" s="187">
        <f>D65-D66</f>
        <v>3460</v>
      </c>
      <c r="E67" s="187">
        <f>E65-E66</f>
        <v>8980</v>
      </c>
      <c r="F67" s="187">
        <f>F65-F66</f>
        <v>13550</v>
      </c>
      <c r="G67" s="187">
        <f>G65-G66</f>
        <v>12870</v>
      </c>
      <c r="H67" s="187">
        <f t="shared" ref="H67:U67" si="31">H65-H66</f>
        <v>12190</v>
      </c>
      <c r="I67" s="202">
        <f t="shared" si="31"/>
        <v>11510</v>
      </c>
      <c r="J67" s="202">
        <f t="shared" si="31"/>
        <v>10830</v>
      </c>
      <c r="K67" s="202">
        <f t="shared" si="31"/>
        <v>10150</v>
      </c>
      <c r="L67" s="202">
        <f t="shared" si="31"/>
        <v>9470</v>
      </c>
      <c r="M67" s="202">
        <f t="shared" si="31"/>
        <v>8790</v>
      </c>
      <c r="N67" s="202">
        <f t="shared" si="31"/>
        <v>8110</v>
      </c>
      <c r="O67" s="202">
        <f t="shared" si="31"/>
        <v>7430</v>
      </c>
      <c r="P67" s="202">
        <f t="shared" si="31"/>
        <v>6750</v>
      </c>
      <c r="Q67" s="202">
        <f t="shared" si="31"/>
        <v>6070</v>
      </c>
      <c r="R67" s="202">
        <f t="shared" si="31"/>
        <v>5390</v>
      </c>
      <c r="S67" s="202">
        <f t="shared" si="31"/>
        <v>4710</v>
      </c>
      <c r="T67" s="202">
        <f t="shared" si="31"/>
        <v>4030</v>
      </c>
      <c r="U67" s="203">
        <f t="shared" si="31"/>
        <v>3350</v>
      </c>
    </row>
    <row r="68" spans="2:26" ht="15.5" x14ac:dyDescent="0.35">
      <c r="B68" s="7" t="s">
        <v>57</v>
      </c>
      <c r="C68" s="202">
        <v>0</v>
      </c>
      <c r="D68" s="202">
        <v>0</v>
      </c>
      <c r="E68" s="202">
        <v>0</v>
      </c>
      <c r="F68" s="202">
        <v>0</v>
      </c>
      <c r="G68" s="202">
        <f>G105</f>
        <v>1240</v>
      </c>
      <c r="H68" s="202">
        <f t="shared" ref="H68:U68" si="32">H105</f>
        <v>1250</v>
      </c>
      <c r="I68" s="202">
        <f t="shared" si="32"/>
        <v>1280</v>
      </c>
      <c r="J68" s="202">
        <f t="shared" si="32"/>
        <v>1300</v>
      </c>
      <c r="K68" s="202">
        <f t="shared" si="32"/>
        <v>1320</v>
      </c>
      <c r="L68" s="202">
        <f t="shared" si="32"/>
        <v>1350</v>
      </c>
      <c r="M68" s="202">
        <f t="shared" si="32"/>
        <v>1370</v>
      </c>
      <c r="N68" s="202">
        <f t="shared" si="32"/>
        <v>1400</v>
      </c>
      <c r="O68" s="202">
        <f t="shared" si="32"/>
        <v>1430</v>
      </c>
      <c r="P68" s="202">
        <f t="shared" si="32"/>
        <v>1450</v>
      </c>
      <c r="Q68" s="202">
        <f t="shared" si="32"/>
        <v>1480</v>
      </c>
      <c r="R68" s="202">
        <f t="shared" si="32"/>
        <v>1510</v>
      </c>
      <c r="S68" s="202">
        <f t="shared" si="32"/>
        <v>1540</v>
      </c>
      <c r="T68" s="202">
        <f t="shared" si="32"/>
        <v>1570</v>
      </c>
      <c r="U68" s="203">
        <f t="shared" si="32"/>
        <v>1600</v>
      </c>
    </row>
    <row r="69" spans="2:26" ht="15.5" x14ac:dyDescent="0.35">
      <c r="B69" s="7" t="s">
        <v>112</v>
      </c>
      <c r="C69" s="202">
        <v>0</v>
      </c>
      <c r="D69" s="202">
        <v>0</v>
      </c>
      <c r="E69" s="202">
        <v>0</v>
      </c>
      <c r="F69" s="202">
        <v>0</v>
      </c>
      <c r="G69" s="202">
        <v>0</v>
      </c>
      <c r="H69" s="202">
        <v>0</v>
      </c>
      <c r="I69" s="202">
        <v>0</v>
      </c>
      <c r="J69" s="202">
        <v>0</v>
      </c>
      <c r="K69" s="202">
        <v>0</v>
      </c>
      <c r="L69" s="202">
        <v>0</v>
      </c>
      <c r="M69" s="202">
        <v>0</v>
      </c>
      <c r="N69" s="202">
        <v>10</v>
      </c>
      <c r="O69" s="202">
        <v>50</v>
      </c>
      <c r="P69" s="202">
        <v>120</v>
      </c>
      <c r="Q69" s="202">
        <v>210</v>
      </c>
      <c r="R69" s="202">
        <v>320</v>
      </c>
      <c r="S69" s="187">
        <v>450</v>
      </c>
      <c r="T69" s="202">
        <v>590</v>
      </c>
      <c r="U69" s="203">
        <v>740</v>
      </c>
    </row>
    <row r="70" spans="2:26" ht="15.5" x14ac:dyDescent="0.35">
      <c r="B70" s="7" t="s">
        <v>9</v>
      </c>
      <c r="C70" s="202">
        <v>0</v>
      </c>
      <c r="D70" s="202">
        <f t="shared" ref="D70:U70" si="33">D99</f>
        <v>0.35618556701047055</v>
      </c>
      <c r="E70" s="202">
        <f t="shared" si="33"/>
        <v>-1.2569240681996234</v>
      </c>
      <c r="F70" s="202">
        <f t="shared" si="33"/>
        <v>59.75</v>
      </c>
      <c r="G70" s="202">
        <f t="shared" si="33"/>
        <v>506.51370947711007</v>
      </c>
      <c r="H70" s="202">
        <f t="shared" si="33"/>
        <v>1330.939119365785</v>
      </c>
      <c r="I70" s="202">
        <f t="shared" si="33"/>
        <v>2208.2779979670704</v>
      </c>
      <c r="J70" s="202">
        <f t="shared" si="33"/>
        <v>3148.692547662893</v>
      </c>
      <c r="K70" s="202">
        <f t="shared" si="33"/>
        <v>4132.3523223055217</v>
      </c>
      <c r="L70" s="202">
        <f t="shared" si="33"/>
        <v>5169.4158997885224</v>
      </c>
      <c r="M70" s="202">
        <f t="shared" si="33"/>
        <v>6270.0235190264339</v>
      </c>
      <c r="N70" s="202">
        <f t="shared" si="33"/>
        <v>7403.6610862952984</v>
      </c>
      <c r="O70" s="202">
        <f t="shared" si="33"/>
        <v>8818.9798324274798</v>
      </c>
      <c r="P70" s="202">
        <f t="shared" si="33"/>
        <v>10984.678547881813</v>
      </c>
      <c r="Q70" s="202">
        <f t="shared" si="33"/>
        <v>13064.678547881813</v>
      </c>
      <c r="R70" s="202">
        <f t="shared" si="33"/>
        <v>15084.678547881813</v>
      </c>
      <c r="S70" s="202">
        <f t="shared" si="33"/>
        <v>17034.678547881813</v>
      </c>
      <c r="T70" s="202">
        <f t="shared" si="33"/>
        <v>18904.678547881813</v>
      </c>
      <c r="U70" s="203">
        <f t="shared" si="33"/>
        <v>20704.678547881813</v>
      </c>
    </row>
    <row r="71" spans="2:26" ht="15.5" x14ac:dyDescent="0.35">
      <c r="B71" s="7" t="s">
        <v>10</v>
      </c>
      <c r="C71" s="202">
        <v>0</v>
      </c>
      <c r="D71" s="186">
        <f t="shared" ref="D71:U71" si="34">SUM(D67:D70)</f>
        <v>3460.3561855670105</v>
      </c>
      <c r="E71" s="186">
        <f t="shared" si="34"/>
        <v>8978.7430759318013</v>
      </c>
      <c r="F71" s="186">
        <f t="shared" si="34"/>
        <v>13609.75</v>
      </c>
      <c r="G71" s="186">
        <f t="shared" si="34"/>
        <v>14616.513709477111</v>
      </c>
      <c r="H71" s="307">
        <f t="shared" si="34"/>
        <v>14770.939119365785</v>
      </c>
      <c r="I71" s="307">
        <f t="shared" si="34"/>
        <v>14998.27799796707</v>
      </c>
      <c r="J71" s="307">
        <f t="shared" si="34"/>
        <v>15278.692547662893</v>
      </c>
      <c r="K71" s="307">
        <f t="shared" si="34"/>
        <v>15602.352322305522</v>
      </c>
      <c r="L71" s="307">
        <f t="shared" si="34"/>
        <v>15989.415899788522</v>
      </c>
      <c r="M71" s="307">
        <f t="shared" si="34"/>
        <v>16430.023519026436</v>
      </c>
      <c r="N71" s="307">
        <f t="shared" si="34"/>
        <v>16923.661086295298</v>
      </c>
      <c r="O71" s="307">
        <f t="shared" si="34"/>
        <v>17728.979832427482</v>
      </c>
      <c r="P71" s="307">
        <f t="shared" si="34"/>
        <v>19304.678547881813</v>
      </c>
      <c r="Q71" s="307">
        <f t="shared" si="34"/>
        <v>20824.678547881813</v>
      </c>
      <c r="R71" s="307">
        <f t="shared" si="34"/>
        <v>22304.678547881813</v>
      </c>
      <c r="S71" s="307">
        <f t="shared" si="34"/>
        <v>23734.678547881813</v>
      </c>
      <c r="T71" s="307">
        <f t="shared" si="34"/>
        <v>25094.678547881813</v>
      </c>
      <c r="U71" s="308">
        <f t="shared" si="34"/>
        <v>26394.678547881813</v>
      </c>
      <c r="W71" s="34"/>
      <c r="X71" s="34"/>
      <c r="Y71" s="34"/>
      <c r="Z71" s="34"/>
    </row>
    <row r="72" spans="2:26" x14ac:dyDescent="0.35">
      <c r="B72" s="329" t="s">
        <v>185</v>
      </c>
      <c r="C72" s="16"/>
      <c r="D72" s="269">
        <f t="shared" ref="D72:U72" si="35">D62-D71</f>
        <v>0</v>
      </c>
      <c r="E72" s="269">
        <f t="shared" si="35"/>
        <v>0</v>
      </c>
      <c r="F72" s="269">
        <f t="shared" si="35"/>
        <v>0</v>
      </c>
      <c r="G72" s="269">
        <f t="shared" si="35"/>
        <v>0</v>
      </c>
      <c r="H72" s="269">
        <f t="shared" si="35"/>
        <v>0</v>
      </c>
      <c r="I72" s="269">
        <f t="shared" si="35"/>
        <v>0</v>
      </c>
      <c r="J72" s="269">
        <f t="shared" si="35"/>
        <v>0</v>
      </c>
      <c r="K72" s="269">
        <f t="shared" si="35"/>
        <v>0</v>
      </c>
      <c r="L72" s="269">
        <f t="shared" si="35"/>
        <v>0</v>
      </c>
      <c r="M72" s="269">
        <f t="shared" si="35"/>
        <v>0</v>
      </c>
      <c r="N72" s="269">
        <f t="shared" si="35"/>
        <v>0</v>
      </c>
      <c r="O72" s="269">
        <f t="shared" si="35"/>
        <v>0</v>
      </c>
      <c r="P72" s="269">
        <f t="shared" si="35"/>
        <v>0</v>
      </c>
      <c r="Q72" s="269">
        <f t="shared" si="35"/>
        <v>0</v>
      </c>
      <c r="R72" s="269">
        <f t="shared" si="35"/>
        <v>0</v>
      </c>
      <c r="S72" s="269">
        <f t="shared" si="35"/>
        <v>0</v>
      </c>
      <c r="T72" s="269">
        <f t="shared" si="35"/>
        <v>0</v>
      </c>
      <c r="U72" s="269">
        <f t="shared" si="35"/>
        <v>0</v>
      </c>
    </row>
    <row r="73" spans="2:26" ht="15" thickBot="1" x14ac:dyDescent="0.4">
      <c r="B73" s="15"/>
      <c r="C73" s="16"/>
      <c r="D73" s="17"/>
      <c r="E73" s="17"/>
      <c r="F73" s="17"/>
      <c r="G73" s="13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2:26" ht="16" thickBot="1" x14ac:dyDescent="0.4">
      <c r="B74" s="299" t="s">
        <v>176</v>
      </c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1"/>
    </row>
    <row r="75" spans="2:26" ht="16" thickBot="1" x14ac:dyDescent="0.4">
      <c r="B75" s="306" t="s">
        <v>110</v>
      </c>
      <c r="C75" s="2">
        <v>2009</v>
      </c>
      <c r="D75" s="2">
        <v>2010</v>
      </c>
      <c r="E75" s="2">
        <v>2011</v>
      </c>
      <c r="F75" s="2">
        <v>2012</v>
      </c>
      <c r="G75" s="2">
        <v>2013</v>
      </c>
      <c r="H75" s="2">
        <v>2014</v>
      </c>
      <c r="I75" s="2">
        <v>2015</v>
      </c>
      <c r="J75" s="2">
        <v>2016</v>
      </c>
      <c r="K75" s="2">
        <v>2017</v>
      </c>
      <c r="L75" s="2">
        <v>2018</v>
      </c>
      <c r="M75" s="2">
        <v>2019</v>
      </c>
      <c r="N75" s="2">
        <v>2020</v>
      </c>
      <c r="O75" s="2">
        <v>2021</v>
      </c>
      <c r="P75" s="2">
        <v>2022</v>
      </c>
      <c r="Q75" s="2">
        <v>2023</v>
      </c>
      <c r="R75" s="2">
        <v>2024</v>
      </c>
      <c r="S75" s="2">
        <v>2025</v>
      </c>
      <c r="T75" s="2">
        <v>2026</v>
      </c>
      <c r="U75" s="3">
        <v>2027</v>
      </c>
    </row>
    <row r="76" spans="2:26" ht="15.5" x14ac:dyDescent="0.35">
      <c r="B76" s="305" t="s">
        <v>180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2:26" ht="15.5" x14ac:dyDescent="0.35">
      <c r="B77" s="336" t="s">
        <v>87</v>
      </c>
      <c r="C77" s="202"/>
      <c r="D77" s="202">
        <f t="shared" ref="D77:U77" si="36">D35</f>
        <v>0</v>
      </c>
      <c r="E77" s="202">
        <f t="shared" si="36"/>
        <v>0</v>
      </c>
      <c r="F77" s="202">
        <f t="shared" si="36"/>
        <v>0</v>
      </c>
      <c r="G77" s="202">
        <f t="shared" si="36"/>
        <v>1184.0458852231843</v>
      </c>
      <c r="H77" s="202">
        <f t="shared" si="36"/>
        <v>1246.6271844613104</v>
      </c>
      <c r="I77" s="202">
        <f t="shared" si="36"/>
        <v>1310.7148655795124</v>
      </c>
      <c r="J77" s="202">
        <f t="shared" si="36"/>
        <v>1359.9564079721079</v>
      </c>
      <c r="K77" s="202">
        <f t="shared" si="36"/>
        <v>1417.7413939955093</v>
      </c>
      <c r="L77" s="202">
        <f t="shared" si="36"/>
        <v>1472.28170094185</v>
      </c>
      <c r="M77" s="202">
        <f t="shared" si="36"/>
        <v>1522.8708181083589</v>
      </c>
      <c r="N77" s="202">
        <f t="shared" si="36"/>
        <v>1580.0097230457236</v>
      </c>
      <c r="O77" s="202">
        <f t="shared" si="36"/>
        <v>1640.9616817716296</v>
      </c>
      <c r="P77" s="202">
        <f t="shared" si="36"/>
        <v>1642.5119006800455</v>
      </c>
      <c r="Q77" s="202">
        <f t="shared" si="36"/>
        <v>1602.3832825894297</v>
      </c>
      <c r="R77" s="202">
        <f t="shared" si="36"/>
        <v>1553.0549131738785</v>
      </c>
      <c r="S77" s="202">
        <f t="shared" si="36"/>
        <v>1509.0503401560723</v>
      </c>
      <c r="T77" s="202">
        <f t="shared" si="36"/>
        <v>1440.8210037491112</v>
      </c>
      <c r="U77" s="203">
        <f t="shared" si="36"/>
        <v>1378.8132810295565</v>
      </c>
    </row>
    <row r="78" spans="2:26" ht="15.5" x14ac:dyDescent="0.35">
      <c r="B78" s="313" t="s">
        <v>30</v>
      </c>
      <c r="C78" s="202"/>
      <c r="D78" s="202">
        <f t="shared" ref="D78:U78" si="37">D30</f>
        <v>0</v>
      </c>
      <c r="E78" s="202">
        <f t="shared" si="37"/>
        <v>0</v>
      </c>
      <c r="F78" s="202">
        <f t="shared" si="37"/>
        <v>0</v>
      </c>
      <c r="G78" s="202">
        <f t="shared" si="37"/>
        <v>680</v>
      </c>
      <c r="H78" s="202">
        <f t="shared" si="37"/>
        <v>680</v>
      </c>
      <c r="I78" s="202">
        <f t="shared" si="37"/>
        <v>680</v>
      </c>
      <c r="J78" s="202">
        <f t="shared" si="37"/>
        <v>680</v>
      </c>
      <c r="K78" s="202">
        <f t="shared" si="37"/>
        <v>680</v>
      </c>
      <c r="L78" s="202">
        <f t="shared" si="37"/>
        <v>680</v>
      </c>
      <c r="M78" s="202">
        <f t="shared" si="37"/>
        <v>680</v>
      </c>
      <c r="N78" s="202">
        <f t="shared" si="37"/>
        <v>680</v>
      </c>
      <c r="O78" s="202">
        <f t="shared" si="37"/>
        <v>680</v>
      </c>
      <c r="P78" s="202">
        <f t="shared" si="37"/>
        <v>680</v>
      </c>
      <c r="Q78" s="202">
        <f t="shared" si="37"/>
        <v>680</v>
      </c>
      <c r="R78" s="202">
        <f t="shared" si="37"/>
        <v>680</v>
      </c>
      <c r="S78" s="202">
        <f t="shared" si="37"/>
        <v>680</v>
      </c>
      <c r="T78" s="202">
        <f t="shared" si="37"/>
        <v>680</v>
      </c>
      <c r="U78" s="203">
        <f t="shared" si="37"/>
        <v>680</v>
      </c>
    </row>
    <row r="79" spans="2:26" ht="15.5" x14ac:dyDescent="0.35">
      <c r="B79" s="313" t="s">
        <v>184</v>
      </c>
      <c r="C79" s="202"/>
      <c r="D79" s="202">
        <f t="shared" ref="D79:U79" si="38">C65-D65</f>
        <v>-3460</v>
      </c>
      <c r="E79" s="202">
        <f t="shared" si="38"/>
        <v>-5520</v>
      </c>
      <c r="F79" s="202">
        <f t="shared" si="38"/>
        <v>-4570</v>
      </c>
      <c r="G79" s="202">
        <f t="shared" si="38"/>
        <v>0</v>
      </c>
      <c r="H79" s="202">
        <f t="shared" si="38"/>
        <v>0</v>
      </c>
      <c r="I79" s="202">
        <f t="shared" si="38"/>
        <v>0</v>
      </c>
      <c r="J79" s="202">
        <f t="shared" si="38"/>
        <v>0</v>
      </c>
      <c r="K79" s="202">
        <f t="shared" si="38"/>
        <v>0</v>
      </c>
      <c r="L79" s="202">
        <f t="shared" si="38"/>
        <v>0</v>
      </c>
      <c r="M79" s="202">
        <f t="shared" si="38"/>
        <v>0</v>
      </c>
      <c r="N79" s="202">
        <f t="shared" si="38"/>
        <v>0</v>
      </c>
      <c r="O79" s="202">
        <f t="shared" si="38"/>
        <v>0</v>
      </c>
      <c r="P79" s="202">
        <f t="shared" si="38"/>
        <v>0</v>
      </c>
      <c r="Q79" s="202">
        <f t="shared" si="38"/>
        <v>0</v>
      </c>
      <c r="R79" s="202">
        <f t="shared" si="38"/>
        <v>0</v>
      </c>
      <c r="S79" s="202">
        <f t="shared" si="38"/>
        <v>0</v>
      </c>
      <c r="T79" s="202">
        <f t="shared" si="38"/>
        <v>0</v>
      </c>
      <c r="U79" s="203">
        <f t="shared" si="38"/>
        <v>0</v>
      </c>
    </row>
    <row r="80" spans="2:26" ht="15.5" x14ac:dyDescent="0.35">
      <c r="B80" s="313" t="s">
        <v>230</v>
      </c>
      <c r="C80" s="202"/>
      <c r="D80" s="202">
        <f t="shared" ref="D80:U80" si="39">C68-D68</f>
        <v>0</v>
      </c>
      <c r="E80" s="202">
        <f t="shared" si="39"/>
        <v>0</v>
      </c>
      <c r="F80" s="202">
        <f t="shared" si="39"/>
        <v>0</v>
      </c>
      <c r="G80" s="202">
        <f t="shared" si="39"/>
        <v>-1240</v>
      </c>
      <c r="H80" s="202">
        <f t="shared" si="39"/>
        <v>-10</v>
      </c>
      <c r="I80" s="202">
        <f t="shared" si="39"/>
        <v>-30</v>
      </c>
      <c r="J80" s="202">
        <f t="shared" si="39"/>
        <v>-20</v>
      </c>
      <c r="K80" s="202">
        <f t="shared" si="39"/>
        <v>-20</v>
      </c>
      <c r="L80" s="202">
        <f t="shared" si="39"/>
        <v>-30</v>
      </c>
      <c r="M80" s="202">
        <f t="shared" si="39"/>
        <v>-20</v>
      </c>
      <c r="N80" s="202">
        <f t="shared" si="39"/>
        <v>-30</v>
      </c>
      <c r="O80" s="202">
        <f t="shared" si="39"/>
        <v>-30</v>
      </c>
      <c r="P80" s="202">
        <f t="shared" si="39"/>
        <v>-20</v>
      </c>
      <c r="Q80" s="202">
        <f t="shared" si="39"/>
        <v>-30</v>
      </c>
      <c r="R80" s="202">
        <f t="shared" si="39"/>
        <v>-30</v>
      </c>
      <c r="S80" s="202">
        <f t="shared" si="39"/>
        <v>-30</v>
      </c>
      <c r="T80" s="202">
        <f t="shared" si="39"/>
        <v>-30</v>
      </c>
      <c r="U80" s="203">
        <f t="shared" si="39"/>
        <v>-30</v>
      </c>
    </row>
    <row r="81" spans="2:24" ht="15.5" x14ac:dyDescent="0.35">
      <c r="B81" s="313" t="s">
        <v>231</v>
      </c>
      <c r="C81" s="202"/>
      <c r="D81" s="202">
        <f t="shared" ref="D81:U81" si="40">C69-D69</f>
        <v>0</v>
      </c>
      <c r="E81" s="202">
        <f t="shared" si="40"/>
        <v>0</v>
      </c>
      <c r="F81" s="202">
        <f t="shared" si="40"/>
        <v>0</v>
      </c>
      <c r="G81" s="202">
        <f t="shared" si="40"/>
        <v>0</v>
      </c>
      <c r="H81" s="202">
        <f t="shared" si="40"/>
        <v>0</v>
      </c>
      <c r="I81" s="202">
        <f t="shared" si="40"/>
        <v>0</v>
      </c>
      <c r="J81" s="202">
        <f t="shared" si="40"/>
        <v>0</v>
      </c>
      <c r="K81" s="202">
        <f t="shared" si="40"/>
        <v>0</v>
      </c>
      <c r="L81" s="202">
        <f t="shared" si="40"/>
        <v>0</v>
      </c>
      <c r="M81" s="202">
        <f t="shared" si="40"/>
        <v>0</v>
      </c>
      <c r="N81" s="202">
        <f t="shared" si="40"/>
        <v>-10</v>
      </c>
      <c r="O81" s="202">
        <f t="shared" si="40"/>
        <v>-40</v>
      </c>
      <c r="P81" s="202">
        <f t="shared" si="40"/>
        <v>-70</v>
      </c>
      <c r="Q81" s="202">
        <f t="shared" si="40"/>
        <v>-90</v>
      </c>
      <c r="R81" s="202">
        <f t="shared" si="40"/>
        <v>-110</v>
      </c>
      <c r="S81" s="202">
        <f t="shared" si="40"/>
        <v>-130</v>
      </c>
      <c r="T81" s="202">
        <f t="shared" si="40"/>
        <v>-140</v>
      </c>
      <c r="U81" s="203">
        <f t="shared" si="40"/>
        <v>-150</v>
      </c>
    </row>
    <row r="82" spans="2:24" ht="15.5" x14ac:dyDescent="0.35">
      <c r="B82" s="313" t="s">
        <v>145</v>
      </c>
      <c r="C82" s="202"/>
      <c r="D82" s="202">
        <f t="shared" ref="D82:U82" si="41">D28+D29</f>
        <v>0</v>
      </c>
      <c r="E82" s="202">
        <f t="shared" si="41"/>
        <v>0</v>
      </c>
      <c r="F82" s="202">
        <f t="shared" si="41"/>
        <v>0</v>
      </c>
      <c r="G82" s="202">
        <f t="shared" si="41"/>
        <v>1102.5899999999999</v>
      </c>
      <c r="H82" s="202">
        <f t="shared" si="41"/>
        <v>983.07</v>
      </c>
      <c r="I82" s="202">
        <f t="shared" si="41"/>
        <v>864.75</v>
      </c>
      <c r="J82" s="202">
        <f t="shared" si="41"/>
        <v>747.03</v>
      </c>
      <c r="K82" s="202">
        <f t="shared" si="41"/>
        <v>628.71</v>
      </c>
      <c r="L82" s="202">
        <f t="shared" si="41"/>
        <v>510.39</v>
      </c>
      <c r="M82" s="202">
        <f t="shared" si="41"/>
        <v>392.66999999999996</v>
      </c>
      <c r="N82" s="202">
        <f t="shared" si="41"/>
        <v>274.95</v>
      </c>
      <c r="O82" s="202">
        <f t="shared" si="41"/>
        <v>172.245</v>
      </c>
      <c r="P82" s="202">
        <f t="shared" si="41"/>
        <v>129.6</v>
      </c>
      <c r="Q82" s="202">
        <f t="shared" si="41"/>
        <v>132</v>
      </c>
      <c r="R82" s="202">
        <f t="shared" si="41"/>
        <v>134.4</v>
      </c>
      <c r="S82" s="202">
        <f t="shared" si="41"/>
        <v>137.4</v>
      </c>
      <c r="T82" s="202">
        <f t="shared" si="41"/>
        <v>140.4</v>
      </c>
      <c r="U82" s="203">
        <f t="shared" si="41"/>
        <v>142.79999999999998</v>
      </c>
    </row>
    <row r="83" spans="2:24" ht="15.5" x14ac:dyDescent="0.35">
      <c r="B83" s="7" t="s">
        <v>183</v>
      </c>
      <c r="C83" s="307"/>
      <c r="D83" s="307">
        <f>SUM(D77:D82)</f>
        <v>-3460</v>
      </c>
      <c r="E83" s="307">
        <f t="shared" ref="E83:U83" si="42">SUM(E77:E82)</f>
        <v>-5520</v>
      </c>
      <c r="F83" s="307">
        <f t="shared" si="42"/>
        <v>-4570</v>
      </c>
      <c r="G83" s="307">
        <f t="shared" si="42"/>
        <v>1726.6358852231842</v>
      </c>
      <c r="H83" s="307">
        <f t="shared" si="42"/>
        <v>2899.6971844613104</v>
      </c>
      <c r="I83" s="307">
        <f t="shared" si="42"/>
        <v>2825.4648655795127</v>
      </c>
      <c r="J83" s="307">
        <f t="shared" si="42"/>
        <v>2766.9864079721078</v>
      </c>
      <c r="K83" s="307">
        <f t="shared" si="42"/>
        <v>2706.4513939955095</v>
      </c>
      <c r="L83" s="307">
        <f t="shared" si="42"/>
        <v>2632.6717009418498</v>
      </c>
      <c r="M83" s="307">
        <f t="shared" si="42"/>
        <v>2575.540818108359</v>
      </c>
      <c r="N83" s="307">
        <f t="shared" si="42"/>
        <v>2494.9597230457234</v>
      </c>
      <c r="O83" s="307">
        <f t="shared" si="42"/>
        <v>2423.2066817716295</v>
      </c>
      <c r="P83" s="307">
        <f t="shared" si="42"/>
        <v>2362.1119006800454</v>
      </c>
      <c r="Q83" s="307">
        <f t="shared" si="42"/>
        <v>2294.3832825894297</v>
      </c>
      <c r="R83" s="307">
        <f t="shared" si="42"/>
        <v>2227.4549131738786</v>
      </c>
      <c r="S83" s="307">
        <f t="shared" si="42"/>
        <v>2166.4503401560723</v>
      </c>
      <c r="T83" s="307">
        <f t="shared" si="42"/>
        <v>2091.2210037491113</v>
      </c>
      <c r="U83" s="308">
        <f t="shared" si="42"/>
        <v>2021.6132810295564</v>
      </c>
    </row>
    <row r="84" spans="2:24" ht="15.5" x14ac:dyDescent="0.35">
      <c r="B84" s="7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3"/>
    </row>
    <row r="85" spans="2:24" ht="15.5" x14ac:dyDescent="0.35">
      <c r="B85" s="304" t="s">
        <v>181</v>
      </c>
      <c r="C85" s="202"/>
      <c r="D85" s="202"/>
      <c r="E85" s="202"/>
      <c r="F85" s="202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203"/>
    </row>
    <row r="86" spans="2:24" ht="15.5" x14ac:dyDescent="0.35">
      <c r="B86" s="313" t="s">
        <v>190</v>
      </c>
      <c r="C86" s="202"/>
      <c r="D86" s="202">
        <f>N4</f>
        <v>2247.6061855670105</v>
      </c>
      <c r="E86" s="202">
        <f>O4</f>
        <v>3594.3123711340209</v>
      </c>
      <c r="F86" s="202">
        <f>P4</f>
        <v>3167.0814432989687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>
        <v>0</v>
      </c>
      <c r="T86" s="202">
        <v>0</v>
      </c>
      <c r="U86" s="203">
        <v>0</v>
      </c>
      <c r="W86" s="409">
        <f>SUM(D86:U86)</f>
        <v>9009</v>
      </c>
      <c r="X86" s="332" t="s">
        <v>273</v>
      </c>
    </row>
    <row r="87" spans="2:24" ht="15.5" x14ac:dyDescent="0.35">
      <c r="B87" s="313" t="s">
        <v>241</v>
      </c>
      <c r="C87" s="202"/>
      <c r="D87" s="202">
        <v>0</v>
      </c>
      <c r="E87" s="202">
        <v>0</v>
      </c>
      <c r="F87" s="407">
        <f>-(($D$86+$E$86+$F$86)/36)*1</f>
        <v>-250.25</v>
      </c>
      <c r="G87" s="407">
        <f t="shared" ref="G87:N87" si="43">-(($D$86+$E$86+$F$86)/36)*4</f>
        <v>-1001</v>
      </c>
      <c r="H87" s="407">
        <f t="shared" si="43"/>
        <v>-1001</v>
      </c>
      <c r="I87" s="407">
        <f t="shared" si="43"/>
        <v>-1001</v>
      </c>
      <c r="J87" s="407">
        <f t="shared" si="43"/>
        <v>-1001</v>
      </c>
      <c r="K87" s="407">
        <f t="shared" si="43"/>
        <v>-1001</v>
      </c>
      <c r="L87" s="407">
        <f t="shared" si="43"/>
        <v>-1001</v>
      </c>
      <c r="M87" s="407">
        <f t="shared" si="43"/>
        <v>-1001</v>
      </c>
      <c r="N87" s="407">
        <f t="shared" si="43"/>
        <v>-1001</v>
      </c>
      <c r="O87" s="407">
        <f>-(($D$86+$E$86+$F$86)/36)*3</f>
        <v>-750.75</v>
      </c>
      <c r="P87" s="407">
        <f>Loan!P22</f>
        <v>0</v>
      </c>
      <c r="Q87" s="407">
        <f>Loan!Q22</f>
        <v>0</v>
      </c>
      <c r="R87" s="202">
        <v>0</v>
      </c>
      <c r="S87" s="202">
        <v>0</v>
      </c>
      <c r="T87" s="202">
        <v>0</v>
      </c>
      <c r="U87" s="203">
        <v>0</v>
      </c>
      <c r="W87" s="409">
        <f>SUM(D87:U87)</f>
        <v>-9009</v>
      </c>
      <c r="X87" s="332" t="s">
        <v>273</v>
      </c>
    </row>
    <row r="88" spans="2:24" ht="15.5" x14ac:dyDescent="0.35">
      <c r="B88" s="313" t="s">
        <v>186</v>
      </c>
      <c r="C88" s="339"/>
      <c r="D88" s="202">
        <v>0</v>
      </c>
      <c r="E88" s="202">
        <v>0</v>
      </c>
      <c r="F88" s="202">
        <v>0</v>
      </c>
      <c r="G88" s="202">
        <v>930</v>
      </c>
      <c r="H88" s="202">
        <v>10</v>
      </c>
      <c r="I88" s="202">
        <v>20</v>
      </c>
      <c r="J88" s="202">
        <v>20</v>
      </c>
      <c r="K88" s="202">
        <v>10</v>
      </c>
      <c r="L88" s="202">
        <v>20</v>
      </c>
      <c r="M88" s="202">
        <v>20</v>
      </c>
      <c r="N88" s="202">
        <v>20</v>
      </c>
      <c r="O88" s="202">
        <v>20</v>
      </c>
      <c r="P88" s="202">
        <v>20</v>
      </c>
      <c r="Q88" s="202">
        <v>20</v>
      </c>
      <c r="R88" s="202">
        <v>20</v>
      </c>
      <c r="S88" s="202">
        <v>30</v>
      </c>
      <c r="T88" s="202">
        <v>20</v>
      </c>
      <c r="U88" s="203">
        <v>20</v>
      </c>
      <c r="V88" s="284"/>
    </row>
    <row r="89" spans="2:24" ht="15.5" x14ac:dyDescent="0.35">
      <c r="B89" s="313" t="s">
        <v>240</v>
      </c>
      <c r="C89" s="339"/>
      <c r="D89" s="202">
        <v>0</v>
      </c>
      <c r="E89" s="202">
        <v>0</v>
      </c>
      <c r="F89" s="202">
        <v>0</v>
      </c>
      <c r="G89" s="407">
        <f t="shared" ref="G89:U89" si="44">G123</f>
        <v>0</v>
      </c>
      <c r="H89" s="407">
        <f t="shared" si="44"/>
        <v>0</v>
      </c>
      <c r="I89" s="407">
        <f t="shared" si="44"/>
        <v>0</v>
      </c>
      <c r="J89" s="407">
        <f t="shared" si="44"/>
        <v>0</v>
      </c>
      <c r="K89" s="407">
        <f t="shared" si="44"/>
        <v>0</v>
      </c>
      <c r="L89" s="407">
        <f t="shared" si="44"/>
        <v>0</v>
      </c>
      <c r="M89" s="407">
        <f t="shared" si="44"/>
        <v>0</v>
      </c>
      <c r="N89" s="407">
        <f t="shared" si="44"/>
        <v>0</v>
      </c>
      <c r="O89" s="407">
        <f t="shared" si="44"/>
        <v>0</v>
      </c>
      <c r="P89" s="407">
        <f t="shared" si="44"/>
        <v>0</v>
      </c>
      <c r="Q89" s="407">
        <f t="shared" si="44"/>
        <v>0</v>
      </c>
      <c r="R89" s="407">
        <f t="shared" si="44"/>
        <v>0</v>
      </c>
      <c r="S89" s="407">
        <f t="shared" si="44"/>
        <v>0</v>
      </c>
      <c r="T89" s="407">
        <f t="shared" si="44"/>
        <v>0</v>
      </c>
      <c r="U89" s="417">
        <f t="shared" si="44"/>
        <v>0</v>
      </c>
      <c r="V89" s="284"/>
    </row>
    <row r="90" spans="2:24" ht="15.5" x14ac:dyDescent="0.35">
      <c r="B90" s="313" t="s">
        <v>145</v>
      </c>
      <c r="C90" s="202"/>
      <c r="D90" s="407">
        <f>-D117</f>
        <v>-39.425984536082474</v>
      </c>
      <c r="E90" s="407">
        <f>-E117</f>
        <v>-7.9177036082474217</v>
      </c>
      <c r="F90" s="407">
        <f>-F117</f>
        <v>0</v>
      </c>
      <c r="G90" s="202">
        <f t="shared" ref="G90:U90" si="45">-G82</f>
        <v>-1102.5899999999999</v>
      </c>
      <c r="H90" s="202">
        <f t="shared" si="45"/>
        <v>-983.07</v>
      </c>
      <c r="I90" s="202">
        <f t="shared" si="45"/>
        <v>-864.75</v>
      </c>
      <c r="J90" s="202">
        <f t="shared" si="45"/>
        <v>-747.03</v>
      </c>
      <c r="K90" s="202">
        <f t="shared" si="45"/>
        <v>-628.71</v>
      </c>
      <c r="L90" s="202">
        <f t="shared" si="45"/>
        <v>-510.39</v>
      </c>
      <c r="M90" s="202">
        <f t="shared" si="45"/>
        <v>-392.66999999999996</v>
      </c>
      <c r="N90" s="202">
        <f t="shared" si="45"/>
        <v>-274.95</v>
      </c>
      <c r="O90" s="202">
        <f t="shared" si="45"/>
        <v>-172.245</v>
      </c>
      <c r="P90" s="202">
        <f t="shared" si="45"/>
        <v>-129.6</v>
      </c>
      <c r="Q90" s="202">
        <f t="shared" si="45"/>
        <v>-132</v>
      </c>
      <c r="R90" s="202">
        <f t="shared" si="45"/>
        <v>-134.4</v>
      </c>
      <c r="S90" s="202">
        <f t="shared" si="45"/>
        <v>-137.4</v>
      </c>
      <c r="T90" s="202">
        <f t="shared" si="45"/>
        <v>-140.4</v>
      </c>
      <c r="U90" s="203">
        <f t="shared" si="45"/>
        <v>-142.79999999999998</v>
      </c>
    </row>
    <row r="91" spans="2:24" ht="15.5" x14ac:dyDescent="0.35">
      <c r="B91" s="313" t="s">
        <v>303</v>
      </c>
      <c r="C91" s="202"/>
      <c r="D91" s="407">
        <f>-D90</f>
        <v>39.425984536082474</v>
      </c>
      <c r="E91" s="407">
        <f>-E90</f>
        <v>7.9177036082474217</v>
      </c>
      <c r="F91" s="407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3"/>
    </row>
    <row r="92" spans="2:24" ht="15.5" x14ac:dyDescent="0.35">
      <c r="B92" s="313" t="s">
        <v>191</v>
      </c>
      <c r="C92" s="202"/>
      <c r="D92" s="202">
        <f>N6</f>
        <v>1212.75</v>
      </c>
      <c r="E92" s="202">
        <f>O6</f>
        <v>1924.0745192307691</v>
      </c>
      <c r="F92" s="202">
        <f>P6</f>
        <v>1714.1754807692309</v>
      </c>
      <c r="G92" s="202">
        <v>0</v>
      </c>
      <c r="H92" s="202">
        <v>0</v>
      </c>
      <c r="I92" s="202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>
        <v>0</v>
      </c>
      <c r="T92" s="202">
        <v>0</v>
      </c>
      <c r="U92" s="203">
        <v>0</v>
      </c>
    </row>
    <row r="93" spans="2:24" ht="15.5" x14ac:dyDescent="0.35">
      <c r="B93" s="313" t="s">
        <v>255</v>
      </c>
      <c r="C93" s="202"/>
      <c r="D93" s="202">
        <v>0</v>
      </c>
      <c r="E93" s="202">
        <v>0</v>
      </c>
      <c r="F93" s="202">
        <v>0</v>
      </c>
      <c r="G93" s="202">
        <f t="shared" ref="G93:U93" si="46">G134</f>
        <v>-106.2821757460742</v>
      </c>
      <c r="H93" s="202">
        <f t="shared" si="46"/>
        <v>-101.20177457263527</v>
      </c>
      <c r="I93" s="202">
        <f t="shared" si="46"/>
        <v>-102.3759869782275</v>
      </c>
      <c r="J93" s="202">
        <f t="shared" si="46"/>
        <v>-98.541858276285353</v>
      </c>
      <c r="K93" s="202">
        <f t="shared" si="46"/>
        <v>-103.08161935288133</v>
      </c>
      <c r="L93" s="202">
        <f t="shared" si="46"/>
        <v>-104.21812345884886</v>
      </c>
      <c r="M93" s="202">
        <f t="shared" si="46"/>
        <v>-101.26319887044718</v>
      </c>
      <c r="N93" s="202">
        <f t="shared" si="46"/>
        <v>-105.37215577685883</v>
      </c>
      <c r="O93" s="202">
        <f t="shared" si="46"/>
        <v>-104.89293563944764</v>
      </c>
      <c r="P93" s="202">
        <f t="shared" si="46"/>
        <v>-86.813185225712004</v>
      </c>
      <c r="Q93" s="202">
        <f t="shared" si="46"/>
        <v>-102.38328258942964</v>
      </c>
      <c r="R93" s="202">
        <f t="shared" si="46"/>
        <v>-93.054913173878504</v>
      </c>
      <c r="S93" s="202">
        <f t="shared" si="46"/>
        <v>-109.05034015607225</v>
      </c>
      <c r="T93" s="202">
        <f t="shared" si="46"/>
        <v>-100.82100374911124</v>
      </c>
      <c r="U93" s="203">
        <f t="shared" si="46"/>
        <v>-98.813281029556506</v>
      </c>
    </row>
    <row r="94" spans="2:24" ht="15.5" x14ac:dyDescent="0.35">
      <c r="B94" s="7" t="s">
        <v>182</v>
      </c>
      <c r="C94" s="202"/>
      <c r="D94" s="307">
        <f>SUM(D86:D93)</f>
        <v>3460.3561855670105</v>
      </c>
      <c r="E94" s="307">
        <f t="shared" ref="E94:U94" si="47">SUM(E86:E93)</f>
        <v>5518.3868903647899</v>
      </c>
      <c r="F94" s="307">
        <f t="shared" si="47"/>
        <v>4631.0069240681996</v>
      </c>
      <c r="G94" s="307">
        <f t="shared" si="47"/>
        <v>-1279.8721757460742</v>
      </c>
      <c r="H94" s="307">
        <f t="shared" si="47"/>
        <v>-2075.2717745726354</v>
      </c>
      <c r="I94" s="307">
        <f t="shared" si="47"/>
        <v>-1948.1259869782275</v>
      </c>
      <c r="J94" s="307">
        <f t="shared" si="47"/>
        <v>-1826.5718582762854</v>
      </c>
      <c r="K94" s="307">
        <f t="shared" si="47"/>
        <v>-1722.7916193528813</v>
      </c>
      <c r="L94" s="307">
        <f t="shared" si="47"/>
        <v>-1595.6081234588487</v>
      </c>
      <c r="M94" s="307">
        <f t="shared" si="47"/>
        <v>-1474.9331988704473</v>
      </c>
      <c r="N94" s="307">
        <f t="shared" si="47"/>
        <v>-1361.3221557768588</v>
      </c>
      <c r="O94" s="307">
        <f t="shared" si="47"/>
        <v>-1007.8879356394476</v>
      </c>
      <c r="P94" s="307">
        <f t="shared" si="47"/>
        <v>-196.413185225712</v>
      </c>
      <c r="Q94" s="307">
        <f t="shared" si="47"/>
        <v>-214.38328258942965</v>
      </c>
      <c r="R94" s="307">
        <f t="shared" si="47"/>
        <v>-207.45491317387851</v>
      </c>
      <c r="S94" s="307">
        <f t="shared" si="47"/>
        <v>-216.45034015607226</v>
      </c>
      <c r="T94" s="307">
        <f t="shared" si="47"/>
        <v>-221.22100374911125</v>
      </c>
      <c r="U94" s="308">
        <f t="shared" si="47"/>
        <v>-221.6132810295565</v>
      </c>
    </row>
    <row r="95" spans="2:24" ht="15.5" x14ac:dyDescent="0.35">
      <c r="B95" s="7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3"/>
    </row>
    <row r="96" spans="2:24" ht="15.5" x14ac:dyDescent="0.35">
      <c r="B96" s="7" t="s">
        <v>179</v>
      </c>
      <c r="C96" s="202"/>
      <c r="D96" s="186">
        <f>D83+D94</f>
        <v>0.35618556701047055</v>
      </c>
      <c r="E96" s="186">
        <f t="shared" ref="E96:U96" si="48">E83+E94</f>
        <v>-1.613109635210094</v>
      </c>
      <c r="F96" s="186">
        <f t="shared" si="48"/>
        <v>61.006924068199623</v>
      </c>
      <c r="G96" s="186">
        <f t="shared" si="48"/>
        <v>446.76370947711007</v>
      </c>
      <c r="H96" s="186">
        <f t="shared" si="48"/>
        <v>824.42540988867495</v>
      </c>
      <c r="I96" s="186">
        <f t="shared" si="48"/>
        <v>877.33887860128516</v>
      </c>
      <c r="J96" s="186">
        <f t="shared" si="48"/>
        <v>940.41454969582242</v>
      </c>
      <c r="K96" s="186">
        <f t="shared" si="48"/>
        <v>983.65977464262824</v>
      </c>
      <c r="L96" s="186">
        <f t="shared" si="48"/>
        <v>1037.0635774830012</v>
      </c>
      <c r="M96" s="186">
        <f t="shared" si="48"/>
        <v>1100.6076192379116</v>
      </c>
      <c r="N96" s="186">
        <f t="shared" si="48"/>
        <v>1133.6375672688646</v>
      </c>
      <c r="O96" s="186">
        <f t="shared" si="48"/>
        <v>1415.3187461321818</v>
      </c>
      <c r="P96" s="186">
        <f t="shared" si="48"/>
        <v>2165.6987154543335</v>
      </c>
      <c r="Q96" s="186">
        <f t="shared" si="48"/>
        <v>2080</v>
      </c>
      <c r="R96" s="186">
        <f t="shared" si="48"/>
        <v>2020</v>
      </c>
      <c r="S96" s="186">
        <f t="shared" si="48"/>
        <v>1950</v>
      </c>
      <c r="T96" s="186">
        <f t="shared" si="48"/>
        <v>1870</v>
      </c>
      <c r="U96" s="308">
        <f t="shared" si="48"/>
        <v>1800</v>
      </c>
    </row>
    <row r="97" spans="1:21" ht="15.5" x14ac:dyDescent="0.35">
      <c r="B97" s="7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8" spans="1:21" ht="15.5" x14ac:dyDescent="0.35">
      <c r="B98" s="7" t="s">
        <v>177</v>
      </c>
      <c r="C98" s="202"/>
      <c r="D98" s="307">
        <v>0</v>
      </c>
      <c r="E98" s="307">
        <f t="shared" ref="E98:U98" si="49">D99</f>
        <v>0.35618556701047055</v>
      </c>
      <c r="F98" s="307">
        <f t="shared" si="49"/>
        <v>-1.2569240681996234</v>
      </c>
      <c r="G98" s="307">
        <f t="shared" si="49"/>
        <v>59.75</v>
      </c>
      <c r="H98" s="307">
        <f t="shared" si="49"/>
        <v>506.51370947711007</v>
      </c>
      <c r="I98" s="307">
        <f t="shared" si="49"/>
        <v>1330.939119365785</v>
      </c>
      <c r="J98" s="307">
        <f t="shared" si="49"/>
        <v>2208.2779979670704</v>
      </c>
      <c r="K98" s="307">
        <f t="shared" si="49"/>
        <v>3148.692547662893</v>
      </c>
      <c r="L98" s="307">
        <f t="shared" si="49"/>
        <v>4132.3523223055217</v>
      </c>
      <c r="M98" s="307">
        <f t="shared" si="49"/>
        <v>5169.4158997885224</v>
      </c>
      <c r="N98" s="307">
        <f t="shared" si="49"/>
        <v>6270.0235190264339</v>
      </c>
      <c r="O98" s="307">
        <f t="shared" si="49"/>
        <v>7403.6610862952984</v>
      </c>
      <c r="P98" s="307">
        <f t="shared" si="49"/>
        <v>8818.9798324274798</v>
      </c>
      <c r="Q98" s="307">
        <f t="shared" si="49"/>
        <v>10984.678547881813</v>
      </c>
      <c r="R98" s="307">
        <f t="shared" si="49"/>
        <v>13064.678547881813</v>
      </c>
      <c r="S98" s="307">
        <f t="shared" si="49"/>
        <v>15084.678547881813</v>
      </c>
      <c r="T98" s="307">
        <f t="shared" si="49"/>
        <v>17034.678547881813</v>
      </c>
      <c r="U98" s="308">
        <f t="shared" si="49"/>
        <v>18904.678547881813</v>
      </c>
    </row>
    <row r="99" spans="1:21" ht="15.5" x14ac:dyDescent="0.35">
      <c r="B99" s="7" t="s">
        <v>178</v>
      </c>
      <c r="C99" s="202"/>
      <c r="D99" s="307">
        <f t="shared" ref="D99:U99" si="50">D96+D98</f>
        <v>0.35618556701047055</v>
      </c>
      <c r="E99" s="307">
        <f t="shared" si="50"/>
        <v>-1.2569240681996234</v>
      </c>
      <c r="F99" s="307">
        <f t="shared" si="50"/>
        <v>59.75</v>
      </c>
      <c r="G99" s="307">
        <f t="shared" si="50"/>
        <v>506.51370947711007</v>
      </c>
      <c r="H99" s="307">
        <f t="shared" si="50"/>
        <v>1330.939119365785</v>
      </c>
      <c r="I99" s="307">
        <f t="shared" si="50"/>
        <v>2208.2779979670704</v>
      </c>
      <c r="J99" s="307">
        <f t="shared" si="50"/>
        <v>3148.692547662893</v>
      </c>
      <c r="K99" s="307">
        <f t="shared" si="50"/>
        <v>4132.3523223055217</v>
      </c>
      <c r="L99" s="307">
        <f t="shared" si="50"/>
        <v>5169.4158997885224</v>
      </c>
      <c r="M99" s="307">
        <f t="shared" si="50"/>
        <v>6270.0235190264339</v>
      </c>
      <c r="N99" s="307">
        <f t="shared" si="50"/>
        <v>7403.6610862952984</v>
      </c>
      <c r="O99" s="307">
        <f t="shared" si="50"/>
        <v>8818.9798324274798</v>
      </c>
      <c r="P99" s="307">
        <f t="shared" si="50"/>
        <v>10984.678547881813</v>
      </c>
      <c r="Q99" s="307">
        <f t="shared" si="50"/>
        <v>13064.678547881813</v>
      </c>
      <c r="R99" s="307">
        <f t="shared" si="50"/>
        <v>15084.678547881813</v>
      </c>
      <c r="S99" s="307">
        <f t="shared" si="50"/>
        <v>17034.678547881813</v>
      </c>
      <c r="T99" s="307">
        <f t="shared" si="50"/>
        <v>18904.678547881813</v>
      </c>
      <c r="U99" s="308">
        <f t="shared" si="50"/>
        <v>20704.678547881813</v>
      </c>
    </row>
    <row r="100" spans="1:21" x14ac:dyDescent="0.35">
      <c r="A100" s="332"/>
      <c r="B100" s="329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</row>
    <row r="101" spans="1:21" x14ac:dyDescent="0.35">
      <c r="B101" s="15"/>
      <c r="C101" s="16"/>
      <c r="D101" s="17"/>
      <c r="E101" s="17"/>
      <c r="F101" s="17"/>
      <c r="G101" s="13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5.5" x14ac:dyDescent="0.35">
      <c r="B102" s="315" t="s">
        <v>193</v>
      </c>
      <c r="C102" s="414">
        <v>2009</v>
      </c>
      <c r="D102" s="414">
        <v>2010</v>
      </c>
      <c r="E102" s="414">
        <v>2011</v>
      </c>
      <c r="F102" s="414">
        <v>2012</v>
      </c>
      <c r="G102" s="414">
        <v>2013</v>
      </c>
      <c r="H102" s="414">
        <v>2014</v>
      </c>
      <c r="I102" s="414">
        <v>2015</v>
      </c>
      <c r="J102" s="414">
        <v>2016</v>
      </c>
      <c r="K102" s="414">
        <v>2017</v>
      </c>
      <c r="L102" s="414">
        <v>2018</v>
      </c>
      <c r="M102" s="414">
        <v>2019</v>
      </c>
      <c r="N102" s="414">
        <v>2020</v>
      </c>
      <c r="O102" s="414">
        <v>2021</v>
      </c>
      <c r="P102" s="414">
        <v>2022</v>
      </c>
      <c r="Q102" s="414">
        <v>2023</v>
      </c>
      <c r="R102" s="414">
        <v>2024</v>
      </c>
      <c r="S102" s="414">
        <v>2025</v>
      </c>
      <c r="T102" s="414">
        <v>2026</v>
      </c>
      <c r="U102" s="414">
        <v>2027</v>
      </c>
    </row>
    <row r="103" spans="1:21" ht="6.25" customHeight="1" x14ac:dyDescent="0.35">
      <c r="B103" s="315"/>
      <c r="C103" s="16"/>
      <c r="D103" s="17"/>
      <c r="E103" s="17"/>
      <c r="F103" s="17"/>
    </row>
    <row r="104" spans="1:21" x14ac:dyDescent="0.35">
      <c r="B104" s="314" t="s">
        <v>232</v>
      </c>
      <c r="C104" s="16"/>
      <c r="D104" s="17"/>
      <c r="E104" s="17"/>
      <c r="F104" s="17"/>
      <c r="G104" s="13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35">
      <c r="B105" s="316" t="s">
        <v>57</v>
      </c>
      <c r="C105" s="317"/>
      <c r="D105" s="319">
        <v>0</v>
      </c>
      <c r="E105" s="319">
        <v>0</v>
      </c>
      <c r="F105" s="319">
        <v>0</v>
      </c>
      <c r="G105" s="319">
        <f t="shared" ref="G105:U105" si="51">G21*G106</f>
        <v>1240</v>
      </c>
      <c r="H105" s="319">
        <f t="shared" si="51"/>
        <v>1250</v>
      </c>
      <c r="I105" s="319">
        <f t="shared" si="51"/>
        <v>1280</v>
      </c>
      <c r="J105" s="319">
        <f t="shared" si="51"/>
        <v>1300</v>
      </c>
      <c r="K105" s="319">
        <f t="shared" si="51"/>
        <v>1320</v>
      </c>
      <c r="L105" s="319">
        <f t="shared" si="51"/>
        <v>1350</v>
      </c>
      <c r="M105" s="319">
        <f t="shared" si="51"/>
        <v>1370</v>
      </c>
      <c r="N105" s="319">
        <f t="shared" si="51"/>
        <v>1400</v>
      </c>
      <c r="O105" s="319">
        <f t="shared" si="51"/>
        <v>1430</v>
      </c>
      <c r="P105" s="319">
        <f t="shared" si="51"/>
        <v>1450</v>
      </c>
      <c r="Q105" s="319">
        <f t="shared" si="51"/>
        <v>1480</v>
      </c>
      <c r="R105" s="319">
        <f t="shared" si="51"/>
        <v>1510</v>
      </c>
      <c r="S105" s="319">
        <f t="shared" si="51"/>
        <v>1540</v>
      </c>
      <c r="T105" s="319">
        <f t="shared" si="51"/>
        <v>1570</v>
      </c>
      <c r="U105" s="319">
        <f t="shared" si="51"/>
        <v>1600</v>
      </c>
    </row>
    <row r="106" spans="1:21" x14ac:dyDescent="0.35">
      <c r="B106" s="316" t="s">
        <v>192</v>
      </c>
      <c r="C106" s="317"/>
      <c r="D106" s="324"/>
      <c r="E106" s="324"/>
      <c r="F106" s="324"/>
      <c r="G106" s="325">
        <v>0.1848472922853088</v>
      </c>
      <c r="H106" s="325">
        <v>0.18449306559935805</v>
      </c>
      <c r="I106" s="325">
        <v>0.18705039522152736</v>
      </c>
      <c r="J106" s="325">
        <v>0.18809213628402349</v>
      </c>
      <c r="K106" s="325">
        <v>0.18909491233428105</v>
      </c>
      <c r="L106" s="325">
        <v>0.19147774651311086</v>
      </c>
      <c r="M106" s="325">
        <v>0.19239054838501055</v>
      </c>
      <c r="N106" s="325">
        <v>0.19465691099155508</v>
      </c>
      <c r="O106" s="325">
        <v>0.19685953516119076</v>
      </c>
      <c r="P106" s="325">
        <v>0.1976364508645895</v>
      </c>
      <c r="Q106" s="325">
        <v>0.19972819889354212</v>
      </c>
      <c r="R106" s="325">
        <v>0.20175915194624608</v>
      </c>
      <c r="S106" s="325">
        <v>0.2037303088303842</v>
      </c>
      <c r="T106" s="325">
        <v>0.20564265453497699</v>
      </c>
      <c r="U106" s="325">
        <v>0.20749716040610655</v>
      </c>
    </row>
    <row r="107" spans="1:21" x14ac:dyDescent="0.35">
      <c r="B107" s="316"/>
      <c r="C107" s="317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</row>
    <row r="108" spans="1:21" x14ac:dyDescent="0.35">
      <c r="B108" s="314" t="s">
        <v>294</v>
      </c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</row>
    <row r="109" spans="1:21" x14ac:dyDescent="0.35">
      <c r="B109" s="316" t="s">
        <v>295</v>
      </c>
      <c r="C109" s="317"/>
      <c r="D109" s="321">
        <v>0</v>
      </c>
      <c r="E109" s="321">
        <f>D112</f>
        <v>2247.6061855670105</v>
      </c>
      <c r="F109" s="321">
        <f>E112</f>
        <v>5841.9185567010318</v>
      </c>
      <c r="G109" s="321">
        <f t="shared" ref="G109:U109" si="52">F112</f>
        <v>8758.75</v>
      </c>
      <c r="H109" s="321">
        <f t="shared" si="52"/>
        <v>7757.75</v>
      </c>
      <c r="I109" s="321">
        <f t="shared" si="52"/>
        <v>6756.75</v>
      </c>
      <c r="J109" s="321">
        <f t="shared" si="52"/>
        <v>5755.75</v>
      </c>
      <c r="K109" s="321">
        <f t="shared" si="52"/>
        <v>4754.75</v>
      </c>
      <c r="L109" s="321">
        <f t="shared" si="52"/>
        <v>3753.75</v>
      </c>
      <c r="M109" s="321">
        <f t="shared" si="52"/>
        <v>2752.75</v>
      </c>
      <c r="N109" s="321">
        <f t="shared" si="52"/>
        <v>1751.75</v>
      </c>
      <c r="O109" s="321">
        <f t="shared" si="52"/>
        <v>750.75</v>
      </c>
      <c r="P109" s="321">
        <f t="shared" si="52"/>
        <v>0</v>
      </c>
      <c r="Q109" s="321">
        <f t="shared" si="52"/>
        <v>0</v>
      </c>
      <c r="R109" s="321">
        <f t="shared" si="52"/>
        <v>0</v>
      </c>
      <c r="S109" s="321">
        <f t="shared" si="52"/>
        <v>0</v>
      </c>
      <c r="T109" s="321">
        <f t="shared" si="52"/>
        <v>0</v>
      </c>
      <c r="U109" s="321">
        <f t="shared" si="52"/>
        <v>0</v>
      </c>
    </row>
    <row r="110" spans="1:21" x14ac:dyDescent="0.35">
      <c r="B110" s="316" t="s">
        <v>296</v>
      </c>
      <c r="D110" s="321">
        <f>N4</f>
        <v>2247.6061855670105</v>
      </c>
      <c r="E110" s="321">
        <f>O4</f>
        <v>3594.3123711340209</v>
      </c>
      <c r="F110" s="321">
        <f>P4</f>
        <v>3167.0814432989687</v>
      </c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</row>
    <row r="111" spans="1:21" x14ac:dyDescent="0.35">
      <c r="B111" s="316" t="s">
        <v>297</v>
      </c>
      <c r="C111" s="317"/>
      <c r="D111" s="321">
        <v>0</v>
      </c>
      <c r="E111" s="321">
        <v>0</v>
      </c>
      <c r="F111" s="321">
        <f t="shared" ref="F111:U111" si="53">F87</f>
        <v>-250.25</v>
      </c>
      <c r="G111" s="321">
        <f t="shared" si="53"/>
        <v>-1001</v>
      </c>
      <c r="H111" s="321">
        <f t="shared" si="53"/>
        <v>-1001</v>
      </c>
      <c r="I111" s="321">
        <f t="shared" si="53"/>
        <v>-1001</v>
      </c>
      <c r="J111" s="321">
        <f t="shared" si="53"/>
        <v>-1001</v>
      </c>
      <c r="K111" s="321">
        <f t="shared" si="53"/>
        <v>-1001</v>
      </c>
      <c r="L111" s="321">
        <f t="shared" si="53"/>
        <v>-1001</v>
      </c>
      <c r="M111" s="321">
        <f t="shared" si="53"/>
        <v>-1001</v>
      </c>
      <c r="N111" s="321">
        <f t="shared" si="53"/>
        <v>-1001</v>
      </c>
      <c r="O111" s="321">
        <f t="shared" si="53"/>
        <v>-750.75</v>
      </c>
      <c r="P111" s="321">
        <f t="shared" si="53"/>
        <v>0</v>
      </c>
      <c r="Q111" s="321">
        <f t="shared" si="53"/>
        <v>0</v>
      </c>
      <c r="R111" s="321">
        <f t="shared" si="53"/>
        <v>0</v>
      </c>
      <c r="S111" s="321">
        <f t="shared" si="53"/>
        <v>0</v>
      </c>
      <c r="T111" s="321">
        <f t="shared" si="53"/>
        <v>0</v>
      </c>
      <c r="U111" s="321">
        <f t="shared" si="53"/>
        <v>0</v>
      </c>
    </row>
    <row r="112" spans="1:21" x14ac:dyDescent="0.35">
      <c r="B112" s="316" t="s">
        <v>298</v>
      </c>
      <c r="C112" s="317"/>
      <c r="D112" s="321">
        <f>D109+D110+D111</f>
        <v>2247.6061855670105</v>
      </c>
      <c r="E112" s="321">
        <f>E109+E110+E111</f>
        <v>5841.9185567010318</v>
      </c>
      <c r="F112" s="321">
        <f>F109+F110+F111</f>
        <v>8758.75</v>
      </c>
      <c r="G112" s="321">
        <f t="shared" ref="G112:U112" si="54">G109+G110+G111</f>
        <v>7757.75</v>
      </c>
      <c r="H112" s="321">
        <f t="shared" si="54"/>
        <v>6756.75</v>
      </c>
      <c r="I112" s="321">
        <f t="shared" si="54"/>
        <v>5755.75</v>
      </c>
      <c r="J112" s="321">
        <f t="shared" si="54"/>
        <v>4754.75</v>
      </c>
      <c r="K112" s="321">
        <f t="shared" si="54"/>
        <v>3753.75</v>
      </c>
      <c r="L112" s="321">
        <f t="shared" si="54"/>
        <v>2752.75</v>
      </c>
      <c r="M112" s="321">
        <f t="shared" si="54"/>
        <v>1751.75</v>
      </c>
      <c r="N112" s="321">
        <f t="shared" si="54"/>
        <v>750.75</v>
      </c>
      <c r="O112" s="321">
        <f t="shared" si="54"/>
        <v>0</v>
      </c>
      <c r="P112" s="321">
        <f t="shared" si="54"/>
        <v>0</v>
      </c>
      <c r="Q112" s="321">
        <f t="shared" si="54"/>
        <v>0</v>
      </c>
      <c r="R112" s="321">
        <f t="shared" si="54"/>
        <v>0</v>
      </c>
      <c r="S112" s="321">
        <f t="shared" si="54"/>
        <v>0</v>
      </c>
      <c r="T112" s="321">
        <f t="shared" si="54"/>
        <v>0</v>
      </c>
      <c r="U112" s="321">
        <f t="shared" si="54"/>
        <v>0</v>
      </c>
    </row>
    <row r="113" spans="2:21" x14ac:dyDescent="0.35">
      <c r="B113" s="329" t="s">
        <v>185</v>
      </c>
      <c r="C113" s="317"/>
      <c r="D113" s="440">
        <f>D59-D112</f>
        <v>0</v>
      </c>
      <c r="E113" s="440">
        <f t="shared" ref="E113:U113" si="55">E59-E112</f>
        <v>0</v>
      </c>
      <c r="F113" s="440">
        <f t="shared" si="55"/>
        <v>0</v>
      </c>
      <c r="G113" s="440">
        <f t="shared" si="55"/>
        <v>0</v>
      </c>
      <c r="H113" s="440">
        <f t="shared" si="55"/>
        <v>0</v>
      </c>
      <c r="I113" s="440">
        <f t="shared" si="55"/>
        <v>0</v>
      </c>
      <c r="J113" s="440">
        <f t="shared" si="55"/>
        <v>0</v>
      </c>
      <c r="K113" s="440">
        <f t="shared" si="55"/>
        <v>0</v>
      </c>
      <c r="L113" s="440">
        <f t="shared" si="55"/>
        <v>0</v>
      </c>
      <c r="M113" s="440">
        <f t="shared" si="55"/>
        <v>0</v>
      </c>
      <c r="N113" s="440">
        <f t="shared" si="55"/>
        <v>0</v>
      </c>
      <c r="O113" s="440">
        <f t="shared" si="55"/>
        <v>0</v>
      </c>
      <c r="P113" s="440">
        <f t="shared" si="55"/>
        <v>0</v>
      </c>
      <c r="Q113" s="440">
        <f t="shared" si="55"/>
        <v>0</v>
      </c>
      <c r="R113" s="440">
        <f t="shared" si="55"/>
        <v>0</v>
      </c>
      <c r="S113" s="440">
        <f t="shared" si="55"/>
        <v>0</v>
      </c>
      <c r="T113" s="440">
        <f t="shared" si="55"/>
        <v>0</v>
      </c>
      <c r="U113" s="440">
        <f t="shared" si="55"/>
        <v>0</v>
      </c>
    </row>
    <row r="114" spans="2:21" x14ac:dyDescent="0.35">
      <c r="B114" s="316"/>
      <c r="C114" s="317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</row>
    <row r="115" spans="2:21" x14ac:dyDescent="0.35">
      <c r="B115" s="316" t="s">
        <v>300</v>
      </c>
      <c r="C115" s="430">
        <v>2.5000000000000001E-3</v>
      </c>
      <c r="D115" s="321">
        <f>(D110+E110+F110)*C115</f>
        <v>22.522500000000001</v>
      </c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</row>
    <row r="116" spans="2:21" ht="15" thickBot="1" x14ac:dyDescent="0.4">
      <c r="B116" s="316" t="s">
        <v>299</v>
      </c>
      <c r="C116" s="430">
        <v>2.5000000000000001E-3</v>
      </c>
      <c r="D116" s="442">
        <f>(E110+F110)*C116</f>
        <v>16.903484536082473</v>
      </c>
      <c r="E116" s="442">
        <f>F110*C116</f>
        <v>7.9177036082474217</v>
      </c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</row>
    <row r="117" spans="2:21" ht="15" thickTop="1" x14ac:dyDescent="0.35">
      <c r="B117" s="316" t="s">
        <v>301</v>
      </c>
      <c r="C117" s="317"/>
      <c r="D117" s="321">
        <f>D115+D116</f>
        <v>39.425984536082474</v>
      </c>
      <c r="E117" s="321">
        <f>E115+E116</f>
        <v>7.9177036082474217</v>
      </c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</row>
    <row r="118" spans="2:21" x14ac:dyDescent="0.35">
      <c r="B118" s="316"/>
      <c r="C118" s="317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</row>
    <row r="119" spans="2:21" x14ac:dyDescent="0.35">
      <c r="B119" s="314" t="s">
        <v>274</v>
      </c>
      <c r="C119" s="16"/>
      <c r="D119" s="17"/>
      <c r="E119" s="17"/>
      <c r="F119" s="17"/>
      <c r="G119" s="13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2:21" x14ac:dyDescent="0.35">
      <c r="B120" s="316" t="s">
        <v>275</v>
      </c>
      <c r="C120" s="317"/>
      <c r="D120" s="319">
        <v>0</v>
      </c>
      <c r="E120" s="319">
        <v>0</v>
      </c>
      <c r="F120" s="319">
        <v>0</v>
      </c>
      <c r="G120" s="319">
        <v>0</v>
      </c>
      <c r="H120" s="319">
        <f>G124</f>
        <v>930</v>
      </c>
      <c r="I120" s="319">
        <f t="shared" ref="I120:U120" si="56">H124</f>
        <v>940</v>
      </c>
      <c r="J120" s="319">
        <f t="shared" si="56"/>
        <v>960</v>
      </c>
      <c r="K120" s="319">
        <f t="shared" si="56"/>
        <v>980</v>
      </c>
      <c r="L120" s="319">
        <f t="shared" si="56"/>
        <v>990</v>
      </c>
      <c r="M120" s="319">
        <f t="shared" si="56"/>
        <v>1010</v>
      </c>
      <c r="N120" s="319">
        <f t="shared" si="56"/>
        <v>1030</v>
      </c>
      <c r="O120" s="319">
        <f t="shared" si="56"/>
        <v>1050</v>
      </c>
      <c r="P120" s="319">
        <f t="shared" si="56"/>
        <v>1070</v>
      </c>
      <c r="Q120" s="319">
        <f t="shared" si="56"/>
        <v>1090</v>
      </c>
      <c r="R120" s="319">
        <f t="shared" si="56"/>
        <v>1110</v>
      </c>
      <c r="S120" s="319">
        <f t="shared" si="56"/>
        <v>1130</v>
      </c>
      <c r="T120" s="319">
        <f t="shared" si="56"/>
        <v>1160</v>
      </c>
      <c r="U120" s="319">
        <f t="shared" si="56"/>
        <v>1180</v>
      </c>
    </row>
    <row r="121" spans="2:21" x14ac:dyDescent="0.35">
      <c r="B121" s="316" t="s">
        <v>276</v>
      </c>
      <c r="C121" s="317"/>
      <c r="D121" s="319">
        <v>0</v>
      </c>
      <c r="E121" s="319">
        <v>0</v>
      </c>
      <c r="F121" s="319">
        <v>0</v>
      </c>
      <c r="G121" s="319">
        <f t="shared" ref="G121:U121" si="57">(G105-F105)*G122</f>
        <v>930</v>
      </c>
      <c r="H121" s="319">
        <f t="shared" si="57"/>
        <v>10</v>
      </c>
      <c r="I121" s="319">
        <f t="shared" si="57"/>
        <v>20</v>
      </c>
      <c r="J121" s="319">
        <f t="shared" si="57"/>
        <v>20</v>
      </c>
      <c r="K121" s="319">
        <f t="shared" si="57"/>
        <v>10</v>
      </c>
      <c r="L121" s="319">
        <f t="shared" si="57"/>
        <v>20</v>
      </c>
      <c r="M121" s="319">
        <f t="shared" si="57"/>
        <v>20</v>
      </c>
      <c r="N121" s="319">
        <f t="shared" si="57"/>
        <v>20</v>
      </c>
      <c r="O121" s="319">
        <f t="shared" si="57"/>
        <v>20</v>
      </c>
      <c r="P121" s="319">
        <f t="shared" si="57"/>
        <v>20</v>
      </c>
      <c r="Q121" s="319">
        <f t="shared" si="57"/>
        <v>20</v>
      </c>
      <c r="R121" s="319">
        <f t="shared" si="57"/>
        <v>20</v>
      </c>
      <c r="S121" s="319">
        <f t="shared" si="57"/>
        <v>30</v>
      </c>
      <c r="T121" s="319">
        <f t="shared" si="57"/>
        <v>20</v>
      </c>
      <c r="U121" s="319">
        <f t="shared" si="57"/>
        <v>20</v>
      </c>
    </row>
    <row r="122" spans="2:21" x14ac:dyDescent="0.35">
      <c r="B122" s="316" t="s">
        <v>278</v>
      </c>
      <c r="C122" s="317"/>
      <c r="D122" s="324"/>
      <c r="E122" s="324"/>
      <c r="F122" s="324"/>
      <c r="G122" s="325">
        <v>0.75</v>
      </c>
      <c r="H122" s="325">
        <v>1</v>
      </c>
      <c r="I122" s="325">
        <v>0.66666666666666663</v>
      </c>
      <c r="J122" s="325">
        <v>1</v>
      </c>
      <c r="K122" s="325">
        <v>0.5</v>
      </c>
      <c r="L122" s="325">
        <v>0.66666666666666663</v>
      </c>
      <c r="M122" s="325">
        <v>1</v>
      </c>
      <c r="N122" s="325">
        <v>0.66666666666666663</v>
      </c>
      <c r="O122" s="325">
        <v>0.66666666666666663</v>
      </c>
      <c r="P122" s="325">
        <v>1</v>
      </c>
      <c r="Q122" s="325">
        <v>0.66666666666666663</v>
      </c>
      <c r="R122" s="325">
        <v>0.66666666666666663</v>
      </c>
      <c r="S122" s="325">
        <v>1</v>
      </c>
      <c r="T122" s="325">
        <v>0.66666666666666663</v>
      </c>
      <c r="U122" s="325">
        <v>0.66666666666666663</v>
      </c>
    </row>
    <row r="123" spans="2:21" x14ac:dyDescent="0.35">
      <c r="B123" s="316" t="s">
        <v>240</v>
      </c>
      <c r="C123" s="317"/>
      <c r="D123" s="324"/>
      <c r="E123" s="324"/>
      <c r="F123" s="324"/>
      <c r="G123" s="415">
        <v>0</v>
      </c>
      <c r="H123" s="415">
        <v>0</v>
      </c>
      <c r="I123" s="415">
        <v>0</v>
      </c>
      <c r="J123" s="415">
        <v>0</v>
      </c>
      <c r="K123" s="415">
        <v>0</v>
      </c>
      <c r="L123" s="415">
        <v>0</v>
      </c>
      <c r="M123" s="415">
        <v>0</v>
      </c>
      <c r="N123" s="415">
        <v>0</v>
      </c>
      <c r="O123" s="415">
        <v>0</v>
      </c>
      <c r="P123" s="415">
        <v>0</v>
      </c>
      <c r="Q123" s="415">
        <v>0</v>
      </c>
      <c r="R123" s="415">
        <v>0</v>
      </c>
      <c r="S123" s="415">
        <v>0</v>
      </c>
      <c r="T123" s="415">
        <v>0</v>
      </c>
      <c r="U123" s="415">
        <v>0</v>
      </c>
    </row>
    <row r="124" spans="2:21" x14ac:dyDescent="0.35">
      <c r="B124" s="316" t="s">
        <v>277</v>
      </c>
      <c r="C124" s="317"/>
      <c r="D124" s="324"/>
      <c r="E124" s="324"/>
      <c r="F124" s="324"/>
      <c r="G124" s="416">
        <f>G120+G121+G123</f>
        <v>930</v>
      </c>
      <c r="H124" s="416">
        <f t="shared" ref="H124:U124" si="58">H120+H121+H123</f>
        <v>940</v>
      </c>
      <c r="I124" s="416">
        <f t="shared" si="58"/>
        <v>960</v>
      </c>
      <c r="J124" s="416">
        <f t="shared" si="58"/>
        <v>980</v>
      </c>
      <c r="K124" s="416">
        <f t="shared" si="58"/>
        <v>990</v>
      </c>
      <c r="L124" s="416">
        <f t="shared" si="58"/>
        <v>1010</v>
      </c>
      <c r="M124" s="416">
        <f t="shared" si="58"/>
        <v>1030</v>
      </c>
      <c r="N124" s="416">
        <f t="shared" si="58"/>
        <v>1050</v>
      </c>
      <c r="O124" s="416">
        <f t="shared" si="58"/>
        <v>1070</v>
      </c>
      <c r="P124" s="416">
        <f t="shared" si="58"/>
        <v>1090</v>
      </c>
      <c r="Q124" s="416">
        <f t="shared" si="58"/>
        <v>1110</v>
      </c>
      <c r="R124" s="416">
        <f t="shared" si="58"/>
        <v>1130</v>
      </c>
      <c r="S124" s="416">
        <f t="shared" si="58"/>
        <v>1160</v>
      </c>
      <c r="T124" s="416">
        <f t="shared" si="58"/>
        <v>1180</v>
      </c>
      <c r="U124" s="416">
        <f t="shared" si="58"/>
        <v>1200</v>
      </c>
    </row>
    <row r="125" spans="2:21" x14ac:dyDescent="0.35">
      <c r="B125" s="316"/>
      <c r="C125" s="317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</row>
    <row r="126" spans="2:21" x14ac:dyDescent="0.35">
      <c r="B126" s="314" t="s">
        <v>233</v>
      </c>
      <c r="C126" s="317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</row>
    <row r="127" spans="2:21" x14ac:dyDescent="0.35">
      <c r="B127" s="316" t="s">
        <v>195</v>
      </c>
      <c r="C127" s="317"/>
      <c r="D127" s="320">
        <f>D33</f>
        <v>0</v>
      </c>
      <c r="E127" s="320">
        <f>E33</f>
        <v>0</v>
      </c>
      <c r="F127" s="320">
        <f t="shared" ref="F127:U127" si="59">F31*F128</f>
        <v>0</v>
      </c>
      <c r="G127" s="320">
        <f t="shared" si="59"/>
        <v>222.2193215416722</v>
      </c>
      <c r="H127" s="320">
        <f t="shared" si="59"/>
        <v>235.82287850649192</v>
      </c>
      <c r="I127" s="320">
        <f t="shared" si="59"/>
        <v>243.88491127732354</v>
      </c>
      <c r="J127" s="320">
        <f t="shared" si="59"/>
        <v>263.25173211043256</v>
      </c>
      <c r="K127" s="320">
        <f t="shared" si="59"/>
        <v>271.62392038070828</v>
      </c>
      <c r="L127" s="320">
        <f t="shared" si="59"/>
        <v>280.07600798864593</v>
      </c>
      <c r="M127" s="320">
        <f t="shared" si="59"/>
        <v>288.59703548438807</v>
      </c>
      <c r="N127" s="320">
        <f t="shared" si="59"/>
        <v>297.16454468000762</v>
      </c>
      <c r="O127" s="320">
        <f t="shared" si="59"/>
        <v>303.37464281312253</v>
      </c>
      <c r="P127" s="320">
        <f t="shared" si="59"/>
        <v>305.26721037523919</v>
      </c>
      <c r="Q127" s="320">
        <f t="shared" si="59"/>
        <v>290</v>
      </c>
      <c r="R127" s="320">
        <f t="shared" si="59"/>
        <v>280</v>
      </c>
      <c r="S127" s="320">
        <f t="shared" si="59"/>
        <v>260</v>
      </c>
      <c r="T127" s="320">
        <f t="shared" si="59"/>
        <v>250.00000000000003</v>
      </c>
      <c r="U127" s="320">
        <f t="shared" si="59"/>
        <v>230</v>
      </c>
    </row>
    <row r="128" spans="2:21" x14ac:dyDescent="0.35">
      <c r="B128" s="316" t="s">
        <v>194</v>
      </c>
      <c r="C128" s="317"/>
      <c r="D128" s="326">
        <v>0</v>
      </c>
      <c r="E128" s="326">
        <v>0</v>
      </c>
      <c r="F128" s="328">
        <f>G128</f>
        <v>0.15802091986112105</v>
      </c>
      <c r="G128" s="328">
        <v>0.15802091986112105</v>
      </c>
      <c r="H128" s="328">
        <v>0.15907644000795851</v>
      </c>
      <c r="I128" s="328">
        <v>0.15687954861953068</v>
      </c>
      <c r="J128" s="328">
        <v>0.16217989893584819</v>
      </c>
      <c r="K128" s="328">
        <v>0.16078459648084042</v>
      </c>
      <c r="L128" s="328">
        <v>0.1598281027676608</v>
      </c>
      <c r="M128" s="328">
        <v>0.15931667509970082</v>
      </c>
      <c r="N128" s="328">
        <v>0.15915201372283375</v>
      </c>
      <c r="O128" s="328">
        <v>0.15930728143794376</v>
      </c>
      <c r="P128" s="328">
        <v>0.16256822145799854</v>
      </c>
      <c r="Q128" s="328">
        <v>0.16089807467774875</v>
      </c>
      <c r="R128" s="328">
        <v>0.16250207573723705</v>
      </c>
      <c r="S128" s="328">
        <v>0.15862844089049913</v>
      </c>
      <c r="T128" s="328">
        <v>0.16120493557646226</v>
      </c>
      <c r="U128" s="328">
        <v>0.15766239791680375</v>
      </c>
    </row>
    <row r="129" spans="2:21" s="34" customFormat="1" x14ac:dyDescent="0.35">
      <c r="N129" s="327"/>
      <c r="O129" s="327"/>
      <c r="P129" s="327"/>
      <c r="Q129" s="327"/>
      <c r="R129" s="327"/>
      <c r="S129" s="327"/>
      <c r="T129" s="327"/>
      <c r="U129" s="327"/>
    </row>
    <row r="130" spans="2:21" s="34" customFormat="1" x14ac:dyDescent="0.35">
      <c r="B130" s="361" t="s">
        <v>234</v>
      </c>
      <c r="N130" s="327"/>
      <c r="O130" s="327"/>
      <c r="P130" s="327"/>
      <c r="Q130" s="327"/>
      <c r="R130" s="327"/>
      <c r="S130" s="327"/>
      <c r="T130" s="327"/>
      <c r="U130" s="327"/>
    </row>
    <row r="131" spans="2:21" s="34" customFormat="1" x14ac:dyDescent="0.35">
      <c r="B131" s="335" t="s">
        <v>198</v>
      </c>
      <c r="D131" s="277">
        <f t="shared" ref="D131:U131" si="60">C136</f>
        <v>0</v>
      </c>
      <c r="E131" s="277">
        <f t="shared" si="60"/>
        <v>-39.425984536082474</v>
      </c>
      <c r="F131" s="277">
        <f t="shared" si="60"/>
        <v>-47.343688144329896</v>
      </c>
      <c r="G131" s="277">
        <f t="shared" si="60"/>
        <v>-47.343688144329896</v>
      </c>
      <c r="H131" s="277">
        <f t="shared" si="60"/>
        <v>1030.4200213327802</v>
      </c>
      <c r="I131" s="277">
        <f t="shared" si="60"/>
        <v>2175.8454312214553</v>
      </c>
      <c r="J131" s="277">
        <f t="shared" si="60"/>
        <v>3384.1843098227405</v>
      </c>
      <c r="K131" s="277">
        <f t="shared" si="60"/>
        <v>4645.5988595185636</v>
      </c>
      <c r="L131" s="277">
        <f t="shared" si="60"/>
        <v>5960.2586341611914</v>
      </c>
      <c r="M131" s="277">
        <f t="shared" si="60"/>
        <v>7328.322211644193</v>
      </c>
      <c r="N131" s="277">
        <f t="shared" si="60"/>
        <v>8749.9298308821053</v>
      </c>
      <c r="O131" s="277">
        <f t="shared" si="60"/>
        <v>10224.56739815097</v>
      </c>
      <c r="P131" s="277">
        <f t="shared" si="60"/>
        <v>11760.636144283151</v>
      </c>
      <c r="Q131" s="277">
        <f t="shared" si="60"/>
        <v>13316.334859737484</v>
      </c>
      <c r="R131" s="277">
        <f t="shared" si="60"/>
        <v>14816.334859737484</v>
      </c>
      <c r="S131" s="277">
        <f t="shared" si="60"/>
        <v>16276.334859737484</v>
      </c>
      <c r="T131" s="277">
        <f t="shared" si="60"/>
        <v>17676.334859737486</v>
      </c>
      <c r="U131" s="277">
        <f t="shared" si="60"/>
        <v>19016.334859737486</v>
      </c>
    </row>
    <row r="132" spans="2:21" s="34" customFormat="1" x14ac:dyDescent="0.35">
      <c r="B132" s="34" t="s">
        <v>87</v>
      </c>
      <c r="F132" s="277">
        <f t="shared" ref="F132:U132" si="61">F35</f>
        <v>0</v>
      </c>
      <c r="G132" s="277">
        <f t="shared" si="61"/>
        <v>1184.0458852231843</v>
      </c>
      <c r="H132" s="277">
        <f t="shared" si="61"/>
        <v>1246.6271844613104</v>
      </c>
      <c r="I132" s="277">
        <f t="shared" si="61"/>
        <v>1310.7148655795124</v>
      </c>
      <c r="J132" s="277">
        <f t="shared" si="61"/>
        <v>1359.9564079721079</v>
      </c>
      <c r="K132" s="277">
        <f t="shared" si="61"/>
        <v>1417.7413939955093</v>
      </c>
      <c r="L132" s="277">
        <f t="shared" si="61"/>
        <v>1472.28170094185</v>
      </c>
      <c r="M132" s="277">
        <f t="shared" si="61"/>
        <v>1522.8708181083589</v>
      </c>
      <c r="N132" s="277">
        <f t="shared" si="61"/>
        <v>1580.0097230457236</v>
      </c>
      <c r="O132" s="277">
        <f t="shared" si="61"/>
        <v>1640.9616817716296</v>
      </c>
      <c r="P132" s="277">
        <f t="shared" si="61"/>
        <v>1642.5119006800455</v>
      </c>
      <c r="Q132" s="277">
        <f t="shared" si="61"/>
        <v>1602.3832825894297</v>
      </c>
      <c r="R132" s="277">
        <f t="shared" si="61"/>
        <v>1553.0549131738785</v>
      </c>
      <c r="S132" s="277">
        <f t="shared" si="61"/>
        <v>1509.0503401560723</v>
      </c>
      <c r="T132" s="277">
        <f t="shared" si="61"/>
        <v>1440.8210037491112</v>
      </c>
      <c r="U132" s="277">
        <f t="shared" si="61"/>
        <v>1378.8132810295565</v>
      </c>
    </row>
    <row r="133" spans="2:21" s="34" customFormat="1" x14ac:dyDescent="0.35">
      <c r="B133" s="34" t="s">
        <v>302</v>
      </c>
      <c r="D133" s="277">
        <f>-D117</f>
        <v>-39.425984536082474</v>
      </c>
      <c r="E133" s="277">
        <f>-E117</f>
        <v>-7.9177036082474217</v>
      </c>
      <c r="F133" s="277">
        <f>F90</f>
        <v>0</v>
      </c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</row>
    <row r="134" spans="2:21" s="34" customFormat="1" x14ac:dyDescent="0.35">
      <c r="B134" s="335" t="s">
        <v>256</v>
      </c>
      <c r="G134" s="277">
        <f>-G132*G135</f>
        <v>-106.2821757460742</v>
      </c>
      <c r="H134" s="277">
        <f t="shared" ref="H134:U134" si="62">-H132*H135</f>
        <v>-101.20177457263527</v>
      </c>
      <c r="I134" s="277">
        <f t="shared" si="62"/>
        <v>-102.3759869782275</v>
      </c>
      <c r="J134" s="277">
        <f t="shared" si="62"/>
        <v>-98.541858276285353</v>
      </c>
      <c r="K134" s="277">
        <f t="shared" si="62"/>
        <v>-103.08161935288133</v>
      </c>
      <c r="L134" s="277">
        <f t="shared" si="62"/>
        <v>-104.21812345884886</v>
      </c>
      <c r="M134" s="277">
        <f t="shared" si="62"/>
        <v>-101.26319887044718</v>
      </c>
      <c r="N134" s="277">
        <f t="shared" si="62"/>
        <v>-105.37215577685883</v>
      </c>
      <c r="O134" s="277">
        <f t="shared" si="62"/>
        <v>-104.89293563944764</v>
      </c>
      <c r="P134" s="277">
        <f t="shared" si="62"/>
        <v>-86.813185225712004</v>
      </c>
      <c r="Q134" s="277">
        <f t="shared" si="62"/>
        <v>-102.38328258942964</v>
      </c>
      <c r="R134" s="277">
        <f t="shared" si="62"/>
        <v>-93.054913173878504</v>
      </c>
      <c r="S134" s="277">
        <f t="shared" si="62"/>
        <v>-109.05034015607225</v>
      </c>
      <c r="T134" s="277">
        <f t="shared" si="62"/>
        <v>-100.82100374911124</v>
      </c>
      <c r="U134" s="277">
        <f t="shared" si="62"/>
        <v>-98.813281029556506</v>
      </c>
    </row>
    <row r="135" spans="2:21" s="34" customFormat="1" x14ac:dyDescent="0.35">
      <c r="B135" s="34" t="s">
        <v>199</v>
      </c>
      <c r="D135" s="337"/>
      <c r="E135" s="337"/>
      <c r="F135" s="337"/>
      <c r="G135" s="338">
        <v>8.9761872468346743E-2</v>
      </c>
      <c r="H135" s="338">
        <v>8.1180465045262384E-2</v>
      </c>
      <c r="I135" s="338">
        <v>7.8106985483042901E-2</v>
      </c>
      <c r="J135" s="338">
        <v>7.245957127642462E-2</v>
      </c>
      <c r="K135" s="338">
        <v>7.2708337211185248E-2</v>
      </c>
      <c r="L135" s="338">
        <v>7.0786808932134598E-2</v>
      </c>
      <c r="M135" s="338">
        <v>6.6494936843186567E-2</v>
      </c>
      <c r="N135" s="338">
        <v>6.6690827429679994E-2</v>
      </c>
      <c r="O135" s="338">
        <v>6.3921624011477343E-2</v>
      </c>
      <c r="P135" s="338">
        <v>5.2853915511826083E-2</v>
      </c>
      <c r="Q135" s="338">
        <v>6.389437764476652E-2</v>
      </c>
      <c r="R135" s="338">
        <v>5.9917336073911358E-2</v>
      </c>
      <c r="S135" s="338">
        <v>7.226421627842701E-2</v>
      </c>
      <c r="T135" s="338">
        <v>6.9974690462429642E-2</v>
      </c>
      <c r="U135" s="338">
        <v>7.1665454916254409E-2</v>
      </c>
    </row>
    <row r="136" spans="2:21" s="34" customFormat="1" x14ac:dyDescent="0.35">
      <c r="B136" s="335" t="s">
        <v>200</v>
      </c>
      <c r="D136" s="277">
        <f>D131+D132+D133+D134</f>
        <v>-39.425984536082474</v>
      </c>
      <c r="E136" s="277">
        <f>E131+E132+E133+E134</f>
        <v>-47.343688144329896</v>
      </c>
      <c r="F136" s="277">
        <f>F131+F132+F133+F134</f>
        <v>-47.343688144329896</v>
      </c>
      <c r="G136" s="277">
        <f>G131+G132+G133+G134</f>
        <v>1030.4200213327802</v>
      </c>
      <c r="H136" s="277">
        <f t="shared" ref="H136:U136" si="63">H131+H132+H133+H134</f>
        <v>2175.8454312214553</v>
      </c>
      <c r="I136" s="277">
        <f t="shared" si="63"/>
        <v>3384.1843098227405</v>
      </c>
      <c r="J136" s="277">
        <f t="shared" si="63"/>
        <v>4645.5988595185636</v>
      </c>
      <c r="K136" s="277">
        <f t="shared" si="63"/>
        <v>5960.2586341611914</v>
      </c>
      <c r="L136" s="277">
        <f t="shared" si="63"/>
        <v>7328.322211644193</v>
      </c>
      <c r="M136" s="277">
        <f t="shared" si="63"/>
        <v>8749.9298308821053</v>
      </c>
      <c r="N136" s="277">
        <f t="shared" si="63"/>
        <v>10224.56739815097</v>
      </c>
      <c r="O136" s="277">
        <f t="shared" si="63"/>
        <v>11760.636144283151</v>
      </c>
      <c r="P136" s="277">
        <f t="shared" si="63"/>
        <v>13316.334859737484</v>
      </c>
      <c r="Q136" s="277">
        <f t="shared" si="63"/>
        <v>14816.334859737484</v>
      </c>
      <c r="R136" s="277">
        <f t="shared" si="63"/>
        <v>16276.334859737484</v>
      </c>
      <c r="S136" s="277">
        <f t="shared" si="63"/>
        <v>17676.334859737486</v>
      </c>
      <c r="T136" s="277">
        <f t="shared" si="63"/>
        <v>19016.334859737486</v>
      </c>
      <c r="U136" s="277">
        <f t="shared" si="63"/>
        <v>20296.334859737486</v>
      </c>
    </row>
    <row r="137" spans="2:21" s="34" customFormat="1" ht="8.75" customHeight="1" x14ac:dyDescent="0.35"/>
    <row r="138" spans="2:21" s="34" customFormat="1" ht="25.75" customHeight="1" x14ac:dyDescent="0.35">
      <c r="B138" s="361" t="s">
        <v>235</v>
      </c>
      <c r="C138" s="356" t="s">
        <v>228</v>
      </c>
      <c r="E138" s="356" t="s">
        <v>227</v>
      </c>
      <c r="G138" s="356" t="s">
        <v>229</v>
      </c>
    </row>
    <row r="139" spans="2:21" s="34" customFormat="1" x14ac:dyDescent="0.35">
      <c r="B139" s="34" t="s">
        <v>224</v>
      </c>
      <c r="C139" s="277">
        <f>U68</f>
        <v>1600</v>
      </c>
      <c r="E139" s="357">
        <v>0.1</v>
      </c>
      <c r="G139" s="277">
        <f>C139*E139</f>
        <v>160</v>
      </c>
    </row>
    <row r="140" spans="2:21" s="34" customFormat="1" x14ac:dyDescent="0.35">
      <c r="B140" s="34" t="s">
        <v>8</v>
      </c>
      <c r="C140" s="277">
        <f>U67</f>
        <v>3350</v>
      </c>
      <c r="E140" s="357">
        <v>0.1</v>
      </c>
      <c r="G140" s="277">
        <f>C140*E140</f>
        <v>335</v>
      </c>
    </row>
    <row r="141" spans="2:21" s="34" customFormat="1" x14ac:dyDescent="0.35">
      <c r="B141" s="34" t="s">
        <v>226</v>
      </c>
      <c r="C141" s="277">
        <f>U69</f>
        <v>740</v>
      </c>
      <c r="E141" s="357">
        <v>0</v>
      </c>
      <c r="G141" s="277">
        <f>C141*E141</f>
        <v>0</v>
      </c>
    </row>
    <row r="142" spans="2:21" s="34" customFormat="1" x14ac:dyDescent="0.35">
      <c r="B142" s="34" t="s">
        <v>9</v>
      </c>
      <c r="C142" s="277">
        <f>U70</f>
        <v>20704.678547881813</v>
      </c>
      <c r="E142" s="357">
        <v>1</v>
      </c>
      <c r="G142" s="358">
        <f>C142*E142</f>
        <v>20704.678547881813</v>
      </c>
    </row>
    <row r="143" spans="2:21" s="34" customFormat="1" x14ac:dyDescent="0.35">
      <c r="B143" s="360" t="s">
        <v>236</v>
      </c>
      <c r="C143" s="277"/>
      <c r="G143" s="359">
        <f>SUM(G139:G142)</f>
        <v>21199.678547881813</v>
      </c>
    </row>
    <row r="144" spans="2:21" s="34" customFormat="1" x14ac:dyDescent="0.35">
      <c r="B144" s="34" t="s">
        <v>225</v>
      </c>
      <c r="C144" s="277">
        <f>-U60</f>
        <v>-1200</v>
      </c>
      <c r="E144" s="357">
        <v>1</v>
      </c>
      <c r="G144" s="358">
        <f>C144*E144</f>
        <v>-1200</v>
      </c>
    </row>
    <row r="145" spans="2:21" s="34" customFormat="1" x14ac:dyDescent="0.35">
      <c r="B145" s="360" t="s">
        <v>237</v>
      </c>
      <c r="C145" s="277"/>
      <c r="G145" s="359">
        <f>G143+G144</f>
        <v>19999.678547881813</v>
      </c>
    </row>
    <row r="146" spans="2:21" s="34" customFormat="1" x14ac:dyDescent="0.35"/>
    <row r="147" spans="2:21" s="34" customFormat="1" ht="15" thickBot="1" x14ac:dyDescent="0.4"/>
    <row r="148" spans="2:21" s="34" customFormat="1" ht="17.5" thickBot="1" x14ac:dyDescent="0.4">
      <c r="B148" s="310" t="s">
        <v>238</v>
      </c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2"/>
    </row>
    <row r="149" spans="2:21" s="34" customFormat="1" ht="16" thickBot="1" x14ac:dyDescent="0.4">
      <c r="B149" s="95" t="s">
        <v>109</v>
      </c>
      <c r="C149" s="96">
        <v>2009</v>
      </c>
      <c r="D149" s="96">
        <v>2010</v>
      </c>
      <c r="E149" s="97">
        <v>2011</v>
      </c>
      <c r="F149" s="97">
        <v>2012</v>
      </c>
      <c r="G149" s="97">
        <v>2013</v>
      </c>
      <c r="H149" s="97">
        <v>2014</v>
      </c>
      <c r="I149" s="97">
        <v>2015</v>
      </c>
      <c r="J149" s="97">
        <v>2016</v>
      </c>
      <c r="K149" s="97">
        <v>2017</v>
      </c>
      <c r="L149" s="97">
        <v>2018</v>
      </c>
      <c r="M149" s="97">
        <v>2019</v>
      </c>
      <c r="N149" s="97">
        <v>2020</v>
      </c>
      <c r="O149" s="97">
        <v>2021</v>
      </c>
      <c r="P149" s="97">
        <v>2022</v>
      </c>
      <c r="Q149" s="97">
        <v>2023</v>
      </c>
      <c r="R149" s="97">
        <v>2024</v>
      </c>
      <c r="S149" s="97">
        <v>2025</v>
      </c>
      <c r="T149" s="97">
        <v>2026</v>
      </c>
      <c r="U149" s="98">
        <v>2027</v>
      </c>
    </row>
    <row r="150" spans="2:21" s="34" customFormat="1" ht="15.5" x14ac:dyDescent="0.35">
      <c r="B150" s="355" t="s">
        <v>247</v>
      </c>
      <c r="C150" s="198"/>
      <c r="D150" s="198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200"/>
    </row>
    <row r="151" spans="2:21" ht="15.5" x14ac:dyDescent="0.35">
      <c r="B151" s="103" t="s">
        <v>87</v>
      </c>
      <c r="C151" s="202"/>
      <c r="D151" s="202">
        <f t="shared" ref="D151:U151" si="64">D77</f>
        <v>0</v>
      </c>
      <c r="E151" s="202">
        <f t="shared" si="64"/>
        <v>0</v>
      </c>
      <c r="F151" s="202">
        <f t="shared" si="64"/>
        <v>0</v>
      </c>
      <c r="G151" s="202">
        <f t="shared" si="64"/>
        <v>1184.0458852231843</v>
      </c>
      <c r="H151" s="202">
        <f t="shared" si="64"/>
        <v>1246.6271844613104</v>
      </c>
      <c r="I151" s="202">
        <f t="shared" si="64"/>
        <v>1310.7148655795124</v>
      </c>
      <c r="J151" s="202">
        <f t="shared" si="64"/>
        <v>1359.9564079721079</v>
      </c>
      <c r="K151" s="202">
        <f t="shared" si="64"/>
        <v>1417.7413939955093</v>
      </c>
      <c r="L151" s="202">
        <f t="shared" si="64"/>
        <v>1472.28170094185</v>
      </c>
      <c r="M151" s="202">
        <f t="shared" si="64"/>
        <v>1522.8708181083589</v>
      </c>
      <c r="N151" s="202">
        <f t="shared" si="64"/>
        <v>1580.0097230457236</v>
      </c>
      <c r="O151" s="202">
        <f t="shared" si="64"/>
        <v>1640.9616817716296</v>
      </c>
      <c r="P151" s="202">
        <f t="shared" si="64"/>
        <v>1642.5119006800455</v>
      </c>
      <c r="Q151" s="202">
        <f t="shared" si="64"/>
        <v>1602.3832825894297</v>
      </c>
      <c r="R151" s="202">
        <f t="shared" si="64"/>
        <v>1553.0549131738785</v>
      </c>
      <c r="S151" s="202">
        <f t="shared" si="64"/>
        <v>1509.0503401560723</v>
      </c>
      <c r="T151" s="202">
        <f t="shared" si="64"/>
        <v>1440.8210037491112</v>
      </c>
      <c r="U151" s="203">
        <f t="shared" si="64"/>
        <v>1378.8132810295565</v>
      </c>
    </row>
    <row r="152" spans="2:21" ht="15.5" x14ac:dyDescent="0.35">
      <c r="B152" s="103" t="s">
        <v>30</v>
      </c>
      <c r="C152" s="202"/>
      <c r="D152" s="202"/>
      <c r="E152" s="202"/>
      <c r="F152" s="202"/>
      <c r="G152" s="202">
        <f t="shared" ref="G152:U152" si="65">G78</f>
        <v>680</v>
      </c>
      <c r="H152" s="202">
        <f t="shared" si="65"/>
        <v>680</v>
      </c>
      <c r="I152" s="202">
        <f t="shared" si="65"/>
        <v>680</v>
      </c>
      <c r="J152" s="202">
        <f t="shared" si="65"/>
        <v>680</v>
      </c>
      <c r="K152" s="202">
        <f t="shared" si="65"/>
        <v>680</v>
      </c>
      <c r="L152" s="202">
        <f t="shared" si="65"/>
        <v>680</v>
      </c>
      <c r="M152" s="202">
        <f t="shared" si="65"/>
        <v>680</v>
      </c>
      <c r="N152" s="202">
        <f t="shared" si="65"/>
        <v>680</v>
      </c>
      <c r="O152" s="202">
        <f t="shared" si="65"/>
        <v>680</v>
      </c>
      <c r="P152" s="202">
        <f t="shared" si="65"/>
        <v>680</v>
      </c>
      <c r="Q152" s="202">
        <f t="shared" si="65"/>
        <v>680</v>
      </c>
      <c r="R152" s="202">
        <f t="shared" si="65"/>
        <v>680</v>
      </c>
      <c r="S152" s="202">
        <f t="shared" si="65"/>
        <v>680</v>
      </c>
      <c r="T152" s="202">
        <f t="shared" si="65"/>
        <v>680</v>
      </c>
      <c r="U152" s="203">
        <f t="shared" si="65"/>
        <v>680</v>
      </c>
    </row>
    <row r="153" spans="2:21" ht="15.5" x14ac:dyDescent="0.35">
      <c r="B153" s="103" t="s">
        <v>184</v>
      </c>
      <c r="C153" s="202"/>
      <c r="D153" s="202">
        <f t="shared" ref="D153:F153" si="66">D79</f>
        <v>-3460</v>
      </c>
      <c r="E153" s="202">
        <f t="shared" si="66"/>
        <v>-5520</v>
      </c>
      <c r="F153" s="202">
        <f t="shared" si="66"/>
        <v>-4570</v>
      </c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3"/>
    </row>
    <row r="154" spans="2:21" ht="15.5" x14ac:dyDescent="0.35">
      <c r="B154" s="103" t="s">
        <v>257</v>
      </c>
      <c r="C154" s="202"/>
      <c r="D154" s="202"/>
      <c r="E154" s="202"/>
      <c r="F154" s="202">
        <f>-13860-D153-E153-F153</f>
        <v>-310</v>
      </c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3"/>
    </row>
    <row r="155" spans="2:21" ht="15.5" x14ac:dyDescent="0.35">
      <c r="B155" s="103" t="s">
        <v>230</v>
      </c>
      <c r="C155" s="202"/>
      <c r="D155" s="202"/>
      <c r="E155" s="202"/>
      <c r="F155" s="202"/>
      <c r="G155" s="202">
        <f t="shared" ref="G155:U155" si="67">G80</f>
        <v>-1240</v>
      </c>
      <c r="H155" s="202">
        <f t="shared" si="67"/>
        <v>-10</v>
      </c>
      <c r="I155" s="202">
        <f t="shared" si="67"/>
        <v>-30</v>
      </c>
      <c r="J155" s="202">
        <f t="shared" si="67"/>
        <v>-20</v>
      </c>
      <c r="K155" s="202">
        <f t="shared" si="67"/>
        <v>-20</v>
      </c>
      <c r="L155" s="202">
        <f t="shared" si="67"/>
        <v>-30</v>
      </c>
      <c r="M155" s="202">
        <f t="shared" si="67"/>
        <v>-20</v>
      </c>
      <c r="N155" s="202">
        <f t="shared" si="67"/>
        <v>-30</v>
      </c>
      <c r="O155" s="202">
        <f t="shared" si="67"/>
        <v>-30</v>
      </c>
      <c r="P155" s="202">
        <f t="shared" si="67"/>
        <v>-20</v>
      </c>
      <c r="Q155" s="202">
        <f t="shared" si="67"/>
        <v>-30</v>
      </c>
      <c r="R155" s="202">
        <f t="shared" si="67"/>
        <v>-30</v>
      </c>
      <c r="S155" s="202">
        <f t="shared" si="67"/>
        <v>-30</v>
      </c>
      <c r="T155" s="202">
        <f t="shared" si="67"/>
        <v>-30</v>
      </c>
      <c r="U155" s="203">
        <f t="shared" si="67"/>
        <v>-30</v>
      </c>
    </row>
    <row r="156" spans="2:21" ht="15.5" x14ac:dyDescent="0.35">
      <c r="B156" s="103" t="s">
        <v>231</v>
      </c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>
        <f t="shared" ref="N156:U157" si="68">N81</f>
        <v>-10</v>
      </c>
      <c r="O156" s="202">
        <f t="shared" si="68"/>
        <v>-40</v>
      </c>
      <c r="P156" s="202">
        <f t="shared" si="68"/>
        <v>-70</v>
      </c>
      <c r="Q156" s="202">
        <f t="shared" si="68"/>
        <v>-90</v>
      </c>
      <c r="R156" s="202">
        <f t="shared" si="68"/>
        <v>-110</v>
      </c>
      <c r="S156" s="202">
        <f t="shared" si="68"/>
        <v>-130</v>
      </c>
      <c r="T156" s="202">
        <f t="shared" si="68"/>
        <v>-140</v>
      </c>
      <c r="U156" s="203">
        <f t="shared" si="68"/>
        <v>-150</v>
      </c>
    </row>
    <row r="157" spans="2:21" ht="15.5" x14ac:dyDescent="0.35">
      <c r="B157" s="103" t="s">
        <v>145</v>
      </c>
      <c r="C157" s="202"/>
      <c r="D157" s="202"/>
      <c r="E157" s="202"/>
      <c r="F157" s="202"/>
      <c r="G157" s="202">
        <f t="shared" ref="G157:M157" si="69">G82</f>
        <v>1102.5899999999999</v>
      </c>
      <c r="H157" s="202">
        <f t="shared" si="69"/>
        <v>983.07</v>
      </c>
      <c r="I157" s="202">
        <f t="shared" si="69"/>
        <v>864.75</v>
      </c>
      <c r="J157" s="202">
        <f t="shared" si="69"/>
        <v>747.03</v>
      </c>
      <c r="K157" s="202">
        <f t="shared" si="69"/>
        <v>628.71</v>
      </c>
      <c r="L157" s="202">
        <f t="shared" si="69"/>
        <v>510.39</v>
      </c>
      <c r="M157" s="202">
        <f t="shared" si="69"/>
        <v>392.66999999999996</v>
      </c>
      <c r="N157" s="202">
        <f t="shared" si="68"/>
        <v>274.95</v>
      </c>
      <c r="O157" s="202">
        <f t="shared" si="68"/>
        <v>172.245</v>
      </c>
      <c r="P157" s="202">
        <f t="shared" si="68"/>
        <v>129.6</v>
      </c>
      <c r="Q157" s="202">
        <f t="shared" si="68"/>
        <v>132</v>
      </c>
      <c r="R157" s="202">
        <f t="shared" si="68"/>
        <v>134.4</v>
      </c>
      <c r="S157" s="202">
        <f t="shared" si="68"/>
        <v>137.4</v>
      </c>
      <c r="T157" s="202">
        <f t="shared" si="68"/>
        <v>140.4</v>
      </c>
      <c r="U157" s="203">
        <f t="shared" si="68"/>
        <v>142.79999999999998</v>
      </c>
    </row>
    <row r="158" spans="2:21" ht="15.5" x14ac:dyDescent="0.35">
      <c r="B158" s="374" t="s">
        <v>248</v>
      </c>
      <c r="C158" s="307"/>
      <c r="D158" s="307">
        <f>SUM(D151:D157)</f>
        <v>-3460</v>
      </c>
      <c r="E158" s="307">
        <f t="shared" ref="E158:U158" si="70">SUM(E151:E157)</f>
        <v>-5520</v>
      </c>
      <c r="F158" s="307">
        <f t="shared" si="70"/>
        <v>-4880</v>
      </c>
      <c r="G158" s="307">
        <f t="shared" si="70"/>
        <v>1726.6358852231842</v>
      </c>
      <c r="H158" s="307">
        <f t="shared" si="70"/>
        <v>2899.6971844613104</v>
      </c>
      <c r="I158" s="307">
        <f t="shared" si="70"/>
        <v>2825.4648655795127</v>
      </c>
      <c r="J158" s="307">
        <f t="shared" si="70"/>
        <v>2766.9864079721078</v>
      </c>
      <c r="K158" s="307">
        <f t="shared" si="70"/>
        <v>2706.4513939955095</v>
      </c>
      <c r="L158" s="307">
        <f t="shared" si="70"/>
        <v>2632.6717009418498</v>
      </c>
      <c r="M158" s="307">
        <f t="shared" si="70"/>
        <v>2575.540818108359</v>
      </c>
      <c r="N158" s="307">
        <f t="shared" si="70"/>
        <v>2494.9597230457234</v>
      </c>
      <c r="O158" s="307">
        <f t="shared" si="70"/>
        <v>2423.2066817716295</v>
      </c>
      <c r="P158" s="307">
        <f t="shared" si="70"/>
        <v>2362.1119006800454</v>
      </c>
      <c r="Q158" s="307">
        <f t="shared" si="70"/>
        <v>2294.3832825894297</v>
      </c>
      <c r="R158" s="307">
        <f t="shared" si="70"/>
        <v>2227.4549131738786</v>
      </c>
      <c r="S158" s="307">
        <f t="shared" si="70"/>
        <v>2166.4503401560723</v>
      </c>
      <c r="T158" s="307">
        <f t="shared" si="70"/>
        <v>2091.2210037491113</v>
      </c>
      <c r="U158" s="308">
        <f t="shared" si="70"/>
        <v>2021.6132810295564</v>
      </c>
    </row>
    <row r="159" spans="2:21" s="34" customFormat="1" ht="15.5" x14ac:dyDescent="0.35">
      <c r="B159" s="107" t="s">
        <v>307</v>
      </c>
      <c r="C159" s="204"/>
      <c r="D159" s="204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3">
        <f>G143</f>
        <v>21199.678547881813</v>
      </c>
    </row>
    <row r="160" spans="2:21" s="34" customFormat="1" ht="16" thickBot="1" x14ac:dyDescent="0.4">
      <c r="B160" s="123" t="s">
        <v>249</v>
      </c>
      <c r="C160" s="216"/>
      <c r="D160" s="363">
        <f t="shared" ref="D160:S160" si="71">D158+D159</f>
        <v>-3460</v>
      </c>
      <c r="E160" s="363">
        <f t="shared" si="71"/>
        <v>-5520</v>
      </c>
      <c r="F160" s="363">
        <f t="shared" si="71"/>
        <v>-4880</v>
      </c>
      <c r="G160" s="363">
        <f t="shared" si="71"/>
        <v>1726.6358852231842</v>
      </c>
      <c r="H160" s="363">
        <f t="shared" si="71"/>
        <v>2899.6971844613104</v>
      </c>
      <c r="I160" s="363">
        <f t="shared" si="71"/>
        <v>2825.4648655795127</v>
      </c>
      <c r="J160" s="363">
        <f t="shared" si="71"/>
        <v>2766.9864079721078</v>
      </c>
      <c r="K160" s="363">
        <f t="shared" si="71"/>
        <v>2706.4513939955095</v>
      </c>
      <c r="L160" s="363">
        <f t="shared" si="71"/>
        <v>2632.6717009418498</v>
      </c>
      <c r="M160" s="363">
        <f t="shared" si="71"/>
        <v>2575.540818108359</v>
      </c>
      <c r="N160" s="363">
        <f t="shared" si="71"/>
        <v>2494.9597230457234</v>
      </c>
      <c r="O160" s="363">
        <f t="shared" si="71"/>
        <v>2423.2066817716295</v>
      </c>
      <c r="P160" s="363">
        <f t="shared" si="71"/>
        <v>2362.1119006800454</v>
      </c>
      <c r="Q160" s="363">
        <f t="shared" si="71"/>
        <v>2294.3832825894297</v>
      </c>
      <c r="R160" s="363">
        <f t="shared" si="71"/>
        <v>2227.4549131738786</v>
      </c>
      <c r="S160" s="363">
        <f t="shared" si="71"/>
        <v>2166.4503401560723</v>
      </c>
      <c r="T160" s="363">
        <f>T158+T159</f>
        <v>2091.2210037491113</v>
      </c>
      <c r="U160" s="364">
        <f>U158+U159</f>
        <v>23221.29182891137</v>
      </c>
    </row>
    <row r="161" spans="2:24" s="34" customFormat="1" ht="7.5" customHeight="1" x14ac:dyDescent="0.35">
      <c r="B161" s="369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2:24" s="34" customFormat="1" ht="15.5" x14ac:dyDescent="0.35">
      <c r="B162" s="370" t="s">
        <v>242</v>
      </c>
      <c r="C162" s="371">
        <f>IRR(D160:U160)</f>
        <v>0.16153187641743694</v>
      </c>
      <c r="D162" s="418">
        <f>C162/C162</f>
        <v>1</v>
      </c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</row>
    <row r="163" spans="2:24" s="34" customFormat="1" ht="15.5" x14ac:dyDescent="0.35">
      <c r="B163" s="372" t="s">
        <v>243</v>
      </c>
      <c r="C163" s="373">
        <f>IRR(D158:U158)</f>
        <v>0.13476735765594139</v>
      </c>
      <c r="D163" s="419">
        <f>C163/C162</f>
        <v>0.83430812942251942</v>
      </c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</row>
    <row r="164" spans="2:24" s="34" customFormat="1" ht="15.5" x14ac:dyDescent="0.35">
      <c r="B164" s="372" t="s">
        <v>244</v>
      </c>
      <c r="C164" s="373">
        <f>C162-C163</f>
        <v>2.6764518761495548E-2</v>
      </c>
      <c r="D164" s="419">
        <f>C164/C162</f>
        <v>0.16569187057748058</v>
      </c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</row>
    <row r="165" spans="2:24" s="34" customFormat="1" ht="15" thickBot="1" x14ac:dyDescent="0.4"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</row>
    <row r="166" spans="2:24" s="34" customFormat="1" ht="17.5" thickBot="1" x14ac:dyDescent="0.4">
      <c r="B166" s="310" t="s">
        <v>239</v>
      </c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2"/>
    </row>
    <row r="167" spans="2:24" s="34" customFormat="1" ht="16" thickBot="1" x14ac:dyDescent="0.4">
      <c r="B167" s="95" t="s">
        <v>109</v>
      </c>
      <c r="C167" s="96">
        <v>2009</v>
      </c>
      <c r="D167" s="96">
        <v>2010</v>
      </c>
      <c r="E167" s="97">
        <v>2011</v>
      </c>
      <c r="F167" s="97">
        <v>2012</v>
      </c>
      <c r="G167" s="97">
        <v>2013</v>
      </c>
      <c r="H167" s="97">
        <v>2014</v>
      </c>
      <c r="I167" s="97">
        <v>2015</v>
      </c>
      <c r="J167" s="97">
        <v>2016</v>
      </c>
      <c r="K167" s="97">
        <v>2017</v>
      </c>
      <c r="L167" s="97">
        <v>2018</v>
      </c>
      <c r="M167" s="97">
        <v>2019</v>
      </c>
      <c r="N167" s="97">
        <v>2020</v>
      </c>
      <c r="O167" s="97">
        <v>2021</v>
      </c>
      <c r="P167" s="97">
        <v>2022</v>
      </c>
      <c r="Q167" s="97">
        <v>2023</v>
      </c>
      <c r="R167" s="97">
        <v>2024</v>
      </c>
      <c r="S167" s="97">
        <v>2025</v>
      </c>
      <c r="T167" s="97">
        <v>2026</v>
      </c>
      <c r="U167" s="98">
        <v>2027</v>
      </c>
    </row>
    <row r="168" spans="2:24" s="34" customFormat="1" ht="15.5" x14ac:dyDescent="0.35">
      <c r="B168" s="355" t="s">
        <v>247</v>
      </c>
      <c r="C168" s="198"/>
      <c r="D168" s="198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200"/>
    </row>
    <row r="169" spans="2:24" s="134" customFormat="1" ht="15.5" x14ac:dyDescent="0.35">
      <c r="B169" s="103" t="s">
        <v>248</v>
      </c>
      <c r="C169" s="201"/>
      <c r="D169" s="201">
        <f t="shared" ref="D169:U169" si="72">D158</f>
        <v>-3460</v>
      </c>
      <c r="E169" s="201">
        <f t="shared" si="72"/>
        <v>-5520</v>
      </c>
      <c r="F169" s="201">
        <f t="shared" si="72"/>
        <v>-4880</v>
      </c>
      <c r="G169" s="201">
        <f t="shared" si="72"/>
        <v>1726.6358852231842</v>
      </c>
      <c r="H169" s="201">
        <f t="shared" si="72"/>
        <v>2899.6971844613104</v>
      </c>
      <c r="I169" s="201">
        <f t="shared" si="72"/>
        <v>2825.4648655795127</v>
      </c>
      <c r="J169" s="201">
        <f t="shared" si="72"/>
        <v>2766.9864079721078</v>
      </c>
      <c r="K169" s="201">
        <f t="shared" si="72"/>
        <v>2706.4513939955095</v>
      </c>
      <c r="L169" s="201">
        <f t="shared" si="72"/>
        <v>2632.6717009418498</v>
      </c>
      <c r="M169" s="201">
        <f t="shared" si="72"/>
        <v>2575.540818108359</v>
      </c>
      <c r="N169" s="201">
        <f t="shared" si="72"/>
        <v>2494.9597230457234</v>
      </c>
      <c r="O169" s="201">
        <f t="shared" si="72"/>
        <v>2423.2066817716295</v>
      </c>
      <c r="P169" s="201">
        <f t="shared" si="72"/>
        <v>2362.1119006800454</v>
      </c>
      <c r="Q169" s="201">
        <f t="shared" si="72"/>
        <v>2294.3832825894297</v>
      </c>
      <c r="R169" s="201">
        <f t="shared" si="72"/>
        <v>2227.4549131738786</v>
      </c>
      <c r="S169" s="201">
        <f t="shared" si="72"/>
        <v>2166.4503401560723</v>
      </c>
      <c r="T169" s="201">
        <f t="shared" si="72"/>
        <v>2091.2210037491113</v>
      </c>
      <c r="U169" s="203">
        <f t="shared" si="72"/>
        <v>2021.6132810295564</v>
      </c>
    </row>
    <row r="170" spans="2:24" s="34" customFormat="1" ht="15.5" x14ac:dyDescent="0.35">
      <c r="B170" s="355" t="s">
        <v>254</v>
      </c>
      <c r="C170" s="198"/>
      <c r="D170" s="198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200"/>
    </row>
    <row r="171" spans="2:24" ht="15.5" x14ac:dyDescent="0.35">
      <c r="B171" s="103" t="s">
        <v>190</v>
      </c>
      <c r="C171" s="202"/>
      <c r="D171" s="202">
        <f>D86</f>
        <v>2247.6061855670105</v>
      </c>
      <c r="E171" s="202">
        <f t="shared" ref="E171:F171" si="73">E86</f>
        <v>3594.3123711340209</v>
      </c>
      <c r="F171" s="202">
        <f t="shared" si="73"/>
        <v>3167.0814432989687</v>
      </c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3"/>
      <c r="W171" s="408">
        <f>SUM(D171:F171)</f>
        <v>9009</v>
      </c>
      <c r="X171" t="s">
        <v>305</v>
      </c>
    </row>
    <row r="172" spans="2:24" ht="15.5" x14ac:dyDescent="0.35">
      <c r="B172" s="103" t="s">
        <v>241</v>
      </c>
      <c r="C172" s="202"/>
      <c r="D172" s="202"/>
      <c r="E172" s="202"/>
      <c r="F172" s="202"/>
      <c r="G172" s="202">
        <f t="shared" ref="G172:P172" si="74">G87</f>
        <v>-1001</v>
      </c>
      <c r="H172" s="202">
        <f t="shared" si="74"/>
        <v>-1001</v>
      </c>
      <c r="I172" s="202">
        <f t="shared" si="74"/>
        <v>-1001</v>
      </c>
      <c r="J172" s="202">
        <f t="shared" si="74"/>
        <v>-1001</v>
      </c>
      <c r="K172" s="202">
        <f t="shared" si="74"/>
        <v>-1001</v>
      </c>
      <c r="L172" s="202">
        <f t="shared" si="74"/>
        <v>-1001</v>
      </c>
      <c r="M172" s="202">
        <f t="shared" si="74"/>
        <v>-1001</v>
      </c>
      <c r="N172" s="202">
        <f t="shared" si="74"/>
        <v>-1001</v>
      </c>
      <c r="O172" s="202">
        <f t="shared" si="74"/>
        <v>-750.75</v>
      </c>
      <c r="P172" s="202">
        <f t="shared" si="74"/>
        <v>0</v>
      </c>
      <c r="Q172" s="202"/>
      <c r="R172" s="202"/>
      <c r="S172" s="202"/>
      <c r="T172" s="202"/>
      <c r="U172" s="203"/>
      <c r="W172" s="276">
        <f>R4</f>
        <v>0.65</v>
      </c>
      <c r="X172" t="s">
        <v>116</v>
      </c>
    </row>
    <row r="173" spans="2:24" ht="15.5" x14ac:dyDescent="0.35">
      <c r="B173" s="103" t="s">
        <v>186</v>
      </c>
      <c r="C173" s="339"/>
      <c r="D173" s="202"/>
      <c r="E173" s="202"/>
      <c r="F173" s="202"/>
      <c r="G173" s="202">
        <f>G88</f>
        <v>930</v>
      </c>
      <c r="H173" s="202">
        <f t="shared" ref="H173:T173" si="75">H88</f>
        <v>10</v>
      </c>
      <c r="I173" s="202">
        <f t="shared" si="75"/>
        <v>20</v>
      </c>
      <c r="J173" s="202">
        <f t="shared" si="75"/>
        <v>20</v>
      </c>
      <c r="K173" s="202">
        <f t="shared" si="75"/>
        <v>10</v>
      </c>
      <c r="L173" s="202">
        <f t="shared" si="75"/>
        <v>20</v>
      </c>
      <c r="M173" s="202">
        <f t="shared" si="75"/>
        <v>20</v>
      </c>
      <c r="N173" s="202">
        <f t="shared" si="75"/>
        <v>20</v>
      </c>
      <c r="O173" s="202">
        <f t="shared" si="75"/>
        <v>20</v>
      </c>
      <c r="P173" s="202">
        <f t="shared" si="75"/>
        <v>20</v>
      </c>
      <c r="Q173" s="202">
        <f t="shared" si="75"/>
        <v>20</v>
      </c>
      <c r="R173" s="202">
        <f t="shared" si="75"/>
        <v>20</v>
      </c>
      <c r="S173" s="202">
        <f t="shared" si="75"/>
        <v>30</v>
      </c>
      <c r="T173" s="202">
        <f t="shared" si="75"/>
        <v>20</v>
      </c>
      <c r="U173" s="203">
        <f>U88</f>
        <v>20</v>
      </c>
      <c r="V173" s="284"/>
    </row>
    <row r="174" spans="2:24" ht="15.5" x14ac:dyDescent="0.35">
      <c r="B174" s="103" t="s">
        <v>240</v>
      </c>
      <c r="C174" s="339"/>
      <c r="D174" s="202"/>
      <c r="E174" s="202"/>
      <c r="F174" s="202"/>
      <c r="G174" s="202">
        <f>G89</f>
        <v>0</v>
      </c>
      <c r="H174" s="202">
        <f t="shared" ref="H174:T174" si="76">H89</f>
        <v>0</v>
      </c>
      <c r="I174" s="202">
        <f t="shared" si="76"/>
        <v>0</v>
      </c>
      <c r="J174" s="202">
        <f t="shared" si="76"/>
        <v>0</v>
      </c>
      <c r="K174" s="202">
        <f t="shared" si="76"/>
        <v>0</v>
      </c>
      <c r="L174" s="202">
        <f t="shared" si="76"/>
        <v>0</v>
      </c>
      <c r="M174" s="202">
        <f t="shared" si="76"/>
        <v>0</v>
      </c>
      <c r="N174" s="202">
        <f t="shared" si="76"/>
        <v>0</v>
      </c>
      <c r="O174" s="202">
        <f t="shared" si="76"/>
        <v>0</v>
      </c>
      <c r="P174" s="202">
        <f t="shared" si="76"/>
        <v>0</v>
      </c>
      <c r="Q174" s="202">
        <f t="shared" si="76"/>
        <v>0</v>
      </c>
      <c r="R174" s="202">
        <f t="shared" si="76"/>
        <v>0</v>
      </c>
      <c r="S174" s="202">
        <f t="shared" si="76"/>
        <v>0</v>
      </c>
      <c r="T174" s="202">
        <f t="shared" si="76"/>
        <v>0</v>
      </c>
      <c r="U174" s="203">
        <f>U89</f>
        <v>0</v>
      </c>
      <c r="V174" s="284"/>
    </row>
    <row r="175" spans="2:24" ht="15.5" x14ac:dyDescent="0.35">
      <c r="B175" s="103" t="s">
        <v>145</v>
      </c>
      <c r="C175" s="202"/>
      <c r="D175" s="202">
        <f>D133</f>
        <v>-39.425984536082474</v>
      </c>
      <c r="E175" s="202">
        <f>E133</f>
        <v>-7.9177036082474217</v>
      </c>
      <c r="F175" s="202">
        <f>F133</f>
        <v>0</v>
      </c>
      <c r="G175" s="202">
        <f>G90</f>
        <v>-1102.5899999999999</v>
      </c>
      <c r="H175" s="202">
        <f t="shared" ref="H175:T175" si="77">H90</f>
        <v>-983.07</v>
      </c>
      <c r="I175" s="202">
        <f t="shared" si="77"/>
        <v>-864.75</v>
      </c>
      <c r="J175" s="202">
        <f t="shared" si="77"/>
        <v>-747.03</v>
      </c>
      <c r="K175" s="202">
        <f t="shared" si="77"/>
        <v>-628.71</v>
      </c>
      <c r="L175" s="202">
        <f t="shared" si="77"/>
        <v>-510.39</v>
      </c>
      <c r="M175" s="202">
        <f t="shared" si="77"/>
        <v>-392.66999999999996</v>
      </c>
      <c r="N175" s="202">
        <f t="shared" si="77"/>
        <v>-274.95</v>
      </c>
      <c r="O175" s="202">
        <f t="shared" si="77"/>
        <v>-172.245</v>
      </c>
      <c r="P175" s="202">
        <f t="shared" si="77"/>
        <v>-129.6</v>
      </c>
      <c r="Q175" s="202">
        <f t="shared" si="77"/>
        <v>-132</v>
      </c>
      <c r="R175" s="202">
        <f t="shared" si="77"/>
        <v>-134.4</v>
      </c>
      <c r="S175" s="202">
        <f t="shared" si="77"/>
        <v>-137.4</v>
      </c>
      <c r="T175" s="202">
        <f t="shared" si="77"/>
        <v>-140.4</v>
      </c>
      <c r="U175" s="203">
        <f>U90</f>
        <v>-142.79999999999998</v>
      </c>
    </row>
    <row r="176" spans="2:24" ht="5.75" customHeight="1" thickBot="1" x14ac:dyDescent="0.4">
      <c r="B176" s="123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</row>
    <row r="177" spans="2:24" s="34" customFormat="1" ht="15.5" x14ac:dyDescent="0.35">
      <c r="B177" s="119" t="s">
        <v>253</v>
      </c>
      <c r="C177" s="213"/>
      <c r="D177" s="362">
        <f t="shared" ref="D177:U177" si="78">SUM(D169:D175)</f>
        <v>-1251.8197989690721</v>
      </c>
      <c r="E177" s="362">
        <f t="shared" si="78"/>
        <v>-1933.6053324742265</v>
      </c>
      <c r="F177" s="362">
        <f t="shared" si="78"/>
        <v>-1712.9185567010313</v>
      </c>
      <c r="G177" s="362">
        <f t="shared" si="78"/>
        <v>553.04588522318431</v>
      </c>
      <c r="H177" s="362">
        <f t="shared" si="78"/>
        <v>925.62718446131032</v>
      </c>
      <c r="I177" s="362">
        <f t="shared" si="78"/>
        <v>979.71486557951266</v>
      </c>
      <c r="J177" s="362">
        <f t="shared" si="78"/>
        <v>1038.9564079721079</v>
      </c>
      <c r="K177" s="362">
        <f t="shared" si="78"/>
        <v>1086.7413939955095</v>
      </c>
      <c r="L177" s="362">
        <f t="shared" si="78"/>
        <v>1141.28170094185</v>
      </c>
      <c r="M177" s="362">
        <f t="shared" si="78"/>
        <v>1201.8708181083589</v>
      </c>
      <c r="N177" s="362">
        <f t="shared" si="78"/>
        <v>1239.0097230457234</v>
      </c>
      <c r="O177" s="362">
        <f t="shared" si="78"/>
        <v>1520.2116817716296</v>
      </c>
      <c r="P177" s="362">
        <f t="shared" si="78"/>
        <v>2252.5119006800455</v>
      </c>
      <c r="Q177" s="362">
        <f t="shared" si="78"/>
        <v>2182.3832825894297</v>
      </c>
      <c r="R177" s="362">
        <f t="shared" si="78"/>
        <v>2113.0549131738785</v>
      </c>
      <c r="S177" s="362">
        <f t="shared" si="78"/>
        <v>2059.0503401560723</v>
      </c>
      <c r="T177" s="362">
        <f t="shared" si="78"/>
        <v>1970.8210037491112</v>
      </c>
      <c r="U177" s="365">
        <f t="shared" si="78"/>
        <v>1898.8132810295565</v>
      </c>
      <c r="W177" s="277">
        <f>-Q6+D175+E175</f>
        <v>-4898.3436881443295</v>
      </c>
      <c r="X177" s="34" t="s">
        <v>306</v>
      </c>
    </row>
    <row r="178" spans="2:24" s="34" customFormat="1" ht="15.5" x14ac:dyDescent="0.35">
      <c r="B178" s="107" t="s">
        <v>308</v>
      </c>
      <c r="C178" s="204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3">
        <f>G145</f>
        <v>19999.678547881813</v>
      </c>
      <c r="W178" s="277">
        <f>D177+E177+F177</f>
        <v>-4898.3436881443304</v>
      </c>
    </row>
    <row r="179" spans="2:24" s="34" customFormat="1" ht="16" thickBot="1" x14ac:dyDescent="0.4">
      <c r="B179" s="123" t="s">
        <v>250</v>
      </c>
      <c r="C179" s="216"/>
      <c r="D179" s="363">
        <f t="shared" ref="D179:S179" si="79">D177+D178</f>
        <v>-1251.8197989690721</v>
      </c>
      <c r="E179" s="363">
        <f t="shared" si="79"/>
        <v>-1933.6053324742265</v>
      </c>
      <c r="F179" s="363">
        <f t="shared" si="79"/>
        <v>-1712.9185567010313</v>
      </c>
      <c r="G179" s="363">
        <f t="shared" si="79"/>
        <v>553.04588522318431</v>
      </c>
      <c r="H179" s="363">
        <f t="shared" si="79"/>
        <v>925.62718446131032</v>
      </c>
      <c r="I179" s="363">
        <f t="shared" si="79"/>
        <v>979.71486557951266</v>
      </c>
      <c r="J179" s="363">
        <f t="shared" si="79"/>
        <v>1038.9564079721079</v>
      </c>
      <c r="K179" s="363">
        <f t="shared" si="79"/>
        <v>1086.7413939955095</v>
      </c>
      <c r="L179" s="363">
        <f t="shared" si="79"/>
        <v>1141.28170094185</v>
      </c>
      <c r="M179" s="363">
        <f t="shared" si="79"/>
        <v>1201.8708181083589</v>
      </c>
      <c r="N179" s="363">
        <f t="shared" si="79"/>
        <v>1239.0097230457234</v>
      </c>
      <c r="O179" s="363">
        <f t="shared" si="79"/>
        <v>1520.2116817716296</v>
      </c>
      <c r="P179" s="363">
        <f t="shared" si="79"/>
        <v>2252.5119006800455</v>
      </c>
      <c r="Q179" s="363">
        <f t="shared" si="79"/>
        <v>2182.3832825894297</v>
      </c>
      <c r="R179" s="363">
        <f t="shared" si="79"/>
        <v>2113.0549131738785</v>
      </c>
      <c r="S179" s="363">
        <f t="shared" si="79"/>
        <v>2059.0503401560723</v>
      </c>
      <c r="T179" s="363">
        <f>T177+T178</f>
        <v>1970.8210037491112</v>
      </c>
      <c r="U179" s="364">
        <f>U177+U178</f>
        <v>21898.49182891137</v>
      </c>
    </row>
    <row r="180" spans="2:24" s="34" customFormat="1" ht="7.5" customHeight="1" x14ac:dyDescent="0.35">
      <c r="B180" s="369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</row>
    <row r="181" spans="2:24" s="34" customFormat="1" ht="15.5" x14ac:dyDescent="0.35">
      <c r="B181" s="370" t="s">
        <v>242</v>
      </c>
      <c r="C181" s="371">
        <f>IRR(D179:U179)</f>
        <v>0.21607829422864344</v>
      </c>
      <c r="D181" s="418">
        <f>C181/C181</f>
        <v>1</v>
      </c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</row>
    <row r="182" spans="2:24" s="34" customFormat="1" ht="15.5" x14ac:dyDescent="0.35">
      <c r="B182" s="372" t="s">
        <v>243</v>
      </c>
      <c r="C182" s="373">
        <f>IRR(D177:U177)</f>
        <v>0.18378910767894263</v>
      </c>
      <c r="D182" s="419">
        <f>C182/C181</f>
        <v>0.85056719063353037</v>
      </c>
      <c r="E182" s="367"/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</row>
    <row r="183" spans="2:24" s="34" customFormat="1" ht="15.5" x14ac:dyDescent="0.35">
      <c r="B183" s="372" t="s">
        <v>244</v>
      </c>
      <c r="C183" s="373">
        <f>C181-C182</f>
        <v>3.228918654970081E-2</v>
      </c>
      <c r="D183" s="419">
        <f>C183/C181</f>
        <v>0.14943280936646963</v>
      </c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</row>
    <row r="184" spans="2:24" s="34" customFormat="1" x14ac:dyDescent="0.35"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</row>
    <row r="185" spans="2:24" s="34" customFormat="1" x14ac:dyDescent="0.35">
      <c r="H185" s="134"/>
      <c r="I185" s="134"/>
      <c r="J185" s="134"/>
      <c r="K185" s="134"/>
      <c r="L185" s="134"/>
      <c r="M185" s="134"/>
      <c r="N185" s="134"/>
      <c r="O185" s="134"/>
    </row>
    <row r="186" spans="2:24" s="34" customFormat="1" x14ac:dyDescent="0.35">
      <c r="B186" s="420" t="s">
        <v>279</v>
      </c>
      <c r="C186" s="421"/>
      <c r="D186" s="422">
        <v>2010</v>
      </c>
      <c r="E186" s="422">
        <v>2011</v>
      </c>
      <c r="F186" s="422">
        <v>2012</v>
      </c>
      <c r="G186" s="422" t="s">
        <v>166</v>
      </c>
      <c r="H186" s="134"/>
      <c r="I186" s="134"/>
      <c r="J186" s="134"/>
      <c r="K186" s="134"/>
      <c r="L186" s="134"/>
      <c r="M186" s="134"/>
      <c r="N186" s="134"/>
      <c r="O186" s="134"/>
    </row>
    <row r="187" spans="2:24" s="34" customFormat="1" x14ac:dyDescent="0.35">
      <c r="B187" s="421" t="s">
        <v>280</v>
      </c>
      <c r="C187" s="421"/>
      <c r="D187" s="423">
        <f>D92</f>
        <v>1212.75</v>
      </c>
      <c r="E187" s="423">
        <f>E92</f>
        <v>1924.0745192307691</v>
      </c>
      <c r="F187" s="423">
        <f>F92</f>
        <v>1714.1754807692309</v>
      </c>
      <c r="G187" s="423">
        <f>D187+E187+F187</f>
        <v>4851</v>
      </c>
    </row>
    <row r="188" spans="2:24" s="34" customFormat="1" x14ac:dyDescent="0.35">
      <c r="B188" s="421" t="s">
        <v>281</v>
      </c>
      <c r="C188" s="421"/>
      <c r="D188" s="424">
        <f>-D177</f>
        <v>1251.8197989690721</v>
      </c>
      <c r="E188" s="424">
        <f>-E177</f>
        <v>1933.6053324742265</v>
      </c>
      <c r="F188" s="424">
        <f>-F177</f>
        <v>1712.9185567010313</v>
      </c>
      <c r="G188" s="424">
        <f>D188+E188+F188</f>
        <v>4898.3436881443304</v>
      </c>
    </row>
    <row r="189" spans="2:24" s="34" customFormat="1" x14ac:dyDescent="0.35">
      <c r="B189" s="421" t="s">
        <v>309</v>
      </c>
      <c r="C189" s="421"/>
      <c r="D189" s="423">
        <f>D187-D188</f>
        <v>-39.069798969072053</v>
      </c>
      <c r="E189" s="423">
        <f>E187-E188</f>
        <v>-9.5308132434574873</v>
      </c>
      <c r="F189" s="423">
        <f>F187-F188</f>
        <v>1.2569240681996234</v>
      </c>
      <c r="G189" s="423">
        <f>G187-G188</f>
        <v>-47.343688144330372</v>
      </c>
    </row>
    <row r="190" spans="2:24" s="34" customFormat="1" x14ac:dyDescent="0.35">
      <c r="C190" s="421" t="s">
        <v>164</v>
      </c>
      <c r="D190" s="426">
        <f>D133-D189</f>
        <v>-0.35618556701042081</v>
      </c>
      <c r="E190" s="426">
        <f>E133-E189</f>
        <v>1.6131096352100656</v>
      </c>
      <c r="F190" s="426">
        <f>F133-F189</f>
        <v>-1.2569240681996234</v>
      </c>
      <c r="G190" s="425"/>
    </row>
    <row r="191" spans="2:24" s="34" customFormat="1" x14ac:dyDescent="0.35"/>
    <row r="192" spans="2:24" s="34" customFormat="1" x14ac:dyDescent="0.35"/>
    <row r="193" s="34" customFormat="1" x14ac:dyDescent="0.35"/>
    <row r="194" s="34" customFormat="1" x14ac:dyDescent="0.35"/>
    <row r="195" s="34" customFormat="1" x14ac:dyDescent="0.35"/>
    <row r="196" s="34" customFormat="1" x14ac:dyDescent="0.35"/>
    <row r="197" s="34" customFormat="1" x14ac:dyDescent="0.35"/>
    <row r="198" s="34" customFormat="1" x14ac:dyDescent="0.35"/>
    <row r="199" s="34" customFormat="1" x14ac:dyDescent="0.35"/>
    <row r="200" s="34" customFormat="1" x14ac:dyDescent="0.35"/>
    <row r="201" s="34" customFormat="1" x14ac:dyDescent="0.35"/>
    <row r="202" s="34" customFormat="1" x14ac:dyDescent="0.35"/>
    <row r="203" s="34" customFormat="1" x14ac:dyDescent="0.35"/>
    <row r="204" s="34" customFormat="1" x14ac:dyDescent="0.35"/>
    <row r="205" s="34" customFormat="1" x14ac:dyDescent="0.35"/>
    <row r="206" s="34" customFormat="1" x14ac:dyDescent="0.35"/>
    <row r="207" s="34" customFormat="1" x14ac:dyDescent="0.35"/>
    <row r="208" s="34" customFormat="1" x14ac:dyDescent="0.35"/>
    <row r="209" s="34" customFormat="1" x14ac:dyDescent="0.35"/>
    <row r="210" s="34" customFormat="1" x14ac:dyDescent="0.35"/>
    <row r="211" s="34" customFormat="1" x14ac:dyDescent="0.35"/>
    <row r="212" s="34" customFormat="1" x14ac:dyDescent="0.35"/>
    <row r="213" s="34" customFormat="1" x14ac:dyDescent="0.35"/>
    <row r="214" s="34" customFormat="1" x14ac:dyDescent="0.35"/>
    <row r="215" s="34" customFormat="1" x14ac:dyDescent="0.35"/>
    <row r="216" s="34" customFormat="1" x14ac:dyDescent="0.35"/>
    <row r="217" s="34" customFormat="1" x14ac:dyDescent="0.35"/>
    <row r="218" s="34" customFormat="1" x14ac:dyDescent="0.35"/>
    <row r="219" s="34" customFormat="1" x14ac:dyDescent="0.35"/>
    <row r="220" s="34" customFormat="1" x14ac:dyDescent="0.35"/>
    <row r="221" s="34" customFormat="1" x14ac:dyDescent="0.35"/>
  </sheetData>
  <pageMargins left="0.75" right="0.75" top="1" bottom="1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1CF5-9426-4044-8D4B-7EA15C9B887B}">
  <dimension ref="A1:Z221"/>
  <sheetViews>
    <sheetView showGridLines="0" topLeftCell="A21" zoomScale="94" zoomScaleNormal="94" workbookViewId="0">
      <selection activeCell="B37" sqref="B37"/>
    </sheetView>
  </sheetViews>
  <sheetFormatPr baseColWidth="10" defaultColWidth="8.81640625" defaultRowHeight="14.5" outlineLevelRow="1" outlineLevelCol="1" x14ac:dyDescent="0.35"/>
  <cols>
    <col min="1" max="1" width="1.54296875" customWidth="1"/>
    <col min="2" max="2" width="43.1796875" customWidth="1"/>
    <col min="3" max="6" width="7.6328125" customWidth="1"/>
    <col min="7" max="16" width="7.81640625" customWidth="1"/>
    <col min="17" max="17" width="8.54296875" customWidth="1"/>
    <col min="18" max="18" width="7.81640625" customWidth="1"/>
    <col min="19" max="19" width="8.08984375" hidden="1" customWidth="1" outlineLevel="1"/>
    <col min="20" max="20" width="8" hidden="1" customWidth="1" outlineLevel="1"/>
    <col min="21" max="21" width="7.90625" hidden="1" customWidth="1" outlineLevel="1"/>
    <col min="22" max="22" width="12.453125" bestFit="1" customWidth="1" collapsed="1"/>
  </cols>
  <sheetData>
    <row r="1" spans="2:21" ht="15" thickBot="1" x14ac:dyDescent="0.4"/>
    <row r="2" spans="2:21" ht="12" customHeight="1" thickBot="1" x14ac:dyDescent="0.4">
      <c r="B2" s="377" t="s">
        <v>258</v>
      </c>
      <c r="C2" s="378"/>
      <c r="E2" s="377" t="s">
        <v>261</v>
      </c>
      <c r="F2" s="380"/>
      <c r="G2" s="380"/>
      <c r="H2" s="380"/>
      <c r="I2" s="380"/>
      <c r="J2" s="379"/>
      <c r="L2" s="377" t="s">
        <v>293</v>
      </c>
      <c r="M2" s="380"/>
      <c r="N2" s="380"/>
      <c r="O2" s="380"/>
      <c r="P2" s="380"/>
      <c r="Q2" s="380"/>
      <c r="R2" s="379"/>
      <c r="S2" s="34"/>
    </row>
    <row r="3" spans="2:21" ht="12" customHeight="1" x14ac:dyDescent="0.35">
      <c r="B3" s="59" t="s">
        <v>15</v>
      </c>
      <c r="C3" s="388">
        <v>300</v>
      </c>
      <c r="E3" s="477" t="s">
        <v>251</v>
      </c>
      <c r="F3" s="478"/>
      <c r="G3" s="478"/>
      <c r="H3" s="478"/>
      <c r="I3" s="478"/>
      <c r="J3" s="479">
        <v>0.6</v>
      </c>
      <c r="K3" s="34"/>
      <c r="L3" s="433" t="s">
        <v>291</v>
      </c>
      <c r="M3" s="384"/>
      <c r="N3" s="34">
        <v>2010</v>
      </c>
      <c r="O3">
        <v>2011</v>
      </c>
      <c r="P3">
        <v>2012</v>
      </c>
      <c r="Q3" s="434" t="s">
        <v>290</v>
      </c>
      <c r="R3" s="435" t="s">
        <v>292</v>
      </c>
    </row>
    <row r="4" spans="2:21" ht="12" customHeight="1" thickBot="1" x14ac:dyDescent="0.4">
      <c r="B4" s="66" t="s">
        <v>16</v>
      </c>
      <c r="C4" s="452">
        <v>0.85</v>
      </c>
      <c r="E4" s="383" t="s">
        <v>263</v>
      </c>
      <c r="F4" s="386"/>
      <c r="G4" s="386"/>
      <c r="H4" s="386"/>
      <c r="I4" s="386"/>
      <c r="J4" s="445">
        <v>0.12</v>
      </c>
      <c r="L4" s="382" t="s">
        <v>288</v>
      </c>
      <c r="M4" s="436"/>
      <c r="N4" s="202">
        <f>Q4*N5</f>
        <v>2074.7134020618555</v>
      </c>
      <c r="O4" s="202">
        <f>Q4*O5</f>
        <v>3317.8268041237116</v>
      </c>
      <c r="P4" s="202">
        <f>Q4*P5</f>
        <v>2923.4597938144329</v>
      </c>
      <c r="Q4" s="202">
        <f>R4*Q8</f>
        <v>8316</v>
      </c>
      <c r="R4" s="437">
        <f>J3</f>
        <v>0.6</v>
      </c>
    </row>
    <row r="5" spans="2:21" ht="12" customHeight="1" x14ac:dyDescent="0.35">
      <c r="B5" s="31" t="s">
        <v>111</v>
      </c>
      <c r="C5" s="451">
        <v>3.3</v>
      </c>
      <c r="E5" s="381" t="s">
        <v>252</v>
      </c>
      <c r="F5" s="443"/>
      <c r="G5" s="443"/>
      <c r="H5" s="443"/>
      <c r="I5" s="443"/>
      <c r="J5" s="444">
        <f>C162</f>
        <v>0.16216157368668349</v>
      </c>
      <c r="K5" s="269"/>
      <c r="L5" s="382"/>
      <c r="M5" s="436"/>
      <c r="N5" s="439">
        <v>0.24948453608247423</v>
      </c>
      <c r="O5" s="439">
        <v>0.39896907216494848</v>
      </c>
      <c r="P5" s="439">
        <v>0.35154639175257729</v>
      </c>
      <c r="Q5" s="438">
        <f>Q4/Q4</f>
        <v>1</v>
      </c>
      <c r="R5" s="437"/>
    </row>
    <row r="6" spans="2:21" ht="12" customHeight="1" thickBot="1" x14ac:dyDescent="0.4">
      <c r="B6" s="66" t="s">
        <v>262</v>
      </c>
      <c r="C6" s="455">
        <v>0.01</v>
      </c>
      <c r="E6" s="481" t="s">
        <v>131</v>
      </c>
      <c r="F6" s="482"/>
      <c r="G6" s="482"/>
      <c r="H6" s="482"/>
      <c r="I6" s="482"/>
      <c r="J6" s="483">
        <f>WACC!K30</f>
        <v>0.126815771251932</v>
      </c>
      <c r="L6" s="382" t="s">
        <v>289</v>
      </c>
      <c r="M6" s="385"/>
      <c r="N6" s="202">
        <f>Q6*N7</f>
        <v>1386</v>
      </c>
      <c r="O6" s="202">
        <f>Q6*O7</f>
        <v>2198.9423076923076</v>
      </c>
      <c r="P6" s="202">
        <f>Q6*P7</f>
        <v>1959.0576923076924</v>
      </c>
      <c r="Q6" s="202">
        <f>R6*Q8</f>
        <v>5544</v>
      </c>
      <c r="R6" s="437">
        <f>1-R4</f>
        <v>0.4</v>
      </c>
    </row>
    <row r="7" spans="2:21" ht="12" customHeight="1" thickBot="1" x14ac:dyDescent="0.4">
      <c r="B7" s="453" t="s">
        <v>68</v>
      </c>
      <c r="C7" s="454">
        <f>'Operating Data'!C23</f>
        <v>2947.3638769273243</v>
      </c>
      <c r="E7" s="381" t="s">
        <v>259</v>
      </c>
      <c r="F7" s="443"/>
      <c r="G7" s="443"/>
      <c r="H7" s="443"/>
      <c r="I7" s="443"/>
      <c r="J7" s="444">
        <f>C181</f>
        <v>0.2091239533553666</v>
      </c>
      <c r="K7" s="269"/>
      <c r="L7" s="383"/>
      <c r="M7" s="458"/>
      <c r="N7" s="448">
        <v>0.25</v>
      </c>
      <c r="O7" s="449">
        <v>0.39663461538461536</v>
      </c>
      <c r="P7" s="449">
        <v>0.35336538461538464</v>
      </c>
      <c r="Q7" s="450">
        <f>Q6/Q6</f>
        <v>1</v>
      </c>
      <c r="R7" s="459"/>
    </row>
    <row r="8" spans="2:21" ht="12" customHeight="1" thickBot="1" x14ac:dyDescent="0.4">
      <c r="B8" s="66" t="s">
        <v>304</v>
      </c>
      <c r="C8" s="389">
        <v>1</v>
      </c>
      <c r="E8" s="481" t="s">
        <v>260</v>
      </c>
      <c r="F8" s="482"/>
      <c r="G8" s="482"/>
      <c r="H8" s="482"/>
      <c r="I8" s="482"/>
      <c r="J8" s="483">
        <f>WACC!K21</f>
        <v>0.16583942812982999</v>
      </c>
      <c r="L8" s="456" t="s">
        <v>166</v>
      </c>
      <c r="M8" s="457"/>
      <c r="N8" s="446">
        <f>N4+N6</f>
        <v>3460.7134020618555</v>
      </c>
      <c r="O8" s="446">
        <f>O4+O6</f>
        <v>5516.7691118160192</v>
      </c>
      <c r="P8" s="446">
        <f>P4+P6</f>
        <v>4882.5174861221258</v>
      </c>
      <c r="Q8" s="447">
        <v>13860</v>
      </c>
      <c r="R8" s="460">
        <f>Q8/Q8</f>
        <v>1</v>
      </c>
    </row>
    <row r="9" spans="2:21" ht="6.25" customHeight="1" x14ac:dyDescent="0.35">
      <c r="E9" s="318"/>
      <c r="F9" s="318"/>
      <c r="G9" s="318"/>
      <c r="H9" s="392"/>
    </row>
    <row r="10" spans="2:21" ht="6.25" customHeight="1" thickBot="1" x14ac:dyDescent="0.4"/>
    <row r="11" spans="2:21" ht="12" customHeight="1" thickBot="1" x14ac:dyDescent="0.4">
      <c r="B11" s="302" t="s">
        <v>106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8"/>
    </row>
    <row r="12" spans="2:21" s="68" customFormat="1" ht="12" customHeight="1" thickBot="1" x14ac:dyDescent="0.4">
      <c r="B12" s="306" t="s">
        <v>110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  <c r="I12" s="2">
        <v>2015</v>
      </c>
      <c r="J12" s="2">
        <v>2016</v>
      </c>
      <c r="K12" s="2">
        <v>2017</v>
      </c>
      <c r="L12" s="2">
        <v>2018</v>
      </c>
      <c r="M12" s="2">
        <v>2019</v>
      </c>
      <c r="N12" s="2">
        <v>2020</v>
      </c>
      <c r="O12" s="2">
        <v>2021</v>
      </c>
      <c r="P12" s="2">
        <v>2022</v>
      </c>
      <c r="Q12" s="2">
        <v>2023</v>
      </c>
      <c r="R12" s="2">
        <v>2024</v>
      </c>
      <c r="S12" s="2">
        <v>2025</v>
      </c>
      <c r="T12" s="2">
        <v>2026</v>
      </c>
      <c r="U12" s="3">
        <v>2027</v>
      </c>
    </row>
    <row r="13" spans="2:21" s="34" customFormat="1" ht="12" customHeight="1" x14ac:dyDescent="0.35">
      <c r="B13" s="303" t="s">
        <v>175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</row>
    <row r="14" spans="2:21" s="34" customFormat="1" ht="12" customHeight="1" x14ac:dyDescent="0.35">
      <c r="B14" s="31" t="s">
        <v>15</v>
      </c>
      <c r="C14" s="178">
        <v>0</v>
      </c>
      <c r="D14" s="178">
        <v>0</v>
      </c>
      <c r="E14" s="178">
        <v>0</v>
      </c>
      <c r="F14" s="178">
        <v>0</v>
      </c>
      <c r="G14" s="178">
        <v>300</v>
      </c>
      <c r="H14" s="178">
        <v>300</v>
      </c>
      <c r="I14" s="178">
        <v>300</v>
      </c>
      <c r="J14" s="178">
        <v>300</v>
      </c>
      <c r="K14" s="178">
        <v>300</v>
      </c>
      <c r="L14" s="178">
        <v>300</v>
      </c>
      <c r="M14" s="178">
        <v>300</v>
      </c>
      <c r="N14" s="178">
        <v>300</v>
      </c>
      <c r="O14" s="178">
        <v>300</v>
      </c>
      <c r="P14" s="178">
        <v>300</v>
      </c>
      <c r="Q14" s="178">
        <v>300</v>
      </c>
      <c r="R14" s="178">
        <v>300</v>
      </c>
      <c r="S14" s="178">
        <v>300</v>
      </c>
      <c r="T14" s="178">
        <v>300</v>
      </c>
      <c r="U14" s="179">
        <v>300</v>
      </c>
    </row>
    <row r="15" spans="2:21" s="34" customFormat="1" ht="12" customHeight="1" x14ac:dyDescent="0.35">
      <c r="B15" s="35" t="s">
        <v>16</v>
      </c>
      <c r="C15" s="72">
        <v>0</v>
      </c>
      <c r="D15" s="72">
        <v>0</v>
      </c>
      <c r="E15" s="72">
        <v>0</v>
      </c>
      <c r="F15" s="72">
        <v>0</v>
      </c>
      <c r="G15" s="72">
        <f t="shared" ref="G15:U15" si="0">$C$4</f>
        <v>0.85</v>
      </c>
      <c r="H15" s="72">
        <f t="shared" si="0"/>
        <v>0.85</v>
      </c>
      <c r="I15" s="72">
        <f t="shared" si="0"/>
        <v>0.85</v>
      </c>
      <c r="J15" s="72">
        <f t="shared" si="0"/>
        <v>0.85</v>
      </c>
      <c r="K15" s="72">
        <f t="shared" si="0"/>
        <v>0.85</v>
      </c>
      <c r="L15" s="72">
        <f t="shared" si="0"/>
        <v>0.85</v>
      </c>
      <c r="M15" s="72">
        <f t="shared" si="0"/>
        <v>0.85</v>
      </c>
      <c r="N15" s="72">
        <f t="shared" si="0"/>
        <v>0.85</v>
      </c>
      <c r="O15" s="72">
        <f t="shared" si="0"/>
        <v>0.85</v>
      </c>
      <c r="P15" s="72">
        <f t="shared" si="0"/>
        <v>0.85</v>
      </c>
      <c r="Q15" s="72">
        <f t="shared" si="0"/>
        <v>0.85</v>
      </c>
      <c r="R15" s="72">
        <f t="shared" si="0"/>
        <v>0.85</v>
      </c>
      <c r="S15" s="72">
        <f t="shared" si="0"/>
        <v>0.85</v>
      </c>
      <c r="T15" s="72">
        <f t="shared" si="0"/>
        <v>0.85</v>
      </c>
      <c r="U15" s="73">
        <f t="shared" si="0"/>
        <v>0.85</v>
      </c>
    </row>
    <row r="16" spans="2:21" s="34" customFormat="1" ht="12" customHeight="1" x14ac:dyDescent="0.35">
      <c r="B16" s="35" t="s">
        <v>80</v>
      </c>
      <c r="C16" s="180">
        <v>0</v>
      </c>
      <c r="D16" s="180">
        <v>0</v>
      </c>
      <c r="E16" s="180">
        <v>0</v>
      </c>
      <c r="F16" s="180">
        <v>0</v>
      </c>
      <c r="G16" s="180">
        <f t="shared" ref="G16:U16" si="1">G14*1000*24*365*G15/1000000</f>
        <v>2233.8000000000002</v>
      </c>
      <c r="H16" s="180">
        <f t="shared" si="1"/>
        <v>2233.8000000000002</v>
      </c>
      <c r="I16" s="180">
        <f t="shared" si="1"/>
        <v>2233.8000000000002</v>
      </c>
      <c r="J16" s="180">
        <f t="shared" si="1"/>
        <v>2233.8000000000002</v>
      </c>
      <c r="K16" s="180">
        <f t="shared" si="1"/>
        <v>2233.8000000000002</v>
      </c>
      <c r="L16" s="180">
        <f t="shared" si="1"/>
        <v>2233.8000000000002</v>
      </c>
      <c r="M16" s="180">
        <f t="shared" si="1"/>
        <v>2233.8000000000002</v>
      </c>
      <c r="N16" s="180">
        <f t="shared" si="1"/>
        <v>2233.8000000000002</v>
      </c>
      <c r="O16" s="180">
        <f t="shared" si="1"/>
        <v>2233.8000000000002</v>
      </c>
      <c r="P16" s="180">
        <f t="shared" si="1"/>
        <v>2233.8000000000002</v>
      </c>
      <c r="Q16" s="180">
        <f t="shared" si="1"/>
        <v>2233.8000000000002</v>
      </c>
      <c r="R16" s="180">
        <f t="shared" si="1"/>
        <v>2233.8000000000002</v>
      </c>
      <c r="S16" s="180">
        <f t="shared" si="1"/>
        <v>2233.8000000000002</v>
      </c>
      <c r="T16" s="180">
        <f t="shared" si="1"/>
        <v>2233.8000000000002</v>
      </c>
      <c r="U16" s="181">
        <f t="shared" si="1"/>
        <v>2233.8000000000002</v>
      </c>
    </row>
    <row r="17" spans="2:22" s="34" customFormat="1" ht="12" customHeight="1" x14ac:dyDescent="0.35">
      <c r="B17" s="35" t="s">
        <v>81</v>
      </c>
      <c r="C17" s="180">
        <v>0</v>
      </c>
      <c r="D17" s="180">
        <v>0</v>
      </c>
      <c r="E17" s="180">
        <v>0</v>
      </c>
      <c r="F17" s="180">
        <v>0</v>
      </c>
      <c r="G17" s="180">
        <v>201</v>
      </c>
      <c r="H17" s="180">
        <v>201</v>
      </c>
      <c r="I17" s="180">
        <v>201</v>
      </c>
      <c r="J17" s="180">
        <v>201</v>
      </c>
      <c r="K17" s="180">
        <v>201</v>
      </c>
      <c r="L17" s="180">
        <v>201</v>
      </c>
      <c r="M17" s="180">
        <v>201</v>
      </c>
      <c r="N17" s="180">
        <v>201</v>
      </c>
      <c r="O17" s="180">
        <v>201</v>
      </c>
      <c r="P17" s="180">
        <v>201</v>
      </c>
      <c r="Q17" s="180">
        <v>201</v>
      </c>
      <c r="R17" s="180">
        <v>201</v>
      </c>
      <c r="S17" s="180">
        <v>201</v>
      </c>
      <c r="T17" s="180">
        <v>201</v>
      </c>
      <c r="U17" s="181">
        <v>201</v>
      </c>
    </row>
    <row r="18" spans="2:22" s="34" customFormat="1" ht="12" customHeight="1" x14ac:dyDescent="0.35">
      <c r="B18" s="78" t="s">
        <v>82</v>
      </c>
      <c r="C18" s="180">
        <v>0</v>
      </c>
      <c r="D18" s="180">
        <v>0</v>
      </c>
      <c r="E18" s="180">
        <v>0</v>
      </c>
      <c r="F18" s="180">
        <v>0</v>
      </c>
      <c r="G18" s="180">
        <f t="shared" ref="G18:U18" si="2">G16-G17</f>
        <v>2032.8000000000002</v>
      </c>
      <c r="H18" s="180">
        <f t="shared" si="2"/>
        <v>2032.8000000000002</v>
      </c>
      <c r="I18" s="180">
        <f t="shared" si="2"/>
        <v>2032.8000000000002</v>
      </c>
      <c r="J18" s="180">
        <f t="shared" si="2"/>
        <v>2032.8000000000002</v>
      </c>
      <c r="K18" s="180">
        <f t="shared" si="2"/>
        <v>2032.8000000000002</v>
      </c>
      <c r="L18" s="180">
        <f t="shared" si="2"/>
        <v>2032.8000000000002</v>
      </c>
      <c r="M18" s="180">
        <f t="shared" si="2"/>
        <v>2032.8000000000002</v>
      </c>
      <c r="N18" s="180">
        <f t="shared" si="2"/>
        <v>2032.8000000000002</v>
      </c>
      <c r="O18" s="180">
        <f t="shared" si="2"/>
        <v>2032.8000000000002</v>
      </c>
      <c r="P18" s="180">
        <f t="shared" si="2"/>
        <v>2032.8000000000002</v>
      </c>
      <c r="Q18" s="180">
        <f t="shared" si="2"/>
        <v>2032.8000000000002</v>
      </c>
      <c r="R18" s="180">
        <f t="shared" si="2"/>
        <v>2032.8000000000002</v>
      </c>
      <c r="S18" s="180">
        <f t="shared" si="2"/>
        <v>2032.8000000000002</v>
      </c>
      <c r="T18" s="180">
        <f t="shared" si="2"/>
        <v>2032.8000000000002</v>
      </c>
      <c r="U18" s="181">
        <f t="shared" si="2"/>
        <v>2032.8000000000002</v>
      </c>
    </row>
    <row r="19" spans="2:22" s="34" customFormat="1" ht="12" customHeight="1" x14ac:dyDescent="0.35">
      <c r="B19" s="35" t="s">
        <v>111</v>
      </c>
      <c r="C19" s="195">
        <v>0</v>
      </c>
      <c r="D19" s="195">
        <v>0</v>
      </c>
      <c r="E19" s="195">
        <v>0</v>
      </c>
      <c r="F19" s="195">
        <v>0</v>
      </c>
      <c r="G19" s="195">
        <f>C5</f>
        <v>3.3</v>
      </c>
      <c r="H19" s="195">
        <f t="shared" ref="H19:U19" si="3">G19*(1+$C$6)</f>
        <v>3.3329999999999997</v>
      </c>
      <c r="I19" s="195">
        <f t="shared" si="3"/>
        <v>3.3663299999999996</v>
      </c>
      <c r="J19" s="195">
        <f t="shared" si="3"/>
        <v>3.3999932999999998</v>
      </c>
      <c r="K19" s="195">
        <f t="shared" si="3"/>
        <v>3.4339932329999998</v>
      </c>
      <c r="L19" s="195">
        <f t="shared" si="3"/>
        <v>3.4683331653299998</v>
      </c>
      <c r="M19" s="195">
        <f t="shared" si="3"/>
        <v>3.5030164969833</v>
      </c>
      <c r="N19" s="195">
        <f t="shared" si="3"/>
        <v>3.5380466619531332</v>
      </c>
      <c r="O19" s="195">
        <f t="shared" si="3"/>
        <v>3.5734271285726646</v>
      </c>
      <c r="P19" s="195">
        <f t="shared" si="3"/>
        <v>3.6091613998583911</v>
      </c>
      <c r="Q19" s="195">
        <f t="shared" si="3"/>
        <v>3.645253013856975</v>
      </c>
      <c r="R19" s="195">
        <f t="shared" si="3"/>
        <v>3.6817055439955446</v>
      </c>
      <c r="S19" s="195">
        <f t="shared" si="3"/>
        <v>3.7185225994355</v>
      </c>
      <c r="T19" s="195">
        <f t="shared" si="3"/>
        <v>3.7557078254298553</v>
      </c>
      <c r="U19" s="196">
        <f t="shared" si="3"/>
        <v>3.7932649036841539</v>
      </c>
    </row>
    <row r="20" spans="2:22" s="34" customFormat="1" ht="12" customHeight="1" x14ac:dyDescent="0.35">
      <c r="B20" s="303" t="s">
        <v>174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</row>
    <row r="21" spans="2:22" s="34" customFormat="1" ht="12" customHeight="1" x14ac:dyDescent="0.35">
      <c r="B21" s="82" t="s">
        <v>21</v>
      </c>
      <c r="C21" s="182">
        <f>C18*C19</f>
        <v>0</v>
      </c>
      <c r="D21" s="182">
        <f>D18*D19</f>
        <v>0</v>
      </c>
      <c r="E21" s="182">
        <f>E18*E19</f>
        <v>0</v>
      </c>
      <c r="F21" s="182">
        <f>F18*F19</f>
        <v>0</v>
      </c>
      <c r="G21" s="182">
        <f>G18*G19</f>
        <v>6708.2400000000007</v>
      </c>
      <c r="H21" s="182">
        <f t="shared" ref="H21:U21" si="4">H18*H19</f>
        <v>6775.3224</v>
      </c>
      <c r="I21" s="182">
        <f t="shared" si="4"/>
        <v>6843.0756240000001</v>
      </c>
      <c r="J21" s="182">
        <f t="shared" si="4"/>
        <v>6911.50638024</v>
      </c>
      <c r="K21" s="182">
        <f t="shared" si="4"/>
        <v>6980.6214440424001</v>
      </c>
      <c r="L21" s="182">
        <f t="shared" si="4"/>
        <v>7050.427658482824</v>
      </c>
      <c r="M21" s="182">
        <f t="shared" si="4"/>
        <v>7120.9319350676524</v>
      </c>
      <c r="N21" s="182">
        <f t="shared" si="4"/>
        <v>7192.1412544183295</v>
      </c>
      <c r="O21" s="182">
        <f t="shared" si="4"/>
        <v>7264.0626669625135</v>
      </c>
      <c r="P21" s="182">
        <f t="shared" si="4"/>
        <v>7336.7032936321384</v>
      </c>
      <c r="Q21" s="182">
        <f t="shared" si="4"/>
        <v>7410.0703265684597</v>
      </c>
      <c r="R21" s="182">
        <f t="shared" si="4"/>
        <v>7484.1710298341441</v>
      </c>
      <c r="S21" s="182">
        <f t="shared" si="4"/>
        <v>7559.0127401324853</v>
      </c>
      <c r="T21" s="182">
        <f t="shared" si="4"/>
        <v>7634.6028675338102</v>
      </c>
      <c r="U21" s="183">
        <f t="shared" si="4"/>
        <v>7710.9488962091491</v>
      </c>
    </row>
    <row r="22" spans="2:22" s="34" customFormat="1" ht="12" customHeight="1" x14ac:dyDescent="0.35">
      <c r="B22" s="323" t="s">
        <v>189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5"/>
    </row>
    <row r="23" spans="2:22" s="34" customFormat="1" ht="12" customHeight="1" x14ac:dyDescent="0.35">
      <c r="B23" s="35" t="s">
        <v>41</v>
      </c>
      <c r="C23" s="180">
        <v>0</v>
      </c>
      <c r="D23" s="180">
        <v>0</v>
      </c>
      <c r="E23" s="180">
        <v>0</v>
      </c>
      <c r="F23" s="180">
        <v>0</v>
      </c>
      <c r="G23" s="180">
        <f>($C$7*$C$8)*((1.03^(G12-2012)))</f>
        <v>3035.7847932351442</v>
      </c>
      <c r="H23" s="180">
        <f t="shared" ref="H23:U23" si="5">($C$7*((1.03^(H12-2012))))*$C$8</f>
        <v>3126.8583370321981</v>
      </c>
      <c r="I23" s="180">
        <f t="shared" si="5"/>
        <v>3220.6640871431641</v>
      </c>
      <c r="J23" s="180">
        <f t="shared" si="5"/>
        <v>3317.284009757459</v>
      </c>
      <c r="K23" s="180">
        <f t="shared" si="5"/>
        <v>3416.8025300501827</v>
      </c>
      <c r="L23" s="180">
        <f t="shared" si="5"/>
        <v>3519.3066059516882</v>
      </c>
      <c r="M23" s="180">
        <f t="shared" si="5"/>
        <v>3624.8858041302392</v>
      </c>
      <c r="N23" s="180">
        <f t="shared" si="5"/>
        <v>3733.6323782541458</v>
      </c>
      <c r="O23" s="180">
        <f t="shared" si="5"/>
        <v>3845.6413496017703</v>
      </c>
      <c r="P23" s="180">
        <f t="shared" si="5"/>
        <v>3961.0105900898234</v>
      </c>
      <c r="Q23" s="180">
        <f t="shared" si="5"/>
        <v>4079.8409077925185</v>
      </c>
      <c r="R23" s="180">
        <f t="shared" si="5"/>
        <v>4202.2361350262936</v>
      </c>
      <c r="S23" s="180">
        <f t="shared" si="5"/>
        <v>4328.3032190770818</v>
      </c>
      <c r="T23" s="180">
        <f t="shared" si="5"/>
        <v>4458.152315649395</v>
      </c>
      <c r="U23" s="181">
        <f t="shared" si="5"/>
        <v>4591.8968851188765</v>
      </c>
    </row>
    <row r="24" spans="2:22" s="34" customFormat="1" ht="12" customHeight="1" x14ac:dyDescent="0.35">
      <c r="B24" s="35" t="s">
        <v>84</v>
      </c>
      <c r="C24" s="180">
        <v>0</v>
      </c>
      <c r="D24" s="180">
        <v>0</v>
      </c>
      <c r="E24" s="180">
        <v>0</v>
      </c>
      <c r="F24" s="180">
        <v>0</v>
      </c>
      <c r="G24" s="180">
        <f t="shared" ref="G24:U24" si="6">((1.55*G14*((1.04)^(G12-2012))))*($C$4/85%)</f>
        <v>483.6</v>
      </c>
      <c r="H24" s="180">
        <f t="shared" si="6"/>
        <v>502.94400000000007</v>
      </c>
      <c r="I24" s="180">
        <f t="shared" si="6"/>
        <v>523.06176000000005</v>
      </c>
      <c r="J24" s="180">
        <f t="shared" si="6"/>
        <v>543.98423040000011</v>
      </c>
      <c r="K24" s="180">
        <f t="shared" si="6"/>
        <v>565.74359961600021</v>
      </c>
      <c r="L24" s="180">
        <f t="shared" si="6"/>
        <v>588.37334360064017</v>
      </c>
      <c r="M24" s="180">
        <f t="shared" si="6"/>
        <v>611.90827734466575</v>
      </c>
      <c r="N24" s="180">
        <f t="shared" si="6"/>
        <v>636.38460843845246</v>
      </c>
      <c r="O24" s="180">
        <f t="shared" si="6"/>
        <v>661.83999277599059</v>
      </c>
      <c r="P24" s="180">
        <f t="shared" si="6"/>
        <v>688.31359248703018</v>
      </c>
      <c r="Q24" s="180">
        <f t="shared" si="6"/>
        <v>715.84613618651144</v>
      </c>
      <c r="R24" s="180">
        <f t="shared" si="6"/>
        <v>744.47998163397199</v>
      </c>
      <c r="S24" s="180">
        <f t="shared" si="6"/>
        <v>774.25918089933089</v>
      </c>
      <c r="T24" s="180">
        <f t="shared" si="6"/>
        <v>805.22954813530419</v>
      </c>
      <c r="U24" s="181">
        <f t="shared" si="6"/>
        <v>837.43873006071624</v>
      </c>
    </row>
    <row r="25" spans="2:22" s="34" customFormat="1" ht="12" customHeight="1" x14ac:dyDescent="0.35">
      <c r="B25" s="82" t="s">
        <v>25</v>
      </c>
      <c r="C25" s="180">
        <v>0</v>
      </c>
      <c r="D25" s="180">
        <v>0</v>
      </c>
      <c r="E25" s="180">
        <v>0</v>
      </c>
      <c r="F25" s="180">
        <v>0</v>
      </c>
      <c r="G25" s="393">
        <f t="shared" ref="G25:U25" si="7">SUM(G23:G24)</f>
        <v>3519.3847932351441</v>
      </c>
      <c r="H25" s="393">
        <f t="shared" si="7"/>
        <v>3629.802337032198</v>
      </c>
      <c r="I25" s="393">
        <f t="shared" si="7"/>
        <v>3743.7258471431642</v>
      </c>
      <c r="J25" s="393">
        <f t="shared" si="7"/>
        <v>3861.2682401574593</v>
      </c>
      <c r="K25" s="393">
        <f t="shared" si="7"/>
        <v>3982.5461296661829</v>
      </c>
      <c r="L25" s="393">
        <f t="shared" si="7"/>
        <v>4107.6799495523283</v>
      </c>
      <c r="M25" s="393">
        <f t="shared" si="7"/>
        <v>4236.7940814749054</v>
      </c>
      <c r="N25" s="393">
        <f t="shared" si="7"/>
        <v>4370.016986692598</v>
      </c>
      <c r="O25" s="393">
        <f t="shared" si="7"/>
        <v>4507.4813423777614</v>
      </c>
      <c r="P25" s="393">
        <f t="shared" si="7"/>
        <v>4649.3241825768537</v>
      </c>
      <c r="Q25" s="393">
        <f t="shared" si="7"/>
        <v>4795.68704397903</v>
      </c>
      <c r="R25" s="393">
        <f t="shared" si="7"/>
        <v>4946.7161166602655</v>
      </c>
      <c r="S25" s="393">
        <f t="shared" si="7"/>
        <v>5102.562399976413</v>
      </c>
      <c r="T25" s="393">
        <f t="shared" si="7"/>
        <v>5263.3818637846989</v>
      </c>
      <c r="U25" s="394">
        <f t="shared" si="7"/>
        <v>5429.3356151795924</v>
      </c>
      <c r="V25" s="145"/>
    </row>
    <row r="26" spans="2:22" s="34" customFormat="1" ht="12" customHeight="1" x14ac:dyDescent="0.35">
      <c r="B26" s="85" t="s">
        <v>272</v>
      </c>
      <c r="C26" s="182">
        <f t="shared" ref="C26:U26" si="8">C21-C25</f>
        <v>0</v>
      </c>
      <c r="D26" s="182">
        <f t="shared" si="8"/>
        <v>0</v>
      </c>
      <c r="E26" s="182">
        <f t="shared" si="8"/>
        <v>0</v>
      </c>
      <c r="F26" s="182">
        <f t="shared" si="8"/>
        <v>0</v>
      </c>
      <c r="G26" s="182">
        <f t="shared" si="8"/>
        <v>3188.8552067648566</v>
      </c>
      <c r="H26" s="182">
        <f t="shared" si="8"/>
        <v>3145.520062967802</v>
      </c>
      <c r="I26" s="182">
        <f t="shared" si="8"/>
        <v>3099.3497768568359</v>
      </c>
      <c r="J26" s="182">
        <f t="shared" si="8"/>
        <v>3050.2381400825407</v>
      </c>
      <c r="K26" s="182">
        <f t="shared" si="8"/>
        <v>2998.0753143762172</v>
      </c>
      <c r="L26" s="182">
        <f t="shared" si="8"/>
        <v>2942.7477089304957</v>
      </c>
      <c r="M26" s="182">
        <f t="shared" si="8"/>
        <v>2884.137853592747</v>
      </c>
      <c r="N26" s="182">
        <f t="shared" si="8"/>
        <v>2822.1242677257314</v>
      </c>
      <c r="O26" s="182">
        <f t="shared" si="8"/>
        <v>2756.5813245847521</v>
      </c>
      <c r="P26" s="182">
        <f t="shared" si="8"/>
        <v>2687.3791110552847</v>
      </c>
      <c r="Q26" s="182">
        <f t="shared" si="8"/>
        <v>2614.3832825894297</v>
      </c>
      <c r="R26" s="182">
        <f t="shared" si="8"/>
        <v>2537.4549131738786</v>
      </c>
      <c r="S26" s="182">
        <f t="shared" si="8"/>
        <v>2456.4503401560723</v>
      </c>
      <c r="T26" s="182">
        <f t="shared" si="8"/>
        <v>2371.2210037491113</v>
      </c>
      <c r="U26" s="183">
        <f t="shared" si="8"/>
        <v>2281.6132810295567</v>
      </c>
    </row>
    <row r="27" spans="2:22" s="34" customFormat="1" ht="12" customHeight="1" x14ac:dyDescent="0.35">
      <c r="B27" s="323" t="s">
        <v>145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2:22" s="34" customFormat="1" ht="12" customHeight="1" x14ac:dyDescent="0.35">
      <c r="B28" s="35" t="s">
        <v>187</v>
      </c>
      <c r="C28" s="180">
        <v>0</v>
      </c>
      <c r="D28" s="180">
        <v>0</v>
      </c>
      <c r="E28" s="180">
        <v>0</v>
      </c>
      <c r="F28" s="410">
        <v>0</v>
      </c>
      <c r="G28" s="410">
        <f t="shared" ref="G28:U28" si="9">$J$4*((G109+G112)/2)</f>
        <v>914.76</v>
      </c>
      <c r="H28" s="410">
        <f t="shared" si="9"/>
        <v>803.88</v>
      </c>
      <c r="I28" s="410">
        <f t="shared" si="9"/>
        <v>693</v>
      </c>
      <c r="J28" s="410">
        <f t="shared" si="9"/>
        <v>582.12</v>
      </c>
      <c r="K28" s="410">
        <f t="shared" si="9"/>
        <v>471.24</v>
      </c>
      <c r="L28" s="410">
        <f t="shared" si="9"/>
        <v>360.36</v>
      </c>
      <c r="M28" s="410">
        <f t="shared" si="9"/>
        <v>249.48</v>
      </c>
      <c r="N28" s="410">
        <f t="shared" si="9"/>
        <v>138.6</v>
      </c>
      <c r="O28" s="410">
        <f t="shared" si="9"/>
        <v>41.58</v>
      </c>
      <c r="P28" s="410">
        <f t="shared" si="9"/>
        <v>0</v>
      </c>
      <c r="Q28" s="410">
        <f t="shared" si="9"/>
        <v>0</v>
      </c>
      <c r="R28" s="410">
        <f t="shared" si="9"/>
        <v>0</v>
      </c>
      <c r="S28" s="410">
        <f t="shared" si="9"/>
        <v>0</v>
      </c>
      <c r="T28" s="410">
        <f t="shared" si="9"/>
        <v>0</v>
      </c>
      <c r="U28" s="441">
        <f t="shared" si="9"/>
        <v>0</v>
      </c>
    </row>
    <row r="29" spans="2:22" s="34" customFormat="1" ht="12" customHeight="1" x14ac:dyDescent="0.35">
      <c r="B29" s="35" t="s">
        <v>188</v>
      </c>
      <c r="C29" s="180">
        <v>0</v>
      </c>
      <c r="D29" s="180">
        <v>0</v>
      </c>
      <c r="E29" s="180">
        <v>0</v>
      </c>
      <c r="F29" s="180">
        <v>0</v>
      </c>
      <c r="G29" s="187">
        <f>$J$4*G60</f>
        <v>111.6</v>
      </c>
      <c r="H29" s="187">
        <f t="shared" ref="H29:U29" si="10">$J$4*((G60+H60)/2)</f>
        <v>112.2</v>
      </c>
      <c r="I29" s="187">
        <f t="shared" si="10"/>
        <v>114</v>
      </c>
      <c r="J29" s="187">
        <f t="shared" si="10"/>
        <v>116.39999999999999</v>
      </c>
      <c r="K29" s="187">
        <f t="shared" si="10"/>
        <v>118.19999999999999</v>
      </c>
      <c r="L29" s="187">
        <f t="shared" si="10"/>
        <v>120</v>
      </c>
      <c r="M29" s="187">
        <f t="shared" si="10"/>
        <v>122.39999999999999</v>
      </c>
      <c r="N29" s="187">
        <f t="shared" si="10"/>
        <v>124.8</v>
      </c>
      <c r="O29" s="187">
        <f t="shared" si="10"/>
        <v>127.19999999999999</v>
      </c>
      <c r="P29" s="187">
        <f t="shared" si="10"/>
        <v>129.6</v>
      </c>
      <c r="Q29" s="187">
        <f t="shared" si="10"/>
        <v>132</v>
      </c>
      <c r="R29" s="187">
        <f t="shared" si="10"/>
        <v>134.4</v>
      </c>
      <c r="S29" s="187">
        <f t="shared" si="10"/>
        <v>137.4</v>
      </c>
      <c r="T29" s="187">
        <f t="shared" si="10"/>
        <v>140.4</v>
      </c>
      <c r="U29" s="340">
        <f t="shared" si="10"/>
        <v>142.79999999999998</v>
      </c>
    </row>
    <row r="30" spans="2:22" s="34" customFormat="1" ht="12" customHeight="1" x14ac:dyDescent="0.35">
      <c r="B30" s="35" t="s">
        <v>30</v>
      </c>
      <c r="C30" s="180">
        <v>0</v>
      </c>
      <c r="D30" s="180">
        <v>0</v>
      </c>
      <c r="E30" s="180">
        <v>0</v>
      </c>
      <c r="F30" s="180">
        <v>0</v>
      </c>
      <c r="G30" s="187">
        <v>680</v>
      </c>
      <c r="H30" s="187">
        <v>680</v>
      </c>
      <c r="I30" s="187">
        <v>680</v>
      </c>
      <c r="J30" s="187">
        <v>680</v>
      </c>
      <c r="K30" s="187">
        <v>680</v>
      </c>
      <c r="L30" s="187">
        <v>680</v>
      </c>
      <c r="M30" s="187">
        <v>680</v>
      </c>
      <c r="N30" s="187">
        <v>680</v>
      </c>
      <c r="O30" s="187">
        <v>680</v>
      </c>
      <c r="P30" s="187">
        <v>680</v>
      </c>
      <c r="Q30" s="187">
        <v>680</v>
      </c>
      <c r="R30" s="187">
        <v>680</v>
      </c>
      <c r="S30" s="187">
        <v>680</v>
      </c>
      <c r="T30" s="187">
        <v>680</v>
      </c>
      <c r="U30" s="340">
        <v>680</v>
      </c>
    </row>
    <row r="31" spans="2:22" s="34" customFormat="1" ht="12" hidden="1" customHeight="1" outlineLevel="1" x14ac:dyDescent="0.35">
      <c r="B31" s="52" t="s">
        <v>86</v>
      </c>
      <c r="C31" s="186">
        <f t="shared" ref="C31:U31" si="11">C26-C28-C29-C30</f>
        <v>0</v>
      </c>
      <c r="D31" s="186">
        <f t="shared" si="11"/>
        <v>0</v>
      </c>
      <c r="E31" s="186">
        <f t="shared" si="11"/>
        <v>0</v>
      </c>
      <c r="F31" s="186">
        <f t="shared" si="11"/>
        <v>0</v>
      </c>
      <c r="G31" s="186">
        <f t="shared" si="11"/>
        <v>1482.4952067648569</v>
      </c>
      <c r="H31" s="186">
        <f t="shared" si="11"/>
        <v>1549.4400629678021</v>
      </c>
      <c r="I31" s="186">
        <f t="shared" si="11"/>
        <v>1612.3497768568359</v>
      </c>
      <c r="J31" s="186">
        <f t="shared" si="11"/>
        <v>1671.7181400825407</v>
      </c>
      <c r="K31" s="186">
        <f t="shared" si="11"/>
        <v>1728.6353143762171</v>
      </c>
      <c r="L31" s="186">
        <f t="shared" si="11"/>
        <v>1782.3877089304956</v>
      </c>
      <c r="M31" s="186">
        <f t="shared" si="11"/>
        <v>1832.2578535927469</v>
      </c>
      <c r="N31" s="186">
        <f t="shared" si="11"/>
        <v>1878.7242677257314</v>
      </c>
      <c r="O31" s="186">
        <f t="shared" si="11"/>
        <v>1907.8013245847524</v>
      </c>
      <c r="P31" s="186">
        <f t="shared" si="11"/>
        <v>1877.7791110552848</v>
      </c>
      <c r="Q31" s="186">
        <f t="shared" si="11"/>
        <v>1802.3832825894297</v>
      </c>
      <c r="R31" s="186">
        <f t="shared" si="11"/>
        <v>1723.0549131738785</v>
      </c>
      <c r="S31" s="186">
        <f t="shared" si="11"/>
        <v>1639.0503401560723</v>
      </c>
      <c r="T31" s="186">
        <f t="shared" si="11"/>
        <v>1550.8210037491112</v>
      </c>
      <c r="U31" s="183">
        <f t="shared" si="11"/>
        <v>1458.8132810295565</v>
      </c>
    </row>
    <row r="32" spans="2:22" s="34" customFormat="1" ht="12" hidden="1" customHeight="1" outlineLevel="1" x14ac:dyDescent="0.35">
      <c r="B32" s="323" t="s">
        <v>32</v>
      </c>
      <c r="C32" s="46"/>
      <c r="D32" s="46"/>
      <c r="E32" s="46"/>
      <c r="F32" s="46"/>
      <c r="G32" s="4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</row>
    <row r="33" spans="2:21" s="34" customFormat="1" ht="12" hidden="1" customHeight="1" outlineLevel="1" x14ac:dyDescent="0.35">
      <c r="B33" s="35" t="s">
        <v>195</v>
      </c>
      <c r="C33" s="180">
        <v>0</v>
      </c>
      <c r="D33" s="180">
        <v>0</v>
      </c>
      <c r="E33" s="180">
        <v>0</v>
      </c>
      <c r="F33" s="187">
        <f>F127</f>
        <v>0</v>
      </c>
      <c r="G33" s="187">
        <f>G127</f>
        <v>234.26525626268554</v>
      </c>
      <c r="H33" s="187">
        <f t="shared" ref="H33:U33" si="12">H127</f>
        <v>246.47940922262501</v>
      </c>
      <c r="I33" s="187">
        <f t="shared" si="12"/>
        <v>252.94470521010143</v>
      </c>
      <c r="J33" s="187">
        <f t="shared" si="12"/>
        <v>271.11907900781057</v>
      </c>
      <c r="K33" s="187">
        <f t="shared" si="12"/>
        <v>277.93793148451078</v>
      </c>
      <c r="L33" s="187">
        <f t="shared" si="12"/>
        <v>284.87564591475871</v>
      </c>
      <c r="M33" s="187">
        <f t="shared" si="12"/>
        <v>291.90922915971083</v>
      </c>
      <c r="N33" s="187">
        <f t="shared" si="12"/>
        <v>299.00275043850638</v>
      </c>
      <c r="O33" s="187">
        <f t="shared" si="12"/>
        <v>303.92664254330504</v>
      </c>
      <c r="P33" s="187">
        <f t="shared" si="12"/>
        <v>305.26721037523919</v>
      </c>
      <c r="Q33" s="187">
        <f t="shared" si="12"/>
        <v>290</v>
      </c>
      <c r="R33" s="187">
        <f t="shared" si="12"/>
        <v>280</v>
      </c>
      <c r="S33" s="187">
        <f t="shared" si="12"/>
        <v>260</v>
      </c>
      <c r="T33" s="187">
        <f t="shared" si="12"/>
        <v>250.00000000000003</v>
      </c>
      <c r="U33" s="51">
        <f t="shared" si="12"/>
        <v>230</v>
      </c>
    </row>
    <row r="34" spans="2:21" s="34" customFormat="1" ht="12" hidden="1" customHeight="1" outlineLevel="1" x14ac:dyDescent="0.35">
      <c r="B34" s="35" t="s">
        <v>196</v>
      </c>
      <c r="C34" s="180">
        <v>0</v>
      </c>
      <c r="D34" s="180">
        <v>0</v>
      </c>
      <c r="E34" s="180">
        <v>0</v>
      </c>
      <c r="F34" s="180">
        <v>0</v>
      </c>
      <c r="G34" s="187">
        <v>0</v>
      </c>
      <c r="H34" s="187">
        <v>0</v>
      </c>
      <c r="I34" s="187">
        <v>0</v>
      </c>
      <c r="J34" s="187">
        <v>0</v>
      </c>
      <c r="K34" s="187">
        <v>0</v>
      </c>
      <c r="L34" s="187">
        <v>0</v>
      </c>
      <c r="M34" s="187">
        <v>0</v>
      </c>
      <c r="N34" s="187">
        <v>-10</v>
      </c>
      <c r="O34" s="187">
        <v>-40</v>
      </c>
      <c r="P34" s="187">
        <v>-70</v>
      </c>
      <c r="Q34" s="187">
        <v>-90</v>
      </c>
      <c r="R34" s="187">
        <v>-110</v>
      </c>
      <c r="S34" s="187">
        <v>-130</v>
      </c>
      <c r="T34" s="187">
        <v>-140</v>
      </c>
      <c r="U34" s="188">
        <v>-150</v>
      </c>
    </row>
    <row r="35" spans="2:21" s="34" customFormat="1" ht="12" customHeight="1" collapsed="1" x14ac:dyDescent="0.35">
      <c r="B35" s="86" t="s">
        <v>87</v>
      </c>
      <c r="C35" s="186">
        <f t="shared" ref="C35:U35" si="13">C31-C33-C34</f>
        <v>0</v>
      </c>
      <c r="D35" s="186">
        <f t="shared" si="13"/>
        <v>0</v>
      </c>
      <c r="E35" s="186">
        <f t="shared" si="13"/>
        <v>0</v>
      </c>
      <c r="F35" s="186">
        <f t="shared" si="13"/>
        <v>0</v>
      </c>
      <c r="G35" s="186">
        <f t="shared" si="13"/>
        <v>1248.2299505021713</v>
      </c>
      <c r="H35" s="182">
        <f t="shared" si="13"/>
        <v>1302.9606537451771</v>
      </c>
      <c r="I35" s="182">
        <f t="shared" si="13"/>
        <v>1359.4050716467345</v>
      </c>
      <c r="J35" s="182">
        <f t="shared" si="13"/>
        <v>1400.5990610747301</v>
      </c>
      <c r="K35" s="182">
        <f t="shared" si="13"/>
        <v>1450.6973828917064</v>
      </c>
      <c r="L35" s="182">
        <f t="shared" si="13"/>
        <v>1497.5120630157369</v>
      </c>
      <c r="M35" s="182">
        <f t="shared" si="13"/>
        <v>1540.3486244330361</v>
      </c>
      <c r="N35" s="182">
        <f t="shared" si="13"/>
        <v>1589.721517287225</v>
      </c>
      <c r="O35" s="182">
        <f t="shared" si="13"/>
        <v>1643.8746820414474</v>
      </c>
      <c r="P35" s="182">
        <f t="shared" si="13"/>
        <v>1642.5119006800455</v>
      </c>
      <c r="Q35" s="182">
        <f t="shared" si="13"/>
        <v>1602.3832825894297</v>
      </c>
      <c r="R35" s="182">
        <f t="shared" si="13"/>
        <v>1553.0549131738785</v>
      </c>
      <c r="S35" s="182">
        <f t="shared" si="13"/>
        <v>1509.0503401560723</v>
      </c>
      <c r="T35" s="182">
        <f t="shared" si="13"/>
        <v>1440.8210037491112</v>
      </c>
      <c r="U35" s="183">
        <f t="shared" si="13"/>
        <v>1378.8132810295565</v>
      </c>
    </row>
    <row r="36" spans="2:21" s="34" customFormat="1" ht="3.65" customHeight="1" x14ac:dyDescent="0.35">
      <c r="B36" s="86"/>
      <c r="C36" s="186"/>
      <c r="D36" s="186"/>
      <c r="E36" s="186"/>
      <c r="F36" s="186"/>
      <c r="G36" s="186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3"/>
    </row>
    <row r="37" spans="2:21" s="34" customFormat="1" ht="12" customHeight="1" x14ac:dyDescent="0.35">
      <c r="B37" s="86" t="s">
        <v>88</v>
      </c>
      <c r="C37" s="189">
        <f t="shared" ref="C37:U37" si="14">C35+C30+C34</f>
        <v>0</v>
      </c>
      <c r="D37" s="189">
        <f t="shared" si="14"/>
        <v>0</v>
      </c>
      <c r="E37" s="189">
        <f t="shared" si="14"/>
        <v>0</v>
      </c>
      <c r="F37" s="189">
        <f t="shared" si="14"/>
        <v>0</v>
      </c>
      <c r="G37" s="189">
        <f t="shared" si="14"/>
        <v>1928.2299505021713</v>
      </c>
      <c r="H37" s="190">
        <f t="shared" si="14"/>
        <v>1982.9606537451771</v>
      </c>
      <c r="I37" s="190">
        <f t="shared" si="14"/>
        <v>2039.4050716467345</v>
      </c>
      <c r="J37" s="190">
        <f t="shared" si="14"/>
        <v>2080.5990610747303</v>
      </c>
      <c r="K37" s="190">
        <f t="shared" si="14"/>
        <v>2130.6973828917062</v>
      </c>
      <c r="L37" s="190">
        <f t="shared" si="14"/>
        <v>2177.5120630157371</v>
      </c>
      <c r="M37" s="190">
        <f t="shared" si="14"/>
        <v>2220.3486244330361</v>
      </c>
      <c r="N37" s="190">
        <f t="shared" si="14"/>
        <v>2259.7215172872247</v>
      </c>
      <c r="O37" s="190">
        <f t="shared" si="14"/>
        <v>2283.8746820414472</v>
      </c>
      <c r="P37" s="190">
        <f t="shared" si="14"/>
        <v>2252.5119006800455</v>
      </c>
      <c r="Q37" s="190">
        <f t="shared" si="14"/>
        <v>2192.3832825894297</v>
      </c>
      <c r="R37" s="190">
        <f t="shared" si="14"/>
        <v>2123.0549131738785</v>
      </c>
      <c r="S37" s="190">
        <f t="shared" si="14"/>
        <v>2059.0503401560723</v>
      </c>
      <c r="T37" s="190">
        <f t="shared" si="14"/>
        <v>1980.8210037491112</v>
      </c>
      <c r="U37" s="191">
        <f t="shared" si="14"/>
        <v>1908.8132810295565</v>
      </c>
    </row>
    <row r="38" spans="2:21" s="34" customFormat="1" ht="12" customHeight="1" x14ac:dyDescent="0.35">
      <c r="B38" s="86" t="s">
        <v>266</v>
      </c>
      <c r="C38" s="398">
        <v>0</v>
      </c>
      <c r="D38" s="398">
        <v>0</v>
      </c>
      <c r="E38" s="398">
        <v>0</v>
      </c>
      <c r="F38" s="398">
        <v>0</v>
      </c>
      <c r="G38" s="398">
        <f>+G31+G30+G29+G28</f>
        <v>3188.855206764857</v>
      </c>
      <c r="H38" s="398">
        <f t="shared" ref="H38:U38" si="15">+H31+H30+H29+H28</f>
        <v>3145.520062967802</v>
      </c>
      <c r="I38" s="398">
        <f t="shared" si="15"/>
        <v>3099.3497768568359</v>
      </c>
      <c r="J38" s="398">
        <f t="shared" si="15"/>
        <v>3050.2381400825407</v>
      </c>
      <c r="K38" s="398">
        <f t="shared" si="15"/>
        <v>2998.0753143762167</v>
      </c>
      <c r="L38" s="398">
        <f t="shared" si="15"/>
        <v>2942.7477089304957</v>
      </c>
      <c r="M38" s="398">
        <f t="shared" si="15"/>
        <v>2884.137853592747</v>
      </c>
      <c r="N38" s="398">
        <f t="shared" si="15"/>
        <v>2822.1242677257314</v>
      </c>
      <c r="O38" s="398">
        <f t="shared" si="15"/>
        <v>2756.5813245847521</v>
      </c>
      <c r="P38" s="398">
        <f t="shared" si="15"/>
        <v>2687.3791110552847</v>
      </c>
      <c r="Q38" s="398">
        <f t="shared" si="15"/>
        <v>2614.3832825894297</v>
      </c>
      <c r="R38" s="398">
        <f t="shared" si="15"/>
        <v>2537.4549131738786</v>
      </c>
      <c r="S38" s="398">
        <f t="shared" si="15"/>
        <v>2456.4503401560723</v>
      </c>
      <c r="T38" s="398">
        <f t="shared" si="15"/>
        <v>2371.2210037491113</v>
      </c>
      <c r="U38" s="191">
        <f t="shared" si="15"/>
        <v>2281.6132810295567</v>
      </c>
    </row>
    <row r="39" spans="2:21" s="34" customFormat="1" ht="5.75" customHeight="1" x14ac:dyDescent="0.35">
      <c r="B39" s="86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51"/>
    </row>
    <row r="40" spans="2:21" s="34" customFormat="1" ht="12" customHeight="1" x14ac:dyDescent="0.35">
      <c r="B40" s="399" t="s">
        <v>264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397"/>
    </row>
    <row r="41" spans="2:21" s="34" customFormat="1" ht="12" customHeight="1" x14ac:dyDescent="0.35">
      <c r="B41" s="461" t="s">
        <v>265</v>
      </c>
      <c r="C41" s="462"/>
      <c r="D41" s="463">
        <f>D61/D62</f>
        <v>0.59950454170107348</v>
      </c>
      <c r="E41" s="463">
        <f>E61/E62</f>
        <v>0.60067398603667432</v>
      </c>
      <c r="F41" s="463">
        <f>F61/F62</f>
        <v>0.59322033898305082</v>
      </c>
      <c r="G41" s="463">
        <f>G61/G62</f>
        <v>0.54775559186821532</v>
      </c>
      <c r="H41" s="463">
        <f t="shared" ref="H41:U41" si="16">H61/H62</f>
        <v>0.47673857847576578</v>
      </c>
      <c r="I41" s="463">
        <f t="shared" si="16"/>
        <v>0.40724250948371521</v>
      </c>
      <c r="J41" s="463">
        <f t="shared" si="16"/>
        <v>0.33983786234527652</v>
      </c>
      <c r="K41" s="463">
        <f t="shared" si="16"/>
        <v>0.2744928646689373</v>
      </c>
      <c r="L41" s="463">
        <f t="shared" si="16"/>
        <v>0.21241293024227237</v>
      </c>
      <c r="M41" s="463">
        <f t="shared" si="16"/>
        <v>0.15343716691144116</v>
      </c>
      <c r="N41" s="463">
        <f t="shared" si="16"/>
        <v>9.775076250991388E-2</v>
      </c>
      <c r="O41" s="463">
        <f t="shared" si="16"/>
        <v>5.7228865494006992E-2</v>
      </c>
      <c r="P41" s="463">
        <f t="shared" si="16"/>
        <v>5.3767267180802422E-2</v>
      </c>
      <c r="Q41" s="463">
        <f t="shared" si="16"/>
        <v>5.0934820969131364E-2</v>
      </c>
      <c r="R41" s="463">
        <f t="shared" si="16"/>
        <v>4.8555042308270541E-2</v>
      </c>
      <c r="S41" s="463">
        <f t="shared" si="16"/>
        <v>4.6958701080758891E-2</v>
      </c>
      <c r="T41" s="463">
        <f t="shared" si="16"/>
        <v>4.5275679989820829E-2</v>
      </c>
      <c r="U41" s="464">
        <f t="shared" si="16"/>
        <v>4.3855550150085063E-2</v>
      </c>
    </row>
    <row r="42" spans="2:21" s="34" customFormat="1" ht="12" customHeight="1" x14ac:dyDescent="0.35">
      <c r="B42" s="336" t="s">
        <v>267</v>
      </c>
      <c r="C42" s="90"/>
      <c r="D42" s="398">
        <v>0</v>
      </c>
      <c r="E42" s="398">
        <v>0</v>
      </c>
      <c r="F42" s="398">
        <v>0</v>
      </c>
      <c r="G42" s="176">
        <f>G61/G38</f>
        <v>2.5372741863085233</v>
      </c>
      <c r="H42" s="176">
        <f t="shared" ref="H42:U42" si="17">H61/H38</f>
        <v>2.2816576770546781</v>
      </c>
      <c r="I42" s="176">
        <f t="shared" si="17"/>
        <v>2.0239729142032106</v>
      </c>
      <c r="J42" s="176">
        <f t="shared" si="17"/>
        <v>1.7601904354440709</v>
      </c>
      <c r="K42" s="176">
        <f t="shared" si="17"/>
        <v>1.4859533310045991</v>
      </c>
      <c r="L42" s="176">
        <f t="shared" si="17"/>
        <v>1.2066953579552919</v>
      </c>
      <c r="M42" s="176">
        <f t="shared" si="17"/>
        <v>0.91777859948776497</v>
      </c>
      <c r="N42" s="176">
        <f t="shared" si="17"/>
        <v>0.61761986172374805</v>
      </c>
      <c r="O42" s="176">
        <f t="shared" si="17"/>
        <v>0.38816195642665591</v>
      </c>
      <c r="P42" s="176">
        <f t="shared" si="17"/>
        <v>0.40559964000463516</v>
      </c>
      <c r="Q42" s="176">
        <f t="shared" si="17"/>
        <v>0.42457431830752629</v>
      </c>
      <c r="R42" s="176">
        <f t="shared" si="17"/>
        <v>0.44532810972652226</v>
      </c>
      <c r="S42" s="176">
        <f t="shared" si="17"/>
        <v>0.47222611466523623</v>
      </c>
      <c r="T42" s="176">
        <f t="shared" si="17"/>
        <v>0.49763391861590084</v>
      </c>
      <c r="U42" s="402">
        <f t="shared" si="17"/>
        <v>0.52594364258719217</v>
      </c>
    </row>
    <row r="43" spans="2:21" s="34" customFormat="1" ht="12" customHeight="1" x14ac:dyDescent="0.35">
      <c r="B43" s="461" t="s">
        <v>270</v>
      </c>
      <c r="C43" s="465"/>
      <c r="D43" s="466">
        <v>0</v>
      </c>
      <c r="E43" s="466">
        <v>0</v>
      </c>
      <c r="F43" s="466">
        <v>0</v>
      </c>
      <c r="G43" s="480">
        <f t="shared" ref="G43:U43" si="18">(G35+G28+G29+G30)/(G28+G29-G87)</f>
        <v>1.5148946607304146</v>
      </c>
      <c r="H43" s="480">
        <f t="shared" si="18"/>
        <v>1.575497072814865</v>
      </c>
      <c r="I43" s="480">
        <f t="shared" si="18"/>
        <v>1.6443703475717704</v>
      </c>
      <c r="J43" s="468">
        <f t="shared" si="18"/>
        <v>1.7128411736525468</v>
      </c>
      <c r="K43" s="468">
        <f t="shared" si="18"/>
        <v>1.7973209264270182</v>
      </c>
      <c r="L43" s="468">
        <f t="shared" si="18"/>
        <v>1.8925859914948706</v>
      </c>
      <c r="M43" s="468">
        <f t="shared" si="18"/>
        <v>2.0003616264106521</v>
      </c>
      <c r="N43" s="468">
        <f t="shared" si="18"/>
        <v>2.133334611156497</v>
      </c>
      <c r="O43" s="468">
        <f t="shared" si="18"/>
        <v>2.892448980066197</v>
      </c>
      <c r="P43" s="468">
        <f t="shared" si="18"/>
        <v>18.920616517592943</v>
      </c>
      <c r="Q43" s="468">
        <f t="shared" si="18"/>
        <v>18.290782443859314</v>
      </c>
      <c r="R43" s="468">
        <f t="shared" si="18"/>
        <v>17.614991913496119</v>
      </c>
      <c r="S43" s="468">
        <f t="shared" si="18"/>
        <v>16.931952985124251</v>
      </c>
      <c r="T43" s="468">
        <f t="shared" si="18"/>
        <v>16.105562704765749</v>
      </c>
      <c r="U43" s="469">
        <f t="shared" si="18"/>
        <v>15.417459951187373</v>
      </c>
    </row>
    <row r="44" spans="2:21" s="34" customFormat="1" ht="12" customHeight="1" x14ac:dyDescent="0.35">
      <c r="B44" s="336" t="s">
        <v>271</v>
      </c>
      <c r="C44" s="173"/>
      <c r="D44" s="398">
        <v>0</v>
      </c>
      <c r="E44" s="398">
        <v>0</v>
      </c>
      <c r="F44" s="398">
        <v>0</v>
      </c>
      <c r="G44" s="176">
        <f t="shared" ref="G44:U44" si="19">G83/(G28+G29-G87)</f>
        <v>0.87911459961349248</v>
      </c>
      <c r="H44" s="176">
        <f t="shared" si="19"/>
        <v>1.5700625264907924</v>
      </c>
      <c r="I44" s="176">
        <f t="shared" si="19"/>
        <v>1.627039325041441</v>
      </c>
      <c r="J44" s="176">
        <f t="shared" si="19"/>
        <v>1.7005146692026787</v>
      </c>
      <c r="K44" s="176">
        <f t="shared" si="19"/>
        <v>1.7841059988448211</v>
      </c>
      <c r="L44" s="176">
        <f t="shared" si="19"/>
        <v>1.8712239475745087</v>
      </c>
      <c r="M44" s="176">
        <f t="shared" si="19"/>
        <v>1.9849280986148687</v>
      </c>
      <c r="N44" s="176">
        <f t="shared" si="19"/>
        <v>2.0996475638261956</v>
      </c>
      <c r="O44" s="176">
        <f t="shared" si="19"/>
        <v>2.8112217526995833</v>
      </c>
      <c r="P44" s="176">
        <f t="shared" si="19"/>
        <v>18.226172073148501</v>
      </c>
      <c r="Q44" s="176">
        <f t="shared" si="19"/>
        <v>17.381691534768407</v>
      </c>
      <c r="R44" s="176">
        <f t="shared" si="19"/>
        <v>16.573325246829452</v>
      </c>
      <c r="S44" s="176">
        <f t="shared" si="19"/>
        <v>15.767469724571123</v>
      </c>
      <c r="T44" s="176">
        <f t="shared" si="19"/>
        <v>14.894736493939538</v>
      </c>
      <c r="U44" s="402">
        <f t="shared" si="19"/>
        <v>14.1569557495067</v>
      </c>
    </row>
    <row r="45" spans="2:21" s="34" customFormat="1" ht="12" customHeight="1" x14ac:dyDescent="0.35">
      <c r="B45" s="461" t="s">
        <v>326</v>
      </c>
      <c r="C45" s="465"/>
      <c r="D45" s="466">
        <v>0</v>
      </c>
      <c r="E45" s="466">
        <v>0</v>
      </c>
      <c r="F45" s="466">
        <v>0</v>
      </c>
      <c r="G45" s="468">
        <f t="shared" ref="G45:U45" si="20">G26/(G28+G29)</f>
        <v>3.1069558505445038</v>
      </c>
      <c r="H45" s="468">
        <f t="shared" si="20"/>
        <v>3.433673983678065</v>
      </c>
      <c r="I45" s="468">
        <f t="shared" si="20"/>
        <v>3.8405821274558067</v>
      </c>
      <c r="J45" s="468">
        <f t="shared" si="20"/>
        <v>4.3667155415486185</v>
      </c>
      <c r="K45" s="468">
        <f t="shared" si="20"/>
        <v>5.0863112689607375</v>
      </c>
      <c r="L45" s="468">
        <f t="shared" si="20"/>
        <v>6.1261297962580059</v>
      </c>
      <c r="M45" s="468">
        <f t="shared" si="20"/>
        <v>7.7555605399396228</v>
      </c>
      <c r="N45" s="468">
        <f t="shared" si="20"/>
        <v>10.714215139429506</v>
      </c>
      <c r="O45" s="468">
        <f t="shared" si="20"/>
        <v>16.332393201710822</v>
      </c>
      <c r="P45" s="468">
        <f t="shared" si="20"/>
        <v>20.735949930982137</v>
      </c>
      <c r="Q45" s="468">
        <f t="shared" si="20"/>
        <v>19.805933959010829</v>
      </c>
      <c r="R45" s="468">
        <f t="shared" si="20"/>
        <v>18.879872865877072</v>
      </c>
      <c r="S45" s="468">
        <f t="shared" si="20"/>
        <v>17.878095634323671</v>
      </c>
      <c r="T45" s="468">
        <f t="shared" si="20"/>
        <v>16.889038488241532</v>
      </c>
      <c r="U45" s="469">
        <f t="shared" si="20"/>
        <v>15.977684040823227</v>
      </c>
    </row>
    <row r="46" spans="2:21" s="34" customFormat="1" ht="12" customHeight="1" thickBot="1" x14ac:dyDescent="0.4">
      <c r="B46" s="54" t="s">
        <v>269</v>
      </c>
      <c r="C46" s="175"/>
      <c r="D46" s="175">
        <v>0</v>
      </c>
      <c r="E46" s="175">
        <v>0</v>
      </c>
      <c r="F46" s="175">
        <v>0</v>
      </c>
      <c r="G46" s="177">
        <f t="shared" ref="G46:U46" si="21">G83/(G28+G29)</f>
        <v>1.6705541432851743</v>
      </c>
      <c r="H46" s="177">
        <f t="shared" si="21"/>
        <v>3.1536990805881331</v>
      </c>
      <c r="I46" s="177">
        <f t="shared" si="21"/>
        <v>3.4899691098472547</v>
      </c>
      <c r="J46" s="177">
        <f t="shared" si="21"/>
        <v>3.9499499814962067</v>
      </c>
      <c r="K46" s="177">
        <f t="shared" si="21"/>
        <v>4.580851966089349</v>
      </c>
      <c r="L46" s="177">
        <f t="shared" si="21"/>
        <v>5.4706304917473085</v>
      </c>
      <c r="M46" s="177">
        <f t="shared" si="21"/>
        <v>6.9168243100813065</v>
      </c>
      <c r="N46" s="177">
        <f t="shared" si="21"/>
        <v>9.4651538241732158</v>
      </c>
      <c r="O46" s="177">
        <f t="shared" si="21"/>
        <v>14.353920381807367</v>
      </c>
      <c r="P46" s="177">
        <f t="shared" si="21"/>
        <v>18.226172073148501</v>
      </c>
      <c r="Q46" s="177">
        <f t="shared" si="21"/>
        <v>17.381691534768407</v>
      </c>
      <c r="R46" s="177">
        <f t="shared" si="21"/>
        <v>16.573325246829452</v>
      </c>
      <c r="S46" s="177">
        <f t="shared" si="21"/>
        <v>15.767469724571123</v>
      </c>
      <c r="T46" s="177">
        <f t="shared" si="21"/>
        <v>14.894736493939538</v>
      </c>
      <c r="U46" s="403">
        <f t="shared" si="21"/>
        <v>14.1569557495067</v>
      </c>
    </row>
    <row r="47" spans="2:21" s="34" customFormat="1" x14ac:dyDescent="0.35">
      <c r="B47" s="34" t="s">
        <v>325</v>
      </c>
      <c r="D47" s="309"/>
      <c r="G47" s="489">
        <f>G67/G61</f>
        <v>1.5906562847608454</v>
      </c>
      <c r="H47" s="489">
        <f t="shared" ref="H47:R47" si="22">H67/H61</f>
        <v>1.6984812595792114</v>
      </c>
      <c r="I47" s="489">
        <f t="shared" si="22"/>
        <v>1.8348477602423083</v>
      </c>
      <c r="J47" s="489">
        <f t="shared" si="22"/>
        <v>2.0171354069659153</v>
      </c>
      <c r="K47" s="489">
        <f t="shared" si="22"/>
        <v>2.2783389450056117</v>
      </c>
      <c r="L47" s="489">
        <f t="shared" si="22"/>
        <v>2.6668544072092368</v>
      </c>
      <c r="M47" s="489">
        <f t="shared" si="22"/>
        <v>3.3207404608991311</v>
      </c>
      <c r="N47" s="489">
        <f t="shared" si="22"/>
        <v>4.6528973034997128</v>
      </c>
      <c r="O47" s="489">
        <f t="shared" si="22"/>
        <v>6.94392523364486</v>
      </c>
      <c r="P47" s="489">
        <f t="shared" si="22"/>
        <v>6.192660550458716</v>
      </c>
      <c r="Q47" s="489">
        <f t="shared" si="22"/>
        <v>5.4684684684684681</v>
      </c>
      <c r="R47" s="489">
        <f t="shared" si="22"/>
        <v>4.7699115044247788</v>
      </c>
      <c r="S47" s="277"/>
      <c r="T47" s="277"/>
      <c r="U47" s="277"/>
    </row>
    <row r="48" spans="2:21" ht="15" thickBot="1" x14ac:dyDescent="0.4">
      <c r="G48" s="408"/>
      <c r="H48" s="408"/>
    </row>
    <row r="49" spans="2:21" ht="16" thickBot="1" x14ac:dyDescent="0.4">
      <c r="B49" s="299" t="s">
        <v>106</v>
      </c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1"/>
    </row>
    <row r="50" spans="2:21" ht="16" thickBot="1" x14ac:dyDescent="0.4">
      <c r="B50" s="306" t="s">
        <v>110</v>
      </c>
      <c r="C50" s="2">
        <v>2009</v>
      </c>
      <c r="D50" s="2">
        <v>2010</v>
      </c>
      <c r="E50" s="2">
        <v>2011</v>
      </c>
      <c r="F50" s="2">
        <v>2012</v>
      </c>
      <c r="G50" s="2">
        <v>2013</v>
      </c>
      <c r="H50" s="2">
        <v>2014</v>
      </c>
      <c r="I50" s="2">
        <v>2015</v>
      </c>
      <c r="J50" s="2">
        <v>2016</v>
      </c>
      <c r="K50" s="2">
        <v>2017</v>
      </c>
      <c r="L50" s="2">
        <v>2018</v>
      </c>
      <c r="M50" s="2">
        <v>2019</v>
      </c>
      <c r="N50" s="2">
        <v>2020</v>
      </c>
      <c r="O50" s="2">
        <v>2021</v>
      </c>
      <c r="P50" s="2">
        <v>2022</v>
      </c>
      <c r="Q50" s="2">
        <v>2023</v>
      </c>
      <c r="R50" s="2">
        <v>2024</v>
      </c>
      <c r="S50" s="2">
        <v>2025</v>
      </c>
      <c r="T50" s="2">
        <v>2026</v>
      </c>
      <c r="U50" s="3">
        <v>2027</v>
      </c>
    </row>
    <row r="51" spans="2:21" ht="15.5" x14ac:dyDescent="0.35">
      <c r="B51" s="305" t="s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2:21" ht="15.5" x14ac:dyDescent="0.35">
      <c r="B52" s="304" t="s">
        <v>107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 ht="15.5" x14ac:dyDescent="0.35">
      <c r="B53" s="313" t="s">
        <v>2</v>
      </c>
      <c r="C53" s="202">
        <v>0</v>
      </c>
      <c r="D53" s="407">
        <f>C53+D92+D91</f>
        <v>1422.3932164948453</v>
      </c>
      <c r="E53" s="407">
        <f>D53+E92+E91</f>
        <v>3628.6441736716893</v>
      </c>
      <c r="F53" s="202">
        <f t="shared" ref="F53:U53" si="23">E53+F92</f>
        <v>5587.7018659793812</v>
      </c>
      <c r="G53" s="202">
        <f t="shared" si="23"/>
        <v>5587.7018659793812</v>
      </c>
      <c r="H53" s="202">
        <f t="shared" si="23"/>
        <v>5587.7018659793812</v>
      </c>
      <c r="I53" s="202">
        <f t="shared" si="23"/>
        <v>5587.7018659793812</v>
      </c>
      <c r="J53" s="202">
        <f t="shared" si="23"/>
        <v>5587.7018659793812</v>
      </c>
      <c r="K53" s="202">
        <f t="shared" si="23"/>
        <v>5587.7018659793812</v>
      </c>
      <c r="L53" s="202">
        <f t="shared" si="23"/>
        <v>5587.7018659793812</v>
      </c>
      <c r="M53" s="202">
        <f t="shared" si="23"/>
        <v>5587.7018659793812</v>
      </c>
      <c r="N53" s="202">
        <f t="shared" si="23"/>
        <v>5587.7018659793812</v>
      </c>
      <c r="O53" s="202">
        <f t="shared" si="23"/>
        <v>5587.7018659793812</v>
      </c>
      <c r="P53" s="202">
        <f t="shared" si="23"/>
        <v>5587.7018659793812</v>
      </c>
      <c r="Q53" s="202">
        <f t="shared" si="23"/>
        <v>5587.7018659793812</v>
      </c>
      <c r="R53" s="202">
        <f t="shared" si="23"/>
        <v>5587.7018659793812</v>
      </c>
      <c r="S53" s="202">
        <f t="shared" si="23"/>
        <v>5587.7018659793812</v>
      </c>
      <c r="T53" s="202">
        <f t="shared" si="23"/>
        <v>5587.7018659793812</v>
      </c>
      <c r="U53" s="203">
        <f t="shared" si="23"/>
        <v>5587.7018659793812</v>
      </c>
    </row>
    <row r="54" spans="2:21" ht="15.5" x14ac:dyDescent="0.35">
      <c r="B54" s="313" t="s">
        <v>76</v>
      </c>
      <c r="C54" s="202">
        <v>0</v>
      </c>
      <c r="D54" s="202">
        <f t="shared" ref="D54:U54" si="24">D136</f>
        <v>-36.393216494845362</v>
      </c>
      <c r="E54" s="202">
        <f t="shared" si="24"/>
        <v>-43.701865979381445</v>
      </c>
      <c r="F54" s="202">
        <f t="shared" si="24"/>
        <v>-43.701865979381445</v>
      </c>
      <c r="G54" s="202">
        <f t="shared" si="24"/>
        <v>1092.4846268946433</v>
      </c>
      <c r="H54" s="202">
        <f t="shared" si="24"/>
        <v>2289.6703288331078</v>
      </c>
      <c r="I54" s="202">
        <f t="shared" si="24"/>
        <v>3542.8963682831559</v>
      </c>
      <c r="J54" s="202">
        <f t="shared" si="24"/>
        <v>4842.0086218622482</v>
      </c>
      <c r="K54" s="202">
        <f t="shared" si="24"/>
        <v>6187.22821024728</v>
      </c>
      <c r="L54" s="202">
        <f t="shared" si="24"/>
        <v>7578.7361729847553</v>
      </c>
      <c r="M54" s="202">
        <f t="shared" si="24"/>
        <v>9016.6594129196274</v>
      </c>
      <c r="N54" s="202">
        <f t="shared" si="24"/>
        <v>10500.361086836201</v>
      </c>
      <c r="O54" s="202">
        <f t="shared" si="24"/>
        <v>12039.156629530207</v>
      </c>
      <c r="P54" s="202">
        <f t="shared" si="24"/>
        <v>13594.85534498454</v>
      </c>
      <c r="Q54" s="202">
        <f t="shared" si="24"/>
        <v>15094.85534498454</v>
      </c>
      <c r="R54" s="202">
        <f t="shared" si="24"/>
        <v>16554.855344984542</v>
      </c>
      <c r="S54" s="202">
        <f t="shared" si="24"/>
        <v>17954.855344984542</v>
      </c>
      <c r="T54" s="202">
        <f t="shared" si="24"/>
        <v>19294.855344984542</v>
      </c>
      <c r="U54" s="203">
        <f t="shared" si="24"/>
        <v>20574.855344984542</v>
      </c>
    </row>
    <row r="55" spans="2:21" ht="15.5" x14ac:dyDescent="0.35">
      <c r="B55" s="7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3"/>
    </row>
    <row r="56" spans="2:21" ht="15.5" x14ac:dyDescent="0.35">
      <c r="B56" s="7" t="s">
        <v>108</v>
      </c>
      <c r="C56" s="307">
        <v>0</v>
      </c>
      <c r="D56" s="307">
        <f t="shared" ref="D56:U56" si="25">D53+D54</f>
        <v>1386</v>
      </c>
      <c r="E56" s="307">
        <f t="shared" si="25"/>
        <v>3584.9423076923076</v>
      </c>
      <c r="F56" s="307">
        <f t="shared" si="25"/>
        <v>5544</v>
      </c>
      <c r="G56" s="307">
        <f t="shared" si="25"/>
        <v>6680.1864928740242</v>
      </c>
      <c r="H56" s="307">
        <f t="shared" si="25"/>
        <v>7877.3721948124894</v>
      </c>
      <c r="I56" s="307">
        <f t="shared" si="25"/>
        <v>9130.5982342625375</v>
      </c>
      <c r="J56" s="307">
        <f t="shared" si="25"/>
        <v>10429.710487841628</v>
      </c>
      <c r="K56" s="307">
        <f t="shared" si="25"/>
        <v>11774.930076226661</v>
      </c>
      <c r="L56" s="307">
        <f t="shared" si="25"/>
        <v>13166.438038964137</v>
      </c>
      <c r="M56" s="307">
        <f t="shared" si="25"/>
        <v>14604.361278899009</v>
      </c>
      <c r="N56" s="307">
        <f t="shared" si="25"/>
        <v>16088.062952815582</v>
      </c>
      <c r="O56" s="307">
        <f t="shared" si="25"/>
        <v>17626.858495509587</v>
      </c>
      <c r="P56" s="307">
        <f t="shared" si="25"/>
        <v>19182.557210963922</v>
      </c>
      <c r="Q56" s="307">
        <f t="shared" si="25"/>
        <v>20682.557210963922</v>
      </c>
      <c r="R56" s="307">
        <f t="shared" si="25"/>
        <v>22142.557210963925</v>
      </c>
      <c r="S56" s="307">
        <f t="shared" si="25"/>
        <v>23542.557210963925</v>
      </c>
      <c r="T56" s="307">
        <f t="shared" si="25"/>
        <v>24882.557210963925</v>
      </c>
      <c r="U56" s="308">
        <f t="shared" si="25"/>
        <v>26162.557210963925</v>
      </c>
    </row>
    <row r="57" spans="2:21" ht="15.5" x14ac:dyDescent="0.35">
      <c r="B57" s="7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3"/>
    </row>
    <row r="58" spans="2:21" ht="15.5" x14ac:dyDescent="0.35">
      <c r="B58" s="304" t="s">
        <v>3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3"/>
    </row>
    <row r="59" spans="2:21" ht="15.5" x14ac:dyDescent="0.35">
      <c r="B59" s="7" t="s">
        <v>77</v>
      </c>
      <c r="C59" s="202">
        <v>0</v>
      </c>
      <c r="D59" s="202">
        <f t="shared" ref="D59:U59" si="26">C59+D86+D87</f>
        <v>2074.7134020618555</v>
      </c>
      <c r="E59" s="202">
        <f t="shared" si="26"/>
        <v>5392.5402061855675</v>
      </c>
      <c r="F59" s="202">
        <f t="shared" si="26"/>
        <v>8085</v>
      </c>
      <c r="G59" s="202">
        <f t="shared" si="26"/>
        <v>7161</v>
      </c>
      <c r="H59" s="202">
        <f t="shared" si="26"/>
        <v>6237</v>
      </c>
      <c r="I59" s="202">
        <f t="shared" si="26"/>
        <v>5313</v>
      </c>
      <c r="J59" s="202">
        <f t="shared" si="26"/>
        <v>4389</v>
      </c>
      <c r="K59" s="202">
        <f t="shared" si="26"/>
        <v>3465</v>
      </c>
      <c r="L59" s="202">
        <f t="shared" si="26"/>
        <v>2541</v>
      </c>
      <c r="M59" s="202">
        <f t="shared" si="26"/>
        <v>1617</v>
      </c>
      <c r="N59" s="202">
        <f t="shared" si="26"/>
        <v>693</v>
      </c>
      <c r="O59" s="202">
        <f t="shared" si="26"/>
        <v>0</v>
      </c>
      <c r="P59" s="202">
        <f t="shared" si="26"/>
        <v>0</v>
      </c>
      <c r="Q59" s="202">
        <f t="shared" si="26"/>
        <v>0</v>
      </c>
      <c r="R59" s="202">
        <f t="shared" si="26"/>
        <v>0</v>
      </c>
      <c r="S59" s="202">
        <f t="shared" si="26"/>
        <v>0</v>
      </c>
      <c r="T59" s="202">
        <f t="shared" si="26"/>
        <v>0</v>
      </c>
      <c r="U59" s="203">
        <f t="shared" si="26"/>
        <v>0</v>
      </c>
    </row>
    <row r="60" spans="2:21" ht="15.5" x14ac:dyDescent="0.35">
      <c r="B60" s="7" t="s">
        <v>78</v>
      </c>
      <c r="C60" s="202">
        <v>0</v>
      </c>
      <c r="D60" s="202">
        <f>C60+D88</f>
        <v>0</v>
      </c>
      <c r="E60" s="202">
        <f>D60+E88</f>
        <v>0</v>
      </c>
      <c r="F60" s="202">
        <f t="shared" ref="F60:U60" si="27">E60+F88+F89</f>
        <v>0</v>
      </c>
      <c r="G60" s="202">
        <f t="shared" si="27"/>
        <v>930</v>
      </c>
      <c r="H60" s="202">
        <f t="shared" si="27"/>
        <v>940</v>
      </c>
      <c r="I60" s="202">
        <f t="shared" si="27"/>
        <v>960</v>
      </c>
      <c r="J60" s="202">
        <f t="shared" si="27"/>
        <v>980</v>
      </c>
      <c r="K60" s="202">
        <f t="shared" si="27"/>
        <v>990</v>
      </c>
      <c r="L60" s="202">
        <f t="shared" si="27"/>
        <v>1010</v>
      </c>
      <c r="M60" s="202">
        <f t="shared" si="27"/>
        <v>1030</v>
      </c>
      <c r="N60" s="202">
        <f t="shared" si="27"/>
        <v>1050</v>
      </c>
      <c r="O60" s="202">
        <f t="shared" si="27"/>
        <v>1070</v>
      </c>
      <c r="P60" s="202">
        <f t="shared" si="27"/>
        <v>1090</v>
      </c>
      <c r="Q60" s="202">
        <f t="shared" si="27"/>
        <v>1110</v>
      </c>
      <c r="R60" s="202">
        <f t="shared" si="27"/>
        <v>1130</v>
      </c>
      <c r="S60" s="202">
        <f t="shared" si="27"/>
        <v>1160</v>
      </c>
      <c r="T60" s="202">
        <f t="shared" si="27"/>
        <v>1180</v>
      </c>
      <c r="U60" s="203">
        <f t="shared" si="27"/>
        <v>1200</v>
      </c>
    </row>
    <row r="61" spans="2:21" ht="15.5" x14ac:dyDescent="0.35">
      <c r="B61" s="7" t="s">
        <v>4</v>
      </c>
      <c r="C61" s="307">
        <v>0</v>
      </c>
      <c r="D61" s="307">
        <f t="shared" ref="D61:U61" si="28">D59+D60</f>
        <v>2074.7134020618555</v>
      </c>
      <c r="E61" s="307">
        <f t="shared" si="28"/>
        <v>5392.5402061855675</v>
      </c>
      <c r="F61" s="307">
        <f t="shared" si="28"/>
        <v>8085</v>
      </c>
      <c r="G61" s="307">
        <f t="shared" si="28"/>
        <v>8091</v>
      </c>
      <c r="H61" s="307">
        <f t="shared" si="28"/>
        <v>7177</v>
      </c>
      <c r="I61" s="307">
        <f t="shared" si="28"/>
        <v>6273</v>
      </c>
      <c r="J61" s="307">
        <f t="shared" si="28"/>
        <v>5369</v>
      </c>
      <c r="K61" s="307">
        <f t="shared" si="28"/>
        <v>4455</v>
      </c>
      <c r="L61" s="307">
        <f t="shared" si="28"/>
        <v>3551</v>
      </c>
      <c r="M61" s="307">
        <f t="shared" si="28"/>
        <v>2647</v>
      </c>
      <c r="N61" s="307">
        <f t="shared" si="28"/>
        <v>1743</v>
      </c>
      <c r="O61" s="307">
        <f t="shared" si="28"/>
        <v>1070</v>
      </c>
      <c r="P61" s="307">
        <f t="shared" si="28"/>
        <v>1090</v>
      </c>
      <c r="Q61" s="307">
        <f t="shared" si="28"/>
        <v>1110</v>
      </c>
      <c r="R61" s="307">
        <f t="shared" si="28"/>
        <v>1130</v>
      </c>
      <c r="S61" s="307">
        <f t="shared" si="28"/>
        <v>1160</v>
      </c>
      <c r="T61" s="307">
        <f t="shared" si="28"/>
        <v>1180</v>
      </c>
      <c r="U61" s="308">
        <f t="shared" si="28"/>
        <v>1200</v>
      </c>
    </row>
    <row r="62" spans="2:21" ht="15.5" x14ac:dyDescent="0.35">
      <c r="B62" s="7" t="s">
        <v>5</v>
      </c>
      <c r="C62" s="307">
        <v>0</v>
      </c>
      <c r="D62" s="307">
        <f t="shared" ref="D62:U62" si="29">D56+D61</f>
        <v>3460.7134020618555</v>
      </c>
      <c r="E62" s="307">
        <f t="shared" si="29"/>
        <v>8977.482513877876</v>
      </c>
      <c r="F62" s="307">
        <f t="shared" si="29"/>
        <v>13629</v>
      </c>
      <c r="G62" s="307">
        <f t="shared" si="29"/>
        <v>14771.186492874025</v>
      </c>
      <c r="H62" s="307">
        <f t="shared" si="29"/>
        <v>15054.372194812489</v>
      </c>
      <c r="I62" s="307">
        <f t="shared" si="29"/>
        <v>15403.598234262538</v>
      </c>
      <c r="J62" s="307">
        <f t="shared" si="29"/>
        <v>15798.710487841628</v>
      </c>
      <c r="K62" s="307">
        <f t="shared" si="29"/>
        <v>16229.930076226661</v>
      </c>
      <c r="L62" s="307">
        <f t="shared" si="29"/>
        <v>16717.438038964137</v>
      </c>
      <c r="M62" s="307">
        <f t="shared" si="29"/>
        <v>17251.361278899007</v>
      </c>
      <c r="N62" s="307">
        <f t="shared" si="29"/>
        <v>17831.062952815584</v>
      </c>
      <c r="O62" s="307">
        <f t="shared" si="29"/>
        <v>18696.858495509587</v>
      </c>
      <c r="P62" s="307">
        <f t="shared" si="29"/>
        <v>20272.557210963922</v>
      </c>
      <c r="Q62" s="307">
        <f t="shared" si="29"/>
        <v>21792.557210963922</v>
      </c>
      <c r="R62" s="307">
        <f t="shared" si="29"/>
        <v>23272.557210963925</v>
      </c>
      <c r="S62" s="307">
        <f t="shared" si="29"/>
        <v>24702.557210963925</v>
      </c>
      <c r="T62" s="307">
        <f t="shared" si="29"/>
        <v>26062.557210963925</v>
      </c>
      <c r="U62" s="308">
        <f t="shared" si="29"/>
        <v>27362.557210963925</v>
      </c>
    </row>
    <row r="63" spans="2:21" ht="15.5" x14ac:dyDescent="0.35">
      <c r="B63" s="7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3"/>
    </row>
    <row r="64" spans="2:21" ht="15.5" x14ac:dyDescent="0.35">
      <c r="B64" s="304" t="s">
        <v>6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3"/>
    </row>
    <row r="65" spans="2:26" ht="15.5" x14ac:dyDescent="0.35">
      <c r="B65" s="7" t="s">
        <v>197</v>
      </c>
      <c r="C65" s="202">
        <v>0</v>
      </c>
      <c r="D65" s="202">
        <v>3460</v>
      </c>
      <c r="E65" s="202">
        <v>8980</v>
      </c>
      <c r="F65" s="202">
        <v>13550</v>
      </c>
      <c r="G65" s="202">
        <v>13550</v>
      </c>
      <c r="H65" s="202">
        <v>13550</v>
      </c>
      <c r="I65" s="202">
        <v>13550</v>
      </c>
      <c r="J65" s="202">
        <v>13550</v>
      </c>
      <c r="K65" s="202">
        <v>13550</v>
      </c>
      <c r="L65" s="202">
        <v>13550</v>
      </c>
      <c r="M65" s="202">
        <v>13550</v>
      </c>
      <c r="N65" s="202">
        <v>13550</v>
      </c>
      <c r="O65" s="202">
        <v>13550</v>
      </c>
      <c r="P65" s="202">
        <v>13550</v>
      </c>
      <c r="Q65" s="202">
        <v>13550</v>
      </c>
      <c r="R65" s="202">
        <v>13550</v>
      </c>
      <c r="S65" s="202">
        <v>13550</v>
      </c>
      <c r="T65" s="202">
        <v>13550</v>
      </c>
      <c r="U65" s="203">
        <v>13550</v>
      </c>
    </row>
    <row r="66" spans="2:26" ht="15.5" x14ac:dyDescent="0.35">
      <c r="B66" s="7" t="s">
        <v>7</v>
      </c>
      <c r="C66" s="202">
        <v>0</v>
      </c>
      <c r="D66" s="202">
        <f>D30</f>
        <v>0</v>
      </c>
      <c r="E66" s="202">
        <f t="shared" ref="E66:U66" si="30">D66+E30</f>
        <v>0</v>
      </c>
      <c r="F66" s="202">
        <f t="shared" si="30"/>
        <v>0</v>
      </c>
      <c r="G66" s="202">
        <f t="shared" si="30"/>
        <v>680</v>
      </c>
      <c r="H66" s="202">
        <f t="shared" si="30"/>
        <v>1360</v>
      </c>
      <c r="I66" s="202">
        <f t="shared" si="30"/>
        <v>2040</v>
      </c>
      <c r="J66" s="202">
        <f t="shared" si="30"/>
        <v>2720</v>
      </c>
      <c r="K66" s="202">
        <f t="shared" si="30"/>
        <v>3400</v>
      </c>
      <c r="L66" s="202">
        <f t="shared" si="30"/>
        <v>4080</v>
      </c>
      <c r="M66" s="202">
        <f t="shared" si="30"/>
        <v>4760</v>
      </c>
      <c r="N66" s="202">
        <f t="shared" si="30"/>
        <v>5440</v>
      </c>
      <c r="O66" s="202">
        <f t="shared" si="30"/>
        <v>6120</v>
      </c>
      <c r="P66" s="202">
        <f t="shared" si="30"/>
        <v>6800</v>
      </c>
      <c r="Q66" s="202">
        <f t="shared" si="30"/>
        <v>7480</v>
      </c>
      <c r="R66" s="202">
        <f t="shared" si="30"/>
        <v>8160</v>
      </c>
      <c r="S66" s="202">
        <f t="shared" si="30"/>
        <v>8840</v>
      </c>
      <c r="T66" s="202">
        <f t="shared" si="30"/>
        <v>9520</v>
      </c>
      <c r="U66" s="203">
        <f t="shared" si="30"/>
        <v>10200</v>
      </c>
    </row>
    <row r="67" spans="2:26" ht="15.5" x14ac:dyDescent="0.35">
      <c r="B67" s="7" t="s">
        <v>8</v>
      </c>
      <c r="C67" s="202">
        <v>0</v>
      </c>
      <c r="D67" s="187">
        <f>D65-D66</f>
        <v>3460</v>
      </c>
      <c r="E67" s="187">
        <f>E65-E66</f>
        <v>8980</v>
      </c>
      <c r="F67" s="187">
        <f>F65-F66</f>
        <v>13550</v>
      </c>
      <c r="G67" s="187">
        <f>G65-G66</f>
        <v>12870</v>
      </c>
      <c r="H67" s="187">
        <f t="shared" ref="H67:U67" si="31">H65-H66</f>
        <v>12190</v>
      </c>
      <c r="I67" s="202">
        <f t="shared" si="31"/>
        <v>11510</v>
      </c>
      <c r="J67" s="202">
        <f t="shared" si="31"/>
        <v>10830</v>
      </c>
      <c r="K67" s="202">
        <f t="shared" si="31"/>
        <v>10150</v>
      </c>
      <c r="L67" s="202">
        <f t="shared" si="31"/>
        <v>9470</v>
      </c>
      <c r="M67" s="202">
        <f t="shared" si="31"/>
        <v>8790</v>
      </c>
      <c r="N67" s="202">
        <f t="shared" si="31"/>
        <v>8110</v>
      </c>
      <c r="O67" s="202">
        <f t="shared" si="31"/>
        <v>7430</v>
      </c>
      <c r="P67" s="202">
        <f t="shared" si="31"/>
        <v>6750</v>
      </c>
      <c r="Q67" s="202">
        <f t="shared" si="31"/>
        <v>6070</v>
      </c>
      <c r="R67" s="202">
        <f t="shared" si="31"/>
        <v>5390</v>
      </c>
      <c r="S67" s="202">
        <f t="shared" si="31"/>
        <v>4710</v>
      </c>
      <c r="T67" s="202">
        <f t="shared" si="31"/>
        <v>4030</v>
      </c>
      <c r="U67" s="203">
        <f t="shared" si="31"/>
        <v>3350</v>
      </c>
    </row>
    <row r="68" spans="2:26" ht="15.5" x14ac:dyDescent="0.35">
      <c r="B68" s="7" t="s">
        <v>57</v>
      </c>
      <c r="C68" s="202">
        <v>0</v>
      </c>
      <c r="D68" s="202">
        <v>0</v>
      </c>
      <c r="E68" s="202">
        <v>0</v>
      </c>
      <c r="F68" s="202">
        <v>0</v>
      </c>
      <c r="G68" s="202">
        <f>G105</f>
        <v>1240</v>
      </c>
      <c r="H68" s="202">
        <f t="shared" ref="H68:U68" si="32">H105</f>
        <v>1250</v>
      </c>
      <c r="I68" s="202">
        <f t="shared" si="32"/>
        <v>1280</v>
      </c>
      <c r="J68" s="202">
        <f t="shared" si="32"/>
        <v>1300</v>
      </c>
      <c r="K68" s="202">
        <f t="shared" si="32"/>
        <v>1320</v>
      </c>
      <c r="L68" s="202">
        <f t="shared" si="32"/>
        <v>1350</v>
      </c>
      <c r="M68" s="202">
        <f t="shared" si="32"/>
        <v>1370</v>
      </c>
      <c r="N68" s="202">
        <f t="shared" si="32"/>
        <v>1400</v>
      </c>
      <c r="O68" s="202">
        <f t="shared" si="32"/>
        <v>1430</v>
      </c>
      <c r="P68" s="202">
        <f t="shared" si="32"/>
        <v>1450</v>
      </c>
      <c r="Q68" s="202">
        <f t="shared" si="32"/>
        <v>1480</v>
      </c>
      <c r="R68" s="202">
        <f t="shared" si="32"/>
        <v>1510</v>
      </c>
      <c r="S68" s="202">
        <f t="shared" si="32"/>
        <v>1540</v>
      </c>
      <c r="T68" s="202">
        <f t="shared" si="32"/>
        <v>1570</v>
      </c>
      <c r="U68" s="203">
        <f t="shared" si="32"/>
        <v>1600</v>
      </c>
    </row>
    <row r="69" spans="2:26" ht="15.5" x14ac:dyDescent="0.35">
      <c r="B69" s="7" t="s">
        <v>112</v>
      </c>
      <c r="C69" s="202">
        <v>0</v>
      </c>
      <c r="D69" s="202">
        <v>0</v>
      </c>
      <c r="E69" s="202">
        <v>0</v>
      </c>
      <c r="F69" s="202">
        <v>0</v>
      </c>
      <c r="G69" s="202">
        <v>0</v>
      </c>
      <c r="H69" s="202">
        <v>0</v>
      </c>
      <c r="I69" s="202">
        <v>0</v>
      </c>
      <c r="J69" s="202">
        <v>0</v>
      </c>
      <c r="K69" s="202">
        <v>0</v>
      </c>
      <c r="L69" s="202">
        <v>0</v>
      </c>
      <c r="M69" s="202">
        <v>0</v>
      </c>
      <c r="N69" s="202">
        <v>10</v>
      </c>
      <c r="O69" s="202">
        <v>50</v>
      </c>
      <c r="P69" s="202">
        <v>120</v>
      </c>
      <c r="Q69" s="202">
        <v>210</v>
      </c>
      <c r="R69" s="202">
        <v>320</v>
      </c>
      <c r="S69" s="187">
        <v>450</v>
      </c>
      <c r="T69" s="202">
        <v>590</v>
      </c>
      <c r="U69" s="203">
        <v>740</v>
      </c>
    </row>
    <row r="70" spans="2:26" ht="15.5" x14ac:dyDescent="0.35">
      <c r="B70" s="7" t="s">
        <v>9</v>
      </c>
      <c r="C70" s="202">
        <v>0</v>
      </c>
      <c r="D70" s="202">
        <f t="shared" ref="D70:U70" si="33">D99</f>
        <v>0.71340206185550414</v>
      </c>
      <c r="E70" s="202">
        <f t="shared" si="33"/>
        <v>-2.5174861221253195</v>
      </c>
      <c r="F70" s="202">
        <f t="shared" si="33"/>
        <v>79.000000000000455</v>
      </c>
      <c r="G70" s="202">
        <f t="shared" si="33"/>
        <v>661.18649287402513</v>
      </c>
      <c r="H70" s="202">
        <f t="shared" si="33"/>
        <v>1614.3721948124899</v>
      </c>
      <c r="I70" s="202">
        <f t="shared" si="33"/>
        <v>2613.598234262538</v>
      </c>
      <c r="J70" s="202">
        <f t="shared" si="33"/>
        <v>3668.7104878416303</v>
      </c>
      <c r="K70" s="202">
        <f t="shared" si="33"/>
        <v>4759.9300762266621</v>
      </c>
      <c r="L70" s="202">
        <f t="shared" si="33"/>
        <v>5897.4380389641374</v>
      </c>
      <c r="M70" s="202">
        <f t="shared" si="33"/>
        <v>7091.3612788990094</v>
      </c>
      <c r="N70" s="202">
        <f t="shared" si="33"/>
        <v>8311.0629528155823</v>
      </c>
      <c r="O70" s="202">
        <f t="shared" si="33"/>
        <v>9786.8584955095885</v>
      </c>
      <c r="P70" s="202">
        <f t="shared" si="33"/>
        <v>11952.557210963922</v>
      </c>
      <c r="Q70" s="202">
        <f t="shared" si="33"/>
        <v>14032.557210963922</v>
      </c>
      <c r="R70" s="202">
        <f t="shared" si="33"/>
        <v>16052.557210963922</v>
      </c>
      <c r="S70" s="202">
        <f t="shared" si="33"/>
        <v>18002.557210963922</v>
      </c>
      <c r="T70" s="202">
        <f t="shared" si="33"/>
        <v>19872.557210963922</v>
      </c>
      <c r="U70" s="203">
        <f t="shared" si="33"/>
        <v>21672.557210963922</v>
      </c>
    </row>
    <row r="71" spans="2:26" ht="15.5" x14ac:dyDescent="0.35">
      <c r="B71" s="7" t="s">
        <v>10</v>
      </c>
      <c r="C71" s="202">
        <v>0</v>
      </c>
      <c r="D71" s="186">
        <f t="shared" ref="D71:U71" si="34">SUM(D67:D70)</f>
        <v>3460.7134020618555</v>
      </c>
      <c r="E71" s="186">
        <f t="shared" si="34"/>
        <v>8977.4825138778742</v>
      </c>
      <c r="F71" s="186">
        <f t="shared" si="34"/>
        <v>13629</v>
      </c>
      <c r="G71" s="186">
        <f t="shared" si="34"/>
        <v>14771.186492874025</v>
      </c>
      <c r="H71" s="307">
        <f t="shared" si="34"/>
        <v>15054.372194812489</v>
      </c>
      <c r="I71" s="307">
        <f t="shared" si="34"/>
        <v>15403.598234262538</v>
      </c>
      <c r="J71" s="307">
        <f t="shared" si="34"/>
        <v>15798.71048784163</v>
      </c>
      <c r="K71" s="307">
        <f t="shared" si="34"/>
        <v>16229.930076226661</v>
      </c>
      <c r="L71" s="307">
        <f t="shared" si="34"/>
        <v>16717.438038964137</v>
      </c>
      <c r="M71" s="307">
        <f t="shared" si="34"/>
        <v>17251.36127889901</v>
      </c>
      <c r="N71" s="307">
        <f t="shared" si="34"/>
        <v>17831.062952815584</v>
      </c>
      <c r="O71" s="307">
        <f t="shared" si="34"/>
        <v>18696.858495509587</v>
      </c>
      <c r="P71" s="307">
        <f t="shared" si="34"/>
        <v>20272.557210963922</v>
      </c>
      <c r="Q71" s="307">
        <f t="shared" si="34"/>
        <v>21792.557210963922</v>
      </c>
      <c r="R71" s="307">
        <f t="shared" si="34"/>
        <v>23272.557210963922</v>
      </c>
      <c r="S71" s="307">
        <f t="shared" si="34"/>
        <v>24702.557210963922</v>
      </c>
      <c r="T71" s="307">
        <f t="shared" si="34"/>
        <v>26062.557210963922</v>
      </c>
      <c r="U71" s="308">
        <f t="shared" si="34"/>
        <v>27362.557210963922</v>
      </c>
      <c r="W71" s="34"/>
      <c r="X71" s="34"/>
      <c r="Y71" s="34"/>
      <c r="Z71" s="34"/>
    </row>
    <row r="72" spans="2:26" x14ac:dyDescent="0.35">
      <c r="B72" s="329" t="s">
        <v>185</v>
      </c>
      <c r="C72" s="16"/>
      <c r="D72" s="269">
        <f t="shared" ref="D72:U72" si="35">D62-D71</f>
        <v>0</v>
      </c>
      <c r="E72" s="269">
        <f t="shared" si="35"/>
        <v>0</v>
      </c>
      <c r="F72" s="269">
        <f t="shared" si="35"/>
        <v>0</v>
      </c>
      <c r="G72" s="269">
        <f t="shared" si="35"/>
        <v>0</v>
      </c>
      <c r="H72" s="269">
        <f t="shared" si="35"/>
        <v>0</v>
      </c>
      <c r="I72" s="269">
        <f t="shared" si="35"/>
        <v>0</v>
      </c>
      <c r="J72" s="269">
        <f t="shared" si="35"/>
        <v>0</v>
      </c>
      <c r="K72" s="269">
        <f t="shared" si="35"/>
        <v>0</v>
      </c>
      <c r="L72" s="269">
        <f t="shared" si="35"/>
        <v>0</v>
      </c>
      <c r="M72" s="269">
        <f t="shared" si="35"/>
        <v>0</v>
      </c>
      <c r="N72" s="269">
        <f t="shared" si="35"/>
        <v>0</v>
      </c>
      <c r="O72" s="269">
        <f t="shared" si="35"/>
        <v>0</v>
      </c>
      <c r="P72" s="269">
        <f t="shared" si="35"/>
        <v>0</v>
      </c>
      <c r="Q72" s="269">
        <f t="shared" si="35"/>
        <v>0</v>
      </c>
      <c r="R72" s="269">
        <f t="shared" si="35"/>
        <v>0</v>
      </c>
      <c r="S72" s="269">
        <f t="shared" si="35"/>
        <v>0</v>
      </c>
      <c r="T72" s="269">
        <f t="shared" si="35"/>
        <v>0</v>
      </c>
      <c r="U72" s="269">
        <f t="shared" si="35"/>
        <v>0</v>
      </c>
    </row>
    <row r="73" spans="2:26" ht="15" thickBot="1" x14ac:dyDescent="0.4">
      <c r="B73" s="15"/>
      <c r="C73" s="16"/>
      <c r="D73" s="17"/>
      <c r="E73" s="17"/>
      <c r="F73" s="17"/>
      <c r="G73" s="13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2:26" ht="16" thickBot="1" x14ac:dyDescent="0.4">
      <c r="B74" s="299" t="s">
        <v>176</v>
      </c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1"/>
    </row>
    <row r="75" spans="2:26" ht="16" thickBot="1" x14ac:dyDescent="0.4">
      <c r="B75" s="306" t="s">
        <v>110</v>
      </c>
      <c r="C75" s="2">
        <v>2009</v>
      </c>
      <c r="D75" s="2">
        <v>2010</v>
      </c>
      <c r="E75" s="2">
        <v>2011</v>
      </c>
      <c r="F75" s="2">
        <v>2012</v>
      </c>
      <c r="G75" s="2">
        <v>2013</v>
      </c>
      <c r="H75" s="2">
        <v>2014</v>
      </c>
      <c r="I75" s="2">
        <v>2015</v>
      </c>
      <c r="J75" s="2">
        <v>2016</v>
      </c>
      <c r="K75" s="2">
        <v>2017</v>
      </c>
      <c r="L75" s="2">
        <v>2018</v>
      </c>
      <c r="M75" s="2">
        <v>2019</v>
      </c>
      <c r="N75" s="2">
        <v>2020</v>
      </c>
      <c r="O75" s="2">
        <v>2021</v>
      </c>
      <c r="P75" s="2">
        <v>2022</v>
      </c>
      <c r="Q75" s="2">
        <v>2023</v>
      </c>
      <c r="R75" s="2">
        <v>2024</v>
      </c>
      <c r="S75" s="2">
        <v>2025</v>
      </c>
      <c r="T75" s="2">
        <v>2026</v>
      </c>
      <c r="U75" s="3">
        <v>2027</v>
      </c>
    </row>
    <row r="76" spans="2:26" ht="15.5" x14ac:dyDescent="0.35">
      <c r="B76" s="305" t="s">
        <v>180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2:26" ht="15.5" x14ac:dyDescent="0.35">
      <c r="B77" s="336" t="s">
        <v>87</v>
      </c>
      <c r="C77" s="202"/>
      <c r="D77" s="202">
        <f t="shared" ref="D77:U77" si="36">D35</f>
        <v>0</v>
      </c>
      <c r="E77" s="202">
        <f t="shared" si="36"/>
        <v>0</v>
      </c>
      <c r="F77" s="202">
        <f t="shared" si="36"/>
        <v>0</v>
      </c>
      <c r="G77" s="202">
        <f t="shared" si="36"/>
        <v>1248.2299505021713</v>
      </c>
      <c r="H77" s="202">
        <f t="shared" si="36"/>
        <v>1302.9606537451771</v>
      </c>
      <c r="I77" s="202">
        <f t="shared" si="36"/>
        <v>1359.4050716467345</v>
      </c>
      <c r="J77" s="202">
        <f t="shared" si="36"/>
        <v>1400.5990610747301</v>
      </c>
      <c r="K77" s="202">
        <f t="shared" si="36"/>
        <v>1450.6973828917064</v>
      </c>
      <c r="L77" s="202">
        <f t="shared" si="36"/>
        <v>1497.5120630157369</v>
      </c>
      <c r="M77" s="202">
        <f t="shared" si="36"/>
        <v>1540.3486244330361</v>
      </c>
      <c r="N77" s="202">
        <f t="shared" si="36"/>
        <v>1589.721517287225</v>
      </c>
      <c r="O77" s="202">
        <f t="shared" si="36"/>
        <v>1643.8746820414474</v>
      </c>
      <c r="P77" s="202">
        <f t="shared" si="36"/>
        <v>1642.5119006800455</v>
      </c>
      <c r="Q77" s="202">
        <f t="shared" si="36"/>
        <v>1602.3832825894297</v>
      </c>
      <c r="R77" s="202">
        <f t="shared" si="36"/>
        <v>1553.0549131738785</v>
      </c>
      <c r="S77" s="202">
        <f t="shared" si="36"/>
        <v>1509.0503401560723</v>
      </c>
      <c r="T77" s="202">
        <f t="shared" si="36"/>
        <v>1440.8210037491112</v>
      </c>
      <c r="U77" s="203">
        <f t="shared" si="36"/>
        <v>1378.8132810295565</v>
      </c>
    </row>
    <row r="78" spans="2:26" ht="15.5" x14ac:dyDescent="0.35">
      <c r="B78" s="313" t="s">
        <v>30</v>
      </c>
      <c r="C78" s="202"/>
      <c r="D78" s="202">
        <f t="shared" ref="D78:U78" si="37">D30</f>
        <v>0</v>
      </c>
      <c r="E78" s="202">
        <f t="shared" si="37"/>
        <v>0</v>
      </c>
      <c r="F78" s="202">
        <f t="shared" si="37"/>
        <v>0</v>
      </c>
      <c r="G78" s="202">
        <f t="shared" si="37"/>
        <v>680</v>
      </c>
      <c r="H78" s="202">
        <f t="shared" si="37"/>
        <v>680</v>
      </c>
      <c r="I78" s="202">
        <f t="shared" si="37"/>
        <v>680</v>
      </c>
      <c r="J78" s="202">
        <f t="shared" si="37"/>
        <v>680</v>
      </c>
      <c r="K78" s="202">
        <f t="shared" si="37"/>
        <v>680</v>
      </c>
      <c r="L78" s="202">
        <f t="shared" si="37"/>
        <v>680</v>
      </c>
      <c r="M78" s="202">
        <f t="shared" si="37"/>
        <v>680</v>
      </c>
      <c r="N78" s="202">
        <f t="shared" si="37"/>
        <v>680</v>
      </c>
      <c r="O78" s="202">
        <f t="shared" si="37"/>
        <v>680</v>
      </c>
      <c r="P78" s="202">
        <f t="shared" si="37"/>
        <v>680</v>
      </c>
      <c r="Q78" s="202">
        <f t="shared" si="37"/>
        <v>680</v>
      </c>
      <c r="R78" s="202">
        <f t="shared" si="37"/>
        <v>680</v>
      </c>
      <c r="S78" s="202">
        <f t="shared" si="37"/>
        <v>680</v>
      </c>
      <c r="T78" s="202">
        <f t="shared" si="37"/>
        <v>680</v>
      </c>
      <c r="U78" s="203">
        <f t="shared" si="37"/>
        <v>680</v>
      </c>
    </row>
    <row r="79" spans="2:26" ht="15.5" x14ac:dyDescent="0.35">
      <c r="B79" s="313" t="s">
        <v>184</v>
      </c>
      <c r="C79" s="202"/>
      <c r="D79" s="202">
        <f t="shared" ref="D79:U79" si="38">C65-D65</f>
        <v>-3460</v>
      </c>
      <c r="E79" s="202">
        <f t="shared" si="38"/>
        <v>-5520</v>
      </c>
      <c r="F79" s="202">
        <f t="shared" si="38"/>
        <v>-4570</v>
      </c>
      <c r="G79" s="202">
        <f t="shared" si="38"/>
        <v>0</v>
      </c>
      <c r="H79" s="202">
        <f t="shared" si="38"/>
        <v>0</v>
      </c>
      <c r="I79" s="202">
        <f t="shared" si="38"/>
        <v>0</v>
      </c>
      <c r="J79" s="202">
        <f t="shared" si="38"/>
        <v>0</v>
      </c>
      <c r="K79" s="202">
        <f t="shared" si="38"/>
        <v>0</v>
      </c>
      <c r="L79" s="202">
        <f t="shared" si="38"/>
        <v>0</v>
      </c>
      <c r="M79" s="202">
        <f t="shared" si="38"/>
        <v>0</v>
      </c>
      <c r="N79" s="202">
        <f t="shared" si="38"/>
        <v>0</v>
      </c>
      <c r="O79" s="202">
        <f t="shared" si="38"/>
        <v>0</v>
      </c>
      <c r="P79" s="202">
        <f t="shared" si="38"/>
        <v>0</v>
      </c>
      <c r="Q79" s="202">
        <f t="shared" si="38"/>
        <v>0</v>
      </c>
      <c r="R79" s="202">
        <f t="shared" si="38"/>
        <v>0</v>
      </c>
      <c r="S79" s="202">
        <f t="shared" si="38"/>
        <v>0</v>
      </c>
      <c r="T79" s="202">
        <f t="shared" si="38"/>
        <v>0</v>
      </c>
      <c r="U79" s="203">
        <f t="shared" si="38"/>
        <v>0</v>
      </c>
    </row>
    <row r="80" spans="2:26" ht="15.5" x14ac:dyDescent="0.35">
      <c r="B80" s="313" t="s">
        <v>230</v>
      </c>
      <c r="C80" s="202"/>
      <c r="D80" s="202">
        <f t="shared" ref="D80:U80" si="39">C68-D68</f>
        <v>0</v>
      </c>
      <c r="E80" s="202">
        <f t="shared" si="39"/>
        <v>0</v>
      </c>
      <c r="F80" s="202">
        <f t="shared" si="39"/>
        <v>0</v>
      </c>
      <c r="G80" s="202">
        <f t="shared" si="39"/>
        <v>-1240</v>
      </c>
      <c r="H80" s="202">
        <f t="shared" si="39"/>
        <v>-10</v>
      </c>
      <c r="I80" s="202">
        <f t="shared" si="39"/>
        <v>-30</v>
      </c>
      <c r="J80" s="202">
        <f t="shared" si="39"/>
        <v>-20</v>
      </c>
      <c r="K80" s="202">
        <f t="shared" si="39"/>
        <v>-20</v>
      </c>
      <c r="L80" s="202">
        <f t="shared" si="39"/>
        <v>-30</v>
      </c>
      <c r="M80" s="202">
        <f t="shared" si="39"/>
        <v>-20</v>
      </c>
      <c r="N80" s="202">
        <f t="shared" si="39"/>
        <v>-30</v>
      </c>
      <c r="O80" s="202">
        <f t="shared" si="39"/>
        <v>-30</v>
      </c>
      <c r="P80" s="202">
        <f t="shared" si="39"/>
        <v>-20</v>
      </c>
      <c r="Q80" s="202">
        <f t="shared" si="39"/>
        <v>-30</v>
      </c>
      <c r="R80" s="202">
        <f t="shared" si="39"/>
        <v>-30</v>
      </c>
      <c r="S80" s="202">
        <f t="shared" si="39"/>
        <v>-30</v>
      </c>
      <c r="T80" s="202">
        <f t="shared" si="39"/>
        <v>-30</v>
      </c>
      <c r="U80" s="203">
        <f t="shared" si="39"/>
        <v>-30</v>
      </c>
    </row>
    <row r="81" spans="2:24" ht="15.5" x14ac:dyDescent="0.35">
      <c r="B81" s="313" t="s">
        <v>231</v>
      </c>
      <c r="C81" s="202"/>
      <c r="D81" s="202">
        <f t="shared" ref="D81:U81" si="40">C69-D69</f>
        <v>0</v>
      </c>
      <c r="E81" s="202">
        <f t="shared" si="40"/>
        <v>0</v>
      </c>
      <c r="F81" s="202">
        <f t="shared" si="40"/>
        <v>0</v>
      </c>
      <c r="G81" s="202">
        <f t="shared" si="40"/>
        <v>0</v>
      </c>
      <c r="H81" s="202">
        <f t="shared" si="40"/>
        <v>0</v>
      </c>
      <c r="I81" s="202">
        <f t="shared" si="40"/>
        <v>0</v>
      </c>
      <c r="J81" s="202">
        <f t="shared" si="40"/>
        <v>0</v>
      </c>
      <c r="K81" s="202">
        <f t="shared" si="40"/>
        <v>0</v>
      </c>
      <c r="L81" s="202">
        <f t="shared" si="40"/>
        <v>0</v>
      </c>
      <c r="M81" s="202">
        <f t="shared" si="40"/>
        <v>0</v>
      </c>
      <c r="N81" s="202">
        <f t="shared" si="40"/>
        <v>-10</v>
      </c>
      <c r="O81" s="202">
        <f t="shared" si="40"/>
        <v>-40</v>
      </c>
      <c r="P81" s="202">
        <f t="shared" si="40"/>
        <v>-70</v>
      </c>
      <c r="Q81" s="202">
        <f t="shared" si="40"/>
        <v>-90</v>
      </c>
      <c r="R81" s="202">
        <f t="shared" si="40"/>
        <v>-110</v>
      </c>
      <c r="S81" s="202">
        <f t="shared" si="40"/>
        <v>-130</v>
      </c>
      <c r="T81" s="202">
        <f t="shared" si="40"/>
        <v>-140</v>
      </c>
      <c r="U81" s="203">
        <f t="shared" si="40"/>
        <v>-150</v>
      </c>
    </row>
    <row r="82" spans="2:24" ht="15.5" x14ac:dyDescent="0.35">
      <c r="B82" s="313" t="s">
        <v>145</v>
      </c>
      <c r="C82" s="202"/>
      <c r="D82" s="202">
        <f t="shared" ref="D82:U82" si="41">D28+D29</f>
        <v>0</v>
      </c>
      <c r="E82" s="202">
        <f t="shared" si="41"/>
        <v>0</v>
      </c>
      <c r="F82" s="202">
        <f t="shared" si="41"/>
        <v>0</v>
      </c>
      <c r="G82" s="202">
        <f t="shared" si="41"/>
        <v>1026.3599999999999</v>
      </c>
      <c r="H82" s="202">
        <f t="shared" si="41"/>
        <v>916.08</v>
      </c>
      <c r="I82" s="202">
        <f t="shared" si="41"/>
        <v>807</v>
      </c>
      <c r="J82" s="202">
        <f t="shared" si="41"/>
        <v>698.52</v>
      </c>
      <c r="K82" s="202">
        <f t="shared" si="41"/>
        <v>589.44000000000005</v>
      </c>
      <c r="L82" s="202">
        <f t="shared" si="41"/>
        <v>480.36</v>
      </c>
      <c r="M82" s="202">
        <f t="shared" si="41"/>
        <v>371.88</v>
      </c>
      <c r="N82" s="202">
        <f t="shared" si="41"/>
        <v>263.39999999999998</v>
      </c>
      <c r="O82" s="202">
        <f t="shared" si="41"/>
        <v>168.77999999999997</v>
      </c>
      <c r="P82" s="202">
        <f t="shared" si="41"/>
        <v>129.6</v>
      </c>
      <c r="Q82" s="202">
        <f t="shared" si="41"/>
        <v>132</v>
      </c>
      <c r="R82" s="202">
        <f t="shared" si="41"/>
        <v>134.4</v>
      </c>
      <c r="S82" s="202">
        <f t="shared" si="41"/>
        <v>137.4</v>
      </c>
      <c r="T82" s="202">
        <f t="shared" si="41"/>
        <v>140.4</v>
      </c>
      <c r="U82" s="203">
        <f t="shared" si="41"/>
        <v>142.79999999999998</v>
      </c>
    </row>
    <row r="83" spans="2:24" ht="15.5" x14ac:dyDescent="0.35">
      <c r="B83" s="7" t="s">
        <v>183</v>
      </c>
      <c r="C83" s="307"/>
      <c r="D83" s="307">
        <f>SUM(D77:D82)</f>
        <v>-3460</v>
      </c>
      <c r="E83" s="307">
        <f t="shared" ref="E83:U83" si="42">SUM(E77:E82)</f>
        <v>-5520</v>
      </c>
      <c r="F83" s="307">
        <f t="shared" si="42"/>
        <v>-4570</v>
      </c>
      <c r="G83" s="307">
        <f t="shared" si="42"/>
        <v>1714.5899505021712</v>
      </c>
      <c r="H83" s="307">
        <f t="shared" si="42"/>
        <v>2889.0406537451772</v>
      </c>
      <c r="I83" s="307">
        <f t="shared" si="42"/>
        <v>2816.4050716467345</v>
      </c>
      <c r="J83" s="307">
        <f t="shared" si="42"/>
        <v>2759.1190610747303</v>
      </c>
      <c r="K83" s="307">
        <f t="shared" si="42"/>
        <v>2700.1373828917062</v>
      </c>
      <c r="L83" s="307">
        <f t="shared" si="42"/>
        <v>2627.8720630157372</v>
      </c>
      <c r="M83" s="307">
        <f t="shared" si="42"/>
        <v>2572.2286244330362</v>
      </c>
      <c r="N83" s="307">
        <f t="shared" si="42"/>
        <v>2493.1215172872248</v>
      </c>
      <c r="O83" s="307">
        <f t="shared" si="42"/>
        <v>2422.6546820414469</v>
      </c>
      <c r="P83" s="307">
        <f t="shared" si="42"/>
        <v>2362.1119006800454</v>
      </c>
      <c r="Q83" s="307">
        <f t="shared" si="42"/>
        <v>2294.3832825894297</v>
      </c>
      <c r="R83" s="307">
        <f t="shared" si="42"/>
        <v>2227.4549131738786</v>
      </c>
      <c r="S83" s="307">
        <f t="shared" si="42"/>
        <v>2166.4503401560723</v>
      </c>
      <c r="T83" s="307">
        <f t="shared" si="42"/>
        <v>2091.2210037491113</v>
      </c>
      <c r="U83" s="308">
        <f t="shared" si="42"/>
        <v>2021.6132810295564</v>
      </c>
    </row>
    <row r="84" spans="2:24" ht="15.5" x14ac:dyDescent="0.35">
      <c r="B84" s="7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3"/>
    </row>
    <row r="85" spans="2:24" ht="15.5" x14ac:dyDescent="0.35">
      <c r="B85" s="304" t="s">
        <v>181</v>
      </c>
      <c r="C85" s="202"/>
      <c r="D85" s="202"/>
      <c r="E85" s="202"/>
      <c r="F85" s="202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203"/>
    </row>
    <row r="86" spans="2:24" ht="15.5" x14ac:dyDescent="0.35">
      <c r="B86" s="313" t="s">
        <v>190</v>
      </c>
      <c r="C86" s="202"/>
      <c r="D86" s="202">
        <f>N4</f>
        <v>2074.7134020618555</v>
      </c>
      <c r="E86" s="202">
        <f>O4</f>
        <v>3317.8268041237116</v>
      </c>
      <c r="F86" s="202">
        <f>P4</f>
        <v>2923.4597938144329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>
        <v>0</v>
      </c>
      <c r="T86" s="202">
        <v>0</v>
      </c>
      <c r="U86" s="203">
        <v>0</v>
      </c>
      <c r="W86" s="409">
        <f>SUM(D86:U86)</f>
        <v>8316</v>
      </c>
      <c r="X86" s="332" t="s">
        <v>273</v>
      </c>
    </row>
    <row r="87" spans="2:24" ht="15.5" x14ac:dyDescent="0.35">
      <c r="B87" s="313" t="s">
        <v>241</v>
      </c>
      <c r="C87" s="202"/>
      <c r="D87" s="202">
        <v>0</v>
      </c>
      <c r="E87" s="202">
        <v>0</v>
      </c>
      <c r="F87" s="407">
        <f>-(($D$86+$E$86+$F$86)/36)*1</f>
        <v>-231</v>
      </c>
      <c r="G87" s="407">
        <f t="shared" ref="G87:N87" si="43">-(($D$86+$E$86+$F$86)/36)*4</f>
        <v>-924</v>
      </c>
      <c r="H87" s="407">
        <f t="shared" si="43"/>
        <v>-924</v>
      </c>
      <c r="I87" s="407">
        <f t="shared" si="43"/>
        <v>-924</v>
      </c>
      <c r="J87" s="407">
        <f t="shared" si="43"/>
        <v>-924</v>
      </c>
      <c r="K87" s="407">
        <f t="shared" si="43"/>
        <v>-924</v>
      </c>
      <c r="L87" s="407">
        <f t="shared" si="43"/>
        <v>-924</v>
      </c>
      <c r="M87" s="407">
        <f t="shared" si="43"/>
        <v>-924</v>
      </c>
      <c r="N87" s="407">
        <f t="shared" si="43"/>
        <v>-924</v>
      </c>
      <c r="O87" s="407">
        <f>-(($D$86+$E$86+$F$86)/36)*3</f>
        <v>-693</v>
      </c>
      <c r="P87" s="407">
        <f>Loan!P22</f>
        <v>0</v>
      </c>
      <c r="Q87" s="407">
        <f>Loan!Q22</f>
        <v>0</v>
      </c>
      <c r="R87" s="202">
        <v>0</v>
      </c>
      <c r="S87" s="202">
        <v>0</v>
      </c>
      <c r="T87" s="202">
        <v>0</v>
      </c>
      <c r="U87" s="203">
        <v>0</v>
      </c>
      <c r="W87" s="409">
        <f>SUM(D87:U87)</f>
        <v>-8316</v>
      </c>
      <c r="X87" s="332" t="s">
        <v>273</v>
      </c>
    </row>
    <row r="88" spans="2:24" ht="15.5" x14ac:dyDescent="0.35">
      <c r="B88" s="313" t="s">
        <v>186</v>
      </c>
      <c r="C88" s="339"/>
      <c r="D88" s="202">
        <v>0</v>
      </c>
      <c r="E88" s="202">
        <v>0</v>
      </c>
      <c r="F88" s="202">
        <v>0</v>
      </c>
      <c r="G88" s="202">
        <v>930</v>
      </c>
      <c r="H88" s="202">
        <v>10</v>
      </c>
      <c r="I88" s="202">
        <v>20</v>
      </c>
      <c r="J88" s="202">
        <v>20</v>
      </c>
      <c r="K88" s="202">
        <v>10</v>
      </c>
      <c r="L88" s="202">
        <v>20</v>
      </c>
      <c r="M88" s="202">
        <v>20</v>
      </c>
      <c r="N88" s="202">
        <v>20</v>
      </c>
      <c r="O88" s="202">
        <v>20</v>
      </c>
      <c r="P88" s="202">
        <v>20</v>
      </c>
      <c r="Q88" s="202">
        <v>20</v>
      </c>
      <c r="R88" s="202">
        <v>20</v>
      </c>
      <c r="S88" s="202">
        <v>30</v>
      </c>
      <c r="T88" s="202">
        <v>20</v>
      </c>
      <c r="U88" s="203">
        <v>20</v>
      </c>
      <c r="V88" s="284"/>
    </row>
    <row r="89" spans="2:24" ht="15.5" x14ac:dyDescent="0.35">
      <c r="B89" s="313" t="s">
        <v>240</v>
      </c>
      <c r="C89" s="339"/>
      <c r="D89" s="202">
        <v>0</v>
      </c>
      <c r="E89" s="202">
        <v>0</v>
      </c>
      <c r="F89" s="202">
        <v>0</v>
      </c>
      <c r="G89" s="407">
        <f t="shared" ref="G89:U89" si="44">G123</f>
        <v>0</v>
      </c>
      <c r="H89" s="407">
        <f t="shared" si="44"/>
        <v>0</v>
      </c>
      <c r="I89" s="407">
        <f t="shared" si="44"/>
        <v>0</v>
      </c>
      <c r="J89" s="407">
        <f t="shared" si="44"/>
        <v>0</v>
      </c>
      <c r="K89" s="407">
        <f t="shared" si="44"/>
        <v>0</v>
      </c>
      <c r="L89" s="407">
        <f t="shared" si="44"/>
        <v>0</v>
      </c>
      <c r="M89" s="407">
        <f t="shared" si="44"/>
        <v>0</v>
      </c>
      <c r="N89" s="407">
        <f t="shared" si="44"/>
        <v>0</v>
      </c>
      <c r="O89" s="407">
        <f t="shared" si="44"/>
        <v>0</v>
      </c>
      <c r="P89" s="407">
        <f t="shared" si="44"/>
        <v>0</v>
      </c>
      <c r="Q89" s="407">
        <f t="shared" si="44"/>
        <v>0</v>
      </c>
      <c r="R89" s="407">
        <f t="shared" si="44"/>
        <v>0</v>
      </c>
      <c r="S89" s="407">
        <f t="shared" si="44"/>
        <v>0</v>
      </c>
      <c r="T89" s="407">
        <f t="shared" si="44"/>
        <v>0</v>
      </c>
      <c r="U89" s="417">
        <f t="shared" si="44"/>
        <v>0</v>
      </c>
      <c r="V89" s="284"/>
    </row>
    <row r="90" spans="2:24" ht="15.5" x14ac:dyDescent="0.35">
      <c r="B90" s="313" t="s">
        <v>145</v>
      </c>
      <c r="C90" s="202"/>
      <c r="D90" s="407">
        <f>-D117</f>
        <v>-36.393216494845362</v>
      </c>
      <c r="E90" s="407">
        <f>-E117</f>
        <v>-7.3086494845360823</v>
      </c>
      <c r="F90" s="407">
        <f>-F117</f>
        <v>0</v>
      </c>
      <c r="G90" s="202">
        <f t="shared" ref="G90:U90" si="45">-G82</f>
        <v>-1026.3599999999999</v>
      </c>
      <c r="H90" s="202">
        <f t="shared" si="45"/>
        <v>-916.08</v>
      </c>
      <c r="I90" s="202">
        <f t="shared" si="45"/>
        <v>-807</v>
      </c>
      <c r="J90" s="202">
        <f t="shared" si="45"/>
        <v>-698.52</v>
      </c>
      <c r="K90" s="202">
        <f t="shared" si="45"/>
        <v>-589.44000000000005</v>
      </c>
      <c r="L90" s="202">
        <f t="shared" si="45"/>
        <v>-480.36</v>
      </c>
      <c r="M90" s="202">
        <f t="shared" si="45"/>
        <v>-371.88</v>
      </c>
      <c r="N90" s="202">
        <f t="shared" si="45"/>
        <v>-263.39999999999998</v>
      </c>
      <c r="O90" s="202">
        <f t="shared" si="45"/>
        <v>-168.77999999999997</v>
      </c>
      <c r="P90" s="202">
        <f t="shared" si="45"/>
        <v>-129.6</v>
      </c>
      <c r="Q90" s="202">
        <f t="shared" si="45"/>
        <v>-132</v>
      </c>
      <c r="R90" s="202">
        <f t="shared" si="45"/>
        <v>-134.4</v>
      </c>
      <c r="S90" s="202">
        <f t="shared" si="45"/>
        <v>-137.4</v>
      </c>
      <c r="T90" s="202">
        <f t="shared" si="45"/>
        <v>-140.4</v>
      </c>
      <c r="U90" s="203">
        <f t="shared" si="45"/>
        <v>-142.79999999999998</v>
      </c>
    </row>
    <row r="91" spans="2:24" ht="15.5" x14ac:dyDescent="0.35">
      <c r="B91" s="313" t="s">
        <v>303</v>
      </c>
      <c r="C91" s="202"/>
      <c r="D91" s="407">
        <f>-D90</f>
        <v>36.393216494845362</v>
      </c>
      <c r="E91" s="407">
        <f>-E90</f>
        <v>7.3086494845360823</v>
      </c>
      <c r="F91" s="407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3"/>
    </row>
    <row r="92" spans="2:24" ht="15.5" x14ac:dyDescent="0.35">
      <c r="B92" s="313" t="s">
        <v>191</v>
      </c>
      <c r="C92" s="202"/>
      <c r="D92" s="202">
        <f>N6</f>
        <v>1386</v>
      </c>
      <c r="E92" s="202">
        <f>O6</f>
        <v>2198.9423076923076</v>
      </c>
      <c r="F92" s="202">
        <f>P6</f>
        <v>1959.0576923076924</v>
      </c>
      <c r="G92" s="202">
        <v>0</v>
      </c>
      <c r="H92" s="202">
        <v>0</v>
      </c>
      <c r="I92" s="202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>
        <v>0</v>
      </c>
      <c r="T92" s="202">
        <v>0</v>
      </c>
      <c r="U92" s="203">
        <v>0</v>
      </c>
    </row>
    <row r="93" spans="2:24" ht="15.5" x14ac:dyDescent="0.35">
      <c r="B93" s="313" t="s">
        <v>255</v>
      </c>
      <c r="C93" s="202"/>
      <c r="D93" s="202">
        <v>0</v>
      </c>
      <c r="E93" s="202">
        <v>0</v>
      </c>
      <c r="F93" s="202">
        <v>0</v>
      </c>
      <c r="G93" s="202">
        <f t="shared" ref="G93:U93" si="46">G134</f>
        <v>-112.04345762814667</v>
      </c>
      <c r="H93" s="202">
        <f t="shared" si="46"/>
        <v>-105.77495180671256</v>
      </c>
      <c r="I93" s="202">
        <f t="shared" si="46"/>
        <v>-106.17903219668639</v>
      </c>
      <c r="J93" s="202">
        <f t="shared" si="46"/>
        <v>-101.48680749563781</v>
      </c>
      <c r="K93" s="202">
        <f t="shared" si="46"/>
        <v>-105.47779450667412</v>
      </c>
      <c r="L93" s="202">
        <f t="shared" si="46"/>
        <v>-106.00410027826167</v>
      </c>
      <c r="M93" s="202">
        <f t="shared" si="46"/>
        <v>-102.42538449816404</v>
      </c>
      <c r="N93" s="202">
        <f t="shared" si="46"/>
        <v>-106.01984337065136</v>
      </c>
      <c r="O93" s="202">
        <f t="shared" si="46"/>
        <v>-105.07913934744026</v>
      </c>
      <c r="P93" s="202">
        <f t="shared" si="46"/>
        <v>-86.813185225712004</v>
      </c>
      <c r="Q93" s="202">
        <f t="shared" si="46"/>
        <v>-102.38328258942964</v>
      </c>
      <c r="R93" s="202">
        <f t="shared" si="46"/>
        <v>-93.054913173878504</v>
      </c>
      <c r="S93" s="202">
        <f t="shared" si="46"/>
        <v>-109.05034015607225</v>
      </c>
      <c r="T93" s="202">
        <f t="shared" si="46"/>
        <v>-100.82100374911124</v>
      </c>
      <c r="U93" s="203">
        <f t="shared" si="46"/>
        <v>-98.813281029556506</v>
      </c>
    </row>
    <row r="94" spans="2:24" ht="15.5" x14ac:dyDescent="0.35">
      <c r="B94" s="7" t="s">
        <v>182</v>
      </c>
      <c r="C94" s="202"/>
      <c r="D94" s="307">
        <f>SUM(D86:D93)</f>
        <v>3460.7134020618555</v>
      </c>
      <c r="E94" s="307">
        <f t="shared" ref="E94:U94" si="47">SUM(E86:E93)</f>
        <v>5516.7691118160192</v>
      </c>
      <c r="F94" s="307">
        <f t="shared" si="47"/>
        <v>4651.5174861221258</v>
      </c>
      <c r="G94" s="307">
        <f t="shared" si="47"/>
        <v>-1132.4034576281465</v>
      </c>
      <c r="H94" s="307">
        <f t="shared" si="47"/>
        <v>-1935.8549518067125</v>
      </c>
      <c r="I94" s="307">
        <f t="shared" si="47"/>
        <v>-1817.1790321966864</v>
      </c>
      <c r="J94" s="307">
        <f t="shared" si="47"/>
        <v>-1704.0068074956378</v>
      </c>
      <c r="K94" s="307">
        <f t="shared" si="47"/>
        <v>-1608.9177945066742</v>
      </c>
      <c r="L94" s="307">
        <f t="shared" si="47"/>
        <v>-1490.3641002782617</v>
      </c>
      <c r="M94" s="307">
        <f t="shared" si="47"/>
        <v>-1378.3053844981641</v>
      </c>
      <c r="N94" s="307">
        <f t="shared" si="47"/>
        <v>-1273.4198433706515</v>
      </c>
      <c r="O94" s="307">
        <f t="shared" si="47"/>
        <v>-946.85913934744019</v>
      </c>
      <c r="P94" s="307">
        <f t="shared" si="47"/>
        <v>-196.413185225712</v>
      </c>
      <c r="Q94" s="307">
        <f t="shared" si="47"/>
        <v>-214.38328258942965</v>
      </c>
      <c r="R94" s="307">
        <f t="shared" si="47"/>
        <v>-207.45491317387851</v>
      </c>
      <c r="S94" s="307">
        <f t="shared" si="47"/>
        <v>-216.45034015607226</v>
      </c>
      <c r="T94" s="307">
        <f t="shared" si="47"/>
        <v>-221.22100374911125</v>
      </c>
      <c r="U94" s="308">
        <f t="shared" si="47"/>
        <v>-221.6132810295565</v>
      </c>
    </row>
    <row r="95" spans="2:24" ht="15.5" x14ac:dyDescent="0.35">
      <c r="B95" s="7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3"/>
    </row>
    <row r="96" spans="2:24" ht="15.5" x14ac:dyDescent="0.35">
      <c r="B96" s="7" t="s">
        <v>179</v>
      </c>
      <c r="C96" s="202"/>
      <c r="D96" s="186">
        <f>D83+D94</f>
        <v>0.71340206185550414</v>
      </c>
      <c r="E96" s="186">
        <f t="shared" ref="E96:U96" si="48">E83+E94</f>
        <v>-3.2308881839808237</v>
      </c>
      <c r="F96" s="186">
        <f t="shared" si="48"/>
        <v>81.517486122125774</v>
      </c>
      <c r="G96" s="186">
        <f t="shared" si="48"/>
        <v>582.18649287402468</v>
      </c>
      <c r="H96" s="186">
        <f t="shared" si="48"/>
        <v>953.18570193846472</v>
      </c>
      <c r="I96" s="186">
        <f t="shared" si="48"/>
        <v>999.22603945004812</v>
      </c>
      <c r="J96" s="186">
        <f t="shared" si="48"/>
        <v>1055.1122535790926</v>
      </c>
      <c r="K96" s="186">
        <f t="shared" si="48"/>
        <v>1091.219588385032</v>
      </c>
      <c r="L96" s="186">
        <f t="shared" si="48"/>
        <v>1137.5079627374755</v>
      </c>
      <c r="M96" s="186">
        <f t="shared" si="48"/>
        <v>1193.9232399348721</v>
      </c>
      <c r="N96" s="186">
        <f t="shared" si="48"/>
        <v>1219.7016739165733</v>
      </c>
      <c r="O96" s="186">
        <f t="shared" si="48"/>
        <v>1475.7955426940066</v>
      </c>
      <c r="P96" s="186">
        <f t="shared" si="48"/>
        <v>2165.6987154543335</v>
      </c>
      <c r="Q96" s="186">
        <f t="shared" si="48"/>
        <v>2080</v>
      </c>
      <c r="R96" s="186">
        <f t="shared" si="48"/>
        <v>2020</v>
      </c>
      <c r="S96" s="186">
        <f t="shared" si="48"/>
        <v>1950</v>
      </c>
      <c r="T96" s="186">
        <f t="shared" si="48"/>
        <v>1870</v>
      </c>
      <c r="U96" s="308">
        <f t="shared" si="48"/>
        <v>1800</v>
      </c>
    </row>
    <row r="97" spans="1:21" ht="15.5" x14ac:dyDescent="0.35">
      <c r="B97" s="7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8" spans="1:21" ht="15.5" x14ac:dyDescent="0.35">
      <c r="B98" s="7" t="s">
        <v>177</v>
      </c>
      <c r="C98" s="202"/>
      <c r="D98" s="307">
        <v>0</v>
      </c>
      <c r="E98" s="307">
        <f t="shared" ref="E98:U98" si="49">D99</f>
        <v>0.71340206185550414</v>
      </c>
      <c r="F98" s="307">
        <f t="shared" si="49"/>
        <v>-2.5174861221253195</v>
      </c>
      <c r="G98" s="307">
        <f t="shared" si="49"/>
        <v>79.000000000000455</v>
      </c>
      <c r="H98" s="307">
        <f t="shared" si="49"/>
        <v>661.18649287402513</v>
      </c>
      <c r="I98" s="307">
        <f t="shared" si="49"/>
        <v>1614.3721948124899</v>
      </c>
      <c r="J98" s="307">
        <f t="shared" si="49"/>
        <v>2613.598234262538</v>
      </c>
      <c r="K98" s="307">
        <f t="shared" si="49"/>
        <v>3668.7104878416303</v>
      </c>
      <c r="L98" s="307">
        <f t="shared" si="49"/>
        <v>4759.9300762266621</v>
      </c>
      <c r="M98" s="307">
        <f t="shared" si="49"/>
        <v>5897.4380389641374</v>
      </c>
      <c r="N98" s="307">
        <f t="shared" si="49"/>
        <v>7091.3612788990094</v>
      </c>
      <c r="O98" s="307">
        <f t="shared" si="49"/>
        <v>8311.0629528155823</v>
      </c>
      <c r="P98" s="307">
        <f t="shared" si="49"/>
        <v>9786.8584955095885</v>
      </c>
      <c r="Q98" s="307">
        <f t="shared" si="49"/>
        <v>11952.557210963922</v>
      </c>
      <c r="R98" s="307">
        <f t="shared" si="49"/>
        <v>14032.557210963922</v>
      </c>
      <c r="S98" s="307">
        <f t="shared" si="49"/>
        <v>16052.557210963922</v>
      </c>
      <c r="T98" s="307">
        <f t="shared" si="49"/>
        <v>18002.557210963922</v>
      </c>
      <c r="U98" s="308">
        <f t="shared" si="49"/>
        <v>19872.557210963922</v>
      </c>
    </row>
    <row r="99" spans="1:21" ht="15.5" x14ac:dyDescent="0.35">
      <c r="B99" s="7" t="s">
        <v>178</v>
      </c>
      <c r="C99" s="202"/>
      <c r="D99" s="307">
        <f t="shared" ref="D99:U99" si="50">D96+D98</f>
        <v>0.71340206185550414</v>
      </c>
      <c r="E99" s="307">
        <f t="shared" si="50"/>
        <v>-2.5174861221253195</v>
      </c>
      <c r="F99" s="307">
        <f t="shared" si="50"/>
        <v>79.000000000000455</v>
      </c>
      <c r="G99" s="307">
        <f t="shared" si="50"/>
        <v>661.18649287402513</v>
      </c>
      <c r="H99" s="307">
        <f t="shared" si="50"/>
        <v>1614.3721948124899</v>
      </c>
      <c r="I99" s="307">
        <f t="shared" si="50"/>
        <v>2613.598234262538</v>
      </c>
      <c r="J99" s="307">
        <f t="shared" si="50"/>
        <v>3668.7104878416303</v>
      </c>
      <c r="K99" s="307">
        <f t="shared" si="50"/>
        <v>4759.9300762266621</v>
      </c>
      <c r="L99" s="307">
        <f t="shared" si="50"/>
        <v>5897.4380389641374</v>
      </c>
      <c r="M99" s="307">
        <f t="shared" si="50"/>
        <v>7091.3612788990094</v>
      </c>
      <c r="N99" s="307">
        <f t="shared" si="50"/>
        <v>8311.0629528155823</v>
      </c>
      <c r="O99" s="307">
        <f t="shared" si="50"/>
        <v>9786.8584955095885</v>
      </c>
      <c r="P99" s="307">
        <f t="shared" si="50"/>
        <v>11952.557210963922</v>
      </c>
      <c r="Q99" s="307">
        <f t="shared" si="50"/>
        <v>14032.557210963922</v>
      </c>
      <c r="R99" s="307">
        <f t="shared" si="50"/>
        <v>16052.557210963922</v>
      </c>
      <c r="S99" s="307">
        <f t="shared" si="50"/>
        <v>18002.557210963922</v>
      </c>
      <c r="T99" s="307">
        <f t="shared" si="50"/>
        <v>19872.557210963922</v>
      </c>
      <c r="U99" s="308">
        <f t="shared" si="50"/>
        <v>21672.557210963922</v>
      </c>
    </row>
    <row r="100" spans="1:21" x14ac:dyDescent="0.35">
      <c r="A100" s="332"/>
      <c r="B100" s="329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</row>
    <row r="101" spans="1:21" x14ac:dyDescent="0.35">
      <c r="B101" s="15"/>
      <c r="C101" s="16"/>
      <c r="D101" s="17"/>
      <c r="E101" s="17"/>
      <c r="F101" s="17"/>
      <c r="G101" s="13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5.5" x14ac:dyDescent="0.35">
      <c r="B102" s="315" t="s">
        <v>193</v>
      </c>
      <c r="C102" s="414">
        <v>2009</v>
      </c>
      <c r="D102" s="414">
        <v>2010</v>
      </c>
      <c r="E102" s="414">
        <v>2011</v>
      </c>
      <c r="F102" s="414">
        <v>2012</v>
      </c>
      <c r="G102" s="414">
        <v>2013</v>
      </c>
      <c r="H102" s="414">
        <v>2014</v>
      </c>
      <c r="I102" s="414">
        <v>2015</v>
      </c>
      <c r="J102" s="414">
        <v>2016</v>
      </c>
      <c r="K102" s="414">
        <v>2017</v>
      </c>
      <c r="L102" s="414">
        <v>2018</v>
      </c>
      <c r="M102" s="414">
        <v>2019</v>
      </c>
      <c r="N102" s="414">
        <v>2020</v>
      </c>
      <c r="O102" s="414">
        <v>2021</v>
      </c>
      <c r="P102" s="414">
        <v>2022</v>
      </c>
      <c r="Q102" s="414">
        <v>2023</v>
      </c>
      <c r="R102" s="414">
        <v>2024</v>
      </c>
      <c r="S102" s="414">
        <v>2025</v>
      </c>
      <c r="T102" s="414">
        <v>2026</v>
      </c>
      <c r="U102" s="414">
        <v>2027</v>
      </c>
    </row>
    <row r="103" spans="1:21" ht="6.25" customHeight="1" x14ac:dyDescent="0.35">
      <c r="B103" s="315"/>
      <c r="C103" s="16"/>
      <c r="D103" s="17"/>
      <c r="E103" s="17"/>
      <c r="F103" s="17"/>
    </row>
    <row r="104" spans="1:21" x14ac:dyDescent="0.35">
      <c r="B104" s="314" t="s">
        <v>232</v>
      </c>
      <c r="C104" s="16"/>
      <c r="D104" s="17"/>
      <c r="E104" s="17"/>
      <c r="F104" s="17"/>
      <c r="G104" s="13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35">
      <c r="B105" s="316" t="s">
        <v>57</v>
      </c>
      <c r="C105" s="317"/>
      <c r="D105" s="319">
        <v>0</v>
      </c>
      <c r="E105" s="319">
        <v>0</v>
      </c>
      <c r="F105" s="319">
        <v>0</v>
      </c>
      <c r="G105" s="319">
        <f t="shared" ref="G105:U105" si="51">G21*G106</f>
        <v>1240</v>
      </c>
      <c r="H105" s="319">
        <f t="shared" si="51"/>
        <v>1250</v>
      </c>
      <c r="I105" s="319">
        <f t="shared" si="51"/>
        <v>1280</v>
      </c>
      <c r="J105" s="319">
        <f t="shared" si="51"/>
        <v>1300</v>
      </c>
      <c r="K105" s="319">
        <f t="shared" si="51"/>
        <v>1320</v>
      </c>
      <c r="L105" s="319">
        <f t="shared" si="51"/>
        <v>1350</v>
      </c>
      <c r="M105" s="319">
        <f t="shared" si="51"/>
        <v>1370</v>
      </c>
      <c r="N105" s="319">
        <f t="shared" si="51"/>
        <v>1400</v>
      </c>
      <c r="O105" s="319">
        <f t="shared" si="51"/>
        <v>1430</v>
      </c>
      <c r="P105" s="319">
        <f t="shared" si="51"/>
        <v>1450</v>
      </c>
      <c r="Q105" s="319">
        <f t="shared" si="51"/>
        <v>1480</v>
      </c>
      <c r="R105" s="319">
        <f t="shared" si="51"/>
        <v>1510</v>
      </c>
      <c r="S105" s="319">
        <f t="shared" si="51"/>
        <v>1540</v>
      </c>
      <c r="T105" s="319">
        <f t="shared" si="51"/>
        <v>1570</v>
      </c>
      <c r="U105" s="319">
        <f t="shared" si="51"/>
        <v>1600</v>
      </c>
    </row>
    <row r="106" spans="1:21" x14ac:dyDescent="0.35">
      <c r="B106" s="316" t="s">
        <v>192</v>
      </c>
      <c r="C106" s="317"/>
      <c r="D106" s="324"/>
      <c r="E106" s="324"/>
      <c r="F106" s="324"/>
      <c r="G106" s="325">
        <v>0.1848472922853088</v>
      </c>
      <c r="H106" s="325">
        <v>0.18449306559935805</v>
      </c>
      <c r="I106" s="325">
        <v>0.18705039522152736</v>
      </c>
      <c r="J106" s="325">
        <v>0.18809213628402349</v>
      </c>
      <c r="K106" s="325">
        <v>0.18909491233428105</v>
      </c>
      <c r="L106" s="325">
        <v>0.19147774651311086</v>
      </c>
      <c r="M106" s="325">
        <v>0.19239054838501055</v>
      </c>
      <c r="N106" s="325">
        <v>0.19465691099155508</v>
      </c>
      <c r="O106" s="325">
        <v>0.19685953516119076</v>
      </c>
      <c r="P106" s="325">
        <v>0.1976364508645895</v>
      </c>
      <c r="Q106" s="325">
        <v>0.19972819889354212</v>
      </c>
      <c r="R106" s="325">
        <v>0.20175915194624608</v>
      </c>
      <c r="S106" s="325">
        <v>0.2037303088303842</v>
      </c>
      <c r="T106" s="325">
        <v>0.20564265453497699</v>
      </c>
      <c r="U106" s="325">
        <v>0.20749716040610655</v>
      </c>
    </row>
    <row r="107" spans="1:21" x14ac:dyDescent="0.35">
      <c r="B107" s="316"/>
      <c r="C107" s="317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</row>
    <row r="108" spans="1:21" x14ac:dyDescent="0.35">
      <c r="B108" s="314" t="s">
        <v>294</v>
      </c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</row>
    <row r="109" spans="1:21" x14ac:dyDescent="0.35">
      <c r="B109" s="316" t="s">
        <v>295</v>
      </c>
      <c r="C109" s="317"/>
      <c r="D109" s="321">
        <v>0</v>
      </c>
      <c r="E109" s="321">
        <f>D112</f>
        <v>2074.7134020618555</v>
      </c>
      <c r="F109" s="321">
        <f>E112</f>
        <v>5392.5402061855675</v>
      </c>
      <c r="G109" s="321">
        <f t="shared" ref="G109:U109" si="52">F112</f>
        <v>8085</v>
      </c>
      <c r="H109" s="321">
        <f t="shared" si="52"/>
        <v>7161</v>
      </c>
      <c r="I109" s="321">
        <f t="shared" si="52"/>
        <v>6237</v>
      </c>
      <c r="J109" s="321">
        <f t="shared" si="52"/>
        <v>5313</v>
      </c>
      <c r="K109" s="321">
        <f t="shared" si="52"/>
        <v>4389</v>
      </c>
      <c r="L109" s="321">
        <f t="shared" si="52"/>
        <v>3465</v>
      </c>
      <c r="M109" s="321">
        <f t="shared" si="52"/>
        <v>2541</v>
      </c>
      <c r="N109" s="321">
        <f t="shared" si="52"/>
        <v>1617</v>
      </c>
      <c r="O109" s="321">
        <f t="shared" si="52"/>
        <v>693</v>
      </c>
      <c r="P109" s="321">
        <f t="shared" si="52"/>
        <v>0</v>
      </c>
      <c r="Q109" s="321">
        <f t="shared" si="52"/>
        <v>0</v>
      </c>
      <c r="R109" s="321">
        <f t="shared" si="52"/>
        <v>0</v>
      </c>
      <c r="S109" s="321">
        <f t="shared" si="52"/>
        <v>0</v>
      </c>
      <c r="T109" s="321">
        <f t="shared" si="52"/>
        <v>0</v>
      </c>
      <c r="U109" s="321">
        <f t="shared" si="52"/>
        <v>0</v>
      </c>
    </row>
    <row r="110" spans="1:21" x14ac:dyDescent="0.35">
      <c r="B110" s="316" t="s">
        <v>296</v>
      </c>
      <c r="D110" s="321">
        <f>N4</f>
        <v>2074.7134020618555</v>
      </c>
      <c r="E110" s="321">
        <f>O4</f>
        <v>3317.8268041237116</v>
      </c>
      <c r="F110" s="321">
        <f>P4</f>
        <v>2923.4597938144329</v>
      </c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</row>
    <row r="111" spans="1:21" x14ac:dyDescent="0.35">
      <c r="B111" s="316" t="s">
        <v>297</v>
      </c>
      <c r="C111" s="317"/>
      <c r="D111" s="321">
        <v>0</v>
      </c>
      <c r="E111" s="321">
        <v>0</v>
      </c>
      <c r="F111" s="321">
        <f t="shared" ref="F111:U111" si="53">F87</f>
        <v>-231</v>
      </c>
      <c r="G111" s="321">
        <f t="shared" si="53"/>
        <v>-924</v>
      </c>
      <c r="H111" s="321">
        <f t="shared" si="53"/>
        <v>-924</v>
      </c>
      <c r="I111" s="321">
        <f t="shared" si="53"/>
        <v>-924</v>
      </c>
      <c r="J111" s="321">
        <f t="shared" si="53"/>
        <v>-924</v>
      </c>
      <c r="K111" s="321">
        <f t="shared" si="53"/>
        <v>-924</v>
      </c>
      <c r="L111" s="321">
        <f t="shared" si="53"/>
        <v>-924</v>
      </c>
      <c r="M111" s="321">
        <f t="shared" si="53"/>
        <v>-924</v>
      </c>
      <c r="N111" s="321">
        <f t="shared" si="53"/>
        <v>-924</v>
      </c>
      <c r="O111" s="321">
        <f t="shared" si="53"/>
        <v>-693</v>
      </c>
      <c r="P111" s="321">
        <f t="shared" si="53"/>
        <v>0</v>
      </c>
      <c r="Q111" s="321">
        <f t="shared" si="53"/>
        <v>0</v>
      </c>
      <c r="R111" s="321">
        <f t="shared" si="53"/>
        <v>0</v>
      </c>
      <c r="S111" s="321">
        <f t="shared" si="53"/>
        <v>0</v>
      </c>
      <c r="T111" s="321">
        <f t="shared" si="53"/>
        <v>0</v>
      </c>
      <c r="U111" s="321">
        <f t="shared" si="53"/>
        <v>0</v>
      </c>
    </row>
    <row r="112" spans="1:21" x14ac:dyDescent="0.35">
      <c r="B112" s="316" t="s">
        <v>298</v>
      </c>
      <c r="C112" s="317"/>
      <c r="D112" s="321">
        <f>D109+D110+D111</f>
        <v>2074.7134020618555</v>
      </c>
      <c r="E112" s="321">
        <f>E109+E110+E111</f>
        <v>5392.5402061855675</v>
      </c>
      <c r="F112" s="321">
        <f>F109+F110+F111</f>
        <v>8085</v>
      </c>
      <c r="G112" s="321">
        <f t="shared" ref="G112:U112" si="54">G109+G110+G111</f>
        <v>7161</v>
      </c>
      <c r="H112" s="321">
        <f t="shared" si="54"/>
        <v>6237</v>
      </c>
      <c r="I112" s="321">
        <f t="shared" si="54"/>
        <v>5313</v>
      </c>
      <c r="J112" s="321">
        <f t="shared" si="54"/>
        <v>4389</v>
      </c>
      <c r="K112" s="321">
        <f t="shared" si="54"/>
        <v>3465</v>
      </c>
      <c r="L112" s="321">
        <f t="shared" si="54"/>
        <v>2541</v>
      </c>
      <c r="M112" s="321">
        <f t="shared" si="54"/>
        <v>1617</v>
      </c>
      <c r="N112" s="321">
        <f t="shared" si="54"/>
        <v>693</v>
      </c>
      <c r="O112" s="321">
        <f t="shared" si="54"/>
        <v>0</v>
      </c>
      <c r="P112" s="321">
        <f t="shared" si="54"/>
        <v>0</v>
      </c>
      <c r="Q112" s="321">
        <f t="shared" si="54"/>
        <v>0</v>
      </c>
      <c r="R112" s="321">
        <f t="shared" si="54"/>
        <v>0</v>
      </c>
      <c r="S112" s="321">
        <f t="shared" si="54"/>
        <v>0</v>
      </c>
      <c r="T112" s="321">
        <f t="shared" si="54"/>
        <v>0</v>
      </c>
      <c r="U112" s="321">
        <f t="shared" si="54"/>
        <v>0</v>
      </c>
    </row>
    <row r="113" spans="2:21" x14ac:dyDescent="0.35">
      <c r="B113" s="329" t="s">
        <v>185</v>
      </c>
      <c r="C113" s="317"/>
      <c r="D113" s="440">
        <f>D59-D112</f>
        <v>0</v>
      </c>
      <c r="E113" s="440">
        <f t="shared" ref="E113:U113" si="55">E59-E112</f>
        <v>0</v>
      </c>
      <c r="F113" s="440">
        <f t="shared" si="55"/>
        <v>0</v>
      </c>
      <c r="G113" s="440">
        <f t="shared" si="55"/>
        <v>0</v>
      </c>
      <c r="H113" s="440">
        <f t="shared" si="55"/>
        <v>0</v>
      </c>
      <c r="I113" s="440">
        <f t="shared" si="55"/>
        <v>0</v>
      </c>
      <c r="J113" s="440">
        <f t="shared" si="55"/>
        <v>0</v>
      </c>
      <c r="K113" s="440">
        <f t="shared" si="55"/>
        <v>0</v>
      </c>
      <c r="L113" s="440">
        <f t="shared" si="55"/>
        <v>0</v>
      </c>
      <c r="M113" s="440">
        <f t="shared" si="55"/>
        <v>0</v>
      </c>
      <c r="N113" s="440">
        <f t="shared" si="55"/>
        <v>0</v>
      </c>
      <c r="O113" s="440">
        <f t="shared" si="55"/>
        <v>0</v>
      </c>
      <c r="P113" s="440">
        <f t="shared" si="55"/>
        <v>0</v>
      </c>
      <c r="Q113" s="440">
        <f t="shared" si="55"/>
        <v>0</v>
      </c>
      <c r="R113" s="440">
        <f t="shared" si="55"/>
        <v>0</v>
      </c>
      <c r="S113" s="440">
        <f t="shared" si="55"/>
        <v>0</v>
      </c>
      <c r="T113" s="440">
        <f t="shared" si="55"/>
        <v>0</v>
      </c>
      <c r="U113" s="440">
        <f t="shared" si="55"/>
        <v>0</v>
      </c>
    </row>
    <row r="114" spans="2:21" x14ac:dyDescent="0.35">
      <c r="B114" s="316"/>
      <c r="C114" s="317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</row>
    <row r="115" spans="2:21" x14ac:dyDescent="0.35">
      <c r="B115" s="316" t="s">
        <v>300</v>
      </c>
      <c r="C115" s="430">
        <v>2.5000000000000001E-3</v>
      </c>
      <c r="D115" s="321">
        <f>(D110+E110+F110)*C115</f>
        <v>20.79</v>
      </c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</row>
    <row r="116" spans="2:21" ht="15" thickBot="1" x14ac:dyDescent="0.4">
      <c r="B116" s="316" t="s">
        <v>299</v>
      </c>
      <c r="C116" s="430">
        <v>2.5000000000000001E-3</v>
      </c>
      <c r="D116" s="442">
        <f>(E110+F110)*C116</f>
        <v>15.603216494845361</v>
      </c>
      <c r="E116" s="442">
        <f>F110*C116</f>
        <v>7.3086494845360823</v>
      </c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</row>
    <row r="117" spans="2:21" ht="15" thickTop="1" x14ac:dyDescent="0.35">
      <c r="B117" s="316" t="s">
        <v>301</v>
      </c>
      <c r="C117" s="317"/>
      <c r="D117" s="321">
        <f>D115+D116</f>
        <v>36.393216494845362</v>
      </c>
      <c r="E117" s="321">
        <f>E115+E116</f>
        <v>7.3086494845360823</v>
      </c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</row>
    <row r="118" spans="2:21" x14ac:dyDescent="0.35">
      <c r="B118" s="316"/>
      <c r="C118" s="317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</row>
    <row r="119" spans="2:21" x14ac:dyDescent="0.35">
      <c r="B119" s="314" t="s">
        <v>274</v>
      </c>
      <c r="C119" s="16"/>
      <c r="D119" s="17"/>
      <c r="E119" s="17"/>
      <c r="F119" s="17"/>
      <c r="G119" s="13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2:21" x14ac:dyDescent="0.35">
      <c r="B120" s="316" t="s">
        <v>275</v>
      </c>
      <c r="C120" s="317"/>
      <c r="D120" s="319">
        <v>0</v>
      </c>
      <c r="E120" s="319">
        <v>0</v>
      </c>
      <c r="F120" s="319">
        <v>0</v>
      </c>
      <c r="G120" s="319">
        <v>0</v>
      </c>
      <c r="H120" s="319">
        <f>G124</f>
        <v>930</v>
      </c>
      <c r="I120" s="319">
        <f t="shared" ref="I120:U120" si="56">H124</f>
        <v>940</v>
      </c>
      <c r="J120" s="319">
        <f t="shared" si="56"/>
        <v>960</v>
      </c>
      <c r="K120" s="319">
        <f t="shared" si="56"/>
        <v>980</v>
      </c>
      <c r="L120" s="319">
        <f t="shared" si="56"/>
        <v>990</v>
      </c>
      <c r="M120" s="319">
        <f t="shared" si="56"/>
        <v>1010</v>
      </c>
      <c r="N120" s="319">
        <f t="shared" si="56"/>
        <v>1030</v>
      </c>
      <c r="O120" s="319">
        <f t="shared" si="56"/>
        <v>1050</v>
      </c>
      <c r="P120" s="319">
        <f t="shared" si="56"/>
        <v>1070</v>
      </c>
      <c r="Q120" s="319">
        <f t="shared" si="56"/>
        <v>1090</v>
      </c>
      <c r="R120" s="319">
        <f t="shared" si="56"/>
        <v>1110</v>
      </c>
      <c r="S120" s="319">
        <f t="shared" si="56"/>
        <v>1130</v>
      </c>
      <c r="T120" s="319">
        <f t="shared" si="56"/>
        <v>1160</v>
      </c>
      <c r="U120" s="319">
        <f t="shared" si="56"/>
        <v>1180</v>
      </c>
    </row>
    <row r="121" spans="2:21" x14ac:dyDescent="0.35">
      <c r="B121" s="316" t="s">
        <v>276</v>
      </c>
      <c r="C121" s="317"/>
      <c r="D121" s="319">
        <v>0</v>
      </c>
      <c r="E121" s="319">
        <v>0</v>
      </c>
      <c r="F121" s="319">
        <v>0</v>
      </c>
      <c r="G121" s="319">
        <f t="shared" ref="G121:U121" si="57">(G105-F105)*G122</f>
        <v>930</v>
      </c>
      <c r="H121" s="319">
        <f t="shared" si="57"/>
        <v>10</v>
      </c>
      <c r="I121" s="319">
        <f t="shared" si="57"/>
        <v>20</v>
      </c>
      <c r="J121" s="319">
        <f t="shared" si="57"/>
        <v>20</v>
      </c>
      <c r="K121" s="319">
        <f t="shared" si="57"/>
        <v>10</v>
      </c>
      <c r="L121" s="319">
        <f t="shared" si="57"/>
        <v>20</v>
      </c>
      <c r="M121" s="319">
        <f t="shared" si="57"/>
        <v>20</v>
      </c>
      <c r="N121" s="319">
        <f t="shared" si="57"/>
        <v>20</v>
      </c>
      <c r="O121" s="319">
        <f t="shared" si="57"/>
        <v>20</v>
      </c>
      <c r="P121" s="319">
        <f t="shared" si="57"/>
        <v>20</v>
      </c>
      <c r="Q121" s="319">
        <f t="shared" si="57"/>
        <v>20</v>
      </c>
      <c r="R121" s="319">
        <f t="shared" si="57"/>
        <v>20</v>
      </c>
      <c r="S121" s="319">
        <f t="shared" si="57"/>
        <v>30</v>
      </c>
      <c r="T121" s="319">
        <f t="shared" si="57"/>
        <v>20</v>
      </c>
      <c r="U121" s="319">
        <f t="shared" si="57"/>
        <v>20</v>
      </c>
    </row>
    <row r="122" spans="2:21" x14ac:dyDescent="0.35">
      <c r="B122" s="316" t="s">
        <v>278</v>
      </c>
      <c r="C122" s="317"/>
      <c r="D122" s="324"/>
      <c r="E122" s="324"/>
      <c r="F122" s="324"/>
      <c r="G122" s="325">
        <v>0.75</v>
      </c>
      <c r="H122" s="325">
        <v>1</v>
      </c>
      <c r="I122" s="325">
        <v>0.66666666666666663</v>
      </c>
      <c r="J122" s="325">
        <v>1</v>
      </c>
      <c r="K122" s="325">
        <v>0.5</v>
      </c>
      <c r="L122" s="325">
        <v>0.66666666666666663</v>
      </c>
      <c r="M122" s="325">
        <v>1</v>
      </c>
      <c r="N122" s="325">
        <v>0.66666666666666663</v>
      </c>
      <c r="O122" s="325">
        <v>0.66666666666666663</v>
      </c>
      <c r="P122" s="325">
        <v>1</v>
      </c>
      <c r="Q122" s="325">
        <v>0.66666666666666663</v>
      </c>
      <c r="R122" s="325">
        <v>0.66666666666666663</v>
      </c>
      <c r="S122" s="325">
        <v>1</v>
      </c>
      <c r="T122" s="325">
        <v>0.66666666666666663</v>
      </c>
      <c r="U122" s="325">
        <v>0.66666666666666663</v>
      </c>
    </row>
    <row r="123" spans="2:21" x14ac:dyDescent="0.35">
      <c r="B123" s="316" t="s">
        <v>240</v>
      </c>
      <c r="C123" s="317"/>
      <c r="D123" s="324"/>
      <c r="E123" s="324"/>
      <c r="F123" s="324"/>
      <c r="G123" s="415">
        <v>0</v>
      </c>
      <c r="H123" s="415">
        <v>0</v>
      </c>
      <c r="I123" s="415">
        <v>0</v>
      </c>
      <c r="J123" s="415">
        <v>0</v>
      </c>
      <c r="K123" s="415">
        <v>0</v>
      </c>
      <c r="L123" s="415">
        <v>0</v>
      </c>
      <c r="M123" s="415">
        <v>0</v>
      </c>
      <c r="N123" s="415">
        <v>0</v>
      </c>
      <c r="O123" s="415">
        <v>0</v>
      </c>
      <c r="P123" s="415">
        <v>0</v>
      </c>
      <c r="Q123" s="415">
        <v>0</v>
      </c>
      <c r="R123" s="415">
        <v>0</v>
      </c>
      <c r="S123" s="415">
        <v>0</v>
      </c>
      <c r="T123" s="415">
        <v>0</v>
      </c>
      <c r="U123" s="415">
        <v>0</v>
      </c>
    </row>
    <row r="124" spans="2:21" x14ac:dyDescent="0.35">
      <c r="B124" s="316" t="s">
        <v>277</v>
      </c>
      <c r="C124" s="317"/>
      <c r="D124" s="324"/>
      <c r="E124" s="324"/>
      <c r="F124" s="324"/>
      <c r="G124" s="416">
        <f>G120+G121+G123</f>
        <v>930</v>
      </c>
      <c r="H124" s="416">
        <f t="shared" ref="H124:U124" si="58">H120+H121+H123</f>
        <v>940</v>
      </c>
      <c r="I124" s="416">
        <f t="shared" si="58"/>
        <v>960</v>
      </c>
      <c r="J124" s="416">
        <f t="shared" si="58"/>
        <v>980</v>
      </c>
      <c r="K124" s="416">
        <f t="shared" si="58"/>
        <v>990</v>
      </c>
      <c r="L124" s="416">
        <f t="shared" si="58"/>
        <v>1010</v>
      </c>
      <c r="M124" s="416">
        <f t="shared" si="58"/>
        <v>1030</v>
      </c>
      <c r="N124" s="416">
        <f t="shared" si="58"/>
        <v>1050</v>
      </c>
      <c r="O124" s="416">
        <f t="shared" si="58"/>
        <v>1070</v>
      </c>
      <c r="P124" s="416">
        <f t="shared" si="58"/>
        <v>1090</v>
      </c>
      <c r="Q124" s="416">
        <f t="shared" si="58"/>
        <v>1110</v>
      </c>
      <c r="R124" s="416">
        <f t="shared" si="58"/>
        <v>1130</v>
      </c>
      <c r="S124" s="416">
        <f t="shared" si="58"/>
        <v>1160</v>
      </c>
      <c r="T124" s="416">
        <f t="shared" si="58"/>
        <v>1180</v>
      </c>
      <c r="U124" s="416">
        <f t="shared" si="58"/>
        <v>1200</v>
      </c>
    </row>
    <row r="125" spans="2:21" x14ac:dyDescent="0.35">
      <c r="B125" s="316"/>
      <c r="C125" s="317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</row>
    <row r="126" spans="2:21" x14ac:dyDescent="0.35">
      <c r="B126" s="314" t="s">
        <v>233</v>
      </c>
      <c r="C126" s="317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</row>
    <row r="127" spans="2:21" x14ac:dyDescent="0.35">
      <c r="B127" s="316" t="s">
        <v>195</v>
      </c>
      <c r="C127" s="317"/>
      <c r="D127" s="320">
        <f>D33</f>
        <v>0</v>
      </c>
      <c r="E127" s="320">
        <f>E33</f>
        <v>0</v>
      </c>
      <c r="F127" s="320">
        <f t="shared" ref="F127:U127" si="59">F31*F128</f>
        <v>0</v>
      </c>
      <c r="G127" s="320">
        <f t="shared" si="59"/>
        <v>234.26525626268554</v>
      </c>
      <c r="H127" s="320">
        <f t="shared" si="59"/>
        <v>246.47940922262501</v>
      </c>
      <c r="I127" s="320">
        <f t="shared" si="59"/>
        <v>252.94470521010143</v>
      </c>
      <c r="J127" s="320">
        <f t="shared" si="59"/>
        <v>271.11907900781057</v>
      </c>
      <c r="K127" s="320">
        <f t="shared" si="59"/>
        <v>277.93793148451078</v>
      </c>
      <c r="L127" s="320">
        <f t="shared" si="59"/>
        <v>284.87564591475871</v>
      </c>
      <c r="M127" s="320">
        <f t="shared" si="59"/>
        <v>291.90922915971083</v>
      </c>
      <c r="N127" s="320">
        <f t="shared" si="59"/>
        <v>299.00275043850638</v>
      </c>
      <c r="O127" s="320">
        <f t="shared" si="59"/>
        <v>303.92664254330504</v>
      </c>
      <c r="P127" s="320">
        <f t="shared" si="59"/>
        <v>305.26721037523919</v>
      </c>
      <c r="Q127" s="320">
        <f t="shared" si="59"/>
        <v>290</v>
      </c>
      <c r="R127" s="320">
        <f t="shared" si="59"/>
        <v>280</v>
      </c>
      <c r="S127" s="320">
        <f t="shared" si="59"/>
        <v>260</v>
      </c>
      <c r="T127" s="320">
        <f t="shared" si="59"/>
        <v>250.00000000000003</v>
      </c>
      <c r="U127" s="320">
        <f t="shared" si="59"/>
        <v>230</v>
      </c>
    </row>
    <row r="128" spans="2:21" x14ac:dyDescent="0.35">
      <c r="B128" s="316" t="s">
        <v>194</v>
      </c>
      <c r="C128" s="317"/>
      <c r="D128" s="326">
        <v>0</v>
      </c>
      <c r="E128" s="326">
        <v>0</v>
      </c>
      <c r="F128" s="328">
        <f>G128</f>
        <v>0.15802091986112105</v>
      </c>
      <c r="G128" s="328">
        <v>0.15802091986112105</v>
      </c>
      <c r="H128" s="328">
        <v>0.15907644000795851</v>
      </c>
      <c r="I128" s="328">
        <v>0.15687954861953068</v>
      </c>
      <c r="J128" s="328">
        <v>0.16217989893584819</v>
      </c>
      <c r="K128" s="328">
        <v>0.16078459648084042</v>
      </c>
      <c r="L128" s="328">
        <v>0.1598281027676608</v>
      </c>
      <c r="M128" s="328">
        <v>0.15931667509970082</v>
      </c>
      <c r="N128" s="328">
        <v>0.15915201372283375</v>
      </c>
      <c r="O128" s="328">
        <v>0.15930728143794376</v>
      </c>
      <c r="P128" s="328">
        <v>0.16256822145799854</v>
      </c>
      <c r="Q128" s="328">
        <v>0.16089807467774875</v>
      </c>
      <c r="R128" s="328">
        <v>0.16250207573723705</v>
      </c>
      <c r="S128" s="328">
        <v>0.15862844089049913</v>
      </c>
      <c r="T128" s="328">
        <v>0.16120493557646226</v>
      </c>
      <c r="U128" s="328">
        <v>0.15766239791680375</v>
      </c>
    </row>
    <row r="129" spans="2:21" s="34" customFormat="1" x14ac:dyDescent="0.35">
      <c r="N129" s="327"/>
      <c r="O129" s="327"/>
      <c r="P129" s="327"/>
      <c r="Q129" s="327"/>
      <c r="R129" s="327"/>
      <c r="S129" s="327"/>
      <c r="T129" s="327"/>
      <c r="U129" s="327"/>
    </row>
    <row r="130" spans="2:21" s="34" customFormat="1" x14ac:dyDescent="0.35">
      <c r="B130" s="361" t="s">
        <v>234</v>
      </c>
      <c r="N130" s="327"/>
      <c r="O130" s="327"/>
      <c r="P130" s="327"/>
      <c r="Q130" s="327"/>
      <c r="R130" s="327"/>
      <c r="S130" s="327"/>
      <c r="T130" s="327"/>
      <c r="U130" s="327"/>
    </row>
    <row r="131" spans="2:21" s="34" customFormat="1" x14ac:dyDescent="0.35">
      <c r="B131" s="335" t="s">
        <v>198</v>
      </c>
      <c r="D131" s="277">
        <f t="shared" ref="D131:U131" si="60">C136</f>
        <v>0</v>
      </c>
      <c r="E131" s="277">
        <f t="shared" si="60"/>
        <v>-36.393216494845362</v>
      </c>
      <c r="F131" s="277">
        <f t="shared" si="60"/>
        <v>-43.701865979381445</v>
      </c>
      <c r="G131" s="277">
        <f t="shared" si="60"/>
        <v>-43.701865979381445</v>
      </c>
      <c r="H131" s="277">
        <f t="shared" si="60"/>
        <v>1092.4846268946433</v>
      </c>
      <c r="I131" s="277">
        <f t="shared" si="60"/>
        <v>2289.6703288331078</v>
      </c>
      <c r="J131" s="277">
        <f t="shared" si="60"/>
        <v>3542.8963682831559</v>
      </c>
      <c r="K131" s="277">
        <f t="shared" si="60"/>
        <v>4842.0086218622482</v>
      </c>
      <c r="L131" s="277">
        <f t="shared" si="60"/>
        <v>6187.22821024728</v>
      </c>
      <c r="M131" s="277">
        <f t="shared" si="60"/>
        <v>7578.7361729847553</v>
      </c>
      <c r="N131" s="277">
        <f t="shared" si="60"/>
        <v>9016.6594129196274</v>
      </c>
      <c r="O131" s="277">
        <f t="shared" si="60"/>
        <v>10500.361086836201</v>
      </c>
      <c r="P131" s="277">
        <f t="shared" si="60"/>
        <v>12039.156629530207</v>
      </c>
      <c r="Q131" s="277">
        <f t="shared" si="60"/>
        <v>13594.85534498454</v>
      </c>
      <c r="R131" s="277">
        <f t="shared" si="60"/>
        <v>15094.85534498454</v>
      </c>
      <c r="S131" s="277">
        <f t="shared" si="60"/>
        <v>16554.855344984542</v>
      </c>
      <c r="T131" s="277">
        <f t="shared" si="60"/>
        <v>17954.855344984542</v>
      </c>
      <c r="U131" s="277">
        <f t="shared" si="60"/>
        <v>19294.855344984542</v>
      </c>
    </row>
    <row r="132" spans="2:21" s="34" customFormat="1" x14ac:dyDescent="0.35">
      <c r="B132" s="34" t="s">
        <v>87</v>
      </c>
      <c r="F132" s="277">
        <f t="shared" ref="F132:U132" si="61">F35</f>
        <v>0</v>
      </c>
      <c r="G132" s="277">
        <f t="shared" si="61"/>
        <v>1248.2299505021713</v>
      </c>
      <c r="H132" s="277">
        <f t="shared" si="61"/>
        <v>1302.9606537451771</v>
      </c>
      <c r="I132" s="277">
        <f t="shared" si="61"/>
        <v>1359.4050716467345</v>
      </c>
      <c r="J132" s="277">
        <f t="shared" si="61"/>
        <v>1400.5990610747301</v>
      </c>
      <c r="K132" s="277">
        <f t="shared" si="61"/>
        <v>1450.6973828917064</v>
      </c>
      <c r="L132" s="277">
        <f t="shared" si="61"/>
        <v>1497.5120630157369</v>
      </c>
      <c r="M132" s="277">
        <f t="shared" si="61"/>
        <v>1540.3486244330361</v>
      </c>
      <c r="N132" s="277">
        <f t="shared" si="61"/>
        <v>1589.721517287225</v>
      </c>
      <c r="O132" s="277">
        <f t="shared" si="61"/>
        <v>1643.8746820414474</v>
      </c>
      <c r="P132" s="277">
        <f t="shared" si="61"/>
        <v>1642.5119006800455</v>
      </c>
      <c r="Q132" s="277">
        <f t="shared" si="61"/>
        <v>1602.3832825894297</v>
      </c>
      <c r="R132" s="277">
        <f t="shared" si="61"/>
        <v>1553.0549131738785</v>
      </c>
      <c r="S132" s="277">
        <f t="shared" si="61"/>
        <v>1509.0503401560723</v>
      </c>
      <c r="T132" s="277">
        <f t="shared" si="61"/>
        <v>1440.8210037491112</v>
      </c>
      <c r="U132" s="277">
        <f t="shared" si="61"/>
        <v>1378.8132810295565</v>
      </c>
    </row>
    <row r="133" spans="2:21" s="34" customFormat="1" x14ac:dyDescent="0.35">
      <c r="B133" s="34" t="s">
        <v>302</v>
      </c>
      <c r="D133" s="277">
        <f>-D117</f>
        <v>-36.393216494845362</v>
      </c>
      <c r="E133" s="277">
        <f>-E117</f>
        <v>-7.3086494845360823</v>
      </c>
      <c r="F133" s="277">
        <f>F90</f>
        <v>0</v>
      </c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</row>
    <row r="134" spans="2:21" s="34" customFormat="1" x14ac:dyDescent="0.35">
      <c r="B134" s="335" t="s">
        <v>256</v>
      </c>
      <c r="G134" s="277">
        <f>-G132*G135</f>
        <v>-112.04345762814667</v>
      </c>
      <c r="H134" s="277">
        <f t="shared" ref="H134:U134" si="62">-H132*H135</f>
        <v>-105.77495180671256</v>
      </c>
      <c r="I134" s="277">
        <f t="shared" si="62"/>
        <v>-106.17903219668639</v>
      </c>
      <c r="J134" s="277">
        <f t="shared" si="62"/>
        <v>-101.48680749563781</v>
      </c>
      <c r="K134" s="277">
        <f t="shared" si="62"/>
        <v>-105.47779450667412</v>
      </c>
      <c r="L134" s="277">
        <f t="shared" si="62"/>
        <v>-106.00410027826167</v>
      </c>
      <c r="M134" s="277">
        <f t="shared" si="62"/>
        <v>-102.42538449816404</v>
      </c>
      <c r="N134" s="277">
        <f t="shared" si="62"/>
        <v>-106.01984337065136</v>
      </c>
      <c r="O134" s="277">
        <f t="shared" si="62"/>
        <v>-105.07913934744026</v>
      </c>
      <c r="P134" s="277">
        <f t="shared" si="62"/>
        <v>-86.813185225712004</v>
      </c>
      <c r="Q134" s="277">
        <f t="shared" si="62"/>
        <v>-102.38328258942964</v>
      </c>
      <c r="R134" s="277">
        <f t="shared" si="62"/>
        <v>-93.054913173878504</v>
      </c>
      <c r="S134" s="277">
        <f t="shared" si="62"/>
        <v>-109.05034015607225</v>
      </c>
      <c r="T134" s="277">
        <f t="shared" si="62"/>
        <v>-100.82100374911124</v>
      </c>
      <c r="U134" s="277">
        <f t="shared" si="62"/>
        <v>-98.813281029556506</v>
      </c>
    </row>
    <row r="135" spans="2:21" s="34" customFormat="1" x14ac:dyDescent="0.35">
      <c r="B135" s="34" t="s">
        <v>199</v>
      </c>
      <c r="D135" s="337"/>
      <c r="E135" s="337"/>
      <c r="F135" s="337"/>
      <c r="G135" s="338">
        <v>8.9761872468346743E-2</v>
      </c>
      <c r="H135" s="338">
        <v>8.1180465045262384E-2</v>
      </c>
      <c r="I135" s="338">
        <v>7.8106985483042901E-2</v>
      </c>
      <c r="J135" s="338">
        <v>7.245957127642462E-2</v>
      </c>
      <c r="K135" s="338">
        <v>7.2708337211185248E-2</v>
      </c>
      <c r="L135" s="338">
        <v>7.0786808932134598E-2</v>
      </c>
      <c r="M135" s="338">
        <v>6.6494936843186567E-2</v>
      </c>
      <c r="N135" s="338">
        <v>6.6690827429679994E-2</v>
      </c>
      <c r="O135" s="338">
        <v>6.3921624011477343E-2</v>
      </c>
      <c r="P135" s="338">
        <v>5.2853915511826083E-2</v>
      </c>
      <c r="Q135" s="338">
        <v>6.389437764476652E-2</v>
      </c>
      <c r="R135" s="338">
        <v>5.9917336073911358E-2</v>
      </c>
      <c r="S135" s="338">
        <v>7.226421627842701E-2</v>
      </c>
      <c r="T135" s="338">
        <v>6.9974690462429642E-2</v>
      </c>
      <c r="U135" s="338">
        <v>7.1665454916254409E-2</v>
      </c>
    </row>
    <row r="136" spans="2:21" s="34" customFormat="1" x14ac:dyDescent="0.35">
      <c r="B136" s="335" t="s">
        <v>200</v>
      </c>
      <c r="D136" s="277">
        <f>D131+D132+D133+D134</f>
        <v>-36.393216494845362</v>
      </c>
      <c r="E136" s="277">
        <f>E131+E132+E133+E134</f>
        <v>-43.701865979381445</v>
      </c>
      <c r="F136" s="277">
        <f>F131+F132+F133+F134</f>
        <v>-43.701865979381445</v>
      </c>
      <c r="G136" s="277">
        <f>G131+G132+G133+G134</f>
        <v>1092.4846268946433</v>
      </c>
      <c r="H136" s="277">
        <f t="shared" ref="H136:U136" si="63">H131+H132+H133+H134</f>
        <v>2289.6703288331078</v>
      </c>
      <c r="I136" s="277">
        <f t="shared" si="63"/>
        <v>3542.8963682831559</v>
      </c>
      <c r="J136" s="277">
        <f t="shared" si="63"/>
        <v>4842.0086218622482</v>
      </c>
      <c r="K136" s="277">
        <f t="shared" si="63"/>
        <v>6187.22821024728</v>
      </c>
      <c r="L136" s="277">
        <f t="shared" si="63"/>
        <v>7578.7361729847553</v>
      </c>
      <c r="M136" s="277">
        <f t="shared" si="63"/>
        <v>9016.6594129196274</v>
      </c>
      <c r="N136" s="277">
        <f t="shared" si="63"/>
        <v>10500.361086836201</v>
      </c>
      <c r="O136" s="277">
        <f t="shared" si="63"/>
        <v>12039.156629530207</v>
      </c>
      <c r="P136" s="277">
        <f t="shared" si="63"/>
        <v>13594.85534498454</v>
      </c>
      <c r="Q136" s="277">
        <f t="shared" si="63"/>
        <v>15094.85534498454</v>
      </c>
      <c r="R136" s="277">
        <f t="shared" si="63"/>
        <v>16554.855344984542</v>
      </c>
      <c r="S136" s="277">
        <f t="shared" si="63"/>
        <v>17954.855344984542</v>
      </c>
      <c r="T136" s="277">
        <f t="shared" si="63"/>
        <v>19294.855344984542</v>
      </c>
      <c r="U136" s="277">
        <f t="shared" si="63"/>
        <v>20574.855344984542</v>
      </c>
    </row>
    <row r="137" spans="2:21" s="34" customFormat="1" ht="8.75" customHeight="1" x14ac:dyDescent="0.35"/>
    <row r="138" spans="2:21" s="34" customFormat="1" ht="25.75" customHeight="1" x14ac:dyDescent="0.35">
      <c r="B138" s="361" t="s">
        <v>235</v>
      </c>
      <c r="C138" s="356" t="s">
        <v>228</v>
      </c>
      <c r="E138" s="356" t="s">
        <v>227</v>
      </c>
      <c r="G138" s="356" t="s">
        <v>229</v>
      </c>
    </row>
    <row r="139" spans="2:21" s="34" customFormat="1" x14ac:dyDescent="0.35">
      <c r="B139" s="34" t="s">
        <v>224</v>
      </c>
      <c r="C139" s="277">
        <f>U68</f>
        <v>1600</v>
      </c>
      <c r="E139" s="357">
        <v>0.1</v>
      </c>
      <c r="G139" s="277">
        <f>C139*E139</f>
        <v>160</v>
      </c>
    </row>
    <row r="140" spans="2:21" s="34" customFormat="1" x14ac:dyDescent="0.35">
      <c r="B140" s="34" t="s">
        <v>8</v>
      </c>
      <c r="C140" s="277">
        <f>U67</f>
        <v>3350</v>
      </c>
      <c r="E140" s="357">
        <v>0.1</v>
      </c>
      <c r="G140" s="277">
        <f>C140*E140</f>
        <v>335</v>
      </c>
    </row>
    <row r="141" spans="2:21" s="34" customFormat="1" x14ac:dyDescent="0.35">
      <c r="B141" s="34" t="s">
        <v>226</v>
      </c>
      <c r="C141" s="277">
        <f>U69</f>
        <v>740</v>
      </c>
      <c r="E141" s="357">
        <v>0</v>
      </c>
      <c r="G141" s="277">
        <f>C141*E141</f>
        <v>0</v>
      </c>
    </row>
    <row r="142" spans="2:21" s="34" customFormat="1" x14ac:dyDescent="0.35">
      <c r="B142" s="34" t="s">
        <v>9</v>
      </c>
      <c r="C142" s="277">
        <f>U70</f>
        <v>21672.557210963922</v>
      </c>
      <c r="E142" s="357">
        <v>1</v>
      </c>
      <c r="G142" s="358">
        <f>C142*E142</f>
        <v>21672.557210963922</v>
      </c>
    </row>
    <row r="143" spans="2:21" s="34" customFormat="1" x14ac:dyDescent="0.35">
      <c r="B143" s="360" t="s">
        <v>236</v>
      </c>
      <c r="C143" s="277"/>
      <c r="G143" s="359">
        <f>SUM(G139:G142)</f>
        <v>22167.557210963922</v>
      </c>
    </row>
    <row r="144" spans="2:21" s="34" customFormat="1" x14ac:dyDescent="0.35">
      <c r="B144" s="34" t="s">
        <v>225</v>
      </c>
      <c r="C144" s="277">
        <f>-U60</f>
        <v>-1200</v>
      </c>
      <c r="E144" s="357">
        <v>1</v>
      </c>
      <c r="G144" s="358">
        <f>C144*E144</f>
        <v>-1200</v>
      </c>
    </row>
    <row r="145" spans="2:21" s="34" customFormat="1" x14ac:dyDescent="0.35">
      <c r="B145" s="360" t="s">
        <v>237</v>
      </c>
      <c r="C145" s="277"/>
      <c r="G145" s="359">
        <f>G143+G144</f>
        <v>20967.557210963922</v>
      </c>
    </row>
    <row r="146" spans="2:21" s="34" customFormat="1" x14ac:dyDescent="0.35"/>
    <row r="147" spans="2:21" s="34" customFormat="1" ht="15" thickBot="1" x14ac:dyDescent="0.4"/>
    <row r="148" spans="2:21" s="34" customFormat="1" ht="17.5" thickBot="1" x14ac:dyDescent="0.4">
      <c r="B148" s="310" t="s">
        <v>238</v>
      </c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2"/>
    </row>
    <row r="149" spans="2:21" s="34" customFormat="1" ht="16" thickBot="1" x14ac:dyDescent="0.4">
      <c r="B149" s="95" t="s">
        <v>109</v>
      </c>
      <c r="C149" s="96">
        <v>2009</v>
      </c>
      <c r="D149" s="96">
        <v>2010</v>
      </c>
      <c r="E149" s="97">
        <v>2011</v>
      </c>
      <c r="F149" s="97">
        <v>2012</v>
      </c>
      <c r="G149" s="97">
        <v>2013</v>
      </c>
      <c r="H149" s="97">
        <v>2014</v>
      </c>
      <c r="I149" s="97">
        <v>2015</v>
      </c>
      <c r="J149" s="97">
        <v>2016</v>
      </c>
      <c r="K149" s="97">
        <v>2017</v>
      </c>
      <c r="L149" s="97">
        <v>2018</v>
      </c>
      <c r="M149" s="97">
        <v>2019</v>
      </c>
      <c r="N149" s="97">
        <v>2020</v>
      </c>
      <c r="O149" s="97">
        <v>2021</v>
      </c>
      <c r="P149" s="97">
        <v>2022</v>
      </c>
      <c r="Q149" s="97">
        <v>2023</v>
      </c>
      <c r="R149" s="97">
        <v>2024</v>
      </c>
      <c r="S149" s="97">
        <v>2025</v>
      </c>
      <c r="T149" s="97">
        <v>2026</v>
      </c>
      <c r="U149" s="98">
        <v>2027</v>
      </c>
    </row>
    <row r="150" spans="2:21" s="34" customFormat="1" ht="15.5" x14ac:dyDescent="0.35">
      <c r="B150" s="355" t="s">
        <v>247</v>
      </c>
      <c r="C150" s="198"/>
      <c r="D150" s="198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200"/>
    </row>
    <row r="151" spans="2:21" ht="15.5" x14ac:dyDescent="0.35">
      <c r="B151" s="103" t="s">
        <v>87</v>
      </c>
      <c r="C151" s="202"/>
      <c r="D151" s="202">
        <f t="shared" ref="D151:U151" si="64">D77</f>
        <v>0</v>
      </c>
      <c r="E151" s="202">
        <f t="shared" si="64"/>
        <v>0</v>
      </c>
      <c r="F151" s="202">
        <f t="shared" si="64"/>
        <v>0</v>
      </c>
      <c r="G151" s="202">
        <f t="shared" si="64"/>
        <v>1248.2299505021713</v>
      </c>
      <c r="H151" s="202">
        <f t="shared" si="64"/>
        <v>1302.9606537451771</v>
      </c>
      <c r="I151" s="202">
        <f t="shared" si="64"/>
        <v>1359.4050716467345</v>
      </c>
      <c r="J151" s="202">
        <f t="shared" si="64"/>
        <v>1400.5990610747301</v>
      </c>
      <c r="K151" s="202">
        <f t="shared" si="64"/>
        <v>1450.6973828917064</v>
      </c>
      <c r="L151" s="202">
        <f t="shared" si="64"/>
        <v>1497.5120630157369</v>
      </c>
      <c r="M151" s="202">
        <f t="shared" si="64"/>
        <v>1540.3486244330361</v>
      </c>
      <c r="N151" s="202">
        <f t="shared" si="64"/>
        <v>1589.721517287225</v>
      </c>
      <c r="O151" s="202">
        <f t="shared" si="64"/>
        <v>1643.8746820414474</v>
      </c>
      <c r="P151" s="202">
        <f t="shared" si="64"/>
        <v>1642.5119006800455</v>
      </c>
      <c r="Q151" s="202">
        <f t="shared" si="64"/>
        <v>1602.3832825894297</v>
      </c>
      <c r="R151" s="202">
        <f t="shared" si="64"/>
        <v>1553.0549131738785</v>
      </c>
      <c r="S151" s="202">
        <f t="shared" si="64"/>
        <v>1509.0503401560723</v>
      </c>
      <c r="T151" s="202">
        <f t="shared" si="64"/>
        <v>1440.8210037491112</v>
      </c>
      <c r="U151" s="203">
        <f t="shared" si="64"/>
        <v>1378.8132810295565</v>
      </c>
    </row>
    <row r="152" spans="2:21" ht="15.5" x14ac:dyDescent="0.35">
      <c r="B152" s="103" t="s">
        <v>30</v>
      </c>
      <c r="C152" s="202"/>
      <c r="D152" s="202"/>
      <c r="E152" s="202"/>
      <c r="F152" s="202"/>
      <c r="G152" s="202">
        <f t="shared" ref="G152:U152" si="65">G78</f>
        <v>680</v>
      </c>
      <c r="H152" s="202">
        <f t="shared" si="65"/>
        <v>680</v>
      </c>
      <c r="I152" s="202">
        <f t="shared" si="65"/>
        <v>680</v>
      </c>
      <c r="J152" s="202">
        <f t="shared" si="65"/>
        <v>680</v>
      </c>
      <c r="K152" s="202">
        <f t="shared" si="65"/>
        <v>680</v>
      </c>
      <c r="L152" s="202">
        <f t="shared" si="65"/>
        <v>680</v>
      </c>
      <c r="M152" s="202">
        <f t="shared" si="65"/>
        <v>680</v>
      </c>
      <c r="N152" s="202">
        <f t="shared" si="65"/>
        <v>680</v>
      </c>
      <c r="O152" s="202">
        <f t="shared" si="65"/>
        <v>680</v>
      </c>
      <c r="P152" s="202">
        <f t="shared" si="65"/>
        <v>680</v>
      </c>
      <c r="Q152" s="202">
        <f t="shared" si="65"/>
        <v>680</v>
      </c>
      <c r="R152" s="202">
        <f t="shared" si="65"/>
        <v>680</v>
      </c>
      <c r="S152" s="202">
        <f t="shared" si="65"/>
        <v>680</v>
      </c>
      <c r="T152" s="202">
        <f t="shared" si="65"/>
        <v>680</v>
      </c>
      <c r="U152" s="203">
        <f t="shared" si="65"/>
        <v>680</v>
      </c>
    </row>
    <row r="153" spans="2:21" ht="15.5" x14ac:dyDescent="0.35">
      <c r="B153" s="103" t="s">
        <v>184</v>
      </c>
      <c r="C153" s="202"/>
      <c r="D153" s="202">
        <f t="shared" ref="D153:F153" si="66">D79</f>
        <v>-3460</v>
      </c>
      <c r="E153" s="202">
        <f t="shared" si="66"/>
        <v>-5520</v>
      </c>
      <c r="F153" s="202">
        <f t="shared" si="66"/>
        <v>-4570</v>
      </c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3"/>
    </row>
    <row r="154" spans="2:21" ht="15.5" x14ac:dyDescent="0.35">
      <c r="B154" s="103" t="s">
        <v>257</v>
      </c>
      <c r="C154" s="202"/>
      <c r="D154" s="202"/>
      <c r="E154" s="202"/>
      <c r="F154" s="202">
        <f>-13860-D153-E153-F153</f>
        <v>-310</v>
      </c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3"/>
    </row>
    <row r="155" spans="2:21" ht="15.5" x14ac:dyDescent="0.35">
      <c r="B155" s="103" t="s">
        <v>230</v>
      </c>
      <c r="C155" s="202"/>
      <c r="D155" s="202"/>
      <c r="E155" s="202"/>
      <c r="F155" s="202"/>
      <c r="G155" s="202">
        <f t="shared" ref="G155:U155" si="67">G80</f>
        <v>-1240</v>
      </c>
      <c r="H155" s="202">
        <f t="shared" si="67"/>
        <v>-10</v>
      </c>
      <c r="I155" s="202">
        <f t="shared" si="67"/>
        <v>-30</v>
      </c>
      <c r="J155" s="202">
        <f t="shared" si="67"/>
        <v>-20</v>
      </c>
      <c r="K155" s="202">
        <f t="shared" si="67"/>
        <v>-20</v>
      </c>
      <c r="L155" s="202">
        <f t="shared" si="67"/>
        <v>-30</v>
      </c>
      <c r="M155" s="202">
        <f t="shared" si="67"/>
        <v>-20</v>
      </c>
      <c r="N155" s="202">
        <f t="shared" si="67"/>
        <v>-30</v>
      </c>
      <c r="O155" s="202">
        <f t="shared" si="67"/>
        <v>-30</v>
      </c>
      <c r="P155" s="202">
        <f t="shared" si="67"/>
        <v>-20</v>
      </c>
      <c r="Q155" s="202">
        <f t="shared" si="67"/>
        <v>-30</v>
      </c>
      <c r="R155" s="202">
        <f t="shared" si="67"/>
        <v>-30</v>
      </c>
      <c r="S155" s="202">
        <f t="shared" si="67"/>
        <v>-30</v>
      </c>
      <c r="T155" s="202">
        <f t="shared" si="67"/>
        <v>-30</v>
      </c>
      <c r="U155" s="203">
        <f t="shared" si="67"/>
        <v>-30</v>
      </c>
    </row>
    <row r="156" spans="2:21" ht="15.5" x14ac:dyDescent="0.35">
      <c r="B156" s="103" t="s">
        <v>231</v>
      </c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>
        <f t="shared" ref="N156:U157" si="68">N81</f>
        <v>-10</v>
      </c>
      <c r="O156" s="202">
        <f t="shared" si="68"/>
        <v>-40</v>
      </c>
      <c r="P156" s="202">
        <f t="shared" si="68"/>
        <v>-70</v>
      </c>
      <c r="Q156" s="202">
        <f t="shared" si="68"/>
        <v>-90</v>
      </c>
      <c r="R156" s="202">
        <f t="shared" si="68"/>
        <v>-110</v>
      </c>
      <c r="S156" s="202">
        <f t="shared" si="68"/>
        <v>-130</v>
      </c>
      <c r="T156" s="202">
        <f t="shared" si="68"/>
        <v>-140</v>
      </c>
      <c r="U156" s="203">
        <f t="shared" si="68"/>
        <v>-150</v>
      </c>
    </row>
    <row r="157" spans="2:21" ht="15.5" x14ac:dyDescent="0.35">
      <c r="B157" s="103" t="s">
        <v>145</v>
      </c>
      <c r="C157" s="202"/>
      <c r="D157" s="202"/>
      <c r="E157" s="202"/>
      <c r="F157" s="202"/>
      <c r="G157" s="202">
        <f t="shared" ref="G157:M157" si="69">G82</f>
        <v>1026.3599999999999</v>
      </c>
      <c r="H157" s="202">
        <f t="shared" si="69"/>
        <v>916.08</v>
      </c>
      <c r="I157" s="202">
        <f t="shared" si="69"/>
        <v>807</v>
      </c>
      <c r="J157" s="202">
        <f t="shared" si="69"/>
        <v>698.52</v>
      </c>
      <c r="K157" s="202">
        <f t="shared" si="69"/>
        <v>589.44000000000005</v>
      </c>
      <c r="L157" s="202">
        <f t="shared" si="69"/>
        <v>480.36</v>
      </c>
      <c r="M157" s="202">
        <f t="shared" si="69"/>
        <v>371.88</v>
      </c>
      <c r="N157" s="202">
        <f t="shared" si="68"/>
        <v>263.39999999999998</v>
      </c>
      <c r="O157" s="202">
        <f t="shared" si="68"/>
        <v>168.77999999999997</v>
      </c>
      <c r="P157" s="202">
        <f t="shared" si="68"/>
        <v>129.6</v>
      </c>
      <c r="Q157" s="202">
        <f t="shared" si="68"/>
        <v>132</v>
      </c>
      <c r="R157" s="202">
        <f t="shared" si="68"/>
        <v>134.4</v>
      </c>
      <c r="S157" s="202">
        <f t="shared" si="68"/>
        <v>137.4</v>
      </c>
      <c r="T157" s="202">
        <f t="shared" si="68"/>
        <v>140.4</v>
      </c>
      <c r="U157" s="203">
        <f t="shared" si="68"/>
        <v>142.79999999999998</v>
      </c>
    </row>
    <row r="158" spans="2:21" ht="15.5" x14ac:dyDescent="0.35">
      <c r="B158" s="374" t="s">
        <v>248</v>
      </c>
      <c r="C158" s="307"/>
      <c r="D158" s="307">
        <f>SUM(D151:D157)</f>
        <v>-3460</v>
      </c>
      <c r="E158" s="307">
        <f t="shared" ref="E158:U158" si="70">SUM(E151:E157)</f>
        <v>-5520</v>
      </c>
      <c r="F158" s="307">
        <f t="shared" si="70"/>
        <v>-4880</v>
      </c>
      <c r="G158" s="307">
        <f t="shared" si="70"/>
        <v>1714.5899505021712</v>
      </c>
      <c r="H158" s="307">
        <f t="shared" si="70"/>
        <v>2889.0406537451772</v>
      </c>
      <c r="I158" s="307">
        <f t="shared" si="70"/>
        <v>2816.4050716467345</v>
      </c>
      <c r="J158" s="307">
        <f t="shared" si="70"/>
        <v>2759.1190610747303</v>
      </c>
      <c r="K158" s="307">
        <f t="shared" si="70"/>
        <v>2700.1373828917062</v>
      </c>
      <c r="L158" s="307">
        <f t="shared" si="70"/>
        <v>2627.8720630157372</v>
      </c>
      <c r="M158" s="307">
        <f t="shared" si="70"/>
        <v>2572.2286244330362</v>
      </c>
      <c r="N158" s="307">
        <f t="shared" si="70"/>
        <v>2493.1215172872248</v>
      </c>
      <c r="O158" s="307">
        <f t="shared" si="70"/>
        <v>2422.6546820414469</v>
      </c>
      <c r="P158" s="307">
        <f t="shared" si="70"/>
        <v>2362.1119006800454</v>
      </c>
      <c r="Q158" s="307">
        <f t="shared" si="70"/>
        <v>2294.3832825894297</v>
      </c>
      <c r="R158" s="307">
        <f t="shared" si="70"/>
        <v>2227.4549131738786</v>
      </c>
      <c r="S158" s="307">
        <f t="shared" si="70"/>
        <v>2166.4503401560723</v>
      </c>
      <c r="T158" s="307">
        <f t="shared" si="70"/>
        <v>2091.2210037491113</v>
      </c>
      <c r="U158" s="308">
        <f t="shared" si="70"/>
        <v>2021.6132810295564</v>
      </c>
    </row>
    <row r="159" spans="2:21" s="34" customFormat="1" ht="15.5" x14ac:dyDescent="0.35">
      <c r="B159" s="107" t="s">
        <v>307</v>
      </c>
      <c r="C159" s="204"/>
      <c r="D159" s="204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3">
        <f>G143</f>
        <v>22167.557210963922</v>
      </c>
    </row>
    <row r="160" spans="2:21" s="34" customFormat="1" ht="16" thickBot="1" x14ac:dyDescent="0.4">
      <c r="B160" s="123" t="s">
        <v>249</v>
      </c>
      <c r="C160" s="216"/>
      <c r="D160" s="363">
        <f t="shared" ref="D160:S160" si="71">D158+D159</f>
        <v>-3460</v>
      </c>
      <c r="E160" s="363">
        <f t="shared" si="71"/>
        <v>-5520</v>
      </c>
      <c r="F160" s="363">
        <f t="shared" si="71"/>
        <v>-4880</v>
      </c>
      <c r="G160" s="363">
        <f t="shared" si="71"/>
        <v>1714.5899505021712</v>
      </c>
      <c r="H160" s="363">
        <f t="shared" si="71"/>
        <v>2889.0406537451772</v>
      </c>
      <c r="I160" s="363">
        <f t="shared" si="71"/>
        <v>2816.4050716467345</v>
      </c>
      <c r="J160" s="363">
        <f t="shared" si="71"/>
        <v>2759.1190610747303</v>
      </c>
      <c r="K160" s="363">
        <f t="shared" si="71"/>
        <v>2700.1373828917062</v>
      </c>
      <c r="L160" s="363">
        <f t="shared" si="71"/>
        <v>2627.8720630157372</v>
      </c>
      <c r="M160" s="363">
        <f t="shared" si="71"/>
        <v>2572.2286244330362</v>
      </c>
      <c r="N160" s="363">
        <f t="shared" si="71"/>
        <v>2493.1215172872248</v>
      </c>
      <c r="O160" s="363">
        <f t="shared" si="71"/>
        <v>2422.6546820414469</v>
      </c>
      <c r="P160" s="363">
        <f t="shared" si="71"/>
        <v>2362.1119006800454</v>
      </c>
      <c r="Q160" s="363">
        <f t="shared" si="71"/>
        <v>2294.3832825894297</v>
      </c>
      <c r="R160" s="363">
        <f t="shared" si="71"/>
        <v>2227.4549131738786</v>
      </c>
      <c r="S160" s="363">
        <f t="shared" si="71"/>
        <v>2166.4503401560723</v>
      </c>
      <c r="T160" s="363">
        <f>T158+T159</f>
        <v>2091.2210037491113</v>
      </c>
      <c r="U160" s="364">
        <f>U158+U159</f>
        <v>24189.170491993478</v>
      </c>
    </row>
    <row r="161" spans="2:24" s="34" customFormat="1" ht="7.5" customHeight="1" x14ac:dyDescent="0.35">
      <c r="B161" s="369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2:24" s="34" customFormat="1" ht="15.5" x14ac:dyDescent="0.35">
      <c r="B162" s="370" t="s">
        <v>242</v>
      </c>
      <c r="C162" s="371">
        <f>IRR(D160:U160)</f>
        <v>0.16216157368668349</v>
      </c>
      <c r="D162" s="418">
        <f>C162/C162</f>
        <v>1</v>
      </c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</row>
    <row r="163" spans="2:24" s="34" customFormat="1" ht="15.5" x14ac:dyDescent="0.35">
      <c r="B163" s="372" t="s">
        <v>243</v>
      </c>
      <c r="C163" s="373">
        <f>IRR(D158:U158)</f>
        <v>0.13435569495346389</v>
      </c>
      <c r="D163" s="419">
        <f>C163/C162</f>
        <v>0.82852979222473477</v>
      </c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</row>
    <row r="164" spans="2:24" s="34" customFormat="1" ht="15.5" x14ac:dyDescent="0.35">
      <c r="B164" s="372" t="s">
        <v>244</v>
      </c>
      <c r="C164" s="373">
        <f>C162-C163</f>
        <v>2.7805878733219602E-2</v>
      </c>
      <c r="D164" s="419">
        <f>C164/C162</f>
        <v>0.17147020777526523</v>
      </c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</row>
    <row r="165" spans="2:24" s="34" customFormat="1" ht="15" thickBot="1" x14ac:dyDescent="0.4"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</row>
    <row r="166" spans="2:24" s="34" customFormat="1" ht="17.5" thickBot="1" x14ac:dyDescent="0.4">
      <c r="B166" s="310" t="s">
        <v>239</v>
      </c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2"/>
    </row>
    <row r="167" spans="2:24" s="34" customFormat="1" ht="16" thickBot="1" x14ac:dyDescent="0.4">
      <c r="B167" s="95" t="s">
        <v>109</v>
      </c>
      <c r="C167" s="96">
        <v>2009</v>
      </c>
      <c r="D167" s="96">
        <v>2010</v>
      </c>
      <c r="E167" s="97">
        <v>2011</v>
      </c>
      <c r="F167" s="97">
        <v>2012</v>
      </c>
      <c r="G167" s="97">
        <v>2013</v>
      </c>
      <c r="H167" s="97">
        <v>2014</v>
      </c>
      <c r="I167" s="97">
        <v>2015</v>
      </c>
      <c r="J167" s="97">
        <v>2016</v>
      </c>
      <c r="K167" s="97">
        <v>2017</v>
      </c>
      <c r="L167" s="97">
        <v>2018</v>
      </c>
      <c r="M167" s="97">
        <v>2019</v>
      </c>
      <c r="N167" s="97">
        <v>2020</v>
      </c>
      <c r="O167" s="97">
        <v>2021</v>
      </c>
      <c r="P167" s="97">
        <v>2022</v>
      </c>
      <c r="Q167" s="97">
        <v>2023</v>
      </c>
      <c r="R167" s="97">
        <v>2024</v>
      </c>
      <c r="S167" s="97">
        <v>2025</v>
      </c>
      <c r="T167" s="97">
        <v>2026</v>
      </c>
      <c r="U167" s="98">
        <v>2027</v>
      </c>
    </row>
    <row r="168" spans="2:24" s="34" customFormat="1" ht="15.5" x14ac:dyDescent="0.35">
      <c r="B168" s="355" t="s">
        <v>247</v>
      </c>
      <c r="C168" s="198"/>
      <c r="D168" s="198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200"/>
    </row>
    <row r="169" spans="2:24" s="134" customFormat="1" ht="15.5" x14ac:dyDescent="0.35">
      <c r="B169" s="103" t="s">
        <v>248</v>
      </c>
      <c r="C169" s="201"/>
      <c r="D169" s="201">
        <f t="shared" ref="D169:U169" si="72">D158</f>
        <v>-3460</v>
      </c>
      <c r="E169" s="201">
        <f t="shared" si="72"/>
        <v>-5520</v>
      </c>
      <c r="F169" s="201">
        <f t="shared" si="72"/>
        <v>-4880</v>
      </c>
      <c r="G169" s="201">
        <f t="shared" si="72"/>
        <v>1714.5899505021712</v>
      </c>
      <c r="H169" s="201">
        <f t="shared" si="72"/>
        <v>2889.0406537451772</v>
      </c>
      <c r="I169" s="201">
        <f t="shared" si="72"/>
        <v>2816.4050716467345</v>
      </c>
      <c r="J169" s="201">
        <f t="shared" si="72"/>
        <v>2759.1190610747303</v>
      </c>
      <c r="K169" s="201">
        <f t="shared" si="72"/>
        <v>2700.1373828917062</v>
      </c>
      <c r="L169" s="201">
        <f t="shared" si="72"/>
        <v>2627.8720630157372</v>
      </c>
      <c r="M169" s="201">
        <f t="shared" si="72"/>
        <v>2572.2286244330362</v>
      </c>
      <c r="N169" s="201">
        <f t="shared" si="72"/>
        <v>2493.1215172872248</v>
      </c>
      <c r="O169" s="201">
        <f t="shared" si="72"/>
        <v>2422.6546820414469</v>
      </c>
      <c r="P169" s="201">
        <f t="shared" si="72"/>
        <v>2362.1119006800454</v>
      </c>
      <c r="Q169" s="201">
        <f t="shared" si="72"/>
        <v>2294.3832825894297</v>
      </c>
      <c r="R169" s="201">
        <f t="shared" si="72"/>
        <v>2227.4549131738786</v>
      </c>
      <c r="S169" s="201">
        <f t="shared" si="72"/>
        <v>2166.4503401560723</v>
      </c>
      <c r="T169" s="201">
        <f t="shared" si="72"/>
        <v>2091.2210037491113</v>
      </c>
      <c r="U169" s="203">
        <f t="shared" si="72"/>
        <v>2021.6132810295564</v>
      </c>
    </row>
    <row r="170" spans="2:24" s="34" customFormat="1" ht="15.5" x14ac:dyDescent="0.35">
      <c r="B170" s="355" t="s">
        <v>254</v>
      </c>
      <c r="C170" s="198"/>
      <c r="D170" s="198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200"/>
    </row>
    <row r="171" spans="2:24" ht="15.5" x14ac:dyDescent="0.35">
      <c r="B171" s="103" t="s">
        <v>190</v>
      </c>
      <c r="C171" s="202"/>
      <c r="D171" s="202">
        <f>D86</f>
        <v>2074.7134020618555</v>
      </c>
      <c r="E171" s="202">
        <f t="shared" ref="E171:F171" si="73">E86</f>
        <v>3317.8268041237116</v>
      </c>
      <c r="F171" s="202">
        <f t="shared" si="73"/>
        <v>2923.4597938144329</v>
      </c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3"/>
      <c r="W171" s="408">
        <f>SUM(D171:F171)</f>
        <v>8316</v>
      </c>
      <c r="X171" t="s">
        <v>305</v>
      </c>
    </row>
    <row r="172" spans="2:24" ht="15.5" x14ac:dyDescent="0.35">
      <c r="B172" s="103" t="s">
        <v>241</v>
      </c>
      <c r="C172" s="202"/>
      <c r="D172" s="202"/>
      <c r="E172" s="202"/>
      <c r="F172" s="202"/>
      <c r="G172" s="202">
        <f t="shared" ref="G172:P172" si="74">G87</f>
        <v>-924</v>
      </c>
      <c r="H172" s="202">
        <f t="shared" si="74"/>
        <v>-924</v>
      </c>
      <c r="I172" s="202">
        <f t="shared" si="74"/>
        <v>-924</v>
      </c>
      <c r="J172" s="202">
        <f t="shared" si="74"/>
        <v>-924</v>
      </c>
      <c r="K172" s="202">
        <f t="shared" si="74"/>
        <v>-924</v>
      </c>
      <c r="L172" s="202">
        <f t="shared" si="74"/>
        <v>-924</v>
      </c>
      <c r="M172" s="202">
        <f t="shared" si="74"/>
        <v>-924</v>
      </c>
      <c r="N172" s="202">
        <f t="shared" si="74"/>
        <v>-924</v>
      </c>
      <c r="O172" s="202">
        <f t="shared" si="74"/>
        <v>-693</v>
      </c>
      <c r="P172" s="202">
        <f t="shared" si="74"/>
        <v>0</v>
      </c>
      <c r="Q172" s="202"/>
      <c r="R172" s="202"/>
      <c r="S172" s="202"/>
      <c r="T172" s="202"/>
      <c r="U172" s="203"/>
      <c r="W172" s="276">
        <f>R4</f>
        <v>0.6</v>
      </c>
      <c r="X172" t="s">
        <v>116</v>
      </c>
    </row>
    <row r="173" spans="2:24" ht="15.5" x14ac:dyDescent="0.35">
      <c r="B173" s="103" t="s">
        <v>186</v>
      </c>
      <c r="C173" s="339"/>
      <c r="D173" s="202"/>
      <c r="E173" s="202"/>
      <c r="F173" s="202"/>
      <c r="G173" s="202">
        <f>G88</f>
        <v>930</v>
      </c>
      <c r="H173" s="202">
        <f t="shared" ref="H173:T173" si="75">H88</f>
        <v>10</v>
      </c>
      <c r="I173" s="202">
        <f t="shared" si="75"/>
        <v>20</v>
      </c>
      <c r="J173" s="202">
        <f t="shared" si="75"/>
        <v>20</v>
      </c>
      <c r="K173" s="202">
        <f t="shared" si="75"/>
        <v>10</v>
      </c>
      <c r="L173" s="202">
        <f t="shared" si="75"/>
        <v>20</v>
      </c>
      <c r="M173" s="202">
        <f t="shared" si="75"/>
        <v>20</v>
      </c>
      <c r="N173" s="202">
        <f t="shared" si="75"/>
        <v>20</v>
      </c>
      <c r="O173" s="202">
        <f t="shared" si="75"/>
        <v>20</v>
      </c>
      <c r="P173" s="202">
        <f t="shared" si="75"/>
        <v>20</v>
      </c>
      <c r="Q173" s="202">
        <f t="shared" si="75"/>
        <v>20</v>
      </c>
      <c r="R173" s="202">
        <f t="shared" si="75"/>
        <v>20</v>
      </c>
      <c r="S173" s="202">
        <f t="shared" si="75"/>
        <v>30</v>
      </c>
      <c r="T173" s="202">
        <f t="shared" si="75"/>
        <v>20</v>
      </c>
      <c r="U173" s="203">
        <f>U88</f>
        <v>20</v>
      </c>
      <c r="V173" s="284"/>
    </row>
    <row r="174" spans="2:24" ht="15.5" x14ac:dyDescent="0.35">
      <c r="B174" s="103" t="s">
        <v>240</v>
      </c>
      <c r="C174" s="339"/>
      <c r="D174" s="202"/>
      <c r="E174" s="202"/>
      <c r="F174" s="202"/>
      <c r="G174" s="202">
        <f>G89</f>
        <v>0</v>
      </c>
      <c r="H174" s="202">
        <f t="shared" ref="H174:T174" si="76">H89</f>
        <v>0</v>
      </c>
      <c r="I174" s="202">
        <f t="shared" si="76"/>
        <v>0</v>
      </c>
      <c r="J174" s="202">
        <f t="shared" si="76"/>
        <v>0</v>
      </c>
      <c r="K174" s="202">
        <f t="shared" si="76"/>
        <v>0</v>
      </c>
      <c r="L174" s="202">
        <f t="shared" si="76"/>
        <v>0</v>
      </c>
      <c r="M174" s="202">
        <f t="shared" si="76"/>
        <v>0</v>
      </c>
      <c r="N174" s="202">
        <f t="shared" si="76"/>
        <v>0</v>
      </c>
      <c r="O174" s="202">
        <f t="shared" si="76"/>
        <v>0</v>
      </c>
      <c r="P174" s="202">
        <f t="shared" si="76"/>
        <v>0</v>
      </c>
      <c r="Q174" s="202">
        <f t="shared" si="76"/>
        <v>0</v>
      </c>
      <c r="R174" s="202">
        <f t="shared" si="76"/>
        <v>0</v>
      </c>
      <c r="S174" s="202">
        <f t="shared" si="76"/>
        <v>0</v>
      </c>
      <c r="T174" s="202">
        <f t="shared" si="76"/>
        <v>0</v>
      </c>
      <c r="U174" s="203">
        <f>U89</f>
        <v>0</v>
      </c>
      <c r="V174" s="284"/>
    </row>
    <row r="175" spans="2:24" ht="15.5" x14ac:dyDescent="0.35">
      <c r="B175" s="103" t="s">
        <v>145</v>
      </c>
      <c r="C175" s="202"/>
      <c r="D175" s="202">
        <f>D133</f>
        <v>-36.393216494845362</v>
      </c>
      <c r="E175" s="202">
        <f>E133</f>
        <v>-7.3086494845360823</v>
      </c>
      <c r="F175" s="202">
        <f>F133</f>
        <v>0</v>
      </c>
      <c r="G175" s="202">
        <f>G90</f>
        <v>-1026.3599999999999</v>
      </c>
      <c r="H175" s="202">
        <f t="shared" ref="H175:T175" si="77">H90</f>
        <v>-916.08</v>
      </c>
      <c r="I175" s="202">
        <f t="shared" si="77"/>
        <v>-807</v>
      </c>
      <c r="J175" s="202">
        <f t="shared" si="77"/>
        <v>-698.52</v>
      </c>
      <c r="K175" s="202">
        <f t="shared" si="77"/>
        <v>-589.44000000000005</v>
      </c>
      <c r="L175" s="202">
        <f t="shared" si="77"/>
        <v>-480.36</v>
      </c>
      <c r="M175" s="202">
        <f t="shared" si="77"/>
        <v>-371.88</v>
      </c>
      <c r="N175" s="202">
        <f t="shared" si="77"/>
        <v>-263.39999999999998</v>
      </c>
      <c r="O175" s="202">
        <f t="shared" si="77"/>
        <v>-168.77999999999997</v>
      </c>
      <c r="P175" s="202">
        <f t="shared" si="77"/>
        <v>-129.6</v>
      </c>
      <c r="Q175" s="202">
        <f t="shared" si="77"/>
        <v>-132</v>
      </c>
      <c r="R175" s="202">
        <f t="shared" si="77"/>
        <v>-134.4</v>
      </c>
      <c r="S175" s="202">
        <f t="shared" si="77"/>
        <v>-137.4</v>
      </c>
      <c r="T175" s="202">
        <f t="shared" si="77"/>
        <v>-140.4</v>
      </c>
      <c r="U175" s="203">
        <f>U90</f>
        <v>-142.79999999999998</v>
      </c>
    </row>
    <row r="176" spans="2:24" ht="5.75" customHeight="1" thickBot="1" x14ac:dyDescent="0.4">
      <c r="B176" s="123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</row>
    <row r="177" spans="2:24" s="34" customFormat="1" ht="15.5" x14ac:dyDescent="0.35">
      <c r="B177" s="119" t="s">
        <v>253</v>
      </c>
      <c r="C177" s="213"/>
      <c r="D177" s="362">
        <f t="shared" ref="D177:U177" si="78">SUM(D169:D175)</f>
        <v>-1421.6798144329898</v>
      </c>
      <c r="E177" s="362">
        <f t="shared" si="78"/>
        <v>-2209.4818453608245</v>
      </c>
      <c r="F177" s="362">
        <f t="shared" si="78"/>
        <v>-1956.5402061855671</v>
      </c>
      <c r="G177" s="362">
        <f t="shared" si="78"/>
        <v>694.22995050217128</v>
      </c>
      <c r="H177" s="362">
        <f t="shared" si="78"/>
        <v>1058.9606537451773</v>
      </c>
      <c r="I177" s="362">
        <f t="shared" si="78"/>
        <v>1105.4050716467345</v>
      </c>
      <c r="J177" s="362">
        <f t="shared" si="78"/>
        <v>1156.5990610747303</v>
      </c>
      <c r="K177" s="362">
        <f t="shared" si="78"/>
        <v>1196.6973828917062</v>
      </c>
      <c r="L177" s="362">
        <f t="shared" si="78"/>
        <v>1243.5120630157371</v>
      </c>
      <c r="M177" s="362">
        <f t="shared" si="78"/>
        <v>1296.3486244330361</v>
      </c>
      <c r="N177" s="362">
        <f t="shared" si="78"/>
        <v>1325.7215172872247</v>
      </c>
      <c r="O177" s="362">
        <f t="shared" si="78"/>
        <v>1580.8746820414469</v>
      </c>
      <c r="P177" s="362">
        <f t="shared" si="78"/>
        <v>2252.5119006800455</v>
      </c>
      <c r="Q177" s="362">
        <f t="shared" si="78"/>
        <v>2182.3832825894297</v>
      </c>
      <c r="R177" s="362">
        <f t="shared" si="78"/>
        <v>2113.0549131738785</v>
      </c>
      <c r="S177" s="362">
        <f t="shared" si="78"/>
        <v>2059.0503401560723</v>
      </c>
      <c r="T177" s="362">
        <f t="shared" si="78"/>
        <v>1970.8210037491112</v>
      </c>
      <c r="U177" s="365">
        <f t="shared" si="78"/>
        <v>1898.8132810295565</v>
      </c>
      <c r="W177" s="277">
        <f>-Q6+D175+E175</f>
        <v>-5587.7018659793812</v>
      </c>
      <c r="X177" s="34" t="s">
        <v>306</v>
      </c>
    </row>
    <row r="178" spans="2:24" s="34" customFormat="1" ht="15.5" x14ac:dyDescent="0.35">
      <c r="B178" s="107" t="s">
        <v>308</v>
      </c>
      <c r="C178" s="204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3">
        <f>G145</f>
        <v>20967.557210963922</v>
      </c>
      <c r="W178" s="277">
        <f>D177+E177+F177</f>
        <v>-5587.7018659793812</v>
      </c>
    </row>
    <row r="179" spans="2:24" s="34" customFormat="1" ht="16" thickBot="1" x14ac:dyDescent="0.4">
      <c r="B179" s="123" t="s">
        <v>250</v>
      </c>
      <c r="C179" s="216"/>
      <c r="D179" s="363">
        <f t="shared" ref="D179:S179" si="79">D177+D178</f>
        <v>-1421.6798144329898</v>
      </c>
      <c r="E179" s="363">
        <f t="shared" si="79"/>
        <v>-2209.4818453608245</v>
      </c>
      <c r="F179" s="363">
        <f t="shared" si="79"/>
        <v>-1956.5402061855671</v>
      </c>
      <c r="G179" s="363">
        <f t="shared" si="79"/>
        <v>694.22995050217128</v>
      </c>
      <c r="H179" s="363">
        <f t="shared" si="79"/>
        <v>1058.9606537451773</v>
      </c>
      <c r="I179" s="363">
        <f t="shared" si="79"/>
        <v>1105.4050716467345</v>
      </c>
      <c r="J179" s="363">
        <f t="shared" si="79"/>
        <v>1156.5990610747303</v>
      </c>
      <c r="K179" s="363">
        <f t="shared" si="79"/>
        <v>1196.6973828917062</v>
      </c>
      <c r="L179" s="363">
        <f t="shared" si="79"/>
        <v>1243.5120630157371</v>
      </c>
      <c r="M179" s="363">
        <f t="shared" si="79"/>
        <v>1296.3486244330361</v>
      </c>
      <c r="N179" s="363">
        <f t="shared" si="79"/>
        <v>1325.7215172872247</v>
      </c>
      <c r="O179" s="363">
        <f t="shared" si="79"/>
        <v>1580.8746820414469</v>
      </c>
      <c r="P179" s="363">
        <f t="shared" si="79"/>
        <v>2252.5119006800455</v>
      </c>
      <c r="Q179" s="363">
        <f t="shared" si="79"/>
        <v>2182.3832825894297</v>
      </c>
      <c r="R179" s="363">
        <f t="shared" si="79"/>
        <v>2113.0549131738785</v>
      </c>
      <c r="S179" s="363">
        <f t="shared" si="79"/>
        <v>2059.0503401560723</v>
      </c>
      <c r="T179" s="363">
        <f>T177+T178</f>
        <v>1970.8210037491112</v>
      </c>
      <c r="U179" s="364">
        <f>U177+U178</f>
        <v>22866.370491993479</v>
      </c>
    </row>
    <row r="180" spans="2:24" s="34" customFormat="1" ht="7.5" customHeight="1" x14ac:dyDescent="0.35">
      <c r="B180" s="369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</row>
    <row r="181" spans="2:24" s="34" customFormat="1" ht="15.5" x14ac:dyDescent="0.35">
      <c r="B181" s="370" t="s">
        <v>242</v>
      </c>
      <c r="C181" s="371">
        <f>IRR(D179:U179)</f>
        <v>0.2091239533553666</v>
      </c>
      <c r="D181" s="418">
        <f>C181/C181</f>
        <v>1</v>
      </c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</row>
    <row r="182" spans="2:24" s="34" customFormat="1" ht="15.5" x14ac:dyDescent="0.35">
      <c r="B182" s="372" t="s">
        <v>243</v>
      </c>
      <c r="C182" s="373">
        <f>IRR(D177:U177)</f>
        <v>0.17607400064913592</v>
      </c>
      <c r="D182" s="419">
        <f>C182/C181</f>
        <v>0.84195998509042846</v>
      </c>
      <c r="E182" s="367"/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</row>
    <row r="183" spans="2:24" s="34" customFormat="1" ht="15.5" x14ac:dyDescent="0.35">
      <c r="B183" s="372" t="s">
        <v>244</v>
      </c>
      <c r="C183" s="373">
        <f>C181-C182</f>
        <v>3.3049952706230679E-2</v>
      </c>
      <c r="D183" s="419">
        <f>C183/C181</f>
        <v>0.15804001490957154</v>
      </c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</row>
    <row r="184" spans="2:24" s="34" customFormat="1" x14ac:dyDescent="0.35"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</row>
    <row r="185" spans="2:24" s="34" customFormat="1" x14ac:dyDescent="0.35">
      <c r="H185" s="134"/>
      <c r="I185" s="134"/>
      <c r="J185" s="134"/>
      <c r="K185" s="134"/>
      <c r="L185" s="134"/>
      <c r="M185" s="134"/>
      <c r="N185" s="134"/>
      <c r="O185" s="134"/>
    </row>
    <row r="186" spans="2:24" s="34" customFormat="1" x14ac:dyDescent="0.35">
      <c r="B186" s="420" t="s">
        <v>279</v>
      </c>
      <c r="C186" s="421"/>
      <c r="D186" s="422">
        <v>2010</v>
      </c>
      <c r="E186" s="422">
        <v>2011</v>
      </c>
      <c r="F186" s="422">
        <v>2012</v>
      </c>
      <c r="G186" s="422" t="s">
        <v>166</v>
      </c>
      <c r="H186" s="134"/>
      <c r="I186" s="134"/>
      <c r="J186" s="134"/>
      <c r="K186" s="134"/>
      <c r="L186" s="134"/>
      <c r="M186" s="134"/>
      <c r="N186" s="134"/>
      <c r="O186" s="134"/>
    </row>
    <row r="187" spans="2:24" s="34" customFormat="1" x14ac:dyDescent="0.35">
      <c r="B187" s="421" t="s">
        <v>280</v>
      </c>
      <c r="C187" s="421"/>
      <c r="D187" s="423">
        <f>D92</f>
        <v>1386</v>
      </c>
      <c r="E187" s="423">
        <f>E92</f>
        <v>2198.9423076923076</v>
      </c>
      <c r="F187" s="423">
        <f>F92</f>
        <v>1959.0576923076924</v>
      </c>
      <c r="G187" s="423">
        <f>D187+E187+F187</f>
        <v>5544</v>
      </c>
    </row>
    <row r="188" spans="2:24" s="34" customFormat="1" x14ac:dyDescent="0.35">
      <c r="B188" s="421" t="s">
        <v>281</v>
      </c>
      <c r="C188" s="421"/>
      <c r="D188" s="424">
        <f>-D177</f>
        <v>1421.6798144329898</v>
      </c>
      <c r="E188" s="424">
        <f>-E177</f>
        <v>2209.4818453608245</v>
      </c>
      <c r="F188" s="424">
        <f>-F177</f>
        <v>1956.5402061855671</v>
      </c>
      <c r="G188" s="424">
        <f>D188+E188+F188</f>
        <v>5587.7018659793812</v>
      </c>
    </row>
    <row r="189" spans="2:24" s="34" customFormat="1" x14ac:dyDescent="0.35">
      <c r="B189" s="421" t="s">
        <v>309</v>
      </c>
      <c r="C189" s="421"/>
      <c r="D189" s="423">
        <f>D187-D188</f>
        <v>-35.679814432989815</v>
      </c>
      <c r="E189" s="423">
        <f>E187-E188</f>
        <v>-10.539537668516914</v>
      </c>
      <c r="F189" s="423">
        <f>F187-F188</f>
        <v>2.5174861221253195</v>
      </c>
      <c r="G189" s="423">
        <f>G187-G188</f>
        <v>-43.701865979381182</v>
      </c>
    </row>
    <row r="190" spans="2:24" s="34" customFormat="1" x14ac:dyDescent="0.35">
      <c r="C190" s="421" t="s">
        <v>164</v>
      </c>
      <c r="D190" s="426">
        <f>D133-D189</f>
        <v>-0.71340206185554678</v>
      </c>
      <c r="E190" s="426">
        <f>E133-E189</f>
        <v>3.2308881839808317</v>
      </c>
      <c r="F190" s="426">
        <f>F133-F189</f>
        <v>-2.5174861221253195</v>
      </c>
      <c r="G190" s="425"/>
    </row>
    <row r="191" spans="2:24" s="34" customFormat="1" x14ac:dyDescent="0.35"/>
    <row r="192" spans="2:24" s="34" customFormat="1" x14ac:dyDescent="0.35"/>
    <row r="193" s="34" customFormat="1" x14ac:dyDescent="0.35"/>
    <row r="194" s="34" customFormat="1" x14ac:dyDescent="0.35"/>
    <row r="195" s="34" customFormat="1" x14ac:dyDescent="0.35"/>
    <row r="196" s="34" customFormat="1" x14ac:dyDescent="0.35"/>
    <row r="197" s="34" customFormat="1" x14ac:dyDescent="0.35"/>
    <row r="198" s="34" customFormat="1" x14ac:dyDescent="0.35"/>
    <row r="199" s="34" customFormat="1" x14ac:dyDescent="0.35"/>
    <row r="200" s="34" customFormat="1" x14ac:dyDescent="0.35"/>
    <row r="201" s="34" customFormat="1" x14ac:dyDescent="0.35"/>
    <row r="202" s="34" customFormat="1" x14ac:dyDescent="0.35"/>
    <row r="203" s="34" customFormat="1" x14ac:dyDescent="0.35"/>
    <row r="204" s="34" customFormat="1" x14ac:dyDescent="0.35"/>
    <row r="205" s="34" customFormat="1" x14ac:dyDescent="0.35"/>
    <row r="206" s="34" customFormat="1" x14ac:dyDescent="0.35"/>
    <row r="207" s="34" customFormat="1" x14ac:dyDescent="0.35"/>
    <row r="208" s="34" customFormat="1" x14ac:dyDescent="0.35"/>
    <row r="209" s="34" customFormat="1" x14ac:dyDescent="0.35"/>
    <row r="210" s="34" customFormat="1" x14ac:dyDescent="0.35"/>
    <row r="211" s="34" customFormat="1" x14ac:dyDescent="0.35"/>
    <row r="212" s="34" customFormat="1" x14ac:dyDescent="0.35"/>
    <row r="213" s="34" customFormat="1" x14ac:dyDescent="0.35"/>
    <row r="214" s="34" customFormat="1" x14ac:dyDescent="0.35"/>
    <row r="215" s="34" customFormat="1" x14ac:dyDescent="0.35"/>
    <row r="216" s="34" customFormat="1" x14ac:dyDescent="0.35"/>
    <row r="217" s="34" customFormat="1" x14ac:dyDescent="0.35"/>
    <row r="218" s="34" customFormat="1" x14ac:dyDescent="0.35"/>
    <row r="219" s="34" customFormat="1" x14ac:dyDescent="0.35"/>
    <row r="220" s="34" customFormat="1" x14ac:dyDescent="0.35"/>
    <row r="221" s="34" customFormat="1" x14ac:dyDescent="0.35"/>
  </sheetData>
  <pageMargins left="0.75" right="0.75" top="1" bottom="1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S103"/>
  <sheetViews>
    <sheetView showGridLines="0" topLeftCell="A24" workbookViewId="0">
      <selection activeCell="B37" sqref="B37"/>
    </sheetView>
  </sheetViews>
  <sheetFormatPr baseColWidth="10" defaultColWidth="8.81640625" defaultRowHeight="14.5" x14ac:dyDescent="0.35"/>
  <cols>
    <col min="2" max="2" width="40.26953125" customWidth="1"/>
    <col min="3" max="20" width="7.81640625" customWidth="1"/>
    <col min="22" max="22" width="12.453125" bestFit="1" customWidth="1"/>
    <col min="27" max="27" width="73.26953125" bestFit="1" customWidth="1"/>
    <col min="28" max="29" width="12" bestFit="1" customWidth="1"/>
    <col min="30" max="30" width="13.453125" bestFit="1" customWidth="1"/>
    <col min="31" max="42" width="12" bestFit="1" customWidth="1"/>
    <col min="43" max="43" width="11" bestFit="1" customWidth="1"/>
    <col min="44" max="45" width="12" bestFit="1" customWidth="1"/>
  </cols>
  <sheetData>
    <row r="1" spans="2:42" ht="15" thickBot="1" x14ac:dyDescent="0.4"/>
    <row r="2" spans="2:42" ht="15" thickBot="1" x14ac:dyDescent="0.4">
      <c r="B2" s="496" t="s">
        <v>37</v>
      </c>
      <c r="C2" s="497"/>
      <c r="E2" s="57" t="s">
        <v>38</v>
      </c>
      <c r="F2" s="58"/>
      <c r="G2" s="167">
        <f>SUM(C32:L32,C25:L25,C27:L27)/SUM(C25:L25,C35:L35)</f>
        <v>1.675045054995568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AA2" t="s">
        <v>37</v>
      </c>
      <c r="AD2" t="s">
        <v>38</v>
      </c>
      <c r="AF2">
        <v>1.675045054995568</v>
      </c>
    </row>
    <row r="3" spans="2:42" x14ac:dyDescent="0.35">
      <c r="B3" s="59" t="s">
        <v>16</v>
      </c>
      <c r="C3" s="60">
        <v>0.85</v>
      </c>
      <c r="E3" s="61" t="s">
        <v>58</v>
      </c>
      <c r="F3" s="139"/>
      <c r="G3" s="168">
        <f>C52</f>
        <v>0.15313271368590331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AA3" t="s">
        <v>16</v>
      </c>
      <c r="AB3">
        <v>0.85</v>
      </c>
      <c r="AD3" t="s">
        <v>58</v>
      </c>
      <c r="AF3">
        <v>0.15313271368590331</v>
      </c>
    </row>
    <row r="4" spans="2:42" ht="15" thickBot="1" x14ac:dyDescent="0.4">
      <c r="B4" s="62" t="s">
        <v>39</v>
      </c>
      <c r="C4" s="63">
        <v>1</v>
      </c>
      <c r="E4" s="64" t="s">
        <v>59</v>
      </c>
      <c r="F4" s="140"/>
      <c r="G4" s="143">
        <f>C65</f>
        <v>0.12740783723973448</v>
      </c>
      <c r="AA4" t="s">
        <v>39</v>
      </c>
      <c r="AB4">
        <v>1</v>
      </c>
      <c r="AD4" t="s">
        <v>59</v>
      </c>
      <c r="AF4">
        <v>0.12740783723973448</v>
      </c>
    </row>
    <row r="5" spans="2:42" x14ac:dyDescent="0.35">
      <c r="B5" s="62" t="s">
        <v>40</v>
      </c>
      <c r="C5" s="65">
        <v>0.12</v>
      </c>
      <c r="AA5" t="s">
        <v>40</v>
      </c>
      <c r="AB5">
        <v>0.12</v>
      </c>
    </row>
    <row r="6" spans="2:42" x14ac:dyDescent="0.35">
      <c r="B6" s="387" t="s">
        <v>68</v>
      </c>
      <c r="C6" s="388">
        <f>'Operating Data'!C23</f>
        <v>2947.3638769273243</v>
      </c>
    </row>
    <row r="7" spans="2:42" ht="15" thickBot="1" x14ac:dyDescent="0.4">
      <c r="B7" s="66" t="s">
        <v>41</v>
      </c>
      <c r="C7" s="67">
        <v>1</v>
      </c>
      <c r="AA7" t="s">
        <v>41</v>
      </c>
      <c r="AB7">
        <v>1</v>
      </c>
    </row>
    <row r="9" spans="2:42" ht="15" thickBot="1" x14ac:dyDescent="0.4"/>
    <row r="10" spans="2:42" ht="16" thickBot="1" x14ac:dyDescent="0.4">
      <c r="B10" s="491" t="s">
        <v>106</v>
      </c>
      <c r="C10" s="492"/>
      <c r="D10" s="492"/>
      <c r="E10" s="492"/>
      <c r="F10" s="492"/>
      <c r="G10" s="492"/>
      <c r="H10" s="492"/>
      <c r="I10" s="492"/>
      <c r="J10" s="492"/>
      <c r="K10" s="492"/>
      <c r="L10" s="492"/>
      <c r="M10" s="492"/>
      <c r="N10" s="492"/>
      <c r="O10" s="492"/>
      <c r="P10" s="492"/>
      <c r="Q10" s="493"/>
      <c r="AA10" t="s">
        <v>0</v>
      </c>
    </row>
    <row r="11" spans="2:42" s="68" customFormat="1" ht="16" thickBot="1" x14ac:dyDescent="0.4">
      <c r="B11" s="30" t="s">
        <v>109</v>
      </c>
      <c r="C11" s="2">
        <v>2013</v>
      </c>
      <c r="D11" s="2">
        <v>2014</v>
      </c>
      <c r="E11" s="2">
        <v>2015</v>
      </c>
      <c r="F11" s="2">
        <v>2016</v>
      </c>
      <c r="G11" s="2">
        <v>2017</v>
      </c>
      <c r="H11" s="2">
        <v>2018</v>
      </c>
      <c r="I11" s="2">
        <v>2019</v>
      </c>
      <c r="J11" s="2">
        <v>2020</v>
      </c>
      <c r="K11" s="2">
        <v>2021</v>
      </c>
      <c r="L11" s="2">
        <v>2022</v>
      </c>
      <c r="M11" s="2">
        <v>2023</v>
      </c>
      <c r="N11" s="2">
        <v>2024</v>
      </c>
      <c r="O11" s="2">
        <v>2025</v>
      </c>
      <c r="P11" s="2">
        <v>2026</v>
      </c>
      <c r="Q11" s="3">
        <v>2027</v>
      </c>
      <c r="AA11" s="68" t="s">
        <v>14</v>
      </c>
      <c r="AB11" s="68">
        <v>2013</v>
      </c>
      <c r="AC11" s="68">
        <v>2014</v>
      </c>
      <c r="AD11" s="68">
        <v>2015</v>
      </c>
      <c r="AE11" s="68">
        <v>2016</v>
      </c>
      <c r="AF11" s="68">
        <v>2017</v>
      </c>
      <c r="AG11" s="68">
        <v>2018</v>
      </c>
      <c r="AH11" s="68">
        <v>2019</v>
      </c>
      <c r="AI11" s="68">
        <v>2020</v>
      </c>
      <c r="AJ11" s="68">
        <v>2021</v>
      </c>
      <c r="AK11" s="68">
        <v>2022</v>
      </c>
      <c r="AL11" s="68">
        <v>2023</v>
      </c>
      <c r="AM11" s="68">
        <v>2024</v>
      </c>
      <c r="AN11" s="68">
        <v>2025</v>
      </c>
      <c r="AO11" s="68">
        <v>2026</v>
      </c>
      <c r="AP11" s="68">
        <v>2027</v>
      </c>
    </row>
    <row r="12" spans="2:42" s="34" customFormat="1" ht="15.5" x14ac:dyDescent="0.35">
      <c r="B12" s="31" t="s">
        <v>15</v>
      </c>
      <c r="C12" s="178">
        <v>300</v>
      </c>
      <c r="D12" s="178">
        <v>300</v>
      </c>
      <c r="E12" s="178">
        <v>300</v>
      </c>
      <c r="F12" s="178">
        <v>300</v>
      </c>
      <c r="G12" s="178">
        <v>300</v>
      </c>
      <c r="H12" s="178">
        <v>300</v>
      </c>
      <c r="I12" s="178">
        <v>300</v>
      </c>
      <c r="J12" s="178">
        <v>300</v>
      </c>
      <c r="K12" s="178">
        <v>300</v>
      </c>
      <c r="L12" s="178">
        <v>300</v>
      </c>
      <c r="M12" s="178">
        <v>300</v>
      </c>
      <c r="N12" s="178">
        <v>300</v>
      </c>
      <c r="O12" s="178">
        <v>300</v>
      </c>
      <c r="P12" s="178">
        <v>300</v>
      </c>
      <c r="Q12" s="179">
        <v>300</v>
      </c>
      <c r="R12" s="71"/>
      <c r="AA12" s="34" t="s">
        <v>15</v>
      </c>
      <c r="AB12" s="34">
        <v>300</v>
      </c>
      <c r="AC12" s="34">
        <v>300</v>
      </c>
      <c r="AD12" s="34">
        <v>300</v>
      </c>
      <c r="AE12" s="34">
        <v>300</v>
      </c>
      <c r="AF12" s="34">
        <v>300</v>
      </c>
      <c r="AG12" s="34">
        <v>300</v>
      </c>
      <c r="AH12" s="34">
        <v>300</v>
      </c>
      <c r="AI12" s="34">
        <v>300</v>
      </c>
      <c r="AJ12" s="34">
        <v>300</v>
      </c>
      <c r="AK12" s="34">
        <v>300</v>
      </c>
      <c r="AL12" s="34">
        <v>300</v>
      </c>
      <c r="AM12" s="34">
        <v>300</v>
      </c>
      <c r="AN12" s="34">
        <v>300</v>
      </c>
      <c r="AO12" s="34">
        <v>300</v>
      </c>
      <c r="AP12" s="34">
        <v>300</v>
      </c>
    </row>
    <row r="13" spans="2:42" s="34" customFormat="1" ht="15.5" x14ac:dyDescent="0.35">
      <c r="B13" s="35" t="s">
        <v>16</v>
      </c>
      <c r="C13" s="72">
        <f>$C$3</f>
        <v>0.85</v>
      </c>
      <c r="D13" s="72">
        <f t="shared" ref="D13:Q13" si="0">$C$3</f>
        <v>0.85</v>
      </c>
      <c r="E13" s="72">
        <f t="shared" si="0"/>
        <v>0.85</v>
      </c>
      <c r="F13" s="72">
        <f t="shared" si="0"/>
        <v>0.85</v>
      </c>
      <c r="G13" s="72">
        <f t="shared" si="0"/>
        <v>0.85</v>
      </c>
      <c r="H13" s="72">
        <f t="shared" si="0"/>
        <v>0.85</v>
      </c>
      <c r="I13" s="72">
        <f t="shared" si="0"/>
        <v>0.85</v>
      </c>
      <c r="J13" s="72">
        <f t="shared" si="0"/>
        <v>0.85</v>
      </c>
      <c r="K13" s="72">
        <f t="shared" si="0"/>
        <v>0.85</v>
      </c>
      <c r="L13" s="72">
        <f t="shared" si="0"/>
        <v>0.85</v>
      </c>
      <c r="M13" s="72">
        <f t="shared" si="0"/>
        <v>0.85</v>
      </c>
      <c r="N13" s="72">
        <f t="shared" si="0"/>
        <v>0.85</v>
      </c>
      <c r="O13" s="72">
        <f t="shared" si="0"/>
        <v>0.85</v>
      </c>
      <c r="P13" s="72">
        <f t="shared" si="0"/>
        <v>0.85</v>
      </c>
      <c r="Q13" s="73">
        <f t="shared" si="0"/>
        <v>0.85</v>
      </c>
      <c r="R13" s="71"/>
      <c r="AA13" s="34" t="s">
        <v>16</v>
      </c>
      <c r="AB13" s="34">
        <v>0.85</v>
      </c>
      <c r="AC13" s="34">
        <v>0.85</v>
      </c>
      <c r="AD13" s="34">
        <v>0.85</v>
      </c>
      <c r="AE13" s="34">
        <v>0.85</v>
      </c>
      <c r="AF13" s="34">
        <v>0.85</v>
      </c>
      <c r="AG13" s="34">
        <v>0.85</v>
      </c>
      <c r="AH13" s="34">
        <v>0.85</v>
      </c>
      <c r="AI13" s="34">
        <v>0.85</v>
      </c>
      <c r="AJ13" s="34">
        <v>0.85</v>
      </c>
      <c r="AK13" s="34">
        <v>0.85</v>
      </c>
      <c r="AL13" s="34">
        <v>0.85</v>
      </c>
      <c r="AM13" s="34">
        <v>0.85</v>
      </c>
      <c r="AN13" s="34">
        <v>0.85</v>
      </c>
      <c r="AO13" s="34">
        <v>0.85</v>
      </c>
      <c r="AP13" s="34">
        <v>0.85</v>
      </c>
    </row>
    <row r="14" spans="2:42" s="34" customFormat="1" ht="15.5" x14ac:dyDescent="0.35">
      <c r="B14" s="35" t="s">
        <v>80</v>
      </c>
      <c r="C14" s="180">
        <f t="shared" ref="C14:Q14" si="1">C12*1000*24*365*C13/1000000</f>
        <v>2233.8000000000002</v>
      </c>
      <c r="D14" s="180">
        <f t="shared" si="1"/>
        <v>2233.8000000000002</v>
      </c>
      <c r="E14" s="180">
        <f t="shared" si="1"/>
        <v>2233.8000000000002</v>
      </c>
      <c r="F14" s="180">
        <f t="shared" si="1"/>
        <v>2233.8000000000002</v>
      </c>
      <c r="G14" s="180">
        <f t="shared" si="1"/>
        <v>2233.8000000000002</v>
      </c>
      <c r="H14" s="180">
        <f t="shared" si="1"/>
        <v>2233.8000000000002</v>
      </c>
      <c r="I14" s="180">
        <f t="shared" si="1"/>
        <v>2233.8000000000002</v>
      </c>
      <c r="J14" s="180">
        <f t="shared" si="1"/>
        <v>2233.8000000000002</v>
      </c>
      <c r="K14" s="180">
        <f t="shared" si="1"/>
        <v>2233.8000000000002</v>
      </c>
      <c r="L14" s="180">
        <f t="shared" si="1"/>
        <v>2233.8000000000002</v>
      </c>
      <c r="M14" s="180">
        <f t="shared" si="1"/>
        <v>2233.8000000000002</v>
      </c>
      <c r="N14" s="180">
        <f t="shared" si="1"/>
        <v>2233.8000000000002</v>
      </c>
      <c r="O14" s="180">
        <f t="shared" si="1"/>
        <v>2233.8000000000002</v>
      </c>
      <c r="P14" s="180">
        <f t="shared" si="1"/>
        <v>2233.8000000000002</v>
      </c>
      <c r="Q14" s="181">
        <f t="shared" si="1"/>
        <v>2233.8000000000002</v>
      </c>
      <c r="R14" s="71"/>
      <c r="AA14" s="34" t="s">
        <v>80</v>
      </c>
      <c r="AB14" s="34">
        <v>2233.8000000000002</v>
      </c>
      <c r="AC14" s="34">
        <v>2233.8000000000002</v>
      </c>
      <c r="AD14" s="34">
        <v>2233.8000000000002</v>
      </c>
      <c r="AE14" s="34">
        <v>2233.8000000000002</v>
      </c>
      <c r="AF14" s="34">
        <v>2233.8000000000002</v>
      </c>
      <c r="AG14" s="34">
        <v>2233.8000000000002</v>
      </c>
      <c r="AH14" s="34">
        <v>2233.8000000000002</v>
      </c>
      <c r="AI14" s="34">
        <v>2233.8000000000002</v>
      </c>
      <c r="AJ14" s="34">
        <v>2233.8000000000002</v>
      </c>
      <c r="AK14" s="34">
        <v>2233.8000000000002</v>
      </c>
      <c r="AL14" s="34">
        <v>2233.8000000000002</v>
      </c>
      <c r="AM14" s="34">
        <v>2233.8000000000002</v>
      </c>
      <c r="AN14" s="34">
        <v>2233.8000000000002</v>
      </c>
      <c r="AO14" s="34">
        <v>2233.8000000000002</v>
      </c>
      <c r="AP14" s="34">
        <v>2233.8000000000002</v>
      </c>
    </row>
    <row r="15" spans="2:42" s="34" customFormat="1" ht="15.5" x14ac:dyDescent="0.35">
      <c r="B15" s="35" t="s">
        <v>81</v>
      </c>
      <c r="C15" s="180">
        <v>201</v>
      </c>
      <c r="D15" s="180">
        <v>201</v>
      </c>
      <c r="E15" s="180">
        <v>201</v>
      </c>
      <c r="F15" s="180">
        <v>201</v>
      </c>
      <c r="G15" s="180">
        <v>201</v>
      </c>
      <c r="H15" s="180">
        <v>201</v>
      </c>
      <c r="I15" s="180">
        <v>201</v>
      </c>
      <c r="J15" s="180">
        <v>201</v>
      </c>
      <c r="K15" s="180">
        <v>201</v>
      </c>
      <c r="L15" s="180">
        <v>201</v>
      </c>
      <c r="M15" s="180">
        <v>201</v>
      </c>
      <c r="N15" s="180">
        <v>201</v>
      </c>
      <c r="O15" s="180">
        <v>201</v>
      </c>
      <c r="P15" s="180">
        <v>201</v>
      </c>
      <c r="Q15" s="181">
        <v>201</v>
      </c>
      <c r="R15" s="71"/>
      <c r="AA15" s="34" t="s">
        <v>81</v>
      </c>
      <c r="AB15" s="34">
        <v>201</v>
      </c>
      <c r="AC15" s="34">
        <v>201</v>
      </c>
      <c r="AD15" s="34">
        <v>201</v>
      </c>
      <c r="AE15" s="34">
        <v>201</v>
      </c>
      <c r="AF15" s="34">
        <v>201</v>
      </c>
      <c r="AG15" s="34">
        <v>201</v>
      </c>
      <c r="AH15" s="34">
        <v>201</v>
      </c>
      <c r="AI15" s="34">
        <v>201</v>
      </c>
      <c r="AJ15" s="34">
        <v>201</v>
      </c>
      <c r="AK15" s="34">
        <v>201</v>
      </c>
      <c r="AL15" s="34">
        <v>201</v>
      </c>
      <c r="AM15" s="34">
        <v>201</v>
      </c>
      <c r="AN15" s="34">
        <v>201</v>
      </c>
      <c r="AO15" s="34">
        <v>201</v>
      </c>
      <c r="AP15" s="34">
        <v>201</v>
      </c>
    </row>
    <row r="16" spans="2:42" s="34" customFormat="1" ht="15.5" x14ac:dyDescent="0.35">
      <c r="B16" s="78" t="s">
        <v>82</v>
      </c>
      <c r="C16" s="180">
        <f t="shared" ref="C16:Q16" si="2">C14-C15</f>
        <v>2032.8000000000002</v>
      </c>
      <c r="D16" s="180">
        <f t="shared" si="2"/>
        <v>2032.8000000000002</v>
      </c>
      <c r="E16" s="180">
        <f t="shared" si="2"/>
        <v>2032.8000000000002</v>
      </c>
      <c r="F16" s="180">
        <f t="shared" si="2"/>
        <v>2032.8000000000002</v>
      </c>
      <c r="G16" s="180">
        <f t="shared" si="2"/>
        <v>2032.8000000000002</v>
      </c>
      <c r="H16" s="180">
        <f t="shared" si="2"/>
        <v>2032.8000000000002</v>
      </c>
      <c r="I16" s="180">
        <f t="shared" si="2"/>
        <v>2032.8000000000002</v>
      </c>
      <c r="J16" s="180">
        <f t="shared" si="2"/>
        <v>2032.8000000000002</v>
      </c>
      <c r="K16" s="180">
        <f t="shared" si="2"/>
        <v>2032.8000000000002</v>
      </c>
      <c r="L16" s="180">
        <f t="shared" si="2"/>
        <v>2032.8000000000002</v>
      </c>
      <c r="M16" s="180">
        <f t="shared" si="2"/>
        <v>2032.8000000000002</v>
      </c>
      <c r="N16" s="180">
        <f t="shared" si="2"/>
        <v>2032.8000000000002</v>
      </c>
      <c r="O16" s="180">
        <f t="shared" si="2"/>
        <v>2032.8000000000002</v>
      </c>
      <c r="P16" s="180">
        <f t="shared" si="2"/>
        <v>2032.8000000000002</v>
      </c>
      <c r="Q16" s="181">
        <f t="shared" si="2"/>
        <v>2032.8000000000002</v>
      </c>
      <c r="AA16" s="34" t="s">
        <v>82</v>
      </c>
      <c r="AB16" s="34">
        <v>2032.8000000000002</v>
      </c>
      <c r="AC16" s="34">
        <v>2032.8000000000002</v>
      </c>
      <c r="AD16" s="34">
        <v>2032.8000000000002</v>
      </c>
      <c r="AE16" s="34">
        <v>2032.8000000000002</v>
      </c>
      <c r="AF16" s="34">
        <v>2032.8000000000002</v>
      </c>
      <c r="AG16" s="34">
        <v>2032.8000000000002</v>
      </c>
      <c r="AH16" s="34">
        <v>2032.8000000000002</v>
      </c>
      <c r="AI16" s="34">
        <v>2032.8000000000002</v>
      </c>
      <c r="AJ16" s="34">
        <v>2032.8000000000002</v>
      </c>
      <c r="AK16" s="34">
        <v>2032.8000000000002</v>
      </c>
      <c r="AL16" s="34">
        <v>2032.8000000000002</v>
      </c>
      <c r="AM16" s="34">
        <v>2032.8000000000002</v>
      </c>
      <c r="AN16" s="34">
        <v>2032.8000000000002</v>
      </c>
      <c r="AO16" s="34">
        <v>2032.8000000000002</v>
      </c>
      <c r="AP16" s="34">
        <v>2032.8000000000002</v>
      </c>
    </row>
    <row r="17" spans="2:42" s="34" customFormat="1" ht="15.5" x14ac:dyDescent="0.35">
      <c r="B17" s="35" t="s">
        <v>111</v>
      </c>
      <c r="C17" s="195">
        <v>3.3</v>
      </c>
      <c r="D17" s="195">
        <f>C17*1.01</f>
        <v>3.3329999999999997</v>
      </c>
      <c r="E17" s="195">
        <f t="shared" ref="E17:Q17" si="3">D17*1.01</f>
        <v>3.3663299999999996</v>
      </c>
      <c r="F17" s="195">
        <f t="shared" si="3"/>
        <v>3.3999932999999998</v>
      </c>
      <c r="G17" s="195">
        <f t="shared" si="3"/>
        <v>3.4339932329999998</v>
      </c>
      <c r="H17" s="195">
        <f t="shared" si="3"/>
        <v>3.4683331653299998</v>
      </c>
      <c r="I17" s="195">
        <f t="shared" si="3"/>
        <v>3.5030164969833</v>
      </c>
      <c r="J17" s="195">
        <f t="shared" si="3"/>
        <v>3.5380466619531332</v>
      </c>
      <c r="K17" s="195">
        <f t="shared" si="3"/>
        <v>3.5734271285726646</v>
      </c>
      <c r="L17" s="195">
        <f t="shared" si="3"/>
        <v>3.6091613998583911</v>
      </c>
      <c r="M17" s="195">
        <f t="shared" si="3"/>
        <v>3.645253013856975</v>
      </c>
      <c r="N17" s="195">
        <f t="shared" si="3"/>
        <v>3.6817055439955446</v>
      </c>
      <c r="O17" s="195">
        <f t="shared" si="3"/>
        <v>3.7185225994355</v>
      </c>
      <c r="P17" s="195">
        <f t="shared" si="3"/>
        <v>3.7557078254298553</v>
      </c>
      <c r="Q17" s="196">
        <f t="shared" si="3"/>
        <v>3.7932649036841539</v>
      </c>
      <c r="R17" s="81"/>
      <c r="AA17" s="34" t="s">
        <v>83</v>
      </c>
      <c r="AB17" s="34">
        <v>3.3</v>
      </c>
      <c r="AC17" s="34">
        <v>3.3329999999999997</v>
      </c>
      <c r="AD17" s="34">
        <v>3.3663299999999996</v>
      </c>
      <c r="AE17" s="34">
        <v>3.3999932999999998</v>
      </c>
      <c r="AF17" s="34">
        <v>3.4339932329999998</v>
      </c>
      <c r="AG17" s="34">
        <v>3.4683331653299998</v>
      </c>
      <c r="AH17" s="34">
        <v>3.5030164969833</v>
      </c>
      <c r="AI17" s="34">
        <v>3.5380466619531332</v>
      </c>
      <c r="AJ17" s="34">
        <v>3.5734271285726646</v>
      </c>
      <c r="AK17" s="34">
        <v>3.6091613998583911</v>
      </c>
      <c r="AL17" s="34">
        <v>3.645253013856975</v>
      </c>
      <c r="AM17" s="34">
        <v>3.6817055439955446</v>
      </c>
      <c r="AN17" s="34">
        <v>3.7185225994355</v>
      </c>
      <c r="AO17" s="34">
        <v>3.7557078254298553</v>
      </c>
      <c r="AP17" s="34">
        <v>3.7932649036841539</v>
      </c>
    </row>
    <row r="18" spans="2:42" s="34" customFormat="1" ht="15.5" x14ac:dyDescent="0.35">
      <c r="B18" s="82" t="s">
        <v>21</v>
      </c>
      <c r="C18" s="182">
        <f>C16*C17</f>
        <v>6708.2400000000007</v>
      </c>
      <c r="D18" s="182">
        <f t="shared" ref="D18:Q18" si="4">D16*D17</f>
        <v>6775.3224</v>
      </c>
      <c r="E18" s="182">
        <f t="shared" si="4"/>
        <v>6843.0756240000001</v>
      </c>
      <c r="F18" s="182">
        <f t="shared" si="4"/>
        <v>6911.50638024</v>
      </c>
      <c r="G18" s="182">
        <f t="shared" si="4"/>
        <v>6980.6214440424001</v>
      </c>
      <c r="H18" s="182">
        <f t="shared" si="4"/>
        <v>7050.427658482824</v>
      </c>
      <c r="I18" s="182">
        <f t="shared" si="4"/>
        <v>7120.9319350676524</v>
      </c>
      <c r="J18" s="182">
        <f t="shared" si="4"/>
        <v>7192.1412544183295</v>
      </c>
      <c r="K18" s="182">
        <f t="shared" si="4"/>
        <v>7264.0626669625135</v>
      </c>
      <c r="L18" s="182">
        <f t="shared" si="4"/>
        <v>7336.7032936321384</v>
      </c>
      <c r="M18" s="182">
        <f t="shared" si="4"/>
        <v>7410.0703265684597</v>
      </c>
      <c r="N18" s="182">
        <f t="shared" si="4"/>
        <v>7484.1710298341441</v>
      </c>
      <c r="O18" s="182">
        <f t="shared" si="4"/>
        <v>7559.0127401324853</v>
      </c>
      <c r="P18" s="182">
        <f t="shared" si="4"/>
        <v>7634.6028675338102</v>
      </c>
      <c r="Q18" s="183">
        <f t="shared" si="4"/>
        <v>7710.9488962091491</v>
      </c>
      <c r="AA18" s="34" t="s">
        <v>21</v>
      </c>
      <c r="AB18" s="34">
        <v>6708.2400000000007</v>
      </c>
      <c r="AC18" s="34">
        <v>6775.3224</v>
      </c>
      <c r="AD18" s="34">
        <v>6843.0756240000001</v>
      </c>
      <c r="AE18" s="34">
        <v>6911.50638024</v>
      </c>
      <c r="AF18" s="34">
        <v>6980.6214440424001</v>
      </c>
      <c r="AG18" s="34">
        <v>7050.427658482824</v>
      </c>
      <c r="AH18" s="34">
        <v>7120.9319350676524</v>
      </c>
      <c r="AI18" s="34">
        <v>7192.1412544183295</v>
      </c>
      <c r="AJ18" s="34">
        <v>7264.0626669625135</v>
      </c>
      <c r="AK18" s="34">
        <v>7336.7032936321384</v>
      </c>
      <c r="AL18" s="34">
        <v>7410.0703265684597</v>
      </c>
      <c r="AM18" s="34">
        <v>7484.1710298341441</v>
      </c>
      <c r="AN18" s="34">
        <v>7559.0127401324853</v>
      </c>
      <c r="AO18" s="34">
        <v>7634.6028675338102</v>
      </c>
      <c r="AP18" s="34">
        <v>7710.9488962091491</v>
      </c>
    </row>
    <row r="19" spans="2:42" s="34" customFormat="1" ht="15.5" x14ac:dyDescent="0.35">
      <c r="B19" s="45" t="s">
        <v>22</v>
      </c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5"/>
      <c r="AA19" s="34" t="s">
        <v>22</v>
      </c>
    </row>
    <row r="20" spans="2:42" s="34" customFormat="1" ht="15.5" x14ac:dyDescent="0.35">
      <c r="B20" s="35" t="s">
        <v>41</v>
      </c>
      <c r="C20" s="180">
        <f>($C$6*$C$7)*((1.03^(C11-2012)))</f>
        <v>3035.7847932351442</v>
      </c>
      <c r="D20" s="180">
        <f t="shared" ref="D20:Q20" si="5">($C$6*((1.03^(D11-2012))))*$C$7</f>
        <v>3126.8583370321981</v>
      </c>
      <c r="E20" s="180">
        <f t="shared" si="5"/>
        <v>3220.6640871431641</v>
      </c>
      <c r="F20" s="180">
        <f t="shared" si="5"/>
        <v>3317.284009757459</v>
      </c>
      <c r="G20" s="180">
        <f t="shared" si="5"/>
        <v>3416.8025300501827</v>
      </c>
      <c r="H20" s="180">
        <f t="shared" si="5"/>
        <v>3519.3066059516882</v>
      </c>
      <c r="I20" s="180">
        <f t="shared" si="5"/>
        <v>3624.8858041302392</v>
      </c>
      <c r="J20" s="180">
        <f t="shared" si="5"/>
        <v>3733.6323782541458</v>
      </c>
      <c r="K20" s="180">
        <f t="shared" si="5"/>
        <v>3845.6413496017703</v>
      </c>
      <c r="L20" s="180">
        <f t="shared" si="5"/>
        <v>3961.0105900898234</v>
      </c>
      <c r="M20" s="180">
        <f t="shared" si="5"/>
        <v>4079.8409077925185</v>
      </c>
      <c r="N20" s="180">
        <f t="shared" si="5"/>
        <v>4202.2361350262936</v>
      </c>
      <c r="O20" s="180">
        <f t="shared" si="5"/>
        <v>4328.3032190770818</v>
      </c>
      <c r="P20" s="180">
        <f t="shared" si="5"/>
        <v>4458.152315649395</v>
      </c>
      <c r="Q20" s="185">
        <f t="shared" si="5"/>
        <v>4591.8968851188765</v>
      </c>
      <c r="AA20" s="34" t="s">
        <v>41</v>
      </c>
      <c r="AB20" s="166">
        <v>3035.7847932351442</v>
      </c>
      <c r="AC20" s="166">
        <v>3126.8583370321981</v>
      </c>
      <c r="AD20" s="166">
        <v>3220.6640871431641</v>
      </c>
      <c r="AE20" s="166">
        <v>3317.284009757459</v>
      </c>
      <c r="AF20" s="166">
        <v>3416.8025300501827</v>
      </c>
      <c r="AG20" s="166">
        <v>3519.3066059516882</v>
      </c>
      <c r="AH20" s="166">
        <v>3624.8858041302392</v>
      </c>
      <c r="AI20" s="166">
        <v>3733.6323782541458</v>
      </c>
      <c r="AJ20" s="166">
        <v>3845.6413496017703</v>
      </c>
      <c r="AK20" s="166">
        <v>3961.0105900898234</v>
      </c>
      <c r="AL20" s="166">
        <v>4079.8409077925185</v>
      </c>
      <c r="AM20" s="166">
        <v>4202.2361350262936</v>
      </c>
      <c r="AN20" s="166">
        <v>4328.3032190770818</v>
      </c>
      <c r="AO20" s="166">
        <v>4458.152315649395</v>
      </c>
      <c r="AP20" s="166">
        <v>4591.8968851188765</v>
      </c>
    </row>
    <row r="21" spans="2:42" s="34" customFormat="1" ht="15.5" x14ac:dyDescent="0.35">
      <c r="B21" s="35" t="s">
        <v>84</v>
      </c>
      <c r="C21" s="180">
        <f t="shared" ref="C21:Q21" si="6">((1.55*C12*((1.04)^(C11-2012))))*($C$3/85%)</f>
        <v>483.6</v>
      </c>
      <c r="D21" s="180">
        <f t="shared" si="6"/>
        <v>502.94400000000007</v>
      </c>
      <c r="E21" s="180">
        <f t="shared" si="6"/>
        <v>523.06176000000005</v>
      </c>
      <c r="F21" s="180">
        <f t="shared" si="6"/>
        <v>543.98423040000011</v>
      </c>
      <c r="G21" s="180">
        <f t="shared" si="6"/>
        <v>565.74359961600021</v>
      </c>
      <c r="H21" s="180">
        <f t="shared" si="6"/>
        <v>588.37334360064017</v>
      </c>
      <c r="I21" s="180">
        <f t="shared" si="6"/>
        <v>611.90827734466575</v>
      </c>
      <c r="J21" s="180">
        <f t="shared" si="6"/>
        <v>636.38460843845246</v>
      </c>
      <c r="K21" s="180">
        <f t="shared" si="6"/>
        <v>661.83999277599059</v>
      </c>
      <c r="L21" s="180">
        <f t="shared" si="6"/>
        <v>688.31359248703018</v>
      </c>
      <c r="M21" s="180">
        <f t="shared" si="6"/>
        <v>715.84613618651144</v>
      </c>
      <c r="N21" s="180">
        <f t="shared" si="6"/>
        <v>744.47998163397199</v>
      </c>
      <c r="O21" s="180">
        <f t="shared" si="6"/>
        <v>774.25918089933089</v>
      </c>
      <c r="P21" s="180">
        <f t="shared" si="6"/>
        <v>805.22954813530419</v>
      </c>
      <c r="Q21" s="181">
        <f t="shared" si="6"/>
        <v>837.43873006071624</v>
      </c>
      <c r="AA21" s="34" t="s">
        <v>84</v>
      </c>
      <c r="AB21" s="166">
        <v>483.6</v>
      </c>
      <c r="AC21" s="166">
        <v>502.94400000000007</v>
      </c>
      <c r="AD21" s="166">
        <v>523.06176000000005</v>
      </c>
      <c r="AE21" s="166">
        <v>543.98423040000011</v>
      </c>
      <c r="AF21" s="166">
        <v>565.74359961600021</v>
      </c>
      <c r="AG21" s="166">
        <v>588.37334360064017</v>
      </c>
      <c r="AH21" s="166">
        <v>611.90827734466575</v>
      </c>
      <c r="AI21" s="166">
        <v>636.38460843845246</v>
      </c>
      <c r="AJ21" s="166">
        <v>661.83999277599059</v>
      </c>
      <c r="AK21" s="166">
        <v>688.31359248703018</v>
      </c>
      <c r="AL21" s="166">
        <v>715.84613618651144</v>
      </c>
      <c r="AM21" s="166">
        <v>744.47998163397199</v>
      </c>
      <c r="AN21" s="166">
        <v>774.25918089933089</v>
      </c>
      <c r="AO21" s="166">
        <v>805.22954813530419</v>
      </c>
      <c r="AP21" s="166">
        <v>837.43873006071624</v>
      </c>
    </row>
    <row r="22" spans="2:42" s="34" customFormat="1" ht="15.5" x14ac:dyDescent="0.35">
      <c r="B22" s="82" t="s">
        <v>25</v>
      </c>
      <c r="C22" s="180">
        <f t="shared" ref="C22:Q22" si="7">SUM(C20:C21)</f>
        <v>3519.3847932351441</v>
      </c>
      <c r="D22" s="180">
        <f t="shared" si="7"/>
        <v>3629.802337032198</v>
      </c>
      <c r="E22" s="180">
        <f t="shared" si="7"/>
        <v>3743.7258471431642</v>
      </c>
      <c r="F22" s="180">
        <f t="shared" si="7"/>
        <v>3861.2682401574593</v>
      </c>
      <c r="G22" s="180">
        <f t="shared" si="7"/>
        <v>3982.5461296661829</v>
      </c>
      <c r="H22" s="180">
        <f t="shared" si="7"/>
        <v>4107.6799495523283</v>
      </c>
      <c r="I22" s="180">
        <f t="shared" si="7"/>
        <v>4236.7940814749054</v>
      </c>
      <c r="J22" s="180">
        <f t="shared" si="7"/>
        <v>4370.016986692598</v>
      </c>
      <c r="K22" s="180">
        <f t="shared" si="7"/>
        <v>4507.4813423777614</v>
      </c>
      <c r="L22" s="180">
        <f t="shared" si="7"/>
        <v>4649.3241825768537</v>
      </c>
      <c r="M22" s="180">
        <f t="shared" si="7"/>
        <v>4795.68704397903</v>
      </c>
      <c r="N22" s="180">
        <f t="shared" si="7"/>
        <v>4946.7161166602655</v>
      </c>
      <c r="O22" s="180">
        <f t="shared" si="7"/>
        <v>5102.562399976413</v>
      </c>
      <c r="P22" s="180">
        <f t="shared" si="7"/>
        <v>5263.3818637846989</v>
      </c>
      <c r="Q22" s="181">
        <f t="shared" si="7"/>
        <v>5429.3356151795924</v>
      </c>
      <c r="V22" s="145"/>
      <c r="AA22" s="34" t="s">
        <v>25</v>
      </c>
      <c r="AB22" s="166">
        <v>3519.3847932351441</v>
      </c>
      <c r="AC22" s="166">
        <v>3629.802337032198</v>
      </c>
      <c r="AD22" s="166">
        <v>3743.7258471431642</v>
      </c>
      <c r="AE22" s="166">
        <v>3861.2682401574593</v>
      </c>
      <c r="AF22" s="166">
        <v>3982.5461296661829</v>
      </c>
      <c r="AG22" s="166">
        <v>4107.6799495523283</v>
      </c>
      <c r="AH22" s="166">
        <v>4236.7940814749054</v>
      </c>
      <c r="AI22" s="166">
        <v>4370.016986692598</v>
      </c>
      <c r="AJ22" s="166">
        <v>4507.4813423777614</v>
      </c>
      <c r="AK22" s="166">
        <v>4649.3241825768537</v>
      </c>
      <c r="AL22" s="166">
        <v>4795.68704397903</v>
      </c>
      <c r="AM22" s="166">
        <v>4946.7161166602655</v>
      </c>
      <c r="AN22" s="166">
        <v>5102.562399976413</v>
      </c>
      <c r="AO22" s="166">
        <v>5263.3818637846989</v>
      </c>
      <c r="AP22" s="166">
        <v>5429.3356151795924</v>
      </c>
    </row>
    <row r="23" spans="2:42" s="34" customFormat="1" ht="31" x14ac:dyDescent="0.35">
      <c r="B23" s="85" t="s">
        <v>85</v>
      </c>
      <c r="C23" s="182">
        <f t="shared" ref="C23:Q23" si="8">C18-C22</f>
        <v>3188.8552067648566</v>
      </c>
      <c r="D23" s="182">
        <f t="shared" si="8"/>
        <v>3145.520062967802</v>
      </c>
      <c r="E23" s="182">
        <f t="shared" si="8"/>
        <v>3099.3497768568359</v>
      </c>
      <c r="F23" s="182">
        <f t="shared" si="8"/>
        <v>3050.2381400825407</v>
      </c>
      <c r="G23" s="182">
        <f t="shared" si="8"/>
        <v>2998.0753143762172</v>
      </c>
      <c r="H23" s="182">
        <f t="shared" si="8"/>
        <v>2942.7477089304957</v>
      </c>
      <c r="I23" s="182">
        <f t="shared" si="8"/>
        <v>2884.137853592747</v>
      </c>
      <c r="J23" s="182">
        <f t="shared" si="8"/>
        <v>2822.1242677257314</v>
      </c>
      <c r="K23" s="182">
        <f t="shared" si="8"/>
        <v>2756.5813245847521</v>
      </c>
      <c r="L23" s="182">
        <f t="shared" si="8"/>
        <v>2687.3791110552847</v>
      </c>
      <c r="M23" s="182">
        <f t="shared" si="8"/>
        <v>2614.3832825894297</v>
      </c>
      <c r="N23" s="182">
        <f t="shared" si="8"/>
        <v>2537.4549131738786</v>
      </c>
      <c r="O23" s="182">
        <f t="shared" si="8"/>
        <v>2456.4503401560723</v>
      </c>
      <c r="P23" s="182">
        <f t="shared" si="8"/>
        <v>2371.2210037491113</v>
      </c>
      <c r="Q23" s="183">
        <f t="shared" si="8"/>
        <v>2281.6132810295567</v>
      </c>
      <c r="AA23" s="34" t="s">
        <v>85</v>
      </c>
      <c r="AB23" s="166">
        <v>3188.8552067648566</v>
      </c>
      <c r="AC23" s="166">
        <v>3145.520062967802</v>
      </c>
      <c r="AD23" s="166">
        <v>3099.3497768568359</v>
      </c>
      <c r="AE23" s="166">
        <v>3050.2381400825407</v>
      </c>
      <c r="AF23" s="166">
        <v>2998.0753143762172</v>
      </c>
      <c r="AG23" s="166">
        <v>2942.7477089304957</v>
      </c>
      <c r="AH23" s="166">
        <v>2884.137853592747</v>
      </c>
      <c r="AI23" s="166">
        <v>2822.1242677257314</v>
      </c>
      <c r="AJ23" s="166">
        <v>2756.5813245847521</v>
      </c>
      <c r="AK23" s="166">
        <v>2687.3791110552847</v>
      </c>
      <c r="AL23" s="166">
        <v>2614.3832825894297</v>
      </c>
      <c r="AM23" s="166">
        <v>2537.4549131738786</v>
      </c>
      <c r="AN23" s="166">
        <v>2456.4503401560723</v>
      </c>
      <c r="AO23" s="166">
        <v>2371.2210037491113</v>
      </c>
      <c r="AP23" s="166">
        <v>2281.6132810295567</v>
      </c>
    </row>
    <row r="24" spans="2:42" s="34" customFormat="1" ht="15.5" x14ac:dyDescent="0.35">
      <c r="B24" s="45" t="s">
        <v>27</v>
      </c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5"/>
      <c r="AA24" s="34" t="s">
        <v>27</v>
      </c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</row>
    <row r="25" spans="2:42" s="34" customFormat="1" ht="15.5" x14ac:dyDescent="0.35">
      <c r="B25" s="35" t="s">
        <v>28</v>
      </c>
      <c r="C25" s="180">
        <f>$C$5*(('Balance Sheet (Case Exhibit 6)'!F12+'Balance Sheet (Case Exhibit 6)'!G12)/2)</f>
        <v>1131.5999999999999</v>
      </c>
      <c r="D25" s="180">
        <f>$C$5*(('Balance Sheet (Case Exhibit 6)'!G12+'Balance Sheet (Case Exhibit 6)'!H12)/2)</f>
        <v>1033.2</v>
      </c>
      <c r="E25" s="180">
        <f>$C$5*(('Balance Sheet (Case Exhibit 6)'!H12+'Balance Sheet (Case Exhibit 6)'!I12)/2)</f>
        <v>903</v>
      </c>
      <c r="F25" s="180">
        <f>$C$5*(('Balance Sheet (Case Exhibit 6)'!I12+'Balance Sheet (Case Exhibit 6)'!J12)/2)</f>
        <v>774</v>
      </c>
      <c r="G25" s="180">
        <f>$C$5*(('Balance Sheet (Case Exhibit 6)'!J12+'Balance Sheet (Case Exhibit 6)'!K12)/2)</f>
        <v>645</v>
      </c>
      <c r="H25" s="180">
        <f>$C$5*(('Balance Sheet (Case Exhibit 6)'!K12+'Balance Sheet (Case Exhibit 6)'!L12)/2)</f>
        <v>516</v>
      </c>
      <c r="I25" s="180">
        <f>$C$5*(('Balance Sheet (Case Exhibit 6)'!L12+'Balance Sheet (Case Exhibit 6)'!M12)/2)</f>
        <v>387</v>
      </c>
      <c r="J25" s="180">
        <f>$C$5*(('Balance Sheet (Case Exhibit 6)'!M12+'Balance Sheet (Case Exhibit 6)'!N12)/2)</f>
        <v>258</v>
      </c>
      <c r="K25" s="180">
        <f>$C$5*(('Balance Sheet (Case Exhibit 6)'!N12+'Balance Sheet (Case Exhibit 6)'!O12)/2)</f>
        <v>129</v>
      </c>
      <c r="L25" s="180">
        <f>$C$5*(('Balance Sheet (Case Exhibit 6)'!O12+'Balance Sheet (Case Exhibit 6)'!P12)/2)</f>
        <v>32.4</v>
      </c>
      <c r="M25" s="180">
        <f>$C$5*(('Balance Sheet (Case Exhibit 6)'!P12+'Balance Sheet (Case Exhibit 6)'!Q12)/2)</f>
        <v>0</v>
      </c>
      <c r="N25" s="180">
        <f>$C$5*(('Balance Sheet (Case Exhibit 6)'!Q12+'Balance Sheet (Case Exhibit 6)'!R12)/2)</f>
        <v>0</v>
      </c>
      <c r="O25" s="180">
        <f>$C$5*(('Balance Sheet (Case Exhibit 6)'!R12+'Balance Sheet (Case Exhibit 6)'!S12)/2)</f>
        <v>0</v>
      </c>
      <c r="P25" s="180">
        <f>$C$5*(('Balance Sheet (Case Exhibit 6)'!S12+'Balance Sheet (Case Exhibit 6)'!T12)/2)</f>
        <v>0</v>
      </c>
      <c r="Q25" s="181">
        <f>$C$5*(('Balance Sheet (Case Exhibit 6)'!T12+'Balance Sheet (Case Exhibit 6)'!U12)/2)</f>
        <v>0</v>
      </c>
      <c r="AA25" s="34" t="s">
        <v>28</v>
      </c>
      <c r="AB25" s="166">
        <v>1131.5999999999999</v>
      </c>
      <c r="AC25" s="166">
        <v>1033.2</v>
      </c>
      <c r="AD25" s="166">
        <v>903</v>
      </c>
      <c r="AE25" s="166">
        <v>774</v>
      </c>
      <c r="AF25" s="166">
        <v>645</v>
      </c>
      <c r="AG25" s="166">
        <v>516</v>
      </c>
      <c r="AH25" s="166">
        <v>387</v>
      </c>
      <c r="AI25" s="166">
        <v>258</v>
      </c>
      <c r="AJ25" s="166">
        <v>129</v>
      </c>
      <c r="AK25" s="166">
        <v>32.4</v>
      </c>
      <c r="AL25" s="166">
        <v>0</v>
      </c>
      <c r="AM25" s="166">
        <v>0</v>
      </c>
      <c r="AN25" s="166">
        <v>0</v>
      </c>
      <c r="AO25" s="166">
        <v>0</v>
      </c>
      <c r="AP25" s="166">
        <v>0</v>
      </c>
    </row>
    <row r="26" spans="2:42" s="34" customFormat="1" ht="15.5" x14ac:dyDescent="0.35">
      <c r="B26" s="35" t="s">
        <v>29</v>
      </c>
      <c r="C26" s="187">
        <f>$C$5*(('Balance Sheet (Case Exhibit 6)'!G13))</f>
        <v>111.6</v>
      </c>
      <c r="D26" s="187">
        <f>$C$5*(('Balance Sheet (Case Exhibit 6)'!G13+'Balance Sheet (Case Exhibit 6)'!H13)/2)</f>
        <v>112.2</v>
      </c>
      <c r="E26" s="187">
        <f>$C$5*(('Balance Sheet (Case Exhibit 6)'!H13+'Balance Sheet (Case Exhibit 6)'!I13)/2)</f>
        <v>114</v>
      </c>
      <c r="F26" s="187">
        <f>$C$5*(('Balance Sheet (Case Exhibit 6)'!I13+'Balance Sheet (Case Exhibit 6)'!J13)/2)</f>
        <v>116.39999999999999</v>
      </c>
      <c r="G26" s="187">
        <f>$C$5*(('Balance Sheet (Case Exhibit 6)'!J13+'Balance Sheet (Case Exhibit 6)'!K13)/2)</f>
        <v>118.19999999999999</v>
      </c>
      <c r="H26" s="187">
        <f>$C$5*(('Balance Sheet (Case Exhibit 6)'!K13+'Balance Sheet (Case Exhibit 6)'!L13)/2)</f>
        <v>120</v>
      </c>
      <c r="I26" s="187">
        <f>$C$5*(('Balance Sheet (Case Exhibit 6)'!L13+'Balance Sheet (Case Exhibit 6)'!M13)/2)</f>
        <v>122.39999999999999</v>
      </c>
      <c r="J26" s="187">
        <f>$C$5*(('Balance Sheet (Case Exhibit 6)'!M13+'Balance Sheet (Case Exhibit 6)'!N13)/2)</f>
        <v>124.8</v>
      </c>
      <c r="K26" s="187">
        <f>$C$5*(('Balance Sheet (Case Exhibit 6)'!N13+'Balance Sheet (Case Exhibit 6)'!O13)/2)</f>
        <v>127.19999999999999</v>
      </c>
      <c r="L26" s="187">
        <f>$C$5*(('Balance Sheet (Case Exhibit 6)'!O13+'Balance Sheet (Case Exhibit 6)'!P13)/2)</f>
        <v>129.6</v>
      </c>
      <c r="M26" s="187">
        <f>$C$5*(('Balance Sheet (Case Exhibit 6)'!P13+'Balance Sheet (Case Exhibit 6)'!Q13)/2)</f>
        <v>132</v>
      </c>
      <c r="N26" s="187">
        <f>$C$5*(('Balance Sheet (Case Exhibit 6)'!Q13+'Balance Sheet (Case Exhibit 6)'!R13)/2)</f>
        <v>134.4</v>
      </c>
      <c r="O26" s="187">
        <f>$C$5*(('Balance Sheet (Case Exhibit 6)'!R13+'Balance Sheet (Case Exhibit 6)'!S13)/2)</f>
        <v>137.4</v>
      </c>
      <c r="P26" s="187">
        <f>$C$5*(('Balance Sheet (Case Exhibit 6)'!S13+'Balance Sheet (Case Exhibit 6)'!T13)/2)</f>
        <v>140.4</v>
      </c>
      <c r="Q26" s="188">
        <f>$C$5*(('Balance Sheet (Case Exhibit 6)'!T13+'Balance Sheet (Case Exhibit 6)'!U13)/2)</f>
        <v>142.79999999999998</v>
      </c>
      <c r="AA26" s="34" t="s">
        <v>29</v>
      </c>
      <c r="AB26" s="166">
        <v>111.6</v>
      </c>
      <c r="AC26" s="166">
        <v>112.2</v>
      </c>
      <c r="AD26" s="166">
        <v>114</v>
      </c>
      <c r="AE26" s="166">
        <v>116.39999999999999</v>
      </c>
      <c r="AF26" s="166">
        <v>118.19999999999999</v>
      </c>
      <c r="AG26" s="166">
        <v>120</v>
      </c>
      <c r="AH26" s="166">
        <v>122.39999999999999</v>
      </c>
      <c r="AI26" s="166">
        <v>124.8</v>
      </c>
      <c r="AJ26" s="166">
        <v>127.19999999999999</v>
      </c>
      <c r="AK26" s="166">
        <v>129.6</v>
      </c>
      <c r="AL26" s="166">
        <v>132</v>
      </c>
      <c r="AM26" s="166">
        <v>134.4</v>
      </c>
      <c r="AN26" s="166">
        <v>137.4</v>
      </c>
      <c r="AO26" s="166">
        <v>140.4</v>
      </c>
      <c r="AP26" s="166">
        <v>142.79999999999998</v>
      </c>
    </row>
    <row r="27" spans="2:42" s="34" customFormat="1" ht="15.5" x14ac:dyDescent="0.35">
      <c r="B27" s="35" t="s">
        <v>30</v>
      </c>
      <c r="C27" s="187">
        <v>680</v>
      </c>
      <c r="D27" s="187">
        <v>680</v>
      </c>
      <c r="E27" s="187">
        <v>680</v>
      </c>
      <c r="F27" s="187">
        <v>680</v>
      </c>
      <c r="G27" s="187">
        <v>680</v>
      </c>
      <c r="H27" s="187">
        <v>680</v>
      </c>
      <c r="I27" s="187">
        <v>680</v>
      </c>
      <c r="J27" s="187">
        <v>680</v>
      </c>
      <c r="K27" s="187">
        <v>680</v>
      </c>
      <c r="L27" s="187">
        <v>680</v>
      </c>
      <c r="M27" s="187">
        <v>680</v>
      </c>
      <c r="N27" s="187">
        <v>680</v>
      </c>
      <c r="O27" s="187">
        <v>680</v>
      </c>
      <c r="P27" s="187">
        <v>680</v>
      </c>
      <c r="Q27" s="188">
        <v>680</v>
      </c>
      <c r="AA27" s="34" t="s">
        <v>30</v>
      </c>
      <c r="AB27" s="166">
        <v>680</v>
      </c>
      <c r="AC27" s="166">
        <v>680</v>
      </c>
      <c r="AD27" s="166">
        <v>680</v>
      </c>
      <c r="AE27" s="166">
        <v>680</v>
      </c>
      <c r="AF27" s="166">
        <v>680</v>
      </c>
      <c r="AG27" s="166">
        <v>680</v>
      </c>
      <c r="AH27" s="166">
        <v>680</v>
      </c>
      <c r="AI27" s="166">
        <v>680</v>
      </c>
      <c r="AJ27" s="166">
        <v>680</v>
      </c>
      <c r="AK27" s="166">
        <v>680</v>
      </c>
      <c r="AL27" s="166">
        <v>680</v>
      </c>
      <c r="AM27" s="166">
        <v>680</v>
      </c>
      <c r="AN27" s="166">
        <v>680</v>
      </c>
      <c r="AO27" s="166">
        <v>680</v>
      </c>
      <c r="AP27" s="166">
        <v>680</v>
      </c>
    </row>
    <row r="28" spans="2:42" s="34" customFormat="1" ht="15.5" x14ac:dyDescent="0.35">
      <c r="B28" s="52" t="s">
        <v>86</v>
      </c>
      <c r="C28" s="186">
        <f t="shared" ref="C28:Q28" si="9">C23-C25-C26-C27</f>
        <v>1265.6552067648568</v>
      </c>
      <c r="D28" s="182">
        <f t="shared" si="9"/>
        <v>1320.1200629678021</v>
      </c>
      <c r="E28" s="182">
        <f t="shared" si="9"/>
        <v>1402.3497768568359</v>
      </c>
      <c r="F28" s="182">
        <f t="shared" si="9"/>
        <v>1479.8381400825406</v>
      </c>
      <c r="G28" s="182">
        <f t="shared" si="9"/>
        <v>1554.8753143762174</v>
      </c>
      <c r="H28" s="182">
        <f t="shared" si="9"/>
        <v>1626.7477089304957</v>
      </c>
      <c r="I28" s="182">
        <f t="shared" si="9"/>
        <v>1694.7378535927469</v>
      </c>
      <c r="J28" s="182">
        <f t="shared" si="9"/>
        <v>1759.3242677257313</v>
      </c>
      <c r="K28" s="182">
        <f t="shared" si="9"/>
        <v>1820.3813245847523</v>
      </c>
      <c r="L28" s="182">
        <f t="shared" si="9"/>
        <v>1845.3791110552847</v>
      </c>
      <c r="M28" s="182">
        <f t="shared" si="9"/>
        <v>1802.3832825894297</v>
      </c>
      <c r="N28" s="182">
        <f t="shared" si="9"/>
        <v>1723.0549131738785</v>
      </c>
      <c r="O28" s="182">
        <f t="shared" si="9"/>
        <v>1639.0503401560723</v>
      </c>
      <c r="P28" s="182">
        <f t="shared" si="9"/>
        <v>1550.8210037491112</v>
      </c>
      <c r="Q28" s="183">
        <f t="shared" si="9"/>
        <v>1458.8132810295565</v>
      </c>
      <c r="AA28" s="34" t="s">
        <v>86</v>
      </c>
      <c r="AB28" s="166">
        <v>1265.6552067648568</v>
      </c>
      <c r="AC28" s="166">
        <v>1320.1200629678021</v>
      </c>
      <c r="AD28" s="166">
        <v>1402.3497768568359</v>
      </c>
      <c r="AE28" s="166">
        <v>1479.8381400825406</v>
      </c>
      <c r="AF28" s="166">
        <v>1554.8753143762174</v>
      </c>
      <c r="AG28" s="166">
        <v>1626.7477089304957</v>
      </c>
      <c r="AH28" s="166">
        <v>1694.7378535927469</v>
      </c>
      <c r="AI28" s="166">
        <v>1759.3242677257313</v>
      </c>
      <c r="AJ28" s="166">
        <v>1820.3813245847523</v>
      </c>
      <c r="AK28" s="166">
        <v>1845.3791110552847</v>
      </c>
      <c r="AL28" s="166">
        <v>1802.3832825894297</v>
      </c>
      <c r="AM28" s="166">
        <v>1723.0549131738785</v>
      </c>
      <c r="AN28" s="166">
        <v>1639.0503401560723</v>
      </c>
      <c r="AO28" s="166">
        <v>1550.8210037491112</v>
      </c>
      <c r="AP28" s="166">
        <v>1458.8132810295565</v>
      </c>
    </row>
    <row r="29" spans="2:42" s="34" customFormat="1" ht="15.5" x14ac:dyDescent="0.35">
      <c r="B29" s="45" t="s">
        <v>32</v>
      </c>
      <c r="C29" s="46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  <c r="AA29" s="34" t="s">
        <v>32</v>
      </c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</row>
    <row r="30" spans="2:42" s="34" customFormat="1" ht="15.5" x14ac:dyDescent="0.35">
      <c r="B30" s="35" t="s">
        <v>33</v>
      </c>
      <c r="C30" s="187">
        <v>200</v>
      </c>
      <c r="D30" s="187">
        <v>210</v>
      </c>
      <c r="E30" s="187">
        <v>220</v>
      </c>
      <c r="F30" s="187">
        <v>240</v>
      </c>
      <c r="G30" s="187">
        <v>250</v>
      </c>
      <c r="H30" s="187">
        <v>260</v>
      </c>
      <c r="I30" s="187">
        <v>270</v>
      </c>
      <c r="J30" s="187">
        <v>280</v>
      </c>
      <c r="K30" s="187">
        <v>290</v>
      </c>
      <c r="L30" s="187">
        <v>300</v>
      </c>
      <c r="M30" s="187">
        <v>290</v>
      </c>
      <c r="N30" s="187">
        <v>280</v>
      </c>
      <c r="O30" s="187">
        <v>260</v>
      </c>
      <c r="P30" s="187">
        <v>250</v>
      </c>
      <c r="Q30" s="188">
        <v>230</v>
      </c>
      <c r="AA30" s="34" t="s">
        <v>33</v>
      </c>
      <c r="AB30" s="166">
        <v>200</v>
      </c>
      <c r="AC30" s="166">
        <v>210</v>
      </c>
      <c r="AD30" s="166">
        <v>220</v>
      </c>
      <c r="AE30" s="166">
        <v>240</v>
      </c>
      <c r="AF30" s="166">
        <v>250</v>
      </c>
      <c r="AG30" s="166">
        <v>260</v>
      </c>
      <c r="AH30" s="166">
        <v>270</v>
      </c>
      <c r="AI30" s="166">
        <v>280</v>
      </c>
      <c r="AJ30" s="166">
        <v>290</v>
      </c>
      <c r="AK30" s="166">
        <v>300</v>
      </c>
      <c r="AL30" s="166">
        <v>290</v>
      </c>
      <c r="AM30" s="166">
        <v>280</v>
      </c>
      <c r="AN30" s="166">
        <v>260</v>
      </c>
      <c r="AO30" s="166">
        <v>250</v>
      </c>
      <c r="AP30" s="166">
        <v>230</v>
      </c>
    </row>
    <row r="31" spans="2:42" s="34" customFormat="1" ht="15.5" x14ac:dyDescent="0.35">
      <c r="B31" s="35" t="s">
        <v>34</v>
      </c>
      <c r="C31" s="187">
        <v>0</v>
      </c>
      <c r="D31" s="187">
        <v>0</v>
      </c>
      <c r="E31" s="187">
        <v>0</v>
      </c>
      <c r="F31" s="187">
        <v>0</v>
      </c>
      <c r="G31" s="187">
        <v>0</v>
      </c>
      <c r="H31" s="187">
        <v>0</v>
      </c>
      <c r="I31" s="187">
        <v>0</v>
      </c>
      <c r="J31" s="187">
        <v>-10</v>
      </c>
      <c r="K31" s="187">
        <v>-40</v>
      </c>
      <c r="L31" s="187">
        <v>-70</v>
      </c>
      <c r="M31" s="187">
        <v>-90</v>
      </c>
      <c r="N31" s="187">
        <v>-110</v>
      </c>
      <c r="O31" s="187">
        <v>-130</v>
      </c>
      <c r="P31" s="187">
        <v>-140</v>
      </c>
      <c r="Q31" s="188">
        <v>-150</v>
      </c>
      <c r="AA31" s="34" t="s">
        <v>34</v>
      </c>
      <c r="AB31" s="166">
        <v>0</v>
      </c>
      <c r="AC31" s="166">
        <v>0</v>
      </c>
      <c r="AD31" s="166">
        <v>0</v>
      </c>
      <c r="AE31" s="166">
        <v>0</v>
      </c>
      <c r="AF31" s="166">
        <v>0</v>
      </c>
      <c r="AG31" s="166">
        <v>0</v>
      </c>
      <c r="AH31" s="166">
        <v>0</v>
      </c>
      <c r="AI31" s="166">
        <v>-10</v>
      </c>
      <c r="AJ31" s="166">
        <v>-40</v>
      </c>
      <c r="AK31" s="166">
        <v>-70</v>
      </c>
      <c r="AL31" s="166">
        <v>-90</v>
      </c>
      <c r="AM31" s="166">
        <v>-110</v>
      </c>
      <c r="AN31" s="166">
        <v>-130</v>
      </c>
      <c r="AO31" s="166">
        <v>-140</v>
      </c>
      <c r="AP31" s="166">
        <v>-150</v>
      </c>
    </row>
    <row r="32" spans="2:42" s="34" customFormat="1" ht="15.5" x14ac:dyDescent="0.35">
      <c r="B32" s="86" t="s">
        <v>87</v>
      </c>
      <c r="C32" s="186">
        <f t="shared" ref="C32:Q32" si="10">C28-C30-C31</f>
        <v>1065.6552067648568</v>
      </c>
      <c r="D32" s="182">
        <f t="shared" si="10"/>
        <v>1110.1200629678021</v>
      </c>
      <c r="E32" s="182">
        <f t="shared" si="10"/>
        <v>1182.3497768568359</v>
      </c>
      <c r="F32" s="182">
        <f t="shared" si="10"/>
        <v>1239.8381400825406</v>
      </c>
      <c r="G32" s="182">
        <f t="shared" si="10"/>
        <v>1304.8753143762174</v>
      </c>
      <c r="H32" s="182">
        <f t="shared" si="10"/>
        <v>1366.7477089304957</v>
      </c>
      <c r="I32" s="182">
        <f t="shared" si="10"/>
        <v>1424.7378535927469</v>
      </c>
      <c r="J32" s="182">
        <f t="shared" si="10"/>
        <v>1489.3242677257313</v>
      </c>
      <c r="K32" s="182">
        <f t="shared" si="10"/>
        <v>1570.3813245847523</v>
      </c>
      <c r="L32" s="182">
        <f t="shared" si="10"/>
        <v>1615.3791110552847</v>
      </c>
      <c r="M32" s="182">
        <f t="shared" si="10"/>
        <v>1602.3832825894297</v>
      </c>
      <c r="N32" s="182">
        <f t="shared" si="10"/>
        <v>1553.0549131738785</v>
      </c>
      <c r="O32" s="182">
        <f t="shared" si="10"/>
        <v>1509.0503401560723</v>
      </c>
      <c r="P32" s="182">
        <f t="shared" si="10"/>
        <v>1440.8210037491112</v>
      </c>
      <c r="Q32" s="183">
        <f t="shared" si="10"/>
        <v>1378.8132810295565</v>
      </c>
      <c r="AA32" s="34" t="s">
        <v>87</v>
      </c>
      <c r="AB32" s="166">
        <v>1065.6552067648568</v>
      </c>
      <c r="AC32" s="166">
        <v>1110.1200629678021</v>
      </c>
      <c r="AD32" s="166">
        <v>1182.3497768568359</v>
      </c>
      <c r="AE32" s="166">
        <v>1239.8381400825406</v>
      </c>
      <c r="AF32" s="166">
        <v>1304.8753143762174</v>
      </c>
      <c r="AG32" s="166">
        <v>1366.7477089304957</v>
      </c>
      <c r="AH32" s="166">
        <v>1424.7378535927469</v>
      </c>
      <c r="AI32" s="166">
        <v>1489.3242677257313</v>
      </c>
      <c r="AJ32" s="166">
        <v>1570.3813245847523</v>
      </c>
      <c r="AK32" s="166">
        <v>1615.3791110552847</v>
      </c>
      <c r="AL32" s="166">
        <v>1602.3832825894297</v>
      </c>
      <c r="AM32" s="166">
        <v>1553.0549131738785</v>
      </c>
      <c r="AN32" s="166">
        <v>1509.0503401560723</v>
      </c>
      <c r="AO32" s="166">
        <v>1440.8210037491112</v>
      </c>
      <c r="AP32" s="166">
        <v>1378.8132810295565</v>
      </c>
    </row>
    <row r="33" spans="2:45" s="34" customFormat="1" ht="15.5" x14ac:dyDescent="0.35">
      <c r="B33" s="86" t="s">
        <v>88</v>
      </c>
      <c r="C33" s="189">
        <f t="shared" ref="C33:Q33" si="11">C32+C27+C31</f>
        <v>1745.6552067648568</v>
      </c>
      <c r="D33" s="190">
        <f t="shared" si="11"/>
        <v>1790.1200629678021</v>
      </c>
      <c r="E33" s="190">
        <f t="shared" si="11"/>
        <v>1862.3497768568359</v>
      </c>
      <c r="F33" s="190">
        <f t="shared" si="11"/>
        <v>1919.8381400825406</v>
      </c>
      <c r="G33" s="190">
        <f t="shared" si="11"/>
        <v>1984.8753143762174</v>
      </c>
      <c r="H33" s="190">
        <f t="shared" si="11"/>
        <v>2046.7477089304957</v>
      </c>
      <c r="I33" s="190">
        <f t="shared" si="11"/>
        <v>2104.7378535927469</v>
      </c>
      <c r="J33" s="190">
        <f t="shared" si="11"/>
        <v>2159.3242677257313</v>
      </c>
      <c r="K33" s="190">
        <f t="shared" si="11"/>
        <v>2210.3813245847523</v>
      </c>
      <c r="L33" s="190">
        <f t="shared" si="11"/>
        <v>2225.3791110552847</v>
      </c>
      <c r="M33" s="190">
        <f t="shared" si="11"/>
        <v>2192.3832825894297</v>
      </c>
      <c r="N33" s="190">
        <f t="shared" si="11"/>
        <v>2123.0549131738785</v>
      </c>
      <c r="O33" s="190">
        <f t="shared" si="11"/>
        <v>2059.0503401560723</v>
      </c>
      <c r="P33" s="190">
        <f t="shared" si="11"/>
        <v>1980.8210037491112</v>
      </c>
      <c r="Q33" s="191">
        <f t="shared" si="11"/>
        <v>1908.8132810295565</v>
      </c>
      <c r="AA33" s="34" t="s">
        <v>88</v>
      </c>
      <c r="AB33" s="166">
        <v>1745.6552067648568</v>
      </c>
      <c r="AC33" s="166">
        <v>1790.1200629678021</v>
      </c>
      <c r="AD33" s="166">
        <v>1862.3497768568359</v>
      </c>
      <c r="AE33" s="166">
        <v>1919.8381400825406</v>
      </c>
      <c r="AF33" s="166">
        <v>1984.8753143762174</v>
      </c>
      <c r="AG33" s="166">
        <v>2046.7477089304957</v>
      </c>
      <c r="AH33" s="166">
        <v>2104.7378535927469</v>
      </c>
      <c r="AI33" s="166">
        <v>2159.3242677257313</v>
      </c>
      <c r="AJ33" s="166">
        <v>2210.3813245847523</v>
      </c>
      <c r="AK33" s="166">
        <v>2225.3791110552847</v>
      </c>
      <c r="AL33" s="166">
        <v>2192.3832825894297</v>
      </c>
      <c r="AM33" s="166">
        <v>2123.0549131738785</v>
      </c>
      <c r="AN33" s="166">
        <v>2059.0503401560723</v>
      </c>
      <c r="AO33" s="166">
        <v>1980.8210037491112</v>
      </c>
      <c r="AP33" s="166">
        <v>1908.8132810295565</v>
      </c>
    </row>
    <row r="34" spans="2:45" s="34" customFormat="1" ht="15.5" x14ac:dyDescent="0.35">
      <c r="B34" s="86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51"/>
    </row>
    <row r="35" spans="2:45" s="34" customFormat="1" ht="15.5" x14ac:dyDescent="0.35">
      <c r="B35" s="86" t="s">
        <v>89</v>
      </c>
      <c r="C35" s="193">
        <f>-('Balance Sheet (Case Exhibit 6)'!G12-'Balance Sheet (Case Exhibit 6)'!F12)</f>
        <v>540</v>
      </c>
      <c r="D35" s="193">
        <f>-('Balance Sheet (Case Exhibit 6)'!H12-'Balance Sheet (Case Exhibit 6)'!G12)</f>
        <v>1100</v>
      </c>
      <c r="E35" s="193">
        <f>-('Balance Sheet (Case Exhibit 6)'!I12-'Balance Sheet (Case Exhibit 6)'!H12)</f>
        <v>1070</v>
      </c>
      <c r="F35" s="193">
        <f>-('Balance Sheet (Case Exhibit 6)'!J12-'Balance Sheet (Case Exhibit 6)'!I12)</f>
        <v>1080</v>
      </c>
      <c r="G35" s="193">
        <f>-('Balance Sheet (Case Exhibit 6)'!K12-'Balance Sheet (Case Exhibit 6)'!J12)</f>
        <v>1070</v>
      </c>
      <c r="H35" s="193">
        <f>-('Balance Sheet (Case Exhibit 6)'!L12-'Balance Sheet (Case Exhibit 6)'!K12)</f>
        <v>1080</v>
      </c>
      <c r="I35" s="193">
        <f>-('Balance Sheet (Case Exhibit 6)'!M12-'Balance Sheet (Case Exhibit 6)'!L12)</f>
        <v>1070</v>
      </c>
      <c r="J35" s="193">
        <f>-('Balance Sheet (Case Exhibit 6)'!N12-'Balance Sheet (Case Exhibit 6)'!M12)</f>
        <v>1080</v>
      </c>
      <c r="K35" s="193">
        <f>-('Balance Sheet (Case Exhibit 6)'!O12-'Balance Sheet (Case Exhibit 6)'!N12)</f>
        <v>1070</v>
      </c>
      <c r="L35" s="193">
        <f>-('Balance Sheet (Case Exhibit 6)'!P12-'Balance Sheet (Case Exhibit 6)'!O12)</f>
        <v>540</v>
      </c>
      <c r="M35" s="192"/>
      <c r="N35" s="192"/>
      <c r="O35" s="192"/>
      <c r="P35" s="192"/>
      <c r="Q35" s="194"/>
      <c r="U35" s="277">
        <f>SUM(C35:Q35)</f>
        <v>9700</v>
      </c>
      <c r="AA35" s="34" t="s">
        <v>89</v>
      </c>
      <c r="AB35" s="34">
        <v>540</v>
      </c>
      <c r="AC35" s="34">
        <v>1100</v>
      </c>
      <c r="AD35" s="34">
        <v>1070</v>
      </c>
      <c r="AE35" s="34">
        <v>1080</v>
      </c>
      <c r="AF35" s="34">
        <v>1070</v>
      </c>
      <c r="AG35" s="34">
        <v>1080</v>
      </c>
      <c r="AH35" s="34">
        <v>1070</v>
      </c>
      <c r="AI35" s="34">
        <v>1080</v>
      </c>
      <c r="AJ35" s="34">
        <v>1070</v>
      </c>
      <c r="AK35" s="34">
        <v>540</v>
      </c>
    </row>
    <row r="36" spans="2:45" s="34" customFormat="1" ht="15.5" x14ac:dyDescent="0.35">
      <c r="B36" s="86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89"/>
      <c r="N36" s="89"/>
      <c r="O36" s="89"/>
      <c r="P36" s="89"/>
      <c r="Q36" s="91"/>
    </row>
    <row r="37" spans="2:45" s="34" customFormat="1" ht="15.5" x14ac:dyDescent="0.35">
      <c r="B37" s="86" t="s">
        <v>43</v>
      </c>
      <c r="C37" s="173">
        <f>(C32+C25+C27)/(C25+C35)</f>
        <v>1.7212581997875429</v>
      </c>
      <c r="D37" s="173">
        <f t="shared" ref="D37:L37" si="12">(D32+D25+D27)/(D25+D35)</f>
        <v>1.3235139991411038</v>
      </c>
      <c r="E37" s="173">
        <f t="shared" si="12"/>
        <v>1.4015964403734595</v>
      </c>
      <c r="F37" s="173">
        <f t="shared" si="12"/>
        <v>1.452987130573107</v>
      </c>
      <c r="G37" s="173">
        <f t="shared" si="12"/>
        <v>1.5334549938053745</v>
      </c>
      <c r="H37" s="173">
        <f t="shared" si="12"/>
        <v>1.6057316471995586</v>
      </c>
      <c r="I37" s="173">
        <f t="shared" si="12"/>
        <v>1.7101838391165043</v>
      </c>
      <c r="J37" s="173">
        <f t="shared" si="12"/>
        <v>1.8141436978518171</v>
      </c>
      <c r="K37" s="173">
        <f t="shared" si="12"/>
        <v>1.9844714967345725</v>
      </c>
      <c r="L37" s="173">
        <f t="shared" si="12"/>
        <v>4.0667000542545155</v>
      </c>
      <c r="M37" s="172"/>
      <c r="N37" s="172"/>
      <c r="O37" s="172"/>
      <c r="P37" s="172"/>
      <c r="Q37" s="174"/>
      <c r="AA37" s="34" t="s">
        <v>43</v>
      </c>
      <c r="AB37" s="34">
        <v>1.7212581997875429</v>
      </c>
      <c r="AC37" s="34">
        <v>1.3235139991411038</v>
      </c>
      <c r="AD37" s="34">
        <v>1.4015964403734595</v>
      </c>
      <c r="AE37" s="34">
        <v>1.452987130573107</v>
      </c>
      <c r="AF37" s="34">
        <v>1.5334549938053745</v>
      </c>
      <c r="AG37" s="34">
        <v>1.6057316471995586</v>
      </c>
      <c r="AH37" s="34">
        <v>1.7101838391165043</v>
      </c>
      <c r="AI37" s="34">
        <v>1.8141436978518171</v>
      </c>
      <c r="AJ37" s="34">
        <v>1.9844714967345725</v>
      </c>
      <c r="AK37" s="34">
        <v>4.0667000542545155</v>
      </c>
    </row>
    <row r="38" spans="2:45" s="34" customFormat="1" ht="16" thickBot="1" x14ac:dyDescent="0.4">
      <c r="B38" s="54" t="s">
        <v>74</v>
      </c>
      <c r="C38" s="175">
        <f>C23/(C25+C26)</f>
        <v>2.565037971979454</v>
      </c>
      <c r="D38" s="175">
        <f t="shared" ref="D38:Q38" si="13">D23/(D25+D26)</f>
        <v>2.7462197162282189</v>
      </c>
      <c r="E38" s="175">
        <f t="shared" si="13"/>
        <v>3.0475415701640469</v>
      </c>
      <c r="F38" s="175">
        <f t="shared" si="13"/>
        <v>3.4256942274062676</v>
      </c>
      <c r="G38" s="175">
        <f t="shared" si="13"/>
        <v>3.9282957473482929</v>
      </c>
      <c r="H38" s="175">
        <f t="shared" si="13"/>
        <v>4.6269618064944904</v>
      </c>
      <c r="I38" s="175">
        <f t="shared" si="13"/>
        <v>5.6618332422315412</v>
      </c>
      <c r="J38" s="175">
        <f t="shared" si="13"/>
        <v>7.3723204486043139</v>
      </c>
      <c r="K38" s="175">
        <f t="shared" si="13"/>
        <v>10.759489947637597</v>
      </c>
      <c r="L38" s="175">
        <f t="shared" si="13"/>
        <v>16.588759944785707</v>
      </c>
      <c r="M38" s="175">
        <f t="shared" si="13"/>
        <v>19.805933959010829</v>
      </c>
      <c r="N38" s="175">
        <f t="shared" si="13"/>
        <v>18.879872865877072</v>
      </c>
      <c r="O38" s="175">
        <f t="shared" si="13"/>
        <v>17.878095634323671</v>
      </c>
      <c r="P38" s="175">
        <f t="shared" si="13"/>
        <v>16.889038488241532</v>
      </c>
      <c r="Q38" s="197">
        <f t="shared" si="13"/>
        <v>15.977684040823227</v>
      </c>
    </row>
    <row r="39" spans="2:45" s="34" customFormat="1" x14ac:dyDescent="0.35">
      <c r="C39" s="277"/>
      <c r="D39" s="277"/>
      <c r="E39" s="277"/>
      <c r="F39" s="277"/>
      <c r="G39" s="277"/>
      <c r="H39" s="277"/>
      <c r="I39" s="277"/>
      <c r="J39" s="277"/>
      <c r="K39" s="277"/>
      <c r="L39" s="277"/>
    </row>
    <row r="40" spans="2:45" s="34" customFormat="1" ht="15" thickBot="1" x14ac:dyDescent="0.4"/>
    <row r="41" spans="2:45" s="34" customFormat="1" ht="16" thickBot="1" x14ac:dyDescent="0.4">
      <c r="B41" s="498" t="s">
        <v>44</v>
      </c>
      <c r="C41" s="499"/>
      <c r="D41" s="499"/>
      <c r="E41" s="499"/>
      <c r="F41" s="499"/>
      <c r="G41" s="499"/>
      <c r="H41" s="499"/>
      <c r="I41" s="499"/>
      <c r="J41" s="499"/>
      <c r="K41" s="499"/>
      <c r="L41" s="499"/>
      <c r="M41" s="499"/>
      <c r="N41" s="499"/>
      <c r="O41" s="499"/>
      <c r="P41" s="499"/>
      <c r="Q41" s="499"/>
      <c r="R41" s="499"/>
      <c r="S41" s="499"/>
      <c r="T41" s="500"/>
      <c r="AA41" s="34" t="s">
        <v>44</v>
      </c>
    </row>
    <row r="42" spans="2:45" s="34" customFormat="1" ht="16" thickBot="1" x14ac:dyDescent="0.4">
      <c r="B42" s="95" t="s">
        <v>109</v>
      </c>
      <c r="C42" s="96">
        <v>2010</v>
      </c>
      <c r="D42" s="97">
        <v>2011</v>
      </c>
      <c r="E42" s="97">
        <v>2012</v>
      </c>
      <c r="F42" s="97">
        <v>2013</v>
      </c>
      <c r="G42" s="97">
        <v>2014</v>
      </c>
      <c r="H42" s="97">
        <v>2015</v>
      </c>
      <c r="I42" s="97">
        <v>2016</v>
      </c>
      <c r="J42" s="97">
        <v>2017</v>
      </c>
      <c r="K42" s="97">
        <v>2018</v>
      </c>
      <c r="L42" s="97">
        <v>2019</v>
      </c>
      <c r="M42" s="97">
        <v>2020</v>
      </c>
      <c r="N42" s="97">
        <v>2021</v>
      </c>
      <c r="O42" s="97">
        <v>2022</v>
      </c>
      <c r="P42" s="97">
        <v>2023</v>
      </c>
      <c r="Q42" s="97">
        <v>2024</v>
      </c>
      <c r="R42" s="97">
        <v>2025</v>
      </c>
      <c r="S42" s="97">
        <v>2026</v>
      </c>
      <c r="T42" s="98">
        <v>2027</v>
      </c>
      <c r="AA42" s="34" t="s">
        <v>96</v>
      </c>
      <c r="AB42" s="34">
        <v>2010</v>
      </c>
      <c r="AC42" s="34">
        <v>2011</v>
      </c>
      <c r="AD42" s="34">
        <v>2012</v>
      </c>
      <c r="AE42" s="34">
        <v>2013</v>
      </c>
      <c r="AF42" s="34">
        <v>2014</v>
      </c>
      <c r="AG42" s="34">
        <v>2015</v>
      </c>
      <c r="AH42" s="34">
        <v>2016</v>
      </c>
      <c r="AI42" s="34">
        <v>2017</v>
      </c>
      <c r="AJ42" s="34">
        <v>2018</v>
      </c>
      <c r="AK42" s="34">
        <v>2019</v>
      </c>
      <c r="AL42" s="34">
        <v>2020</v>
      </c>
      <c r="AM42" s="34">
        <v>2021</v>
      </c>
      <c r="AN42" s="34">
        <v>2022</v>
      </c>
      <c r="AO42" s="34">
        <v>2023</v>
      </c>
      <c r="AP42" s="34">
        <v>2024</v>
      </c>
      <c r="AQ42" s="34">
        <v>2025</v>
      </c>
      <c r="AR42" s="34">
        <v>2026</v>
      </c>
      <c r="AS42" s="34">
        <v>2027</v>
      </c>
    </row>
    <row r="43" spans="2:45" s="34" customFormat="1" ht="15.5" x14ac:dyDescent="0.35">
      <c r="B43" s="99" t="s">
        <v>46</v>
      </c>
      <c r="C43" s="198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200"/>
      <c r="AA43" s="34" t="s">
        <v>46</v>
      </c>
    </row>
    <row r="44" spans="2:45" s="34" customFormat="1" ht="15.5" x14ac:dyDescent="0.35">
      <c r="B44" s="103" t="s">
        <v>47</v>
      </c>
      <c r="C44" s="201">
        <v>0</v>
      </c>
      <c r="D44" s="202">
        <v>0</v>
      </c>
      <c r="E44" s="202">
        <v>0</v>
      </c>
      <c r="F44" s="202">
        <f>'Base Scenario (Case Exhibit 6)'!C32+'Base Scenario (Case Exhibit 6)'!C25+'Base Scenario (Case Exhibit 6)'!C26+'Base Scenario (Case Exhibit 6)'!C27</f>
        <v>2988.8552067648566</v>
      </c>
      <c r="G44" s="202">
        <f>'Base Scenario (Case Exhibit 6)'!D32+'Base Scenario (Case Exhibit 6)'!D25+'Base Scenario (Case Exhibit 6)'!D26+'Base Scenario (Case Exhibit 6)'!D27</f>
        <v>2935.520062967802</v>
      </c>
      <c r="H44" s="202">
        <f>'Base Scenario (Case Exhibit 6)'!E32+'Base Scenario (Case Exhibit 6)'!E25+'Base Scenario (Case Exhibit 6)'!E26+'Base Scenario (Case Exhibit 6)'!E27</f>
        <v>2879.3497768568359</v>
      </c>
      <c r="I44" s="202">
        <f>'Base Scenario (Case Exhibit 6)'!F32+'Base Scenario (Case Exhibit 6)'!F25+'Base Scenario (Case Exhibit 6)'!F26+'Base Scenario (Case Exhibit 6)'!F27</f>
        <v>2810.2381400825407</v>
      </c>
      <c r="J44" s="202">
        <f>'Base Scenario (Case Exhibit 6)'!G32+'Base Scenario (Case Exhibit 6)'!G25+'Base Scenario (Case Exhibit 6)'!G26+'Base Scenario (Case Exhibit 6)'!G27</f>
        <v>2748.0753143762172</v>
      </c>
      <c r="K44" s="202">
        <f>'Base Scenario (Case Exhibit 6)'!H32+'Base Scenario (Case Exhibit 6)'!H25+'Base Scenario (Case Exhibit 6)'!H26+'Base Scenario (Case Exhibit 6)'!H27</f>
        <v>2682.7477089304957</v>
      </c>
      <c r="L44" s="202">
        <f>'Base Scenario (Case Exhibit 6)'!I32+'Base Scenario (Case Exhibit 6)'!I25+'Base Scenario (Case Exhibit 6)'!I26+'Base Scenario (Case Exhibit 6)'!I27</f>
        <v>2614.137853592747</v>
      </c>
      <c r="M44" s="202">
        <f>'Base Scenario (Case Exhibit 6)'!J32+'Base Scenario (Case Exhibit 6)'!J25+'Base Scenario (Case Exhibit 6)'!J26+'Base Scenario (Case Exhibit 6)'!J27</f>
        <v>2552.1242677257314</v>
      </c>
      <c r="N44" s="202">
        <f>'Base Scenario (Case Exhibit 6)'!K32+'Base Scenario (Case Exhibit 6)'!K25+'Base Scenario (Case Exhibit 6)'!K26+'Base Scenario (Case Exhibit 6)'!K27</f>
        <v>2506.5813245847521</v>
      </c>
      <c r="O44" s="202">
        <f>'Base Scenario (Case Exhibit 6)'!L32+'Base Scenario (Case Exhibit 6)'!L25+'Base Scenario (Case Exhibit 6)'!L26+'Base Scenario (Case Exhibit 6)'!L27</f>
        <v>2457.3791110552847</v>
      </c>
      <c r="P44" s="202">
        <f>'Base Scenario (Case Exhibit 6)'!M32+'Base Scenario (Case Exhibit 6)'!M25+'Base Scenario (Case Exhibit 6)'!M26+'Base Scenario (Case Exhibit 6)'!M27</f>
        <v>2414.3832825894297</v>
      </c>
      <c r="Q44" s="202">
        <f>'Base Scenario (Case Exhibit 6)'!N32+'Base Scenario (Case Exhibit 6)'!N25+'Base Scenario (Case Exhibit 6)'!N26+'Base Scenario (Case Exhibit 6)'!N27</f>
        <v>2367.4549131738786</v>
      </c>
      <c r="R44" s="202">
        <f>'Base Scenario (Case Exhibit 6)'!O32+'Base Scenario (Case Exhibit 6)'!O25+'Base Scenario (Case Exhibit 6)'!O26+'Base Scenario (Case Exhibit 6)'!O27</f>
        <v>2326.4503401560723</v>
      </c>
      <c r="S44" s="202">
        <f>'Base Scenario (Case Exhibit 6)'!P32+'Base Scenario (Case Exhibit 6)'!P25+'Base Scenario (Case Exhibit 6)'!P26+'Base Scenario (Case Exhibit 6)'!P27</f>
        <v>2261.2210037491113</v>
      </c>
      <c r="T44" s="203">
        <f>'Base Scenario (Case Exhibit 6)'!Q32+'Base Scenario (Case Exhibit 6)'!Q25+'Base Scenario (Case Exhibit 6)'!Q26+'Base Scenario (Case Exhibit 6)'!Q27</f>
        <v>2201.6132810295567</v>
      </c>
      <c r="AA44" s="34" t="s">
        <v>47</v>
      </c>
      <c r="AB44" s="34">
        <v>0</v>
      </c>
      <c r="AC44" s="34">
        <v>0</v>
      </c>
      <c r="AD44" s="34">
        <v>0</v>
      </c>
      <c r="AE44" s="34">
        <v>2988.8552067648566</v>
      </c>
      <c r="AF44" s="34">
        <v>2935.520062967802</v>
      </c>
      <c r="AG44" s="34">
        <v>2879.3497768568359</v>
      </c>
      <c r="AH44" s="34">
        <v>2810.2381400825407</v>
      </c>
      <c r="AI44" s="34">
        <v>2748.0753143762172</v>
      </c>
      <c r="AJ44" s="34">
        <v>2682.7477089304957</v>
      </c>
      <c r="AK44" s="34">
        <v>2614.137853592747</v>
      </c>
      <c r="AL44" s="34">
        <v>2552.1242677257314</v>
      </c>
      <c r="AM44" s="34">
        <v>2506.5813245847521</v>
      </c>
      <c r="AN44" s="34">
        <v>2457.3791110552847</v>
      </c>
      <c r="AO44" s="34">
        <v>2414.3832825894297</v>
      </c>
      <c r="AP44" s="34">
        <v>2367.4549131738786</v>
      </c>
      <c r="AQ44" s="34">
        <v>2326.4503401560723</v>
      </c>
      <c r="AR44" s="34">
        <v>2261.2210037491113</v>
      </c>
      <c r="AS44" s="34">
        <v>2201.6132810295567</v>
      </c>
    </row>
    <row r="45" spans="2:45" s="34" customFormat="1" ht="16" thickBot="1" x14ac:dyDescent="0.4">
      <c r="B45" s="107" t="s">
        <v>48</v>
      </c>
      <c r="C45" s="204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3">
        <f>0.05*'Balance Sheet (Case Exhibit 6)'!U24</f>
        <v>1238.5</v>
      </c>
      <c r="AA45" s="34" t="s">
        <v>48</v>
      </c>
      <c r="AS45" s="34">
        <v>1238.5</v>
      </c>
    </row>
    <row r="46" spans="2:45" s="34" customFormat="1" ht="16" thickBot="1" x14ac:dyDescent="0.4">
      <c r="B46" s="95" t="s">
        <v>90</v>
      </c>
      <c r="C46" s="206">
        <f t="shared" ref="C46:T46" si="14">SUM(C44:C45)</f>
        <v>0</v>
      </c>
      <c r="D46" s="207">
        <f t="shared" si="14"/>
        <v>0</v>
      </c>
      <c r="E46" s="207">
        <f t="shared" si="14"/>
        <v>0</v>
      </c>
      <c r="F46" s="207">
        <f t="shared" si="14"/>
        <v>2988.8552067648566</v>
      </c>
      <c r="G46" s="207">
        <f t="shared" si="14"/>
        <v>2935.520062967802</v>
      </c>
      <c r="H46" s="207">
        <f t="shared" si="14"/>
        <v>2879.3497768568359</v>
      </c>
      <c r="I46" s="207">
        <f t="shared" si="14"/>
        <v>2810.2381400825407</v>
      </c>
      <c r="J46" s="207">
        <f t="shared" si="14"/>
        <v>2748.0753143762172</v>
      </c>
      <c r="K46" s="207">
        <f t="shared" si="14"/>
        <v>2682.7477089304957</v>
      </c>
      <c r="L46" s="207">
        <f t="shared" si="14"/>
        <v>2614.137853592747</v>
      </c>
      <c r="M46" s="207">
        <f t="shared" si="14"/>
        <v>2552.1242677257314</v>
      </c>
      <c r="N46" s="207">
        <f t="shared" si="14"/>
        <v>2506.5813245847521</v>
      </c>
      <c r="O46" s="207">
        <f t="shared" si="14"/>
        <v>2457.3791110552847</v>
      </c>
      <c r="P46" s="207">
        <f t="shared" si="14"/>
        <v>2414.3832825894297</v>
      </c>
      <c r="Q46" s="207">
        <f t="shared" si="14"/>
        <v>2367.4549131738786</v>
      </c>
      <c r="R46" s="207">
        <f t="shared" si="14"/>
        <v>2326.4503401560723</v>
      </c>
      <c r="S46" s="207">
        <f t="shared" si="14"/>
        <v>2261.2210037491113</v>
      </c>
      <c r="T46" s="208">
        <f t="shared" si="14"/>
        <v>3440.1132810295567</v>
      </c>
      <c r="AA46" s="34" t="s">
        <v>90</v>
      </c>
      <c r="AB46" s="34">
        <v>0</v>
      </c>
      <c r="AC46" s="34">
        <v>0</v>
      </c>
      <c r="AD46" s="34">
        <v>0</v>
      </c>
      <c r="AE46" s="34">
        <v>2988.8552067648566</v>
      </c>
      <c r="AF46" s="34">
        <v>2935.520062967802</v>
      </c>
      <c r="AG46" s="34">
        <v>2879.3497768568359</v>
      </c>
      <c r="AH46" s="34">
        <v>2810.2381400825407</v>
      </c>
      <c r="AI46" s="34">
        <v>2748.0753143762172</v>
      </c>
      <c r="AJ46" s="34">
        <v>2682.7477089304957</v>
      </c>
      <c r="AK46" s="34">
        <v>2614.137853592747</v>
      </c>
      <c r="AL46" s="34">
        <v>2552.1242677257314</v>
      </c>
      <c r="AM46" s="34">
        <v>2506.5813245847521</v>
      </c>
      <c r="AN46" s="34">
        <v>2457.3791110552847</v>
      </c>
      <c r="AO46" s="34">
        <v>2414.3832825894297</v>
      </c>
      <c r="AP46" s="34">
        <v>2367.4549131738786</v>
      </c>
      <c r="AQ46" s="34">
        <v>2326.4503401560723</v>
      </c>
      <c r="AR46" s="34">
        <v>2261.2210037491113</v>
      </c>
      <c r="AS46" s="34">
        <v>3440.1132810295567</v>
      </c>
    </row>
    <row r="47" spans="2:45" s="34" customFormat="1" ht="15.5" x14ac:dyDescent="0.35">
      <c r="B47" s="99" t="s">
        <v>50</v>
      </c>
      <c r="C47" s="198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200"/>
      <c r="AA47" s="34" t="s">
        <v>50</v>
      </c>
    </row>
    <row r="48" spans="2:45" s="34" customFormat="1" ht="15.5" x14ac:dyDescent="0.35">
      <c r="B48" s="103" t="s">
        <v>97</v>
      </c>
      <c r="C48" s="209">
        <f>'Balance Sheet (Case Exhibit 6)'!D24-'Balance Sheet (Case Exhibit 6)'!D22</f>
        <v>3460</v>
      </c>
      <c r="D48" s="187">
        <f>'Balance Sheet (Case Exhibit 6)'!E24-'Balance Sheet (Case Exhibit 6)'!E22-'Balance Sheet (Case Exhibit 6)'!D24</f>
        <v>5520</v>
      </c>
      <c r="E48" s="187">
        <f>'Balance Sheet (Case Exhibit 6)'!F24-'Balance Sheet (Case Exhibit 6)'!F22-'Balance Sheet (Case Exhibit 6)'!E24</f>
        <v>4570</v>
      </c>
      <c r="F48" s="202">
        <v>0</v>
      </c>
      <c r="G48" s="202">
        <v>0</v>
      </c>
      <c r="H48" s="202">
        <v>0</v>
      </c>
      <c r="I48" s="202">
        <v>0</v>
      </c>
      <c r="J48" s="202">
        <v>0</v>
      </c>
      <c r="K48" s="202">
        <v>0</v>
      </c>
      <c r="L48" s="202">
        <v>0</v>
      </c>
      <c r="M48" s="202">
        <v>0</v>
      </c>
      <c r="N48" s="202">
        <v>0</v>
      </c>
      <c r="O48" s="202">
        <v>0</v>
      </c>
      <c r="P48" s="202">
        <v>0</v>
      </c>
      <c r="Q48" s="202">
        <v>0</v>
      </c>
      <c r="R48" s="202">
        <v>0</v>
      </c>
      <c r="S48" s="202">
        <v>0</v>
      </c>
      <c r="T48" s="203">
        <v>0</v>
      </c>
      <c r="AA48" s="34" t="s">
        <v>97</v>
      </c>
      <c r="AB48" s="34">
        <v>3460</v>
      </c>
      <c r="AC48" s="34">
        <v>5520</v>
      </c>
      <c r="AD48" s="34">
        <v>4570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34">
        <v>0</v>
      </c>
      <c r="AK48" s="34">
        <v>0</v>
      </c>
      <c r="AL48" s="34">
        <v>0</v>
      </c>
      <c r="AM48" s="34">
        <v>0</v>
      </c>
      <c r="AN48" s="34">
        <v>0</v>
      </c>
      <c r="AO48" s="34">
        <v>0</v>
      </c>
      <c r="AP48" s="34">
        <v>0</v>
      </c>
      <c r="AQ48" s="34">
        <v>0</v>
      </c>
      <c r="AR48" s="34">
        <v>0</v>
      </c>
      <c r="AS48" s="34">
        <v>0</v>
      </c>
    </row>
    <row r="49" spans="2:45" s="34" customFormat="1" ht="16" thickBot="1" x14ac:dyDescent="0.4">
      <c r="B49" s="107" t="s">
        <v>91</v>
      </c>
      <c r="C49" s="210">
        <v>0</v>
      </c>
      <c r="D49" s="211">
        <v>0</v>
      </c>
      <c r="E49" s="211">
        <v>0</v>
      </c>
      <c r="F49" s="211">
        <f>'Balance Sheet (Case Exhibit 6)'!G30</f>
        <v>310</v>
      </c>
      <c r="G49" s="211">
        <f>'Balance Sheet (Case Exhibit 6)'!H30</f>
        <v>0</v>
      </c>
      <c r="H49" s="211">
        <f>'Balance Sheet (Case Exhibit 6)'!I30</f>
        <v>10</v>
      </c>
      <c r="I49" s="211">
        <f>'Balance Sheet (Case Exhibit 6)'!J30</f>
        <v>0</v>
      </c>
      <c r="J49" s="211">
        <f>'Balance Sheet (Case Exhibit 6)'!K30</f>
        <v>10</v>
      </c>
      <c r="K49" s="211">
        <f>'Balance Sheet (Case Exhibit 6)'!L30</f>
        <v>10</v>
      </c>
      <c r="L49" s="211">
        <f>'Balance Sheet (Case Exhibit 6)'!M30</f>
        <v>0</v>
      </c>
      <c r="M49" s="211">
        <f>'Balance Sheet (Case Exhibit 6)'!N30</f>
        <v>10</v>
      </c>
      <c r="N49" s="211">
        <f>'Balance Sheet (Case Exhibit 6)'!O30</f>
        <v>10</v>
      </c>
      <c r="O49" s="211">
        <f>'Balance Sheet (Case Exhibit 6)'!P30</f>
        <v>0</v>
      </c>
      <c r="P49" s="211">
        <f>'Balance Sheet (Case Exhibit 6)'!Q30</f>
        <v>10</v>
      </c>
      <c r="Q49" s="211">
        <f>'Balance Sheet (Case Exhibit 6)'!R30</f>
        <v>10</v>
      </c>
      <c r="R49" s="211">
        <f>'Balance Sheet (Case Exhibit 6)'!S30</f>
        <v>0</v>
      </c>
      <c r="S49" s="211">
        <f>'Balance Sheet (Case Exhibit 6)'!T30</f>
        <v>10</v>
      </c>
      <c r="T49" s="212">
        <f>'Balance Sheet (Case Exhibit 6)'!U30</f>
        <v>10</v>
      </c>
      <c r="AA49" s="34" t="s">
        <v>91</v>
      </c>
      <c r="AB49" s="34">
        <v>0</v>
      </c>
      <c r="AC49" s="34">
        <v>0</v>
      </c>
      <c r="AD49" s="34">
        <v>0</v>
      </c>
      <c r="AE49" s="34">
        <v>310</v>
      </c>
      <c r="AF49" s="34">
        <v>0</v>
      </c>
      <c r="AG49" s="34">
        <v>10</v>
      </c>
      <c r="AH49" s="34">
        <v>0</v>
      </c>
      <c r="AI49" s="34">
        <v>10</v>
      </c>
      <c r="AJ49" s="34">
        <v>10</v>
      </c>
      <c r="AK49" s="34">
        <v>0</v>
      </c>
      <c r="AL49" s="34">
        <v>10</v>
      </c>
      <c r="AM49" s="34">
        <v>10</v>
      </c>
      <c r="AN49" s="34">
        <v>0</v>
      </c>
      <c r="AO49" s="34">
        <v>10</v>
      </c>
      <c r="AP49" s="34">
        <v>10</v>
      </c>
      <c r="AQ49" s="34">
        <v>0</v>
      </c>
      <c r="AR49" s="34">
        <v>10</v>
      </c>
      <c r="AS49" s="34">
        <v>10</v>
      </c>
    </row>
    <row r="50" spans="2:45" s="34" customFormat="1" ht="15.5" x14ac:dyDescent="0.35">
      <c r="B50" s="119" t="s">
        <v>53</v>
      </c>
      <c r="C50" s="213">
        <f t="shared" ref="C50:T50" si="15">C48+C49</f>
        <v>3460</v>
      </c>
      <c r="D50" s="214">
        <f t="shared" si="15"/>
        <v>5520</v>
      </c>
      <c r="E50" s="214">
        <f t="shared" si="15"/>
        <v>4570</v>
      </c>
      <c r="F50" s="214">
        <f t="shared" si="15"/>
        <v>310</v>
      </c>
      <c r="G50" s="214">
        <f t="shared" si="15"/>
        <v>0</v>
      </c>
      <c r="H50" s="214">
        <f t="shared" si="15"/>
        <v>10</v>
      </c>
      <c r="I50" s="214">
        <f t="shared" si="15"/>
        <v>0</v>
      </c>
      <c r="J50" s="214">
        <f t="shared" si="15"/>
        <v>10</v>
      </c>
      <c r="K50" s="214">
        <f t="shared" si="15"/>
        <v>10</v>
      </c>
      <c r="L50" s="214">
        <f t="shared" si="15"/>
        <v>0</v>
      </c>
      <c r="M50" s="214">
        <f t="shared" si="15"/>
        <v>10</v>
      </c>
      <c r="N50" s="214">
        <f t="shared" si="15"/>
        <v>10</v>
      </c>
      <c r="O50" s="214">
        <f t="shared" si="15"/>
        <v>0</v>
      </c>
      <c r="P50" s="214">
        <f t="shared" si="15"/>
        <v>10</v>
      </c>
      <c r="Q50" s="214">
        <f t="shared" si="15"/>
        <v>10</v>
      </c>
      <c r="R50" s="214">
        <f t="shared" si="15"/>
        <v>0</v>
      </c>
      <c r="S50" s="214">
        <f t="shared" si="15"/>
        <v>10</v>
      </c>
      <c r="T50" s="215">
        <f t="shared" si="15"/>
        <v>10</v>
      </c>
      <c r="AA50" s="34" t="s">
        <v>53</v>
      </c>
      <c r="AB50" s="34">
        <v>3460</v>
      </c>
      <c r="AC50" s="34">
        <v>5520</v>
      </c>
      <c r="AD50" s="34">
        <v>4570</v>
      </c>
      <c r="AE50" s="34">
        <v>310</v>
      </c>
      <c r="AF50" s="34">
        <v>0</v>
      </c>
      <c r="AG50" s="34">
        <v>10</v>
      </c>
      <c r="AH50" s="34">
        <v>0</v>
      </c>
      <c r="AI50" s="34">
        <v>10</v>
      </c>
      <c r="AJ50" s="34">
        <v>10</v>
      </c>
      <c r="AK50" s="34">
        <v>0</v>
      </c>
      <c r="AL50" s="34">
        <v>10</v>
      </c>
      <c r="AM50" s="34">
        <v>10</v>
      </c>
      <c r="AN50" s="34">
        <v>0</v>
      </c>
      <c r="AO50" s="34">
        <v>10</v>
      </c>
      <c r="AP50" s="34">
        <v>10</v>
      </c>
      <c r="AQ50" s="34">
        <v>0</v>
      </c>
      <c r="AR50" s="34">
        <v>10</v>
      </c>
      <c r="AS50" s="34">
        <v>10</v>
      </c>
    </row>
    <row r="51" spans="2:45" s="34" customFormat="1" ht="16" thickBot="1" x14ac:dyDescent="0.4">
      <c r="B51" s="123" t="s">
        <v>93</v>
      </c>
      <c r="C51" s="216">
        <f t="shared" ref="C51:T51" si="16">C46-C50</f>
        <v>-3460</v>
      </c>
      <c r="D51" s="217">
        <f t="shared" si="16"/>
        <v>-5520</v>
      </c>
      <c r="E51" s="217">
        <f t="shared" si="16"/>
        <v>-4570</v>
      </c>
      <c r="F51" s="217">
        <f t="shared" si="16"/>
        <v>2678.8552067648566</v>
      </c>
      <c r="G51" s="217">
        <f t="shared" si="16"/>
        <v>2935.520062967802</v>
      </c>
      <c r="H51" s="217">
        <f t="shared" si="16"/>
        <v>2869.3497768568359</v>
      </c>
      <c r="I51" s="217">
        <f t="shared" si="16"/>
        <v>2810.2381400825407</v>
      </c>
      <c r="J51" s="217">
        <f t="shared" si="16"/>
        <v>2738.0753143762172</v>
      </c>
      <c r="K51" s="217">
        <f t="shared" si="16"/>
        <v>2672.7477089304957</v>
      </c>
      <c r="L51" s="217">
        <f t="shared" si="16"/>
        <v>2614.137853592747</v>
      </c>
      <c r="M51" s="217">
        <f t="shared" si="16"/>
        <v>2542.1242677257314</v>
      </c>
      <c r="N51" s="217">
        <f t="shared" si="16"/>
        <v>2496.5813245847521</v>
      </c>
      <c r="O51" s="217">
        <f t="shared" si="16"/>
        <v>2457.3791110552847</v>
      </c>
      <c r="P51" s="217">
        <f t="shared" si="16"/>
        <v>2404.3832825894297</v>
      </c>
      <c r="Q51" s="217">
        <f t="shared" si="16"/>
        <v>2357.4549131738786</v>
      </c>
      <c r="R51" s="217">
        <f t="shared" si="16"/>
        <v>2326.4503401560723</v>
      </c>
      <c r="S51" s="217">
        <f t="shared" si="16"/>
        <v>2251.2210037491113</v>
      </c>
      <c r="T51" s="218">
        <f t="shared" si="16"/>
        <v>3430.1132810295567</v>
      </c>
      <c r="AA51" s="34" t="s">
        <v>98</v>
      </c>
      <c r="AB51" s="34">
        <v>-3460</v>
      </c>
      <c r="AC51" s="34">
        <v>-5520</v>
      </c>
      <c r="AD51" s="34">
        <v>-4570</v>
      </c>
      <c r="AE51" s="34">
        <v>2678.8552067648566</v>
      </c>
      <c r="AF51" s="34">
        <v>2935.520062967802</v>
      </c>
      <c r="AG51" s="34">
        <v>2869.3497768568359</v>
      </c>
      <c r="AH51" s="34">
        <v>2810.2381400825407</v>
      </c>
      <c r="AI51" s="34">
        <v>2738.0753143762172</v>
      </c>
      <c r="AJ51" s="34">
        <v>2672.7477089304957</v>
      </c>
      <c r="AK51" s="34">
        <v>2614.137853592747</v>
      </c>
      <c r="AL51" s="34">
        <v>2542.1242677257314</v>
      </c>
      <c r="AM51" s="34">
        <v>2496.5813245847521</v>
      </c>
      <c r="AN51" s="34">
        <v>2457.3791110552847</v>
      </c>
      <c r="AO51" s="34">
        <v>2404.3832825894297</v>
      </c>
      <c r="AP51" s="34">
        <v>2357.4549131738786</v>
      </c>
      <c r="AQ51" s="34">
        <v>2326.4503401560723</v>
      </c>
      <c r="AR51" s="34">
        <v>2251.2210037491113</v>
      </c>
      <c r="AS51" s="34">
        <v>3430.1132810295567</v>
      </c>
    </row>
    <row r="52" spans="2:45" s="34" customFormat="1" ht="16" thickBot="1" x14ac:dyDescent="0.4">
      <c r="B52" s="127" t="s">
        <v>94</v>
      </c>
      <c r="C52" s="128">
        <f>IRR(C51:T51)</f>
        <v>0.15313271368590331</v>
      </c>
      <c r="D52" s="129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  <c r="AA52" s="34" t="s">
        <v>99</v>
      </c>
      <c r="AB52" s="34">
        <v>0.15313271368590331</v>
      </c>
    </row>
    <row r="53" spans="2:45" s="34" customFormat="1" ht="15" thickBot="1" x14ac:dyDescent="0.4"/>
    <row r="54" spans="2:45" s="34" customFormat="1" ht="16" thickBot="1" x14ac:dyDescent="0.4">
      <c r="B54" s="501" t="s">
        <v>44</v>
      </c>
      <c r="C54" s="502"/>
      <c r="D54" s="502"/>
      <c r="E54" s="502"/>
      <c r="F54" s="502"/>
      <c r="G54" s="502"/>
      <c r="H54" s="502"/>
      <c r="I54" s="502"/>
      <c r="J54" s="502"/>
      <c r="K54" s="502"/>
      <c r="L54" s="502"/>
      <c r="M54" s="502"/>
      <c r="N54" s="502"/>
      <c r="O54" s="503"/>
      <c r="AA54" s="34" t="s">
        <v>44</v>
      </c>
    </row>
    <row r="55" spans="2:45" s="34" customFormat="1" ht="16" thickBot="1" x14ac:dyDescent="0.4">
      <c r="B55" s="95" t="s">
        <v>109</v>
      </c>
      <c r="C55" s="132">
        <v>2010</v>
      </c>
      <c r="D55" s="97">
        <v>2011</v>
      </c>
      <c r="E55" s="97">
        <v>2012</v>
      </c>
      <c r="F55" s="97">
        <v>2013</v>
      </c>
      <c r="G55" s="97">
        <v>2014</v>
      </c>
      <c r="H55" s="97">
        <v>2015</v>
      </c>
      <c r="I55" s="97">
        <v>2016</v>
      </c>
      <c r="J55" s="97">
        <v>2017</v>
      </c>
      <c r="K55" s="97">
        <v>2018</v>
      </c>
      <c r="L55" s="97">
        <v>2019</v>
      </c>
      <c r="M55" s="97">
        <v>2020</v>
      </c>
      <c r="N55" s="97">
        <v>2021</v>
      </c>
      <c r="O55" s="98">
        <v>2022</v>
      </c>
      <c r="AA55" s="34" t="s">
        <v>100</v>
      </c>
      <c r="AB55" s="34">
        <v>2010</v>
      </c>
      <c r="AC55" s="34">
        <v>2011</v>
      </c>
      <c r="AD55" s="34">
        <v>2012</v>
      </c>
      <c r="AE55" s="34">
        <v>2013</v>
      </c>
      <c r="AF55" s="34">
        <v>2014</v>
      </c>
      <c r="AG55" s="34">
        <v>2015</v>
      </c>
      <c r="AH55" s="34">
        <v>2016</v>
      </c>
      <c r="AI55" s="34">
        <v>2017</v>
      </c>
      <c r="AJ55" s="34">
        <v>2018</v>
      </c>
      <c r="AK55" s="34">
        <v>2019</v>
      </c>
      <c r="AL55" s="34">
        <v>2020</v>
      </c>
      <c r="AM55" s="34">
        <v>2021</v>
      </c>
      <c r="AN55" s="34">
        <v>2022</v>
      </c>
    </row>
    <row r="56" spans="2:45" s="34" customFormat="1" ht="15.5" x14ac:dyDescent="0.35">
      <c r="B56" s="99" t="s">
        <v>46</v>
      </c>
      <c r="C56" s="198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200"/>
      <c r="AA56" s="34" t="s">
        <v>46</v>
      </c>
    </row>
    <row r="57" spans="2:45" s="34" customFormat="1" ht="15.5" x14ac:dyDescent="0.35">
      <c r="B57" s="103" t="s">
        <v>47</v>
      </c>
      <c r="C57" s="201">
        <f>C44</f>
        <v>0</v>
      </c>
      <c r="D57" s="202">
        <f t="shared" ref="D57:O57" si="17">D44</f>
        <v>0</v>
      </c>
      <c r="E57" s="202">
        <f t="shared" si="17"/>
        <v>0</v>
      </c>
      <c r="F57" s="202">
        <f t="shared" si="17"/>
        <v>2988.8552067648566</v>
      </c>
      <c r="G57" s="202">
        <f t="shared" si="17"/>
        <v>2935.520062967802</v>
      </c>
      <c r="H57" s="202">
        <f t="shared" si="17"/>
        <v>2879.3497768568359</v>
      </c>
      <c r="I57" s="202">
        <f t="shared" si="17"/>
        <v>2810.2381400825407</v>
      </c>
      <c r="J57" s="202">
        <f t="shared" si="17"/>
        <v>2748.0753143762172</v>
      </c>
      <c r="K57" s="202">
        <f t="shared" si="17"/>
        <v>2682.7477089304957</v>
      </c>
      <c r="L57" s="202">
        <f t="shared" si="17"/>
        <v>2614.137853592747</v>
      </c>
      <c r="M57" s="202">
        <f t="shared" si="17"/>
        <v>2552.1242677257314</v>
      </c>
      <c r="N57" s="202">
        <f t="shared" si="17"/>
        <v>2506.5813245847521</v>
      </c>
      <c r="O57" s="203">
        <f t="shared" si="17"/>
        <v>2457.3791110552847</v>
      </c>
      <c r="AA57" s="34" t="s">
        <v>47</v>
      </c>
      <c r="AB57" s="34">
        <v>0</v>
      </c>
      <c r="AC57" s="34">
        <v>0</v>
      </c>
      <c r="AD57" s="34">
        <v>0</v>
      </c>
      <c r="AE57" s="34">
        <v>2988.8552067648566</v>
      </c>
      <c r="AF57" s="34">
        <v>2935.520062967802</v>
      </c>
      <c r="AG57" s="34">
        <v>2879.3497768568359</v>
      </c>
      <c r="AH57" s="34">
        <v>2810.2381400825407</v>
      </c>
      <c r="AI57" s="34">
        <v>2748.0753143762172</v>
      </c>
      <c r="AJ57" s="34">
        <v>2682.7477089304957</v>
      </c>
      <c r="AK57" s="34">
        <v>2614.137853592747</v>
      </c>
      <c r="AL57" s="34">
        <v>2552.1242677257314</v>
      </c>
      <c r="AM57" s="34">
        <v>2506.5813245847521</v>
      </c>
      <c r="AN57" s="34">
        <v>2457.3791110552847</v>
      </c>
    </row>
    <row r="58" spans="2:45" s="34" customFormat="1" ht="16" thickBot="1" x14ac:dyDescent="0.4">
      <c r="B58" s="107" t="s">
        <v>48</v>
      </c>
      <c r="C58" s="204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19">
        <f>0.05*'Balance Sheet (Case Exhibit 6)'!P24</f>
        <v>884</v>
      </c>
      <c r="AA58" s="34" t="s">
        <v>48</v>
      </c>
      <c r="AN58" s="34">
        <v>884</v>
      </c>
    </row>
    <row r="59" spans="2:45" s="34" customFormat="1" ht="16" thickBot="1" x14ac:dyDescent="0.4">
      <c r="B59" s="95" t="s">
        <v>90</v>
      </c>
      <c r="C59" s="206">
        <f t="shared" ref="C59:O59" si="18">SUM(C57:C58)</f>
        <v>0</v>
      </c>
      <c r="D59" s="207">
        <f t="shared" si="18"/>
        <v>0</v>
      </c>
      <c r="E59" s="207">
        <f t="shared" si="18"/>
        <v>0</v>
      </c>
      <c r="F59" s="207">
        <f t="shared" si="18"/>
        <v>2988.8552067648566</v>
      </c>
      <c r="G59" s="207">
        <f t="shared" si="18"/>
        <v>2935.520062967802</v>
      </c>
      <c r="H59" s="207">
        <f t="shared" si="18"/>
        <v>2879.3497768568359</v>
      </c>
      <c r="I59" s="207">
        <f t="shared" si="18"/>
        <v>2810.2381400825407</v>
      </c>
      <c r="J59" s="207">
        <f t="shared" si="18"/>
        <v>2748.0753143762172</v>
      </c>
      <c r="K59" s="207">
        <f t="shared" si="18"/>
        <v>2682.7477089304957</v>
      </c>
      <c r="L59" s="207">
        <f t="shared" si="18"/>
        <v>2614.137853592747</v>
      </c>
      <c r="M59" s="207">
        <f t="shared" si="18"/>
        <v>2552.1242677257314</v>
      </c>
      <c r="N59" s="207">
        <f t="shared" si="18"/>
        <v>2506.5813245847521</v>
      </c>
      <c r="O59" s="208">
        <f t="shared" si="18"/>
        <v>3341.3791110552847</v>
      </c>
      <c r="AA59" s="34" t="s">
        <v>90</v>
      </c>
      <c r="AB59" s="34">
        <v>0</v>
      </c>
      <c r="AC59" s="34">
        <v>0</v>
      </c>
      <c r="AD59" s="34">
        <v>0</v>
      </c>
      <c r="AE59" s="34">
        <v>2988.8552067648566</v>
      </c>
      <c r="AF59" s="34">
        <v>2935.520062967802</v>
      </c>
      <c r="AG59" s="34">
        <v>2879.3497768568359</v>
      </c>
      <c r="AH59" s="34">
        <v>2810.2381400825407</v>
      </c>
      <c r="AI59" s="34">
        <v>2748.0753143762172</v>
      </c>
      <c r="AJ59" s="34">
        <v>2682.7477089304957</v>
      </c>
      <c r="AK59" s="34">
        <v>2614.137853592747</v>
      </c>
      <c r="AL59" s="34">
        <v>2552.1242677257314</v>
      </c>
      <c r="AM59" s="34">
        <v>2506.5813245847521</v>
      </c>
      <c r="AN59" s="34">
        <v>3341.3791110552847</v>
      </c>
    </row>
    <row r="60" spans="2:45" s="34" customFormat="1" ht="15.5" x14ac:dyDescent="0.35">
      <c r="B60" s="99" t="s">
        <v>50</v>
      </c>
      <c r="C60" s="198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200"/>
      <c r="AA60" s="34" t="s">
        <v>50</v>
      </c>
    </row>
    <row r="61" spans="2:45" s="34" customFormat="1" ht="15.5" x14ac:dyDescent="0.35">
      <c r="B61" s="103" t="s">
        <v>105</v>
      </c>
      <c r="C61" s="209">
        <f>C48</f>
        <v>3460</v>
      </c>
      <c r="D61" s="187">
        <f t="shared" ref="D61:O61" si="19">D48</f>
        <v>5520</v>
      </c>
      <c r="E61" s="187">
        <f t="shared" si="19"/>
        <v>4570</v>
      </c>
      <c r="F61" s="202">
        <f t="shared" si="19"/>
        <v>0</v>
      </c>
      <c r="G61" s="202">
        <f t="shared" si="19"/>
        <v>0</v>
      </c>
      <c r="H61" s="202">
        <f t="shared" si="19"/>
        <v>0</v>
      </c>
      <c r="I61" s="202">
        <f t="shared" si="19"/>
        <v>0</v>
      </c>
      <c r="J61" s="202">
        <f t="shared" si="19"/>
        <v>0</v>
      </c>
      <c r="K61" s="202">
        <f t="shared" si="19"/>
        <v>0</v>
      </c>
      <c r="L61" s="202">
        <f t="shared" si="19"/>
        <v>0</v>
      </c>
      <c r="M61" s="202">
        <f t="shared" si="19"/>
        <v>0</v>
      </c>
      <c r="N61" s="202">
        <f t="shared" si="19"/>
        <v>0</v>
      </c>
      <c r="O61" s="203">
        <f t="shared" si="19"/>
        <v>0</v>
      </c>
      <c r="AA61" s="34" t="s">
        <v>105</v>
      </c>
      <c r="AB61" s="34">
        <v>3460</v>
      </c>
      <c r="AC61" s="34">
        <v>5520</v>
      </c>
      <c r="AD61" s="34">
        <v>4570</v>
      </c>
      <c r="AE61" s="34">
        <v>0</v>
      </c>
      <c r="AF61" s="34">
        <v>0</v>
      </c>
      <c r="AG61" s="34">
        <v>0</v>
      </c>
      <c r="AH61" s="34">
        <v>0</v>
      </c>
      <c r="AI61" s="34">
        <v>0</v>
      </c>
      <c r="AJ61" s="34">
        <v>0</v>
      </c>
      <c r="AK61" s="34">
        <v>0</v>
      </c>
      <c r="AL61" s="34">
        <v>0</v>
      </c>
      <c r="AM61" s="34">
        <v>0</v>
      </c>
      <c r="AN61" s="34">
        <v>0</v>
      </c>
    </row>
    <row r="62" spans="2:45" s="34" customFormat="1" ht="16" thickBot="1" x14ac:dyDescent="0.4">
      <c r="B62" s="107" t="s">
        <v>92</v>
      </c>
      <c r="C62" s="210">
        <f t="shared" ref="C62:O62" si="20">C49</f>
        <v>0</v>
      </c>
      <c r="D62" s="211">
        <f t="shared" si="20"/>
        <v>0</v>
      </c>
      <c r="E62" s="211">
        <f t="shared" si="20"/>
        <v>0</v>
      </c>
      <c r="F62" s="211">
        <f t="shared" si="20"/>
        <v>310</v>
      </c>
      <c r="G62" s="211">
        <f t="shared" si="20"/>
        <v>0</v>
      </c>
      <c r="H62" s="211">
        <f t="shared" si="20"/>
        <v>10</v>
      </c>
      <c r="I62" s="211">
        <f t="shared" si="20"/>
        <v>0</v>
      </c>
      <c r="J62" s="211">
        <f t="shared" si="20"/>
        <v>10</v>
      </c>
      <c r="K62" s="211">
        <f t="shared" si="20"/>
        <v>10</v>
      </c>
      <c r="L62" s="211">
        <f t="shared" si="20"/>
        <v>0</v>
      </c>
      <c r="M62" s="211">
        <f t="shared" si="20"/>
        <v>10</v>
      </c>
      <c r="N62" s="211">
        <f t="shared" si="20"/>
        <v>10</v>
      </c>
      <c r="O62" s="212">
        <f t="shared" si="20"/>
        <v>0</v>
      </c>
      <c r="AA62" s="34" t="s">
        <v>92</v>
      </c>
      <c r="AB62" s="34">
        <v>0</v>
      </c>
      <c r="AC62" s="34">
        <v>0</v>
      </c>
      <c r="AD62" s="34">
        <v>0</v>
      </c>
      <c r="AE62" s="34">
        <v>310</v>
      </c>
      <c r="AF62" s="34">
        <v>0</v>
      </c>
      <c r="AG62" s="34">
        <v>10</v>
      </c>
      <c r="AH62" s="34">
        <v>0</v>
      </c>
      <c r="AI62" s="34">
        <v>10</v>
      </c>
      <c r="AJ62" s="34">
        <v>10</v>
      </c>
      <c r="AK62" s="34">
        <v>0</v>
      </c>
      <c r="AL62" s="34">
        <v>10</v>
      </c>
      <c r="AM62" s="34">
        <v>10</v>
      </c>
      <c r="AN62" s="34">
        <v>0</v>
      </c>
    </row>
    <row r="63" spans="2:45" s="34" customFormat="1" ht="15.5" x14ac:dyDescent="0.35">
      <c r="B63" s="119" t="s">
        <v>53</v>
      </c>
      <c r="C63" s="213">
        <f t="shared" ref="C63:O63" si="21">C61+C62</f>
        <v>3460</v>
      </c>
      <c r="D63" s="214">
        <f t="shared" si="21"/>
        <v>5520</v>
      </c>
      <c r="E63" s="214">
        <f t="shared" si="21"/>
        <v>4570</v>
      </c>
      <c r="F63" s="214">
        <f t="shared" si="21"/>
        <v>310</v>
      </c>
      <c r="G63" s="214">
        <f t="shared" si="21"/>
        <v>0</v>
      </c>
      <c r="H63" s="214">
        <f t="shared" si="21"/>
        <v>10</v>
      </c>
      <c r="I63" s="214">
        <f t="shared" si="21"/>
        <v>0</v>
      </c>
      <c r="J63" s="214">
        <f t="shared" si="21"/>
        <v>10</v>
      </c>
      <c r="K63" s="214">
        <f t="shared" si="21"/>
        <v>10</v>
      </c>
      <c r="L63" s="214">
        <f t="shared" si="21"/>
        <v>0</v>
      </c>
      <c r="M63" s="214">
        <f t="shared" si="21"/>
        <v>10</v>
      </c>
      <c r="N63" s="214">
        <f t="shared" si="21"/>
        <v>10</v>
      </c>
      <c r="O63" s="215">
        <f t="shared" si="21"/>
        <v>0</v>
      </c>
      <c r="AA63" s="34" t="s">
        <v>53</v>
      </c>
      <c r="AB63" s="34">
        <v>3460</v>
      </c>
      <c r="AC63" s="34">
        <v>5520</v>
      </c>
      <c r="AD63" s="34">
        <v>4570</v>
      </c>
      <c r="AE63" s="34">
        <v>310</v>
      </c>
      <c r="AF63" s="34">
        <v>0</v>
      </c>
      <c r="AG63" s="34">
        <v>10</v>
      </c>
      <c r="AH63" s="34">
        <v>0</v>
      </c>
      <c r="AI63" s="34">
        <v>10</v>
      </c>
      <c r="AJ63" s="34">
        <v>10</v>
      </c>
      <c r="AK63" s="34">
        <v>0</v>
      </c>
      <c r="AL63" s="34">
        <v>10</v>
      </c>
      <c r="AM63" s="34">
        <v>10</v>
      </c>
      <c r="AN63" s="34">
        <v>0</v>
      </c>
    </row>
    <row r="64" spans="2:45" s="34" customFormat="1" ht="16" thickBot="1" x14ac:dyDescent="0.4">
      <c r="B64" s="123" t="s">
        <v>93</v>
      </c>
      <c r="C64" s="216">
        <f t="shared" ref="C64:O64" si="22">C59-C63</f>
        <v>-3460</v>
      </c>
      <c r="D64" s="217">
        <f t="shared" si="22"/>
        <v>-5520</v>
      </c>
      <c r="E64" s="217">
        <f t="shared" si="22"/>
        <v>-4570</v>
      </c>
      <c r="F64" s="217">
        <f t="shared" si="22"/>
        <v>2678.8552067648566</v>
      </c>
      <c r="G64" s="217">
        <f t="shared" si="22"/>
        <v>2935.520062967802</v>
      </c>
      <c r="H64" s="217">
        <f t="shared" si="22"/>
        <v>2869.3497768568359</v>
      </c>
      <c r="I64" s="217">
        <f t="shared" si="22"/>
        <v>2810.2381400825407</v>
      </c>
      <c r="J64" s="217">
        <f t="shared" si="22"/>
        <v>2738.0753143762172</v>
      </c>
      <c r="K64" s="217">
        <f t="shared" si="22"/>
        <v>2672.7477089304957</v>
      </c>
      <c r="L64" s="217">
        <f t="shared" si="22"/>
        <v>2614.137853592747</v>
      </c>
      <c r="M64" s="217">
        <f t="shared" si="22"/>
        <v>2542.1242677257314</v>
      </c>
      <c r="N64" s="217">
        <f t="shared" si="22"/>
        <v>2496.5813245847521</v>
      </c>
      <c r="O64" s="218">
        <f t="shared" si="22"/>
        <v>3341.3791110552847</v>
      </c>
      <c r="AA64" s="34" t="s">
        <v>93</v>
      </c>
      <c r="AB64" s="34">
        <v>-3460</v>
      </c>
      <c r="AC64" s="34">
        <v>-5520</v>
      </c>
      <c r="AD64" s="34">
        <v>-4570</v>
      </c>
      <c r="AE64" s="34">
        <v>2678.8552067648566</v>
      </c>
      <c r="AF64" s="34">
        <v>2935.520062967802</v>
      </c>
      <c r="AG64" s="34">
        <v>2869.3497768568359</v>
      </c>
      <c r="AH64" s="34">
        <v>2810.2381400825407</v>
      </c>
      <c r="AI64" s="34">
        <v>2738.0753143762172</v>
      </c>
      <c r="AJ64" s="34">
        <v>2672.7477089304957</v>
      </c>
      <c r="AK64" s="34">
        <v>2614.137853592747</v>
      </c>
      <c r="AL64" s="34">
        <v>2542.1242677257314</v>
      </c>
      <c r="AM64" s="34">
        <v>2496.5813245847521</v>
      </c>
      <c r="AN64" s="34">
        <v>3341.3791110552847</v>
      </c>
    </row>
    <row r="65" spans="2:28" s="34" customFormat="1" ht="16" thickBot="1" x14ac:dyDescent="0.4">
      <c r="B65" s="127" t="s">
        <v>95</v>
      </c>
      <c r="C65" s="128">
        <f>IRR(C64:O64)</f>
        <v>0.12740783723973448</v>
      </c>
      <c r="D65" s="129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1"/>
      <c r="AA65" s="34" t="s">
        <v>95</v>
      </c>
      <c r="AB65" s="34">
        <v>0.12740783723973448</v>
      </c>
    </row>
    <row r="66" spans="2:28" s="34" customFormat="1" x14ac:dyDescent="0.35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</row>
    <row r="67" spans="2:28" s="34" customFormat="1" x14ac:dyDescent="0.35"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</row>
    <row r="68" spans="2:28" s="34" customFormat="1" x14ac:dyDescent="0.35"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</row>
    <row r="69" spans="2:28" s="34" customFormat="1" x14ac:dyDescent="0.35"/>
    <row r="70" spans="2:28" s="34" customFormat="1" x14ac:dyDescent="0.35"/>
    <row r="71" spans="2:28" s="34" customFormat="1" x14ac:dyDescent="0.35"/>
    <row r="72" spans="2:28" s="34" customFormat="1" x14ac:dyDescent="0.35"/>
    <row r="73" spans="2:28" s="34" customFormat="1" x14ac:dyDescent="0.35"/>
    <row r="74" spans="2:28" s="34" customFormat="1" x14ac:dyDescent="0.35"/>
    <row r="75" spans="2:28" s="34" customFormat="1" x14ac:dyDescent="0.35"/>
    <row r="76" spans="2:28" s="34" customFormat="1" x14ac:dyDescent="0.35"/>
    <row r="77" spans="2:28" s="34" customFormat="1" x14ac:dyDescent="0.35"/>
    <row r="78" spans="2:28" s="34" customFormat="1" x14ac:dyDescent="0.35"/>
    <row r="79" spans="2:28" s="34" customFormat="1" x14ac:dyDescent="0.35"/>
    <row r="80" spans="2:28" s="34" customFormat="1" x14ac:dyDescent="0.35"/>
    <row r="81" s="34" customFormat="1" x14ac:dyDescent="0.35"/>
    <row r="82" s="34" customFormat="1" x14ac:dyDescent="0.35"/>
    <row r="83" s="34" customFormat="1" x14ac:dyDescent="0.35"/>
    <row r="84" s="34" customFormat="1" x14ac:dyDescent="0.35"/>
    <row r="85" s="34" customFormat="1" x14ac:dyDescent="0.35"/>
    <row r="86" s="34" customFormat="1" x14ac:dyDescent="0.35"/>
    <row r="87" s="34" customFormat="1" x14ac:dyDescent="0.35"/>
    <row r="88" s="34" customFormat="1" x14ac:dyDescent="0.35"/>
    <row r="89" s="34" customFormat="1" x14ac:dyDescent="0.35"/>
    <row r="90" s="34" customFormat="1" x14ac:dyDescent="0.35"/>
    <row r="91" s="34" customFormat="1" x14ac:dyDescent="0.35"/>
    <row r="92" s="34" customFormat="1" x14ac:dyDescent="0.35"/>
    <row r="93" s="34" customFormat="1" x14ac:dyDescent="0.35"/>
    <row r="94" s="34" customFormat="1" x14ac:dyDescent="0.35"/>
    <row r="95" s="34" customFormat="1" x14ac:dyDescent="0.35"/>
    <row r="96" s="34" customFormat="1" x14ac:dyDescent="0.35"/>
    <row r="97" s="34" customFormat="1" x14ac:dyDescent="0.35"/>
    <row r="98" s="34" customFormat="1" x14ac:dyDescent="0.35"/>
    <row r="99" s="34" customFormat="1" x14ac:dyDescent="0.35"/>
    <row r="100" s="34" customFormat="1" x14ac:dyDescent="0.35"/>
    <row r="101" s="34" customFormat="1" x14ac:dyDescent="0.35"/>
    <row r="102" s="34" customFormat="1" x14ac:dyDescent="0.35"/>
    <row r="103" s="34" customFormat="1" x14ac:dyDescent="0.35"/>
  </sheetData>
  <mergeCells count="4">
    <mergeCell ref="B2:C2"/>
    <mergeCell ref="B10:Q10"/>
    <mergeCell ref="B41:T41"/>
    <mergeCell ref="B54:O54"/>
  </mergeCells>
  <pageMargins left="0.75" right="0.75" top="1" bottom="1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41"/>
  <sheetViews>
    <sheetView showGridLines="0" topLeftCell="B1" workbookViewId="0">
      <selection activeCell="P5" sqref="P5"/>
    </sheetView>
  </sheetViews>
  <sheetFormatPr baseColWidth="10" defaultColWidth="8.81640625" defaultRowHeight="14.5" x14ac:dyDescent="0.35"/>
  <cols>
    <col min="2" max="2" width="48.6328125" customWidth="1"/>
    <col min="3" max="3" width="6.81640625" customWidth="1"/>
    <col min="4" max="21" width="7.7265625" customWidth="1"/>
  </cols>
  <sheetData>
    <row r="1" spans="2:21" ht="15" thickBot="1" x14ac:dyDescent="0.4"/>
    <row r="2" spans="2:21" ht="16" thickBot="1" x14ac:dyDescent="0.4">
      <c r="B2" s="504" t="s">
        <v>106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6"/>
    </row>
    <row r="3" spans="2:21" ht="16" thickBot="1" x14ac:dyDescent="0.4">
      <c r="B3" s="1" t="s">
        <v>110</v>
      </c>
      <c r="C3" s="2">
        <v>2009</v>
      </c>
      <c r="D3" s="2">
        <v>2010</v>
      </c>
      <c r="E3" s="2">
        <v>2011</v>
      </c>
      <c r="F3" s="2">
        <v>2012</v>
      </c>
      <c r="G3" s="2">
        <v>2013</v>
      </c>
      <c r="H3" s="2">
        <v>2014</v>
      </c>
      <c r="I3" s="2">
        <v>2015</v>
      </c>
      <c r="J3" s="2">
        <v>2016</v>
      </c>
      <c r="K3" s="2">
        <v>2017</v>
      </c>
      <c r="L3" s="2">
        <v>2018</v>
      </c>
      <c r="M3" s="2">
        <v>2019</v>
      </c>
      <c r="N3" s="2">
        <v>2020</v>
      </c>
      <c r="O3" s="2">
        <v>2021</v>
      </c>
      <c r="P3" s="2">
        <v>2022</v>
      </c>
      <c r="Q3" s="2">
        <v>2023</v>
      </c>
      <c r="R3" s="2">
        <v>2024</v>
      </c>
      <c r="S3" s="2">
        <v>2025</v>
      </c>
      <c r="T3" s="2">
        <v>2026</v>
      </c>
      <c r="U3" s="3">
        <v>2027</v>
      </c>
    </row>
    <row r="4" spans="2:21" ht="15.5" x14ac:dyDescent="0.3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2:21" ht="15.5" x14ac:dyDescent="0.35">
      <c r="B5" s="7" t="s">
        <v>107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9"/>
    </row>
    <row r="6" spans="2:21" ht="15.5" x14ac:dyDescent="0.35">
      <c r="B6" s="7" t="s">
        <v>2</v>
      </c>
      <c r="C6" s="10">
        <v>0</v>
      </c>
      <c r="D6" s="10">
        <v>1040</v>
      </c>
      <c r="E6" s="10">
        <v>2690</v>
      </c>
      <c r="F6" s="10">
        <v>4160</v>
      </c>
      <c r="G6" s="10">
        <v>4160</v>
      </c>
      <c r="H6" s="10">
        <v>4160</v>
      </c>
      <c r="I6" s="10">
        <v>4160</v>
      </c>
      <c r="J6" s="10">
        <v>4160</v>
      </c>
      <c r="K6" s="10">
        <v>4160</v>
      </c>
      <c r="L6" s="10">
        <v>4160</v>
      </c>
      <c r="M6" s="10">
        <v>4160</v>
      </c>
      <c r="N6" s="10">
        <v>4160</v>
      </c>
      <c r="O6" s="10">
        <v>4160</v>
      </c>
      <c r="P6" s="10">
        <v>4160</v>
      </c>
      <c r="Q6" s="10">
        <v>4160</v>
      </c>
      <c r="R6" s="10">
        <v>4160</v>
      </c>
      <c r="S6" s="10">
        <v>4160</v>
      </c>
      <c r="T6" s="10">
        <v>4160</v>
      </c>
      <c r="U6" s="11">
        <v>4160</v>
      </c>
    </row>
    <row r="7" spans="2:21" ht="15.5" x14ac:dyDescent="0.35">
      <c r="B7" s="7" t="s">
        <v>76</v>
      </c>
      <c r="C7" s="10">
        <v>0</v>
      </c>
      <c r="D7" s="10">
        <v>0</v>
      </c>
      <c r="E7" s="10">
        <v>0</v>
      </c>
      <c r="F7" s="10">
        <v>0</v>
      </c>
      <c r="G7" s="10">
        <v>970</v>
      </c>
      <c r="H7" s="10">
        <v>1990</v>
      </c>
      <c r="I7" s="10">
        <v>3080</v>
      </c>
      <c r="J7" s="10">
        <v>4230</v>
      </c>
      <c r="K7" s="10">
        <v>5440</v>
      </c>
      <c r="L7" s="10">
        <v>6710</v>
      </c>
      <c r="M7" s="10">
        <v>8040</v>
      </c>
      <c r="N7" s="10">
        <v>9430</v>
      </c>
      <c r="O7" s="10">
        <v>10900</v>
      </c>
      <c r="P7" s="10">
        <v>12430</v>
      </c>
      <c r="Q7" s="10">
        <v>13930</v>
      </c>
      <c r="R7" s="10">
        <v>15390</v>
      </c>
      <c r="S7" s="10">
        <v>16790</v>
      </c>
      <c r="T7" s="10">
        <v>18130</v>
      </c>
      <c r="U7" s="11">
        <v>19410</v>
      </c>
    </row>
    <row r="8" spans="2:21" ht="15.5" x14ac:dyDescent="0.35">
      <c r="B8" s="7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</row>
    <row r="9" spans="2:21" ht="15.5" x14ac:dyDescent="0.35">
      <c r="B9" s="7" t="s">
        <v>108</v>
      </c>
      <c r="C9" s="10">
        <v>0</v>
      </c>
      <c r="D9" s="10">
        <v>1040</v>
      </c>
      <c r="E9" s="10">
        <v>2690</v>
      </c>
      <c r="F9" s="10">
        <v>4160</v>
      </c>
      <c r="G9" s="10">
        <v>5130</v>
      </c>
      <c r="H9" s="10">
        <v>6150</v>
      </c>
      <c r="I9" s="10">
        <v>7240</v>
      </c>
      <c r="J9" s="10">
        <v>8390</v>
      </c>
      <c r="K9" s="10">
        <v>9600</v>
      </c>
      <c r="L9" s="10">
        <v>10870</v>
      </c>
      <c r="M9" s="10">
        <v>12200</v>
      </c>
      <c r="N9" s="10">
        <v>13590</v>
      </c>
      <c r="O9" s="10">
        <v>15060</v>
      </c>
      <c r="P9" s="10">
        <v>16590</v>
      </c>
      <c r="Q9" s="10">
        <v>18090</v>
      </c>
      <c r="R9" s="10">
        <v>19550</v>
      </c>
      <c r="S9" s="10">
        <v>20950</v>
      </c>
      <c r="T9" s="10">
        <v>22290</v>
      </c>
      <c r="U9" s="11">
        <v>23570</v>
      </c>
    </row>
    <row r="10" spans="2:21" ht="15.5" x14ac:dyDescent="0.35">
      <c r="B10" s="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</row>
    <row r="11" spans="2:21" ht="15.5" x14ac:dyDescent="0.35">
      <c r="B11" s="7" t="s">
        <v>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</row>
    <row r="12" spans="2:21" ht="15.5" x14ac:dyDescent="0.35">
      <c r="B12" s="7" t="s">
        <v>77</v>
      </c>
      <c r="C12" s="10">
        <v>0</v>
      </c>
      <c r="D12" s="10">
        <v>2420</v>
      </c>
      <c r="E12" s="10">
        <v>6290</v>
      </c>
      <c r="F12" s="10">
        <v>9700</v>
      </c>
      <c r="G12" s="10">
        <v>9160</v>
      </c>
      <c r="H12" s="10">
        <v>8060</v>
      </c>
      <c r="I12" s="10">
        <v>6990</v>
      </c>
      <c r="J12" s="10">
        <v>5910</v>
      </c>
      <c r="K12" s="10">
        <v>4840</v>
      </c>
      <c r="L12" s="10">
        <v>3760</v>
      </c>
      <c r="M12" s="10">
        <v>2690</v>
      </c>
      <c r="N12" s="10">
        <v>1610</v>
      </c>
      <c r="O12" s="10">
        <v>540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1">
        <v>0</v>
      </c>
    </row>
    <row r="13" spans="2:21" ht="15.5" x14ac:dyDescent="0.35">
      <c r="B13" s="7" t="s">
        <v>78</v>
      </c>
      <c r="C13" s="10">
        <v>0</v>
      </c>
      <c r="D13" s="10">
        <v>0</v>
      </c>
      <c r="E13" s="10">
        <v>0</v>
      </c>
      <c r="F13" s="10">
        <v>0</v>
      </c>
      <c r="G13" s="10">
        <v>930</v>
      </c>
      <c r="H13" s="10">
        <v>940</v>
      </c>
      <c r="I13" s="10">
        <v>960</v>
      </c>
      <c r="J13" s="10">
        <v>980</v>
      </c>
      <c r="K13" s="10">
        <v>990</v>
      </c>
      <c r="L13" s="10">
        <v>1010</v>
      </c>
      <c r="M13" s="10">
        <v>1030</v>
      </c>
      <c r="N13" s="10">
        <v>1050</v>
      </c>
      <c r="O13" s="10">
        <v>1070</v>
      </c>
      <c r="P13" s="10">
        <v>1090</v>
      </c>
      <c r="Q13" s="10">
        <v>1110</v>
      </c>
      <c r="R13" s="10">
        <v>1130</v>
      </c>
      <c r="S13" s="10">
        <v>1160</v>
      </c>
      <c r="T13" s="10">
        <v>1180</v>
      </c>
      <c r="U13" s="11">
        <v>1200</v>
      </c>
    </row>
    <row r="14" spans="2:21" ht="15.5" x14ac:dyDescent="0.35">
      <c r="B14" s="7" t="s">
        <v>4</v>
      </c>
      <c r="C14" s="10">
        <v>0</v>
      </c>
      <c r="D14" s="10">
        <v>2420</v>
      </c>
      <c r="E14" s="10">
        <v>6290</v>
      </c>
      <c r="F14" s="10">
        <v>9700</v>
      </c>
      <c r="G14" s="10">
        <v>10090</v>
      </c>
      <c r="H14" s="10">
        <v>9000</v>
      </c>
      <c r="I14" s="10">
        <v>7950</v>
      </c>
      <c r="J14" s="10">
        <v>6890</v>
      </c>
      <c r="K14" s="10">
        <v>5830</v>
      </c>
      <c r="L14" s="10">
        <v>4770</v>
      </c>
      <c r="M14" s="10">
        <v>3720</v>
      </c>
      <c r="N14" s="10">
        <v>2660</v>
      </c>
      <c r="O14" s="10">
        <v>1610</v>
      </c>
      <c r="P14" s="10">
        <v>1090</v>
      </c>
      <c r="Q14" s="10">
        <v>1110</v>
      </c>
      <c r="R14" s="10">
        <v>1130</v>
      </c>
      <c r="S14" s="10">
        <v>1160</v>
      </c>
      <c r="T14" s="10">
        <v>1180</v>
      </c>
      <c r="U14" s="11">
        <v>1200</v>
      </c>
    </row>
    <row r="15" spans="2:21" ht="15.5" x14ac:dyDescent="0.35">
      <c r="B15" s="7" t="s">
        <v>5</v>
      </c>
      <c r="C15" s="10">
        <v>0</v>
      </c>
      <c r="D15" s="10">
        <v>3460</v>
      </c>
      <c r="E15" s="10">
        <v>8980</v>
      </c>
      <c r="F15" s="10">
        <v>13860</v>
      </c>
      <c r="G15" s="10">
        <v>15220</v>
      </c>
      <c r="H15" s="10">
        <v>15150</v>
      </c>
      <c r="I15" s="10">
        <v>15190</v>
      </c>
      <c r="J15" s="10">
        <v>15280</v>
      </c>
      <c r="K15" s="10">
        <v>15430</v>
      </c>
      <c r="L15" s="10">
        <v>15640</v>
      </c>
      <c r="M15" s="10">
        <v>15920</v>
      </c>
      <c r="N15" s="10">
        <v>16250</v>
      </c>
      <c r="O15" s="10">
        <v>16670</v>
      </c>
      <c r="P15" s="10">
        <v>17680</v>
      </c>
      <c r="Q15" s="10">
        <v>19200</v>
      </c>
      <c r="R15" s="10">
        <v>20680</v>
      </c>
      <c r="S15" s="10">
        <v>22110</v>
      </c>
      <c r="T15" s="10">
        <v>23470</v>
      </c>
      <c r="U15" s="11">
        <v>24770</v>
      </c>
    </row>
    <row r="16" spans="2:21" ht="15.5" x14ac:dyDescent="0.35">
      <c r="B16" s="7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1"/>
    </row>
    <row r="17" spans="2:31" ht="15.5" x14ac:dyDescent="0.35">
      <c r="B17" s="7" t="s">
        <v>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1"/>
    </row>
    <row r="18" spans="2:31" ht="15.5" x14ac:dyDescent="0.35">
      <c r="B18" s="7" t="s">
        <v>102</v>
      </c>
      <c r="C18" s="10">
        <v>0</v>
      </c>
      <c r="D18" s="10">
        <v>3460</v>
      </c>
      <c r="E18" s="10">
        <v>8980</v>
      </c>
      <c r="F18" s="10">
        <v>13550</v>
      </c>
      <c r="G18" s="10">
        <v>13550</v>
      </c>
      <c r="H18" s="10">
        <v>13550</v>
      </c>
      <c r="I18" s="10">
        <v>13550</v>
      </c>
      <c r="J18" s="10">
        <v>13550</v>
      </c>
      <c r="K18" s="10">
        <v>13550</v>
      </c>
      <c r="L18" s="10">
        <v>13550</v>
      </c>
      <c r="M18" s="10">
        <v>13550</v>
      </c>
      <c r="N18" s="10">
        <v>13550</v>
      </c>
      <c r="O18" s="10">
        <v>13550</v>
      </c>
      <c r="P18" s="10">
        <v>13550</v>
      </c>
      <c r="Q18" s="10">
        <v>13550</v>
      </c>
      <c r="R18" s="10">
        <v>13550</v>
      </c>
      <c r="S18" s="10">
        <v>13550</v>
      </c>
      <c r="T18" s="10">
        <v>13550</v>
      </c>
      <c r="U18" s="11">
        <v>13550</v>
      </c>
    </row>
    <row r="19" spans="2:31" ht="15.5" x14ac:dyDescent="0.35">
      <c r="B19" s="7" t="s">
        <v>7</v>
      </c>
      <c r="C19" s="10">
        <v>0</v>
      </c>
      <c r="D19" s="10">
        <v>0</v>
      </c>
      <c r="E19" s="10">
        <v>0</v>
      </c>
      <c r="F19" s="10">
        <v>0</v>
      </c>
      <c r="G19" s="10">
        <v>680</v>
      </c>
      <c r="H19" s="10">
        <f t="shared" ref="H19:U19" si="0">G19+680</f>
        <v>1360</v>
      </c>
      <c r="I19" s="10">
        <f t="shared" si="0"/>
        <v>2040</v>
      </c>
      <c r="J19" s="10">
        <f t="shared" si="0"/>
        <v>2720</v>
      </c>
      <c r="K19" s="10">
        <f t="shared" si="0"/>
        <v>3400</v>
      </c>
      <c r="L19" s="10">
        <f t="shared" si="0"/>
        <v>4080</v>
      </c>
      <c r="M19" s="10">
        <f t="shared" si="0"/>
        <v>4760</v>
      </c>
      <c r="N19" s="10">
        <f t="shared" si="0"/>
        <v>5440</v>
      </c>
      <c r="O19" s="10">
        <f t="shared" si="0"/>
        <v>6120</v>
      </c>
      <c r="P19" s="10">
        <f t="shared" si="0"/>
        <v>6800</v>
      </c>
      <c r="Q19" s="10">
        <f t="shared" si="0"/>
        <v>7480</v>
      </c>
      <c r="R19" s="10">
        <f t="shared" si="0"/>
        <v>8160</v>
      </c>
      <c r="S19" s="10">
        <f t="shared" si="0"/>
        <v>8840</v>
      </c>
      <c r="T19" s="10">
        <f t="shared" si="0"/>
        <v>9520</v>
      </c>
      <c r="U19" s="11">
        <f t="shared" si="0"/>
        <v>10200</v>
      </c>
    </row>
    <row r="20" spans="2:31" ht="15.5" x14ac:dyDescent="0.35">
      <c r="B20" s="7" t="s">
        <v>8</v>
      </c>
      <c r="C20" s="10">
        <v>0</v>
      </c>
      <c r="D20" s="114">
        <f>D18-D19</f>
        <v>3460</v>
      </c>
      <c r="E20" s="114">
        <f>E18-E19</f>
        <v>8980</v>
      </c>
      <c r="F20" s="114">
        <f>F18-F19</f>
        <v>13550</v>
      </c>
      <c r="G20" s="114">
        <f>G18-G19</f>
        <v>12870</v>
      </c>
      <c r="H20" s="114">
        <f t="shared" ref="H20:U20" si="1">H18-H19</f>
        <v>12190</v>
      </c>
      <c r="I20" s="10">
        <f t="shared" si="1"/>
        <v>11510</v>
      </c>
      <c r="J20" s="10">
        <f t="shared" si="1"/>
        <v>10830</v>
      </c>
      <c r="K20" s="10">
        <f t="shared" si="1"/>
        <v>10150</v>
      </c>
      <c r="L20" s="10">
        <f t="shared" si="1"/>
        <v>9470</v>
      </c>
      <c r="M20" s="10">
        <f t="shared" si="1"/>
        <v>8790</v>
      </c>
      <c r="N20" s="10">
        <f t="shared" si="1"/>
        <v>8110</v>
      </c>
      <c r="O20" s="10">
        <f t="shared" si="1"/>
        <v>7430</v>
      </c>
      <c r="P20" s="10">
        <f t="shared" si="1"/>
        <v>6750</v>
      </c>
      <c r="Q20" s="10">
        <f t="shared" si="1"/>
        <v>6070</v>
      </c>
      <c r="R20" s="10">
        <f t="shared" si="1"/>
        <v>5390</v>
      </c>
      <c r="S20" s="10">
        <f t="shared" si="1"/>
        <v>4710</v>
      </c>
      <c r="T20" s="10">
        <f t="shared" si="1"/>
        <v>4030</v>
      </c>
      <c r="U20" s="11">
        <f t="shared" si="1"/>
        <v>3350</v>
      </c>
    </row>
    <row r="21" spans="2:31" ht="15.5" x14ac:dyDescent="0.35">
      <c r="B21" s="7" t="s">
        <v>57</v>
      </c>
      <c r="C21" s="10">
        <v>0</v>
      </c>
      <c r="D21" s="10">
        <v>0</v>
      </c>
      <c r="E21" s="10">
        <v>0</v>
      </c>
      <c r="F21" s="10">
        <v>0</v>
      </c>
      <c r="G21" s="10">
        <v>1240</v>
      </c>
      <c r="H21" s="10">
        <v>1250</v>
      </c>
      <c r="I21" s="10">
        <v>1280</v>
      </c>
      <c r="J21" s="10">
        <v>1300</v>
      </c>
      <c r="K21" s="10">
        <v>1320</v>
      </c>
      <c r="L21" s="10">
        <v>1350</v>
      </c>
      <c r="M21" s="10">
        <v>1370</v>
      </c>
      <c r="N21" s="10">
        <v>1400</v>
      </c>
      <c r="O21" s="10">
        <v>1430</v>
      </c>
      <c r="P21" s="10">
        <v>1450</v>
      </c>
      <c r="Q21" s="10">
        <v>1480</v>
      </c>
      <c r="R21" s="10">
        <v>1510</v>
      </c>
      <c r="S21" s="10">
        <v>1540</v>
      </c>
      <c r="T21" s="10">
        <v>1570</v>
      </c>
      <c r="U21" s="11">
        <v>1600</v>
      </c>
    </row>
    <row r="22" spans="2:31" ht="15.5" x14ac:dyDescent="0.35">
      <c r="B22" s="7" t="s">
        <v>9</v>
      </c>
      <c r="C22" s="10">
        <v>0</v>
      </c>
      <c r="D22" s="10">
        <v>0</v>
      </c>
      <c r="E22" s="10">
        <v>0</v>
      </c>
      <c r="F22" s="10">
        <v>310</v>
      </c>
      <c r="G22" s="10">
        <v>1110</v>
      </c>
      <c r="H22" s="10">
        <v>1710</v>
      </c>
      <c r="I22" s="10">
        <v>2400</v>
      </c>
      <c r="J22" s="10">
        <v>3150</v>
      </c>
      <c r="K22" s="10">
        <v>3960</v>
      </c>
      <c r="L22" s="10">
        <v>4820</v>
      </c>
      <c r="M22" s="10">
        <v>5760</v>
      </c>
      <c r="N22" s="10">
        <v>6730</v>
      </c>
      <c r="O22" s="10">
        <v>7760</v>
      </c>
      <c r="P22" s="10">
        <v>9360</v>
      </c>
      <c r="Q22" s="10">
        <v>11440</v>
      </c>
      <c r="R22" s="10">
        <v>13460</v>
      </c>
      <c r="S22" s="10">
        <v>15410</v>
      </c>
      <c r="T22" s="10">
        <v>17280</v>
      </c>
      <c r="U22" s="11">
        <v>19080</v>
      </c>
    </row>
    <row r="23" spans="2:31" ht="15.5" x14ac:dyDescent="0.35">
      <c r="B23" s="7" t="s">
        <v>112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10</v>
      </c>
      <c r="O23" s="10">
        <v>50</v>
      </c>
      <c r="P23" s="10">
        <v>120</v>
      </c>
      <c r="Q23" s="10">
        <v>210</v>
      </c>
      <c r="R23" s="10">
        <v>320</v>
      </c>
      <c r="S23" s="114">
        <v>450</v>
      </c>
      <c r="T23" s="10">
        <v>590</v>
      </c>
      <c r="U23" s="11">
        <v>740</v>
      </c>
    </row>
    <row r="24" spans="2:31" ht="15.5" x14ac:dyDescent="0.35">
      <c r="B24" s="7" t="s">
        <v>10</v>
      </c>
      <c r="C24" s="10">
        <v>0</v>
      </c>
      <c r="D24" s="114">
        <f>SUM(D20:D23)</f>
        <v>3460</v>
      </c>
      <c r="E24" s="114">
        <f t="shared" ref="E24:U24" si="2">SUM(E20:E23)</f>
        <v>8980</v>
      </c>
      <c r="F24" s="114">
        <f t="shared" si="2"/>
        <v>13860</v>
      </c>
      <c r="G24" s="114">
        <f t="shared" si="2"/>
        <v>15220</v>
      </c>
      <c r="H24" s="10">
        <f t="shared" si="2"/>
        <v>15150</v>
      </c>
      <c r="I24" s="10">
        <f t="shared" si="2"/>
        <v>15190</v>
      </c>
      <c r="J24" s="10">
        <f t="shared" si="2"/>
        <v>15280</v>
      </c>
      <c r="K24" s="10">
        <f t="shared" si="2"/>
        <v>15430</v>
      </c>
      <c r="L24" s="10">
        <f t="shared" si="2"/>
        <v>15640</v>
      </c>
      <c r="M24" s="10">
        <f t="shared" si="2"/>
        <v>15920</v>
      </c>
      <c r="N24" s="10">
        <f t="shared" si="2"/>
        <v>16250</v>
      </c>
      <c r="O24" s="10">
        <f t="shared" si="2"/>
        <v>16670</v>
      </c>
      <c r="P24" s="10">
        <f t="shared" si="2"/>
        <v>17680</v>
      </c>
      <c r="Q24" s="10">
        <f t="shared" si="2"/>
        <v>19200</v>
      </c>
      <c r="R24" s="10">
        <f t="shared" si="2"/>
        <v>20680</v>
      </c>
      <c r="S24" s="10">
        <f t="shared" si="2"/>
        <v>22110</v>
      </c>
      <c r="T24" s="10">
        <f t="shared" si="2"/>
        <v>23470</v>
      </c>
      <c r="U24" s="11">
        <f t="shared" si="2"/>
        <v>24770</v>
      </c>
      <c r="W24" s="34"/>
      <c r="X24" s="34"/>
      <c r="Y24" s="34"/>
      <c r="Z24" s="34"/>
      <c r="AA24" s="34"/>
      <c r="AB24" s="34"/>
      <c r="AC24" s="34"/>
      <c r="AD24" s="34"/>
      <c r="AE24" s="34"/>
    </row>
    <row r="25" spans="2:31" ht="16" thickBot="1" x14ac:dyDescent="0.4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4"/>
      <c r="W25" s="34"/>
      <c r="X25" s="34"/>
      <c r="Y25" s="34"/>
      <c r="Z25" s="34"/>
      <c r="AA25" s="34"/>
      <c r="AB25" s="34"/>
      <c r="AC25" s="34"/>
      <c r="AD25" s="34"/>
      <c r="AE25" s="34"/>
    </row>
    <row r="26" spans="2:31" x14ac:dyDescent="0.35">
      <c r="B26" s="331" t="s">
        <v>185</v>
      </c>
      <c r="C26" s="322"/>
      <c r="D26" s="330">
        <f t="shared" ref="D26:T26" si="3">D15-D24</f>
        <v>0</v>
      </c>
      <c r="E26" s="330">
        <f t="shared" si="3"/>
        <v>0</v>
      </c>
      <c r="F26" s="330">
        <f t="shared" si="3"/>
        <v>0</v>
      </c>
      <c r="G26" s="330">
        <f t="shared" si="3"/>
        <v>0</v>
      </c>
      <c r="H26" s="330">
        <f t="shared" si="3"/>
        <v>0</v>
      </c>
      <c r="I26" s="330">
        <f t="shared" si="3"/>
        <v>0</v>
      </c>
      <c r="J26" s="330">
        <f t="shared" si="3"/>
        <v>0</v>
      </c>
      <c r="K26" s="330">
        <f t="shared" si="3"/>
        <v>0</v>
      </c>
      <c r="L26" s="330">
        <f t="shared" si="3"/>
        <v>0</v>
      </c>
      <c r="M26" s="330">
        <f t="shared" si="3"/>
        <v>0</v>
      </c>
      <c r="N26" s="330">
        <f t="shared" si="3"/>
        <v>0</v>
      </c>
      <c r="O26" s="330">
        <f t="shared" si="3"/>
        <v>0</v>
      </c>
      <c r="P26" s="330">
        <f t="shared" si="3"/>
        <v>0</v>
      </c>
      <c r="Q26" s="330">
        <f t="shared" si="3"/>
        <v>0</v>
      </c>
      <c r="R26" s="330">
        <f t="shared" si="3"/>
        <v>0</v>
      </c>
      <c r="S26" s="330">
        <f t="shared" si="3"/>
        <v>0</v>
      </c>
      <c r="T26" s="330">
        <f t="shared" si="3"/>
        <v>0</v>
      </c>
      <c r="U26" s="330">
        <f>U15-U24</f>
        <v>0</v>
      </c>
    </row>
    <row r="27" spans="2:31" ht="15" thickBot="1" x14ac:dyDescent="0.4">
      <c r="B27" s="15"/>
      <c r="C27" s="16"/>
      <c r="D27" s="17"/>
      <c r="E27" s="17"/>
      <c r="F27" s="17"/>
      <c r="G27" s="13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2:31" x14ac:dyDescent="0.35">
      <c r="B28" s="18" t="s">
        <v>11</v>
      </c>
      <c r="C28" s="19">
        <f>C21-0</f>
        <v>0</v>
      </c>
      <c r="D28" s="20">
        <f>D21-C21</f>
        <v>0</v>
      </c>
      <c r="E28" s="20">
        <f>E21-D21</f>
        <v>0</v>
      </c>
      <c r="F28" s="20">
        <f t="shared" ref="F28:U28" si="4">F21-E21</f>
        <v>0</v>
      </c>
      <c r="G28" s="20">
        <f t="shared" si="4"/>
        <v>1240</v>
      </c>
      <c r="H28" s="20">
        <f t="shared" si="4"/>
        <v>10</v>
      </c>
      <c r="I28" s="20">
        <f t="shared" si="4"/>
        <v>30</v>
      </c>
      <c r="J28" s="20">
        <f t="shared" si="4"/>
        <v>20</v>
      </c>
      <c r="K28" s="20">
        <f t="shared" si="4"/>
        <v>20</v>
      </c>
      <c r="L28" s="20">
        <f t="shared" si="4"/>
        <v>30</v>
      </c>
      <c r="M28" s="20">
        <f t="shared" si="4"/>
        <v>20</v>
      </c>
      <c r="N28" s="20">
        <f t="shared" si="4"/>
        <v>30</v>
      </c>
      <c r="O28" s="20">
        <f t="shared" si="4"/>
        <v>30</v>
      </c>
      <c r="P28" s="20">
        <f t="shared" si="4"/>
        <v>20</v>
      </c>
      <c r="Q28" s="20">
        <f t="shared" si="4"/>
        <v>30</v>
      </c>
      <c r="R28" s="20">
        <f t="shared" si="4"/>
        <v>30</v>
      </c>
      <c r="S28" s="20">
        <f t="shared" si="4"/>
        <v>30</v>
      </c>
      <c r="T28" s="20">
        <f t="shared" si="4"/>
        <v>30</v>
      </c>
      <c r="U28" s="21">
        <f t="shared" si="4"/>
        <v>30</v>
      </c>
    </row>
    <row r="29" spans="2:31" x14ac:dyDescent="0.35">
      <c r="B29" s="22" t="s">
        <v>12</v>
      </c>
      <c r="C29" s="23">
        <f>C13-0</f>
        <v>0</v>
      </c>
      <c r="D29" s="24">
        <f>D13-C13</f>
        <v>0</v>
      </c>
      <c r="E29" s="24">
        <f>E13-D13</f>
        <v>0</v>
      </c>
      <c r="F29" s="24">
        <f t="shared" ref="F29:U29" si="5">F13-E13</f>
        <v>0</v>
      </c>
      <c r="G29" s="24">
        <f t="shared" si="5"/>
        <v>930</v>
      </c>
      <c r="H29" s="24">
        <f t="shared" si="5"/>
        <v>10</v>
      </c>
      <c r="I29" s="24">
        <f t="shared" si="5"/>
        <v>20</v>
      </c>
      <c r="J29" s="24">
        <f t="shared" si="5"/>
        <v>20</v>
      </c>
      <c r="K29" s="24">
        <f t="shared" si="5"/>
        <v>10</v>
      </c>
      <c r="L29" s="24">
        <f t="shared" si="5"/>
        <v>20</v>
      </c>
      <c r="M29" s="24">
        <f t="shared" si="5"/>
        <v>20</v>
      </c>
      <c r="N29" s="24">
        <f t="shared" si="5"/>
        <v>20</v>
      </c>
      <c r="O29" s="24">
        <f t="shared" si="5"/>
        <v>20</v>
      </c>
      <c r="P29" s="24">
        <f t="shared" si="5"/>
        <v>20</v>
      </c>
      <c r="Q29" s="24">
        <f t="shared" si="5"/>
        <v>20</v>
      </c>
      <c r="R29" s="24">
        <f t="shared" si="5"/>
        <v>20</v>
      </c>
      <c r="S29" s="24">
        <f t="shared" si="5"/>
        <v>30</v>
      </c>
      <c r="T29" s="24">
        <f t="shared" si="5"/>
        <v>20</v>
      </c>
      <c r="U29" s="25">
        <f t="shared" si="5"/>
        <v>20</v>
      </c>
    </row>
    <row r="30" spans="2:31" ht="15" thickBot="1" x14ac:dyDescent="0.4">
      <c r="B30" s="26" t="s">
        <v>13</v>
      </c>
      <c r="C30" s="27">
        <f t="shared" ref="C30:U30" si="6">C28-C29</f>
        <v>0</v>
      </c>
      <c r="D30" s="28">
        <f t="shared" si="6"/>
        <v>0</v>
      </c>
      <c r="E30" s="28">
        <f t="shared" si="6"/>
        <v>0</v>
      </c>
      <c r="F30" s="28">
        <f t="shared" si="6"/>
        <v>0</v>
      </c>
      <c r="G30" s="28">
        <f t="shared" si="6"/>
        <v>310</v>
      </c>
      <c r="H30" s="28">
        <f t="shared" si="6"/>
        <v>0</v>
      </c>
      <c r="I30" s="28">
        <f t="shared" si="6"/>
        <v>10</v>
      </c>
      <c r="J30" s="28">
        <f t="shared" si="6"/>
        <v>0</v>
      </c>
      <c r="K30" s="28">
        <f t="shared" si="6"/>
        <v>10</v>
      </c>
      <c r="L30" s="28">
        <f t="shared" si="6"/>
        <v>10</v>
      </c>
      <c r="M30" s="28">
        <f t="shared" si="6"/>
        <v>0</v>
      </c>
      <c r="N30" s="28">
        <f t="shared" si="6"/>
        <v>10</v>
      </c>
      <c r="O30" s="28">
        <f t="shared" si="6"/>
        <v>10</v>
      </c>
      <c r="P30" s="28">
        <f t="shared" si="6"/>
        <v>0</v>
      </c>
      <c r="Q30" s="28">
        <f t="shared" si="6"/>
        <v>10</v>
      </c>
      <c r="R30" s="28">
        <f t="shared" si="6"/>
        <v>10</v>
      </c>
      <c r="S30" s="28">
        <f t="shared" si="6"/>
        <v>0</v>
      </c>
      <c r="T30" s="28">
        <f t="shared" si="6"/>
        <v>10</v>
      </c>
      <c r="U30" s="29">
        <f t="shared" si="6"/>
        <v>10</v>
      </c>
    </row>
    <row r="31" spans="2:31" x14ac:dyDescent="0.35">
      <c r="B31" s="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2:31" x14ac:dyDescent="0.35"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2:21" x14ac:dyDescent="0.35">
      <c r="B33" s="15" t="s">
        <v>75</v>
      </c>
      <c r="C33" s="16"/>
      <c r="D33" s="16"/>
      <c r="E33" s="16"/>
      <c r="F33" s="16">
        <f>F20/F12</f>
        <v>1.3969072164948453</v>
      </c>
      <c r="G33" s="16">
        <f t="shared" ref="G33:O33" si="7">G20/G12</f>
        <v>1.4050218340611353</v>
      </c>
      <c r="H33" s="16">
        <f t="shared" si="7"/>
        <v>1.5124069478908189</v>
      </c>
      <c r="I33" s="16">
        <f t="shared" si="7"/>
        <v>1.6466380543633763</v>
      </c>
      <c r="J33" s="16">
        <f t="shared" si="7"/>
        <v>1.8324873096446701</v>
      </c>
      <c r="K33" s="16">
        <f t="shared" si="7"/>
        <v>2.0971074380165291</v>
      </c>
      <c r="L33" s="16">
        <f t="shared" si="7"/>
        <v>2.5186170212765959</v>
      </c>
      <c r="M33" s="16">
        <f t="shared" si="7"/>
        <v>3.2676579925650557</v>
      </c>
      <c r="N33" s="16">
        <f t="shared" si="7"/>
        <v>5.0372670807453419</v>
      </c>
      <c r="O33" s="16">
        <f t="shared" si="7"/>
        <v>13.75925925925926</v>
      </c>
      <c r="P33" s="16"/>
      <c r="Q33" s="16"/>
      <c r="R33" s="16"/>
      <c r="S33" s="16"/>
      <c r="T33" s="16"/>
      <c r="U33" s="16"/>
    </row>
    <row r="34" spans="2:21" x14ac:dyDescent="0.35"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2:21" x14ac:dyDescent="0.35"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2:21" x14ac:dyDescent="0.35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2:21" x14ac:dyDescent="0.35"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2:21" x14ac:dyDescent="0.35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2:21" x14ac:dyDescent="0.35"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2:21" x14ac:dyDescent="0.35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2:21" x14ac:dyDescent="0.35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</sheetData>
  <mergeCells count="1">
    <mergeCell ref="B2:U2"/>
  </mergeCells>
  <pageMargins left="0.75" right="0.75" top="1" bottom="1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2193-0B5A-41EF-B632-4BEB4E9BBE3F}">
  <dimension ref="A1:Z201"/>
  <sheetViews>
    <sheetView showGridLines="0" topLeftCell="C25" zoomScale="97" zoomScaleNormal="97" workbookViewId="0">
      <selection activeCell="R39" sqref="R39"/>
    </sheetView>
  </sheetViews>
  <sheetFormatPr baseColWidth="10" defaultColWidth="8.81640625" defaultRowHeight="14.5" x14ac:dyDescent="0.35"/>
  <cols>
    <col min="1" max="1" width="1.54296875" customWidth="1"/>
    <col min="2" max="2" width="43.1796875" customWidth="1"/>
    <col min="3" max="4" width="7.81640625" customWidth="1"/>
    <col min="5" max="5" width="7.90625" customWidth="1"/>
    <col min="6" max="18" width="7.81640625" customWidth="1"/>
    <col min="19" max="19" width="8.08984375" customWidth="1"/>
    <col min="20" max="20" width="8" customWidth="1"/>
    <col min="21" max="21" width="7.90625" customWidth="1"/>
    <col min="22" max="22" width="12.453125" bestFit="1" customWidth="1"/>
  </cols>
  <sheetData>
    <row r="1" spans="2:21" ht="15" thickBot="1" x14ac:dyDescent="0.4"/>
    <row r="2" spans="2:21" ht="15" thickBot="1" x14ac:dyDescent="0.4">
      <c r="B2" s="377" t="s">
        <v>258</v>
      </c>
      <c r="C2" s="378"/>
      <c r="E2" s="377" t="s">
        <v>261</v>
      </c>
      <c r="F2" s="380"/>
      <c r="G2" s="380"/>
      <c r="H2" s="380"/>
      <c r="I2" s="380"/>
      <c r="J2" s="379"/>
      <c r="M2" s="34"/>
      <c r="N2" s="34"/>
      <c r="O2" s="34"/>
      <c r="P2" s="34"/>
      <c r="Q2" s="34"/>
      <c r="R2" s="34"/>
      <c r="S2" s="34"/>
    </row>
    <row r="3" spans="2:21" x14ac:dyDescent="0.35">
      <c r="B3" s="59" t="s">
        <v>15</v>
      </c>
      <c r="C3" s="388">
        <v>300</v>
      </c>
      <c r="E3" s="381" t="s">
        <v>251</v>
      </c>
      <c r="F3" s="384"/>
      <c r="G3" s="384"/>
      <c r="H3" s="384"/>
      <c r="I3" s="384"/>
      <c r="J3" s="376">
        <v>0.7</v>
      </c>
      <c r="K3" s="34"/>
      <c r="L3" s="34"/>
      <c r="M3" s="34"/>
      <c r="N3" s="34"/>
      <c r="O3" s="34"/>
      <c r="P3" s="34"/>
      <c r="Q3" s="34"/>
      <c r="R3" s="34"/>
      <c r="S3" s="34"/>
    </row>
    <row r="4" spans="2:21" x14ac:dyDescent="0.35">
      <c r="B4" s="59" t="s">
        <v>16</v>
      </c>
      <c r="C4" s="390">
        <v>0.85</v>
      </c>
      <c r="E4" s="62" t="s">
        <v>263</v>
      </c>
      <c r="J4" s="375">
        <v>0.12</v>
      </c>
    </row>
    <row r="5" spans="2:21" ht="15.5" x14ac:dyDescent="0.35">
      <c r="B5" s="35" t="s">
        <v>111</v>
      </c>
      <c r="C5" s="395">
        <v>3.3</v>
      </c>
      <c r="E5" s="382" t="s">
        <v>252</v>
      </c>
      <c r="F5" s="385"/>
      <c r="G5" s="385"/>
      <c r="H5" s="385"/>
      <c r="I5" s="385"/>
      <c r="J5" s="391">
        <f>C142</f>
        <v>0.16150184020911373</v>
      </c>
      <c r="K5" s="269"/>
    </row>
    <row r="6" spans="2:21" x14ac:dyDescent="0.35">
      <c r="B6" s="387" t="s">
        <v>262</v>
      </c>
      <c r="C6" s="396">
        <v>0.01</v>
      </c>
      <c r="E6" s="382" t="s">
        <v>131</v>
      </c>
      <c r="F6" s="385"/>
      <c r="G6" s="385"/>
      <c r="H6" s="385"/>
      <c r="I6" s="385"/>
      <c r="J6" s="391">
        <f>WACC!I30</f>
        <v>0.12920518238021639</v>
      </c>
    </row>
    <row r="7" spans="2:21" x14ac:dyDescent="0.35">
      <c r="B7" s="387" t="s">
        <v>68</v>
      </c>
      <c r="C7" s="388">
        <f>'Operating Data'!C23</f>
        <v>2947.3638769273243</v>
      </c>
      <c r="E7" s="382" t="s">
        <v>259</v>
      </c>
      <c r="F7" s="385"/>
      <c r="G7" s="385"/>
      <c r="H7" s="385"/>
      <c r="I7" s="385"/>
      <c r="J7" s="391">
        <f>C161</f>
        <v>0.22758785320502262</v>
      </c>
      <c r="K7" s="269"/>
    </row>
    <row r="8" spans="2:21" ht="15" thickBot="1" x14ac:dyDescent="0.4">
      <c r="B8" s="66" t="s">
        <v>41</v>
      </c>
      <c r="C8" s="389">
        <v>1</v>
      </c>
      <c r="E8" s="383" t="s">
        <v>260</v>
      </c>
      <c r="F8" s="386"/>
      <c r="G8" s="386"/>
      <c r="H8" s="386"/>
      <c r="I8" s="386"/>
      <c r="J8" s="404">
        <f>WACC!I21</f>
        <v>0.19548394126738794</v>
      </c>
    </row>
    <row r="9" spans="2:21" x14ac:dyDescent="0.35">
      <c r="E9" s="318"/>
      <c r="F9" s="318"/>
      <c r="G9" s="318"/>
      <c r="H9" s="392"/>
    </row>
    <row r="10" spans="2:21" ht="15" thickBot="1" x14ac:dyDescent="0.4"/>
    <row r="11" spans="2:21" ht="17.5" thickBot="1" x14ac:dyDescent="0.4">
      <c r="B11" s="302" t="s">
        <v>106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8"/>
    </row>
    <row r="12" spans="2:21" s="68" customFormat="1" ht="16" thickBot="1" x14ac:dyDescent="0.4">
      <c r="B12" s="306" t="s">
        <v>110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  <c r="I12" s="2">
        <v>2015</v>
      </c>
      <c r="J12" s="2">
        <v>2016</v>
      </c>
      <c r="K12" s="2">
        <v>2017</v>
      </c>
      <c r="L12" s="2">
        <v>2018</v>
      </c>
      <c r="M12" s="2">
        <v>2019</v>
      </c>
      <c r="N12" s="2">
        <v>2020</v>
      </c>
      <c r="O12" s="2">
        <v>2021</v>
      </c>
      <c r="P12" s="2">
        <v>2022</v>
      </c>
      <c r="Q12" s="2">
        <v>2023</v>
      </c>
      <c r="R12" s="2">
        <v>2024</v>
      </c>
      <c r="S12" s="2">
        <v>2025</v>
      </c>
      <c r="T12" s="2">
        <v>2026</v>
      </c>
      <c r="U12" s="3">
        <v>2027</v>
      </c>
    </row>
    <row r="13" spans="2:21" s="34" customFormat="1" ht="17" x14ac:dyDescent="0.35">
      <c r="B13" s="303" t="s">
        <v>175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</row>
    <row r="14" spans="2:21" s="34" customFormat="1" ht="15.5" x14ac:dyDescent="0.35">
      <c r="B14" s="31" t="s">
        <v>15</v>
      </c>
      <c r="C14" s="178">
        <v>0</v>
      </c>
      <c r="D14" s="178">
        <v>0</v>
      </c>
      <c r="E14" s="178">
        <v>0</v>
      </c>
      <c r="F14" s="178">
        <v>0</v>
      </c>
      <c r="G14" s="178">
        <v>300</v>
      </c>
      <c r="H14" s="178">
        <v>300</v>
      </c>
      <c r="I14" s="178">
        <v>300</v>
      </c>
      <c r="J14" s="178">
        <v>300</v>
      </c>
      <c r="K14" s="178">
        <v>300</v>
      </c>
      <c r="L14" s="178">
        <v>300</v>
      </c>
      <c r="M14" s="178">
        <v>300</v>
      </c>
      <c r="N14" s="178">
        <v>300</v>
      </c>
      <c r="O14" s="178">
        <v>300</v>
      </c>
      <c r="P14" s="178">
        <v>300</v>
      </c>
      <c r="Q14" s="178">
        <v>300</v>
      </c>
      <c r="R14" s="178">
        <v>300</v>
      </c>
      <c r="S14" s="178">
        <v>300</v>
      </c>
      <c r="T14" s="178">
        <v>300</v>
      </c>
      <c r="U14" s="179">
        <v>300</v>
      </c>
    </row>
    <row r="15" spans="2:21" s="34" customFormat="1" ht="15.5" x14ac:dyDescent="0.35">
      <c r="B15" s="35" t="s">
        <v>16</v>
      </c>
      <c r="C15" s="72">
        <v>0</v>
      </c>
      <c r="D15" s="72">
        <v>0</v>
      </c>
      <c r="E15" s="72">
        <v>0</v>
      </c>
      <c r="F15" s="72">
        <v>0</v>
      </c>
      <c r="G15" s="72">
        <f t="shared" ref="G15:U15" si="0">$C$4</f>
        <v>0.85</v>
      </c>
      <c r="H15" s="72">
        <f t="shared" si="0"/>
        <v>0.85</v>
      </c>
      <c r="I15" s="72">
        <f t="shared" si="0"/>
        <v>0.85</v>
      </c>
      <c r="J15" s="72">
        <f t="shared" si="0"/>
        <v>0.85</v>
      </c>
      <c r="K15" s="72">
        <f t="shared" si="0"/>
        <v>0.85</v>
      </c>
      <c r="L15" s="72">
        <f t="shared" si="0"/>
        <v>0.85</v>
      </c>
      <c r="M15" s="72">
        <f t="shared" si="0"/>
        <v>0.85</v>
      </c>
      <c r="N15" s="72">
        <f t="shared" si="0"/>
        <v>0.85</v>
      </c>
      <c r="O15" s="72">
        <f t="shared" si="0"/>
        <v>0.85</v>
      </c>
      <c r="P15" s="72">
        <f t="shared" si="0"/>
        <v>0.85</v>
      </c>
      <c r="Q15" s="72">
        <f t="shared" si="0"/>
        <v>0.85</v>
      </c>
      <c r="R15" s="72">
        <f t="shared" si="0"/>
        <v>0.85</v>
      </c>
      <c r="S15" s="72">
        <f t="shared" si="0"/>
        <v>0.85</v>
      </c>
      <c r="T15" s="72">
        <f t="shared" si="0"/>
        <v>0.85</v>
      </c>
      <c r="U15" s="73">
        <f t="shared" si="0"/>
        <v>0.85</v>
      </c>
    </row>
    <row r="16" spans="2:21" s="34" customFormat="1" ht="15.5" x14ac:dyDescent="0.35">
      <c r="B16" s="35" t="s">
        <v>80</v>
      </c>
      <c r="C16" s="180">
        <v>0</v>
      </c>
      <c r="D16" s="180">
        <v>0</v>
      </c>
      <c r="E16" s="180">
        <v>0</v>
      </c>
      <c r="F16" s="180">
        <v>0</v>
      </c>
      <c r="G16" s="180">
        <f t="shared" ref="G16:U16" si="1">G14*1000*24*365*G15/1000000</f>
        <v>2233.8000000000002</v>
      </c>
      <c r="H16" s="180">
        <f t="shared" si="1"/>
        <v>2233.8000000000002</v>
      </c>
      <c r="I16" s="180">
        <f t="shared" si="1"/>
        <v>2233.8000000000002</v>
      </c>
      <c r="J16" s="180">
        <f t="shared" si="1"/>
        <v>2233.8000000000002</v>
      </c>
      <c r="K16" s="180">
        <f t="shared" si="1"/>
        <v>2233.8000000000002</v>
      </c>
      <c r="L16" s="180">
        <f t="shared" si="1"/>
        <v>2233.8000000000002</v>
      </c>
      <c r="M16" s="180">
        <f t="shared" si="1"/>
        <v>2233.8000000000002</v>
      </c>
      <c r="N16" s="180">
        <f t="shared" si="1"/>
        <v>2233.8000000000002</v>
      </c>
      <c r="O16" s="180">
        <f t="shared" si="1"/>
        <v>2233.8000000000002</v>
      </c>
      <c r="P16" s="180">
        <f t="shared" si="1"/>
        <v>2233.8000000000002</v>
      </c>
      <c r="Q16" s="180">
        <f t="shared" si="1"/>
        <v>2233.8000000000002</v>
      </c>
      <c r="R16" s="180">
        <f t="shared" si="1"/>
        <v>2233.8000000000002</v>
      </c>
      <c r="S16" s="180">
        <f t="shared" si="1"/>
        <v>2233.8000000000002</v>
      </c>
      <c r="T16" s="180">
        <f t="shared" si="1"/>
        <v>2233.8000000000002</v>
      </c>
      <c r="U16" s="181">
        <f t="shared" si="1"/>
        <v>2233.8000000000002</v>
      </c>
    </row>
    <row r="17" spans="2:22" s="34" customFormat="1" ht="15.5" x14ac:dyDescent="0.35">
      <c r="B17" s="35" t="s">
        <v>81</v>
      </c>
      <c r="C17" s="180">
        <v>0</v>
      </c>
      <c r="D17" s="180">
        <v>0</v>
      </c>
      <c r="E17" s="180">
        <v>0</v>
      </c>
      <c r="F17" s="180">
        <v>0</v>
      </c>
      <c r="G17" s="180">
        <v>201</v>
      </c>
      <c r="H17" s="180">
        <v>201</v>
      </c>
      <c r="I17" s="180">
        <v>201</v>
      </c>
      <c r="J17" s="180">
        <v>201</v>
      </c>
      <c r="K17" s="180">
        <v>201</v>
      </c>
      <c r="L17" s="180">
        <v>201</v>
      </c>
      <c r="M17" s="180">
        <v>201</v>
      </c>
      <c r="N17" s="180">
        <v>201</v>
      </c>
      <c r="O17" s="180">
        <v>201</v>
      </c>
      <c r="P17" s="180">
        <v>201</v>
      </c>
      <c r="Q17" s="180">
        <v>201</v>
      </c>
      <c r="R17" s="180">
        <v>201</v>
      </c>
      <c r="S17" s="180">
        <v>201</v>
      </c>
      <c r="T17" s="180">
        <v>201</v>
      </c>
      <c r="U17" s="181">
        <v>201</v>
      </c>
    </row>
    <row r="18" spans="2:22" s="34" customFormat="1" ht="15.5" x14ac:dyDescent="0.35">
      <c r="B18" s="78" t="s">
        <v>82</v>
      </c>
      <c r="C18" s="180">
        <v>0</v>
      </c>
      <c r="D18" s="180">
        <v>0</v>
      </c>
      <c r="E18" s="180">
        <v>0</v>
      </c>
      <c r="F18" s="180">
        <v>0</v>
      </c>
      <c r="G18" s="180">
        <f t="shared" ref="G18:U18" si="2">G16-G17</f>
        <v>2032.8000000000002</v>
      </c>
      <c r="H18" s="180">
        <f t="shared" si="2"/>
        <v>2032.8000000000002</v>
      </c>
      <c r="I18" s="180">
        <f t="shared" si="2"/>
        <v>2032.8000000000002</v>
      </c>
      <c r="J18" s="180">
        <f t="shared" si="2"/>
        <v>2032.8000000000002</v>
      </c>
      <c r="K18" s="180">
        <f t="shared" si="2"/>
        <v>2032.8000000000002</v>
      </c>
      <c r="L18" s="180">
        <f t="shared" si="2"/>
        <v>2032.8000000000002</v>
      </c>
      <c r="M18" s="180">
        <f t="shared" si="2"/>
        <v>2032.8000000000002</v>
      </c>
      <c r="N18" s="180">
        <f t="shared" si="2"/>
        <v>2032.8000000000002</v>
      </c>
      <c r="O18" s="180">
        <f t="shared" si="2"/>
        <v>2032.8000000000002</v>
      </c>
      <c r="P18" s="180">
        <f t="shared" si="2"/>
        <v>2032.8000000000002</v>
      </c>
      <c r="Q18" s="180">
        <f t="shared" si="2"/>
        <v>2032.8000000000002</v>
      </c>
      <c r="R18" s="180">
        <f t="shared" si="2"/>
        <v>2032.8000000000002</v>
      </c>
      <c r="S18" s="180">
        <f t="shared" si="2"/>
        <v>2032.8000000000002</v>
      </c>
      <c r="T18" s="180">
        <f t="shared" si="2"/>
        <v>2032.8000000000002</v>
      </c>
      <c r="U18" s="181">
        <f t="shared" si="2"/>
        <v>2032.8000000000002</v>
      </c>
    </row>
    <row r="19" spans="2:22" s="34" customFormat="1" ht="15.5" x14ac:dyDescent="0.35">
      <c r="B19" s="35" t="s">
        <v>111</v>
      </c>
      <c r="C19" s="195">
        <v>0</v>
      </c>
      <c r="D19" s="195">
        <v>0</v>
      </c>
      <c r="E19" s="195">
        <v>0</v>
      </c>
      <c r="F19" s="195">
        <v>0</v>
      </c>
      <c r="G19" s="195">
        <v>3.3</v>
      </c>
      <c r="H19" s="195">
        <f>G19*1.01</f>
        <v>3.3329999999999997</v>
      </c>
      <c r="I19" s="195">
        <f t="shared" ref="I19:U19" si="3">H19*1.01</f>
        <v>3.3663299999999996</v>
      </c>
      <c r="J19" s="195">
        <f t="shared" si="3"/>
        <v>3.3999932999999998</v>
      </c>
      <c r="K19" s="195">
        <f t="shared" si="3"/>
        <v>3.4339932329999998</v>
      </c>
      <c r="L19" s="195">
        <f t="shared" si="3"/>
        <v>3.4683331653299998</v>
      </c>
      <c r="M19" s="195">
        <f t="shared" si="3"/>
        <v>3.5030164969833</v>
      </c>
      <c r="N19" s="195">
        <f t="shared" si="3"/>
        <v>3.5380466619531332</v>
      </c>
      <c r="O19" s="195">
        <f t="shared" si="3"/>
        <v>3.5734271285726646</v>
      </c>
      <c r="P19" s="195">
        <f t="shared" si="3"/>
        <v>3.6091613998583911</v>
      </c>
      <c r="Q19" s="195">
        <f t="shared" si="3"/>
        <v>3.645253013856975</v>
      </c>
      <c r="R19" s="195">
        <f t="shared" si="3"/>
        <v>3.6817055439955446</v>
      </c>
      <c r="S19" s="195">
        <f t="shared" si="3"/>
        <v>3.7185225994355</v>
      </c>
      <c r="T19" s="195">
        <f t="shared" si="3"/>
        <v>3.7557078254298553</v>
      </c>
      <c r="U19" s="196">
        <f t="shared" si="3"/>
        <v>3.7932649036841539</v>
      </c>
    </row>
    <row r="20" spans="2:22" s="34" customFormat="1" ht="17" x14ac:dyDescent="0.35">
      <c r="B20" s="303" t="s">
        <v>174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</row>
    <row r="21" spans="2:22" s="34" customFormat="1" ht="15.5" x14ac:dyDescent="0.35">
      <c r="B21" s="82" t="s">
        <v>21</v>
      </c>
      <c r="C21" s="182">
        <f>C18*C19</f>
        <v>0</v>
      </c>
      <c r="D21" s="182">
        <f>D18*D19</f>
        <v>0</v>
      </c>
      <c r="E21" s="182">
        <f>E18*E19</f>
        <v>0</v>
      </c>
      <c r="F21" s="182">
        <f>F18*F19</f>
        <v>0</v>
      </c>
      <c r="G21" s="182">
        <f>G18*G19</f>
        <v>6708.2400000000007</v>
      </c>
      <c r="H21" s="182">
        <f t="shared" ref="H21:U21" si="4">H18*H19</f>
        <v>6775.3224</v>
      </c>
      <c r="I21" s="182">
        <f t="shared" si="4"/>
        <v>6843.0756240000001</v>
      </c>
      <c r="J21" s="182">
        <f t="shared" si="4"/>
        <v>6911.50638024</v>
      </c>
      <c r="K21" s="182">
        <f t="shared" si="4"/>
        <v>6980.6214440424001</v>
      </c>
      <c r="L21" s="182">
        <f t="shared" si="4"/>
        <v>7050.427658482824</v>
      </c>
      <c r="M21" s="182">
        <f t="shared" si="4"/>
        <v>7120.9319350676524</v>
      </c>
      <c r="N21" s="182">
        <f t="shared" si="4"/>
        <v>7192.1412544183295</v>
      </c>
      <c r="O21" s="182">
        <f t="shared" si="4"/>
        <v>7264.0626669625135</v>
      </c>
      <c r="P21" s="182">
        <f t="shared" si="4"/>
        <v>7336.7032936321384</v>
      </c>
      <c r="Q21" s="182">
        <f t="shared" si="4"/>
        <v>7410.0703265684597</v>
      </c>
      <c r="R21" s="182">
        <f t="shared" si="4"/>
        <v>7484.1710298341441</v>
      </c>
      <c r="S21" s="182">
        <f t="shared" si="4"/>
        <v>7559.0127401324853</v>
      </c>
      <c r="T21" s="182">
        <f t="shared" si="4"/>
        <v>7634.6028675338102</v>
      </c>
      <c r="U21" s="183">
        <f t="shared" si="4"/>
        <v>7710.9488962091491</v>
      </c>
    </row>
    <row r="22" spans="2:22" s="34" customFormat="1" ht="15.5" x14ac:dyDescent="0.35">
      <c r="B22" s="323" t="s">
        <v>189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5"/>
    </row>
    <row r="23" spans="2:22" s="34" customFormat="1" ht="15.5" x14ac:dyDescent="0.35">
      <c r="B23" s="35" t="s">
        <v>41</v>
      </c>
      <c r="C23" s="180">
        <v>0</v>
      </c>
      <c r="D23" s="180">
        <v>0</v>
      </c>
      <c r="E23" s="180">
        <v>0</v>
      </c>
      <c r="F23" s="180">
        <v>0</v>
      </c>
      <c r="G23" s="180">
        <f>($C$7*$C$8)*((1.03^(G12-2012)))</f>
        <v>3035.7847932351442</v>
      </c>
      <c r="H23" s="180">
        <f t="shared" ref="H23:U23" si="5">($C$7*((1.03^(H12-2012))))*$C$8</f>
        <v>3126.8583370321981</v>
      </c>
      <c r="I23" s="180">
        <f t="shared" si="5"/>
        <v>3220.6640871431641</v>
      </c>
      <c r="J23" s="180">
        <f t="shared" si="5"/>
        <v>3317.284009757459</v>
      </c>
      <c r="K23" s="180">
        <f t="shared" si="5"/>
        <v>3416.8025300501827</v>
      </c>
      <c r="L23" s="180">
        <f t="shared" si="5"/>
        <v>3519.3066059516882</v>
      </c>
      <c r="M23" s="180">
        <f t="shared" si="5"/>
        <v>3624.8858041302392</v>
      </c>
      <c r="N23" s="180">
        <f t="shared" si="5"/>
        <v>3733.6323782541458</v>
      </c>
      <c r="O23" s="180">
        <f t="shared" si="5"/>
        <v>3845.6413496017703</v>
      </c>
      <c r="P23" s="180">
        <f t="shared" si="5"/>
        <v>3961.0105900898234</v>
      </c>
      <c r="Q23" s="180">
        <f t="shared" si="5"/>
        <v>4079.8409077925185</v>
      </c>
      <c r="R23" s="180">
        <f t="shared" si="5"/>
        <v>4202.2361350262936</v>
      </c>
      <c r="S23" s="180">
        <f t="shared" si="5"/>
        <v>4328.3032190770818</v>
      </c>
      <c r="T23" s="180">
        <f t="shared" si="5"/>
        <v>4458.152315649395</v>
      </c>
      <c r="U23" s="181">
        <f t="shared" si="5"/>
        <v>4591.8968851188765</v>
      </c>
    </row>
    <row r="24" spans="2:22" s="34" customFormat="1" ht="15.5" x14ac:dyDescent="0.35">
      <c r="B24" s="35" t="s">
        <v>84</v>
      </c>
      <c r="C24" s="180">
        <v>0</v>
      </c>
      <c r="D24" s="180">
        <v>0</v>
      </c>
      <c r="E24" s="180">
        <v>0</v>
      </c>
      <c r="F24" s="180">
        <v>0</v>
      </c>
      <c r="G24" s="180">
        <f t="shared" ref="G24:U24" si="6">((1.55*G14*((1.04)^(G12-2012))))*($C$4/85%)</f>
        <v>483.6</v>
      </c>
      <c r="H24" s="180">
        <f t="shared" si="6"/>
        <v>502.94400000000007</v>
      </c>
      <c r="I24" s="180">
        <f t="shared" si="6"/>
        <v>523.06176000000005</v>
      </c>
      <c r="J24" s="180">
        <f t="shared" si="6"/>
        <v>543.98423040000011</v>
      </c>
      <c r="K24" s="180">
        <f t="shared" si="6"/>
        <v>565.74359961600021</v>
      </c>
      <c r="L24" s="180">
        <f t="shared" si="6"/>
        <v>588.37334360064017</v>
      </c>
      <c r="M24" s="180">
        <f t="shared" si="6"/>
        <v>611.90827734466575</v>
      </c>
      <c r="N24" s="180">
        <f t="shared" si="6"/>
        <v>636.38460843845246</v>
      </c>
      <c r="O24" s="180">
        <f t="shared" si="6"/>
        <v>661.83999277599059</v>
      </c>
      <c r="P24" s="180">
        <f t="shared" si="6"/>
        <v>688.31359248703018</v>
      </c>
      <c r="Q24" s="180">
        <f t="shared" si="6"/>
        <v>715.84613618651144</v>
      </c>
      <c r="R24" s="180">
        <f t="shared" si="6"/>
        <v>744.47998163397199</v>
      </c>
      <c r="S24" s="180">
        <f t="shared" si="6"/>
        <v>774.25918089933089</v>
      </c>
      <c r="T24" s="180">
        <f t="shared" si="6"/>
        <v>805.22954813530419</v>
      </c>
      <c r="U24" s="181">
        <f t="shared" si="6"/>
        <v>837.43873006071624</v>
      </c>
    </row>
    <row r="25" spans="2:22" s="34" customFormat="1" ht="15.5" x14ac:dyDescent="0.35">
      <c r="B25" s="82" t="s">
        <v>25</v>
      </c>
      <c r="C25" s="180">
        <v>0</v>
      </c>
      <c r="D25" s="180">
        <v>0</v>
      </c>
      <c r="E25" s="180">
        <v>0</v>
      </c>
      <c r="F25" s="180">
        <v>0</v>
      </c>
      <c r="G25" s="393">
        <f t="shared" ref="G25:U25" si="7">SUM(G23:G24)</f>
        <v>3519.3847932351441</v>
      </c>
      <c r="H25" s="393">
        <f t="shared" si="7"/>
        <v>3629.802337032198</v>
      </c>
      <c r="I25" s="393">
        <f t="shared" si="7"/>
        <v>3743.7258471431642</v>
      </c>
      <c r="J25" s="393">
        <f t="shared" si="7"/>
        <v>3861.2682401574593</v>
      </c>
      <c r="K25" s="393">
        <f t="shared" si="7"/>
        <v>3982.5461296661829</v>
      </c>
      <c r="L25" s="393">
        <f t="shared" si="7"/>
        <v>4107.6799495523283</v>
      </c>
      <c r="M25" s="393">
        <f t="shared" si="7"/>
        <v>4236.7940814749054</v>
      </c>
      <c r="N25" s="393">
        <f t="shared" si="7"/>
        <v>4370.016986692598</v>
      </c>
      <c r="O25" s="393">
        <f t="shared" si="7"/>
        <v>4507.4813423777614</v>
      </c>
      <c r="P25" s="393">
        <f t="shared" si="7"/>
        <v>4649.3241825768537</v>
      </c>
      <c r="Q25" s="393">
        <f t="shared" si="7"/>
        <v>4795.68704397903</v>
      </c>
      <c r="R25" s="393">
        <f t="shared" si="7"/>
        <v>4946.7161166602655</v>
      </c>
      <c r="S25" s="393">
        <f t="shared" si="7"/>
        <v>5102.562399976413</v>
      </c>
      <c r="T25" s="393">
        <f t="shared" si="7"/>
        <v>5263.3818637846989</v>
      </c>
      <c r="U25" s="394">
        <f t="shared" si="7"/>
        <v>5429.3356151795924</v>
      </c>
      <c r="V25" s="145"/>
    </row>
    <row r="26" spans="2:22" s="34" customFormat="1" ht="15.25" customHeight="1" x14ac:dyDescent="0.35">
      <c r="B26" s="85" t="s">
        <v>272</v>
      </c>
      <c r="C26" s="182">
        <f t="shared" ref="C26" si="8">C21-C25</f>
        <v>0</v>
      </c>
      <c r="D26" s="182">
        <f t="shared" ref="D26" si="9">D21-D25</f>
        <v>0</v>
      </c>
      <c r="E26" s="182">
        <f t="shared" ref="E26:F26" si="10">E21-E25</f>
        <v>0</v>
      </c>
      <c r="F26" s="182">
        <f t="shared" si="10"/>
        <v>0</v>
      </c>
      <c r="G26" s="182">
        <f t="shared" ref="G26:U26" si="11">G21-G25</f>
        <v>3188.8552067648566</v>
      </c>
      <c r="H26" s="182">
        <f t="shared" si="11"/>
        <v>3145.520062967802</v>
      </c>
      <c r="I26" s="182">
        <f t="shared" si="11"/>
        <v>3099.3497768568359</v>
      </c>
      <c r="J26" s="182">
        <f t="shared" si="11"/>
        <v>3050.2381400825407</v>
      </c>
      <c r="K26" s="182">
        <f t="shared" si="11"/>
        <v>2998.0753143762172</v>
      </c>
      <c r="L26" s="182">
        <f t="shared" si="11"/>
        <v>2942.7477089304957</v>
      </c>
      <c r="M26" s="182">
        <f t="shared" si="11"/>
        <v>2884.137853592747</v>
      </c>
      <c r="N26" s="182">
        <f t="shared" si="11"/>
        <v>2822.1242677257314</v>
      </c>
      <c r="O26" s="182">
        <f t="shared" si="11"/>
        <v>2756.5813245847521</v>
      </c>
      <c r="P26" s="182">
        <f t="shared" si="11"/>
        <v>2687.3791110552847</v>
      </c>
      <c r="Q26" s="182">
        <f t="shared" si="11"/>
        <v>2614.3832825894297</v>
      </c>
      <c r="R26" s="182">
        <f t="shared" si="11"/>
        <v>2537.4549131738786</v>
      </c>
      <c r="S26" s="182">
        <f t="shared" si="11"/>
        <v>2456.4503401560723</v>
      </c>
      <c r="T26" s="182">
        <f t="shared" si="11"/>
        <v>2371.2210037491113</v>
      </c>
      <c r="U26" s="183">
        <f t="shared" si="11"/>
        <v>2281.6132810295567</v>
      </c>
    </row>
    <row r="27" spans="2:22" s="34" customFormat="1" ht="15.5" x14ac:dyDescent="0.35">
      <c r="B27" s="323" t="s">
        <v>145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2:22" s="34" customFormat="1" ht="15.5" x14ac:dyDescent="0.35">
      <c r="B28" s="35" t="s">
        <v>187</v>
      </c>
      <c r="C28" s="180">
        <v>0</v>
      </c>
      <c r="D28" s="180">
        <v>0</v>
      </c>
      <c r="E28" s="180">
        <v>0</v>
      </c>
      <c r="F28" s="180">
        <v>0</v>
      </c>
      <c r="G28" s="180">
        <f t="shared" ref="G28:U28" si="12">$J$4*((F60+G60)/2)</f>
        <v>1131.5999999999999</v>
      </c>
      <c r="H28" s="180">
        <f t="shared" si="12"/>
        <v>1033.2</v>
      </c>
      <c r="I28" s="180">
        <f t="shared" si="12"/>
        <v>903</v>
      </c>
      <c r="J28" s="180">
        <f t="shared" si="12"/>
        <v>774</v>
      </c>
      <c r="K28" s="180">
        <f t="shared" si="12"/>
        <v>645</v>
      </c>
      <c r="L28" s="180">
        <f t="shared" si="12"/>
        <v>516</v>
      </c>
      <c r="M28" s="180">
        <f t="shared" si="12"/>
        <v>387</v>
      </c>
      <c r="N28" s="180">
        <f t="shared" si="12"/>
        <v>258</v>
      </c>
      <c r="O28" s="180">
        <f t="shared" si="12"/>
        <v>129</v>
      </c>
      <c r="P28" s="180">
        <f t="shared" si="12"/>
        <v>32.4</v>
      </c>
      <c r="Q28" s="180">
        <f t="shared" si="12"/>
        <v>0</v>
      </c>
      <c r="R28" s="180">
        <f t="shared" si="12"/>
        <v>0</v>
      </c>
      <c r="S28" s="180">
        <f t="shared" si="12"/>
        <v>0</v>
      </c>
      <c r="T28" s="180">
        <f t="shared" si="12"/>
        <v>0</v>
      </c>
      <c r="U28" s="340">
        <f t="shared" si="12"/>
        <v>0</v>
      </c>
    </row>
    <row r="29" spans="2:22" s="34" customFormat="1" ht="15.5" x14ac:dyDescent="0.35">
      <c r="B29" s="35" t="s">
        <v>188</v>
      </c>
      <c r="C29" s="180">
        <v>0</v>
      </c>
      <c r="D29" s="180">
        <v>0</v>
      </c>
      <c r="E29" s="180">
        <v>0</v>
      </c>
      <c r="F29" s="180">
        <v>0</v>
      </c>
      <c r="G29" s="187">
        <f>$J$4*G61</f>
        <v>111.6</v>
      </c>
      <c r="H29" s="187">
        <f t="shared" ref="H29:U29" si="13">$J$4*((G61+H61)/2)</f>
        <v>112.2</v>
      </c>
      <c r="I29" s="187">
        <f t="shared" si="13"/>
        <v>114</v>
      </c>
      <c r="J29" s="187">
        <f t="shared" si="13"/>
        <v>116.39999999999999</v>
      </c>
      <c r="K29" s="187">
        <f t="shared" si="13"/>
        <v>118.19999999999999</v>
      </c>
      <c r="L29" s="187">
        <f t="shared" si="13"/>
        <v>120</v>
      </c>
      <c r="M29" s="187">
        <f t="shared" si="13"/>
        <v>122.39999999999999</v>
      </c>
      <c r="N29" s="187">
        <f t="shared" si="13"/>
        <v>124.8</v>
      </c>
      <c r="O29" s="187">
        <f t="shared" si="13"/>
        <v>127.19999999999999</v>
      </c>
      <c r="P29" s="187">
        <f t="shared" si="13"/>
        <v>129.6</v>
      </c>
      <c r="Q29" s="187">
        <f t="shared" si="13"/>
        <v>132</v>
      </c>
      <c r="R29" s="187">
        <f t="shared" si="13"/>
        <v>134.4</v>
      </c>
      <c r="S29" s="187">
        <f t="shared" si="13"/>
        <v>137.4</v>
      </c>
      <c r="T29" s="187">
        <f t="shared" si="13"/>
        <v>140.4</v>
      </c>
      <c r="U29" s="340">
        <f t="shared" si="13"/>
        <v>142.79999999999998</v>
      </c>
    </row>
    <row r="30" spans="2:22" s="34" customFormat="1" ht="15.5" x14ac:dyDescent="0.35">
      <c r="B30" s="35" t="s">
        <v>210</v>
      </c>
      <c r="C30" s="180">
        <v>0</v>
      </c>
      <c r="D30" s="180">
        <v>0</v>
      </c>
      <c r="E30" s="180">
        <v>0</v>
      </c>
      <c r="F30" s="180">
        <v>0</v>
      </c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340"/>
    </row>
    <row r="31" spans="2:22" s="34" customFormat="1" ht="15.5" x14ac:dyDescent="0.35">
      <c r="B31" s="35" t="s">
        <v>30</v>
      </c>
      <c r="C31" s="180">
        <v>0</v>
      </c>
      <c r="D31" s="180">
        <v>0</v>
      </c>
      <c r="E31" s="180">
        <v>0</v>
      </c>
      <c r="F31" s="180">
        <v>0</v>
      </c>
      <c r="G31" s="187">
        <v>680</v>
      </c>
      <c r="H31" s="187">
        <v>680</v>
      </c>
      <c r="I31" s="187">
        <v>680</v>
      </c>
      <c r="J31" s="187">
        <v>680</v>
      </c>
      <c r="K31" s="187">
        <v>680</v>
      </c>
      <c r="L31" s="187">
        <v>680</v>
      </c>
      <c r="M31" s="187">
        <v>680</v>
      </c>
      <c r="N31" s="187">
        <v>680</v>
      </c>
      <c r="O31" s="187">
        <v>680</v>
      </c>
      <c r="P31" s="187">
        <v>680</v>
      </c>
      <c r="Q31" s="187">
        <v>680</v>
      </c>
      <c r="R31" s="187">
        <v>680</v>
      </c>
      <c r="S31" s="187">
        <v>680</v>
      </c>
      <c r="T31" s="187">
        <v>680</v>
      </c>
      <c r="U31" s="340">
        <v>680</v>
      </c>
    </row>
    <row r="32" spans="2:22" s="34" customFormat="1" ht="15.5" x14ac:dyDescent="0.35">
      <c r="B32" s="52" t="s">
        <v>86</v>
      </c>
      <c r="C32" s="186">
        <f t="shared" ref="C32" si="14">C26-C28-C29-C31</f>
        <v>0</v>
      </c>
      <c r="D32" s="186">
        <f t="shared" ref="D32" si="15">D26-D28-D29-D31</f>
        <v>0</v>
      </c>
      <c r="E32" s="186">
        <f t="shared" ref="E32:F32" si="16">E26-E28-E29-E31</f>
        <v>0</v>
      </c>
      <c r="F32" s="186">
        <f t="shared" si="16"/>
        <v>0</v>
      </c>
      <c r="G32" s="186">
        <f>G26-G28-G29-G30-G31</f>
        <v>1265.6552067648568</v>
      </c>
      <c r="H32" s="186">
        <f>H26-H28-H29-H30-H31</f>
        <v>1320.1200629678021</v>
      </c>
      <c r="I32" s="186">
        <f t="shared" ref="I32:U32" si="17">I26-I28-I29-I30-I31</f>
        <v>1402.3497768568359</v>
      </c>
      <c r="J32" s="186">
        <f t="shared" si="17"/>
        <v>1479.8381400825406</v>
      </c>
      <c r="K32" s="186">
        <f t="shared" si="17"/>
        <v>1554.8753143762174</v>
      </c>
      <c r="L32" s="186">
        <f t="shared" si="17"/>
        <v>1626.7477089304957</v>
      </c>
      <c r="M32" s="186">
        <f t="shared" si="17"/>
        <v>1694.7378535927469</v>
      </c>
      <c r="N32" s="186">
        <f t="shared" si="17"/>
        <v>1759.3242677257313</v>
      </c>
      <c r="O32" s="186">
        <f t="shared" si="17"/>
        <v>1820.3813245847523</v>
      </c>
      <c r="P32" s="186">
        <f t="shared" si="17"/>
        <v>1845.3791110552847</v>
      </c>
      <c r="Q32" s="186">
        <f t="shared" si="17"/>
        <v>1802.3832825894297</v>
      </c>
      <c r="R32" s="186">
        <f t="shared" si="17"/>
        <v>1723.0549131738785</v>
      </c>
      <c r="S32" s="186">
        <f t="shared" si="17"/>
        <v>1639.0503401560723</v>
      </c>
      <c r="T32" s="186">
        <f t="shared" si="17"/>
        <v>1550.8210037491112</v>
      </c>
      <c r="U32" s="405">
        <f t="shared" si="17"/>
        <v>1458.8132810295565</v>
      </c>
    </row>
    <row r="33" spans="2:21" s="34" customFormat="1" ht="15.5" x14ac:dyDescent="0.35">
      <c r="B33" s="323" t="s">
        <v>32</v>
      </c>
      <c r="C33" s="46"/>
      <c r="D33" s="46"/>
      <c r="E33" s="46"/>
      <c r="F33" s="46"/>
      <c r="G33" s="46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</row>
    <row r="34" spans="2:21" s="34" customFormat="1" ht="15.5" x14ac:dyDescent="0.35">
      <c r="B34" s="35" t="s">
        <v>195</v>
      </c>
      <c r="C34" s="180">
        <v>0</v>
      </c>
      <c r="D34" s="180">
        <v>0</v>
      </c>
      <c r="E34" s="180">
        <v>0</v>
      </c>
      <c r="F34" s="180">
        <v>0</v>
      </c>
      <c r="G34" s="187">
        <f>G108</f>
        <v>200.00000000000003</v>
      </c>
      <c r="H34" s="187">
        <f t="shared" ref="H34:U34" si="18">H108</f>
        <v>210</v>
      </c>
      <c r="I34" s="187">
        <f t="shared" si="18"/>
        <v>220</v>
      </c>
      <c r="J34" s="187">
        <f t="shared" si="18"/>
        <v>240</v>
      </c>
      <c r="K34" s="187">
        <f t="shared" si="18"/>
        <v>250</v>
      </c>
      <c r="L34" s="187">
        <f t="shared" si="18"/>
        <v>260</v>
      </c>
      <c r="M34" s="187">
        <f t="shared" si="18"/>
        <v>270</v>
      </c>
      <c r="N34" s="187">
        <f t="shared" si="18"/>
        <v>280</v>
      </c>
      <c r="O34" s="187">
        <f t="shared" si="18"/>
        <v>290</v>
      </c>
      <c r="P34" s="187">
        <f t="shared" si="18"/>
        <v>300</v>
      </c>
      <c r="Q34" s="187">
        <f t="shared" si="18"/>
        <v>290</v>
      </c>
      <c r="R34" s="187">
        <f t="shared" si="18"/>
        <v>280</v>
      </c>
      <c r="S34" s="187">
        <f t="shared" si="18"/>
        <v>260</v>
      </c>
      <c r="T34" s="187">
        <f t="shared" si="18"/>
        <v>250.00000000000003</v>
      </c>
      <c r="U34" s="51">
        <f t="shared" si="18"/>
        <v>230</v>
      </c>
    </row>
    <row r="35" spans="2:21" s="34" customFormat="1" ht="15.5" x14ac:dyDescent="0.35">
      <c r="B35" s="35" t="s">
        <v>196</v>
      </c>
      <c r="C35" s="180">
        <v>0</v>
      </c>
      <c r="D35" s="180">
        <v>0</v>
      </c>
      <c r="E35" s="180">
        <v>0</v>
      </c>
      <c r="F35" s="180">
        <v>0</v>
      </c>
      <c r="G35" s="187">
        <v>0</v>
      </c>
      <c r="H35" s="187">
        <v>0</v>
      </c>
      <c r="I35" s="187">
        <v>0</v>
      </c>
      <c r="J35" s="187">
        <v>0</v>
      </c>
      <c r="K35" s="187">
        <v>0</v>
      </c>
      <c r="L35" s="187">
        <v>0</v>
      </c>
      <c r="M35" s="187">
        <v>0</v>
      </c>
      <c r="N35" s="187">
        <v>-10</v>
      </c>
      <c r="O35" s="187">
        <v>-40</v>
      </c>
      <c r="P35" s="187">
        <v>-70</v>
      </c>
      <c r="Q35" s="187">
        <v>-90</v>
      </c>
      <c r="R35" s="187">
        <v>-110</v>
      </c>
      <c r="S35" s="187">
        <v>-130</v>
      </c>
      <c r="T35" s="187">
        <v>-140</v>
      </c>
      <c r="U35" s="188">
        <v>-150</v>
      </c>
    </row>
    <row r="36" spans="2:21" s="34" customFormat="1" ht="15.5" x14ac:dyDescent="0.35">
      <c r="B36" s="86" t="s">
        <v>87</v>
      </c>
      <c r="C36" s="186">
        <f t="shared" ref="C36" si="19">C32-C34-C35</f>
        <v>0</v>
      </c>
      <c r="D36" s="186">
        <f t="shared" ref="D36" si="20">D32-D34-D35</f>
        <v>0</v>
      </c>
      <c r="E36" s="186">
        <f t="shared" ref="E36:F36" si="21">E32-E34-E35</f>
        <v>0</v>
      </c>
      <c r="F36" s="186">
        <f t="shared" si="21"/>
        <v>0</v>
      </c>
      <c r="G36" s="186">
        <f t="shared" ref="G36:U36" si="22">G32-G34-G35</f>
        <v>1065.6552067648568</v>
      </c>
      <c r="H36" s="182">
        <f t="shared" si="22"/>
        <v>1110.1200629678021</v>
      </c>
      <c r="I36" s="182">
        <f t="shared" si="22"/>
        <v>1182.3497768568359</v>
      </c>
      <c r="J36" s="182">
        <f t="shared" si="22"/>
        <v>1239.8381400825406</v>
      </c>
      <c r="K36" s="182">
        <f t="shared" si="22"/>
        <v>1304.8753143762174</v>
      </c>
      <c r="L36" s="182">
        <f t="shared" si="22"/>
        <v>1366.7477089304957</v>
      </c>
      <c r="M36" s="182">
        <f t="shared" si="22"/>
        <v>1424.7378535927469</v>
      </c>
      <c r="N36" s="182">
        <f t="shared" si="22"/>
        <v>1489.3242677257313</v>
      </c>
      <c r="O36" s="182">
        <f t="shared" si="22"/>
        <v>1570.3813245847523</v>
      </c>
      <c r="P36" s="182">
        <f t="shared" si="22"/>
        <v>1615.3791110552847</v>
      </c>
      <c r="Q36" s="182">
        <f t="shared" si="22"/>
        <v>1602.3832825894297</v>
      </c>
      <c r="R36" s="182">
        <f t="shared" si="22"/>
        <v>1553.0549131738785</v>
      </c>
      <c r="S36" s="182">
        <f t="shared" si="22"/>
        <v>1509.0503401560723</v>
      </c>
      <c r="T36" s="182">
        <f t="shared" si="22"/>
        <v>1440.8210037491112</v>
      </c>
      <c r="U36" s="183">
        <f t="shared" si="22"/>
        <v>1378.8132810295565</v>
      </c>
    </row>
    <row r="37" spans="2:21" s="34" customFormat="1" ht="3.65" customHeight="1" x14ac:dyDescent="0.35">
      <c r="B37" s="86"/>
      <c r="C37" s="186"/>
      <c r="D37" s="186"/>
      <c r="E37" s="186"/>
      <c r="F37" s="186"/>
      <c r="G37" s="186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3"/>
    </row>
    <row r="38" spans="2:21" s="34" customFormat="1" ht="15.5" x14ac:dyDescent="0.35">
      <c r="B38" s="86" t="s">
        <v>88</v>
      </c>
      <c r="C38" s="189">
        <f t="shared" ref="C38" si="23">C36+C31+C35</f>
        <v>0</v>
      </c>
      <c r="D38" s="189">
        <f t="shared" ref="D38" si="24">D36+D31+D35</f>
        <v>0</v>
      </c>
      <c r="E38" s="189">
        <f t="shared" ref="E38:F38" si="25">E36+E31+E35</f>
        <v>0</v>
      </c>
      <c r="F38" s="189">
        <f t="shared" si="25"/>
        <v>0</v>
      </c>
      <c r="G38" s="189">
        <f t="shared" ref="G38:U38" si="26">G36+G31+G35</f>
        <v>1745.6552067648568</v>
      </c>
      <c r="H38" s="190">
        <f t="shared" si="26"/>
        <v>1790.1200629678021</v>
      </c>
      <c r="I38" s="190">
        <f t="shared" si="26"/>
        <v>1862.3497768568359</v>
      </c>
      <c r="J38" s="190">
        <f t="shared" si="26"/>
        <v>1919.8381400825406</v>
      </c>
      <c r="K38" s="190">
        <f t="shared" si="26"/>
        <v>1984.8753143762174</v>
      </c>
      <c r="L38" s="190">
        <f t="shared" si="26"/>
        <v>2046.7477089304957</v>
      </c>
      <c r="M38" s="190">
        <f t="shared" si="26"/>
        <v>2104.7378535927469</v>
      </c>
      <c r="N38" s="190">
        <f t="shared" si="26"/>
        <v>2159.3242677257313</v>
      </c>
      <c r="O38" s="190">
        <f t="shared" si="26"/>
        <v>2210.3813245847523</v>
      </c>
      <c r="P38" s="190">
        <f t="shared" si="26"/>
        <v>2225.3791110552847</v>
      </c>
      <c r="Q38" s="190">
        <f t="shared" si="26"/>
        <v>2192.3832825894297</v>
      </c>
      <c r="R38" s="190">
        <f t="shared" si="26"/>
        <v>2123.0549131738785</v>
      </c>
      <c r="S38" s="190">
        <f t="shared" si="26"/>
        <v>2059.0503401560723</v>
      </c>
      <c r="T38" s="190">
        <f t="shared" si="26"/>
        <v>1980.8210037491112</v>
      </c>
      <c r="U38" s="191">
        <f t="shared" si="26"/>
        <v>1908.8132810295565</v>
      </c>
    </row>
    <row r="39" spans="2:21" s="34" customFormat="1" ht="15.5" x14ac:dyDescent="0.35">
      <c r="B39" s="86" t="s">
        <v>266</v>
      </c>
      <c r="C39" s="398">
        <v>0</v>
      </c>
      <c r="D39" s="398">
        <v>0</v>
      </c>
      <c r="E39" s="398">
        <v>0</v>
      </c>
      <c r="F39" s="398">
        <v>0</v>
      </c>
      <c r="G39" s="398">
        <f>+G32+G31+G29+G28</f>
        <v>3188.8552067648566</v>
      </c>
      <c r="H39" s="398">
        <f t="shared" ref="H39:U39" si="27">+H32+H31+H29+H28</f>
        <v>3145.520062967802</v>
      </c>
      <c r="I39" s="398">
        <f t="shared" si="27"/>
        <v>3099.3497768568359</v>
      </c>
      <c r="J39" s="398">
        <f t="shared" si="27"/>
        <v>3050.2381400825407</v>
      </c>
      <c r="K39" s="398">
        <f t="shared" si="27"/>
        <v>2998.0753143762172</v>
      </c>
      <c r="L39" s="398">
        <f t="shared" si="27"/>
        <v>2942.7477089304957</v>
      </c>
      <c r="M39" s="398">
        <f t="shared" si="27"/>
        <v>2884.137853592747</v>
      </c>
      <c r="N39" s="398">
        <f t="shared" si="27"/>
        <v>2822.1242677257314</v>
      </c>
      <c r="O39" s="398">
        <f t="shared" si="27"/>
        <v>2756.5813245847521</v>
      </c>
      <c r="P39" s="398">
        <f t="shared" si="27"/>
        <v>2687.3791110552847</v>
      </c>
      <c r="Q39" s="398">
        <f t="shared" si="27"/>
        <v>2614.3832825894297</v>
      </c>
      <c r="R39" s="398">
        <f t="shared" si="27"/>
        <v>2537.4549131738786</v>
      </c>
      <c r="S39" s="398">
        <f t="shared" si="27"/>
        <v>2456.4503401560723</v>
      </c>
      <c r="T39" s="398">
        <f t="shared" si="27"/>
        <v>2371.2210037491113</v>
      </c>
      <c r="U39" s="191">
        <f t="shared" si="27"/>
        <v>2281.6132810295567</v>
      </c>
    </row>
    <row r="40" spans="2:21" s="34" customFormat="1" ht="15.5" x14ac:dyDescent="0.35">
      <c r="B40" s="86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51"/>
    </row>
    <row r="41" spans="2:21" s="34" customFormat="1" ht="15.5" x14ac:dyDescent="0.35">
      <c r="B41" s="399" t="s">
        <v>264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397"/>
    </row>
    <row r="42" spans="2:21" s="34" customFormat="1" ht="15.5" x14ac:dyDescent="0.35">
      <c r="B42" s="336" t="s">
        <v>265</v>
      </c>
      <c r="C42" s="192"/>
      <c r="D42" s="400">
        <f>D62/D63</f>
        <v>0.69942196531791911</v>
      </c>
      <c r="E42" s="400">
        <f>E62/E63</f>
        <v>0.70044543429844097</v>
      </c>
      <c r="F42" s="400">
        <f>F62/F63</f>
        <v>0.69985569985569984</v>
      </c>
      <c r="G42" s="400">
        <f>G62/G63</f>
        <v>0.66294349540078845</v>
      </c>
      <c r="H42" s="400">
        <f t="shared" ref="H42:U42" si="28">H62/H63</f>
        <v>0.59405940594059403</v>
      </c>
      <c r="I42" s="400">
        <f t="shared" si="28"/>
        <v>0.5233706385780118</v>
      </c>
      <c r="J42" s="400">
        <f t="shared" si="28"/>
        <v>0.45091623036649214</v>
      </c>
      <c r="K42" s="400">
        <f t="shared" si="28"/>
        <v>0.37783538561244329</v>
      </c>
      <c r="L42" s="400">
        <f t="shared" si="28"/>
        <v>0.30498721227621484</v>
      </c>
      <c r="M42" s="400">
        <f t="shared" si="28"/>
        <v>0.23366834170854273</v>
      </c>
      <c r="N42" s="400">
        <f t="shared" si="28"/>
        <v>0.16369230769230769</v>
      </c>
      <c r="O42" s="400">
        <f t="shared" si="28"/>
        <v>9.6580683863227351E-2</v>
      </c>
      <c r="P42" s="400">
        <f t="shared" si="28"/>
        <v>6.1651583710407243E-2</v>
      </c>
      <c r="Q42" s="400">
        <f t="shared" si="28"/>
        <v>5.7812500000000003E-2</v>
      </c>
      <c r="R42" s="400">
        <f t="shared" si="28"/>
        <v>5.4642166344294002E-2</v>
      </c>
      <c r="S42" s="400">
        <f t="shared" si="28"/>
        <v>5.2464947987336044E-2</v>
      </c>
      <c r="T42" s="400">
        <f t="shared" si="28"/>
        <v>5.0276949296974863E-2</v>
      </c>
      <c r="U42" s="401">
        <f t="shared" si="28"/>
        <v>4.8445700444085589E-2</v>
      </c>
    </row>
    <row r="43" spans="2:21" s="34" customFormat="1" ht="15.5" x14ac:dyDescent="0.35">
      <c r="B43" s="336" t="s">
        <v>267</v>
      </c>
      <c r="C43" s="90"/>
      <c r="D43" s="398">
        <v>0</v>
      </c>
      <c r="E43" s="398">
        <v>0</v>
      </c>
      <c r="F43" s="398">
        <v>0</v>
      </c>
      <c r="G43" s="176">
        <f>G62/G39</f>
        <v>3.1641449190276854</v>
      </c>
      <c r="H43" s="176">
        <f t="shared" ref="H43:U43" si="29">H62/H39</f>
        <v>2.8612120793496034</v>
      </c>
      <c r="I43" s="176">
        <f t="shared" si="29"/>
        <v>2.5650541476033033</v>
      </c>
      <c r="J43" s="176">
        <f t="shared" si="29"/>
        <v>2.2588400261146671</v>
      </c>
      <c r="K43" s="176">
        <f t="shared" si="29"/>
        <v>1.9445809023023146</v>
      </c>
      <c r="L43" s="176">
        <f t="shared" si="29"/>
        <v>1.6209340629250191</v>
      </c>
      <c r="M43" s="176">
        <f t="shared" si="29"/>
        <v>1.2898135210028281</v>
      </c>
      <c r="N43" s="176">
        <f t="shared" si="29"/>
        <v>0.94255239941776814</v>
      </c>
      <c r="O43" s="176">
        <f t="shared" si="29"/>
        <v>0.58405677555786539</v>
      </c>
      <c r="P43" s="176">
        <f t="shared" si="29"/>
        <v>0.40559964000463516</v>
      </c>
      <c r="Q43" s="176">
        <f t="shared" si="29"/>
        <v>0.42457431830752629</v>
      </c>
      <c r="R43" s="176">
        <f t="shared" si="29"/>
        <v>0.44532810972652226</v>
      </c>
      <c r="S43" s="176">
        <f t="shared" si="29"/>
        <v>0.47222611466523623</v>
      </c>
      <c r="T43" s="176">
        <f t="shared" si="29"/>
        <v>0.49763391861590084</v>
      </c>
      <c r="U43" s="402">
        <f t="shared" si="29"/>
        <v>0.52594364258719217</v>
      </c>
    </row>
    <row r="44" spans="2:21" s="34" customFormat="1" ht="15.5" x14ac:dyDescent="0.35">
      <c r="B44" s="336" t="s">
        <v>270</v>
      </c>
      <c r="C44" s="173"/>
      <c r="D44" s="398">
        <v>0</v>
      </c>
      <c r="E44" s="398">
        <v>0</v>
      </c>
      <c r="F44" s="398">
        <v>0</v>
      </c>
      <c r="G44" s="176">
        <f>(G36+G28+G29+G31)/(G28+G29-G88)</f>
        <v>1.6761188911871112</v>
      </c>
      <c r="H44" s="176">
        <f t="shared" ref="H44:U44" si="30">(H36+H28+H29+H31)/(H28+H29-H88)</f>
        <v>1.3073483846832643</v>
      </c>
      <c r="I44" s="176">
        <f t="shared" si="30"/>
        <v>1.3796596918336539</v>
      </c>
      <c r="J44" s="176">
        <f t="shared" si="30"/>
        <v>1.4262272330910173</v>
      </c>
      <c r="K44" s="176">
        <f t="shared" si="30"/>
        <v>1.4990591939647704</v>
      </c>
      <c r="L44" s="176">
        <f t="shared" si="30"/>
        <v>1.5633727907520372</v>
      </c>
      <c r="M44" s="176">
        <f t="shared" si="30"/>
        <v>1.6551461653746655</v>
      </c>
      <c r="N44" s="176">
        <f t="shared" si="30"/>
        <v>1.7446843503730731</v>
      </c>
      <c r="O44" s="176">
        <f t="shared" si="30"/>
        <v>1.890047748895153</v>
      </c>
      <c r="P44" s="176">
        <f t="shared" si="30"/>
        <v>3.5005400442382975</v>
      </c>
      <c r="Q44" s="176">
        <f t="shared" si="30"/>
        <v>18.290782443859314</v>
      </c>
      <c r="R44" s="176">
        <f t="shared" si="30"/>
        <v>17.614991913496119</v>
      </c>
      <c r="S44" s="176">
        <f t="shared" si="30"/>
        <v>16.931952985124251</v>
      </c>
      <c r="T44" s="176">
        <f t="shared" si="30"/>
        <v>16.105562704765749</v>
      </c>
      <c r="U44" s="402">
        <f t="shared" si="30"/>
        <v>15.417459951187373</v>
      </c>
    </row>
    <row r="45" spans="2:21" s="34" customFormat="1" ht="15.5" x14ac:dyDescent="0.35">
      <c r="B45" s="336" t="s">
        <v>271</v>
      </c>
      <c r="C45" s="173"/>
      <c r="D45" s="398">
        <v>0</v>
      </c>
      <c r="E45" s="398">
        <v>0</v>
      </c>
      <c r="F45" s="398">
        <v>0</v>
      </c>
      <c r="G45" s="176">
        <f t="shared" ref="G45:U45" si="31">G84/(G28+G29-G88)</f>
        <v>0.98073979742309148</v>
      </c>
      <c r="H45" s="176">
        <f t="shared" si="31"/>
        <v>1.3028948352043297</v>
      </c>
      <c r="I45" s="176">
        <f t="shared" si="31"/>
        <v>1.3652849913065817</v>
      </c>
      <c r="J45" s="176">
        <f t="shared" si="31"/>
        <v>1.4160770097861046</v>
      </c>
      <c r="K45" s="176">
        <f t="shared" si="31"/>
        <v>1.4881493096095448</v>
      </c>
      <c r="L45" s="176">
        <f t="shared" si="31"/>
        <v>1.5458902732695197</v>
      </c>
      <c r="M45" s="176">
        <f t="shared" si="31"/>
        <v>1.6424831287784898</v>
      </c>
      <c r="N45" s="176">
        <f t="shared" si="31"/>
        <v>1.717339532216114</v>
      </c>
      <c r="O45" s="176">
        <f t="shared" si="31"/>
        <v>1.8372653631313165</v>
      </c>
      <c r="P45" s="176">
        <f t="shared" si="31"/>
        <v>3.3723349160331693</v>
      </c>
      <c r="Q45" s="176">
        <f t="shared" si="31"/>
        <v>17.381691534768407</v>
      </c>
      <c r="R45" s="176">
        <f t="shared" si="31"/>
        <v>16.573325246829452</v>
      </c>
      <c r="S45" s="176">
        <f t="shared" si="31"/>
        <v>15.767469724571123</v>
      </c>
      <c r="T45" s="176">
        <f t="shared" si="31"/>
        <v>14.894736493939538</v>
      </c>
      <c r="U45" s="402">
        <f t="shared" si="31"/>
        <v>14.1569557495067</v>
      </c>
    </row>
    <row r="46" spans="2:21" s="34" customFormat="1" ht="15.5" x14ac:dyDescent="0.35">
      <c r="B46" s="336" t="s">
        <v>268</v>
      </c>
      <c r="C46" s="173"/>
      <c r="D46" s="398">
        <v>0</v>
      </c>
      <c r="E46" s="398">
        <v>0</v>
      </c>
      <c r="F46" s="398">
        <v>0</v>
      </c>
      <c r="G46" s="176">
        <f>G26/(G28+G29)</f>
        <v>2.565037971979454</v>
      </c>
      <c r="H46" s="176">
        <f t="shared" ref="H46:U46" si="32">H26/(H28+H29)</f>
        <v>2.7462197162282189</v>
      </c>
      <c r="I46" s="176">
        <f t="shared" si="32"/>
        <v>3.0475415701640469</v>
      </c>
      <c r="J46" s="176">
        <f t="shared" si="32"/>
        <v>3.4256942274062676</v>
      </c>
      <c r="K46" s="176">
        <f t="shared" si="32"/>
        <v>3.9282957473482929</v>
      </c>
      <c r="L46" s="176">
        <f t="shared" si="32"/>
        <v>4.6269618064944904</v>
      </c>
      <c r="M46" s="176">
        <f t="shared" si="32"/>
        <v>5.6618332422315412</v>
      </c>
      <c r="N46" s="176">
        <f t="shared" si="32"/>
        <v>7.3723204486043139</v>
      </c>
      <c r="O46" s="176">
        <f t="shared" si="32"/>
        <v>10.759489947637597</v>
      </c>
      <c r="P46" s="176">
        <f t="shared" si="32"/>
        <v>16.588759944785707</v>
      </c>
      <c r="Q46" s="176">
        <f t="shared" si="32"/>
        <v>19.805933959010829</v>
      </c>
      <c r="R46" s="176">
        <f t="shared" si="32"/>
        <v>18.879872865877072</v>
      </c>
      <c r="S46" s="176">
        <f t="shared" si="32"/>
        <v>17.878095634323671</v>
      </c>
      <c r="T46" s="176">
        <f t="shared" si="32"/>
        <v>16.889038488241532</v>
      </c>
      <c r="U46" s="176">
        <f t="shared" si="32"/>
        <v>15.977684040823227</v>
      </c>
    </row>
    <row r="47" spans="2:21" s="34" customFormat="1" ht="16" thickBot="1" x14ac:dyDescent="0.4">
      <c r="B47" s="54" t="s">
        <v>269</v>
      </c>
      <c r="C47" s="175"/>
      <c r="D47" s="175">
        <v>0</v>
      </c>
      <c r="E47" s="175">
        <v>0</v>
      </c>
      <c r="F47" s="175">
        <v>0</v>
      </c>
      <c r="G47" s="177">
        <f t="shared" ref="G47:U47" si="33">G84/(G28+G29)</f>
        <v>1.4067368136782954</v>
      </c>
      <c r="H47" s="177">
        <f t="shared" si="33"/>
        <v>2.5541470778486133</v>
      </c>
      <c r="I47" s="177">
        <f t="shared" si="33"/>
        <v>2.8017205278828277</v>
      </c>
      <c r="J47" s="177">
        <f t="shared" si="33"/>
        <v>3.1336906335158812</v>
      </c>
      <c r="K47" s="177">
        <f t="shared" si="33"/>
        <v>3.5745221624426331</v>
      </c>
      <c r="L47" s="177">
        <f t="shared" si="33"/>
        <v>4.1709869637271941</v>
      </c>
      <c r="M47" s="177">
        <f t="shared" si="33"/>
        <v>5.0925360298247879</v>
      </c>
      <c r="N47" s="177">
        <f t="shared" si="33"/>
        <v>6.562498087057814</v>
      </c>
      <c r="O47" s="177">
        <f t="shared" si="33"/>
        <v>9.5104657477937238</v>
      </c>
      <c r="P47" s="177">
        <f t="shared" si="33"/>
        <v>14.6134513028104</v>
      </c>
      <c r="Q47" s="177">
        <f t="shared" si="33"/>
        <v>17.381691534768407</v>
      </c>
      <c r="R47" s="177">
        <f t="shared" si="33"/>
        <v>16.573325246829452</v>
      </c>
      <c r="S47" s="177">
        <f t="shared" si="33"/>
        <v>15.767469724571123</v>
      </c>
      <c r="T47" s="177">
        <f t="shared" si="33"/>
        <v>14.894736493939538</v>
      </c>
      <c r="U47" s="403">
        <f t="shared" si="33"/>
        <v>14.1569557495067</v>
      </c>
    </row>
    <row r="48" spans="2:21" s="34" customFormat="1" x14ac:dyDescent="0.35">
      <c r="D48" s="309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</row>
    <row r="49" spans="2:21" ht="15" thickBot="1" x14ac:dyDescent="0.4"/>
    <row r="50" spans="2:21" ht="16" thickBot="1" x14ac:dyDescent="0.4">
      <c r="B50" s="299" t="s">
        <v>106</v>
      </c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1"/>
    </row>
    <row r="51" spans="2:21" ht="16" thickBot="1" x14ac:dyDescent="0.4">
      <c r="B51" s="306" t="s">
        <v>110</v>
      </c>
      <c r="C51" s="2">
        <v>2009</v>
      </c>
      <c r="D51" s="2">
        <v>2010</v>
      </c>
      <c r="E51" s="2">
        <v>2011</v>
      </c>
      <c r="F51" s="2">
        <v>2012</v>
      </c>
      <c r="G51" s="2">
        <v>2013</v>
      </c>
      <c r="H51" s="2">
        <v>2014</v>
      </c>
      <c r="I51" s="2">
        <v>2015</v>
      </c>
      <c r="J51" s="2">
        <v>2016</v>
      </c>
      <c r="K51" s="2">
        <v>2017</v>
      </c>
      <c r="L51" s="2">
        <v>2018</v>
      </c>
      <c r="M51" s="2">
        <v>2019</v>
      </c>
      <c r="N51" s="2">
        <v>2020</v>
      </c>
      <c r="O51" s="2">
        <v>2021</v>
      </c>
      <c r="P51" s="2">
        <v>2022</v>
      </c>
      <c r="Q51" s="2">
        <v>2023</v>
      </c>
      <c r="R51" s="2">
        <v>2024</v>
      </c>
      <c r="S51" s="2">
        <v>2025</v>
      </c>
      <c r="T51" s="2">
        <v>2026</v>
      </c>
      <c r="U51" s="3">
        <v>2027</v>
      </c>
    </row>
    <row r="52" spans="2:21" ht="15.5" x14ac:dyDescent="0.35">
      <c r="B52" s="305" t="s">
        <v>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6"/>
    </row>
    <row r="53" spans="2:21" ht="15.5" x14ac:dyDescent="0.35">
      <c r="B53" s="304" t="s">
        <v>107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9"/>
    </row>
    <row r="54" spans="2:21" ht="15.5" x14ac:dyDescent="0.35">
      <c r="B54" s="313" t="s">
        <v>2</v>
      </c>
      <c r="C54" s="202">
        <v>0</v>
      </c>
      <c r="D54" s="202">
        <v>1040</v>
      </c>
      <c r="E54" s="202">
        <v>2690</v>
      </c>
      <c r="F54" s="202">
        <v>4160</v>
      </c>
      <c r="G54" s="202">
        <v>4160</v>
      </c>
      <c r="H54" s="202">
        <v>4160</v>
      </c>
      <c r="I54" s="202">
        <v>4160</v>
      </c>
      <c r="J54" s="202">
        <v>4160</v>
      </c>
      <c r="K54" s="202">
        <v>4160</v>
      </c>
      <c r="L54" s="202">
        <v>4160</v>
      </c>
      <c r="M54" s="202">
        <v>4160</v>
      </c>
      <c r="N54" s="202">
        <v>4160</v>
      </c>
      <c r="O54" s="202">
        <v>4160</v>
      </c>
      <c r="P54" s="202">
        <v>4160</v>
      </c>
      <c r="Q54" s="202">
        <v>4160</v>
      </c>
      <c r="R54" s="202">
        <v>4160</v>
      </c>
      <c r="S54" s="202">
        <v>4160</v>
      </c>
      <c r="T54" s="202">
        <v>4160</v>
      </c>
      <c r="U54" s="203">
        <v>4160</v>
      </c>
    </row>
    <row r="55" spans="2:21" ht="15.5" x14ac:dyDescent="0.35">
      <c r="B55" s="313" t="s">
        <v>76</v>
      </c>
      <c r="C55" s="202">
        <v>0</v>
      </c>
      <c r="D55" s="202">
        <v>0</v>
      </c>
      <c r="E55" s="202">
        <v>0</v>
      </c>
      <c r="F55" s="202">
        <v>0</v>
      </c>
      <c r="G55" s="202">
        <f t="shared" ref="G55:U55" si="34">G116</f>
        <v>970</v>
      </c>
      <c r="H55" s="202">
        <f t="shared" si="34"/>
        <v>1990.0000000000002</v>
      </c>
      <c r="I55" s="202">
        <f t="shared" si="34"/>
        <v>3080</v>
      </c>
      <c r="J55" s="202">
        <f t="shared" si="34"/>
        <v>4230</v>
      </c>
      <c r="K55" s="202">
        <f t="shared" si="34"/>
        <v>5440</v>
      </c>
      <c r="L55" s="202">
        <f t="shared" si="34"/>
        <v>6710</v>
      </c>
      <c r="M55" s="202">
        <f t="shared" si="34"/>
        <v>8040</v>
      </c>
      <c r="N55" s="202">
        <f t="shared" si="34"/>
        <v>9430</v>
      </c>
      <c r="O55" s="202">
        <f t="shared" si="34"/>
        <v>10900</v>
      </c>
      <c r="P55" s="202">
        <f t="shared" si="34"/>
        <v>12430</v>
      </c>
      <c r="Q55" s="202">
        <f t="shared" si="34"/>
        <v>13930</v>
      </c>
      <c r="R55" s="202">
        <f t="shared" si="34"/>
        <v>15390</v>
      </c>
      <c r="S55" s="202">
        <f t="shared" si="34"/>
        <v>16790</v>
      </c>
      <c r="T55" s="202">
        <f t="shared" si="34"/>
        <v>18130</v>
      </c>
      <c r="U55" s="203">
        <f t="shared" si="34"/>
        <v>19410</v>
      </c>
    </row>
    <row r="56" spans="2:21" ht="15.5" x14ac:dyDescent="0.35">
      <c r="B56" s="7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3"/>
    </row>
    <row r="57" spans="2:21" ht="15.5" x14ac:dyDescent="0.35">
      <c r="B57" s="7" t="s">
        <v>108</v>
      </c>
      <c r="C57" s="307">
        <v>0</v>
      </c>
      <c r="D57" s="307">
        <f t="shared" ref="D57:U57" si="35">D54+D55</f>
        <v>1040</v>
      </c>
      <c r="E57" s="307">
        <f t="shared" si="35"/>
        <v>2690</v>
      </c>
      <c r="F57" s="307">
        <f t="shared" si="35"/>
        <v>4160</v>
      </c>
      <c r="G57" s="307">
        <f t="shared" si="35"/>
        <v>5130</v>
      </c>
      <c r="H57" s="307">
        <f t="shared" si="35"/>
        <v>6150</v>
      </c>
      <c r="I57" s="307">
        <f t="shared" si="35"/>
        <v>7240</v>
      </c>
      <c r="J57" s="307">
        <f t="shared" si="35"/>
        <v>8390</v>
      </c>
      <c r="K57" s="307">
        <f t="shared" si="35"/>
        <v>9600</v>
      </c>
      <c r="L57" s="307">
        <f t="shared" si="35"/>
        <v>10870</v>
      </c>
      <c r="M57" s="307">
        <f t="shared" si="35"/>
        <v>12200</v>
      </c>
      <c r="N57" s="307">
        <f t="shared" si="35"/>
        <v>13590</v>
      </c>
      <c r="O57" s="307">
        <f t="shared" si="35"/>
        <v>15060</v>
      </c>
      <c r="P57" s="307">
        <f t="shared" si="35"/>
        <v>16590</v>
      </c>
      <c r="Q57" s="307">
        <f t="shared" si="35"/>
        <v>18090</v>
      </c>
      <c r="R57" s="307">
        <f t="shared" si="35"/>
        <v>19550</v>
      </c>
      <c r="S57" s="307">
        <f t="shared" si="35"/>
        <v>20950</v>
      </c>
      <c r="T57" s="307">
        <f t="shared" si="35"/>
        <v>22290</v>
      </c>
      <c r="U57" s="308">
        <f t="shared" si="35"/>
        <v>23570</v>
      </c>
    </row>
    <row r="58" spans="2:21" ht="15.5" x14ac:dyDescent="0.35">
      <c r="B58" s="7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3"/>
    </row>
    <row r="59" spans="2:21" ht="15.5" x14ac:dyDescent="0.35">
      <c r="B59" s="304" t="s">
        <v>3</v>
      </c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3"/>
    </row>
    <row r="60" spans="2:21" ht="15.5" x14ac:dyDescent="0.35">
      <c r="B60" s="7" t="s">
        <v>77</v>
      </c>
      <c r="C60" s="202">
        <v>0</v>
      </c>
      <c r="D60" s="202">
        <f t="shared" ref="D60:U60" si="36">C60+D87+D88</f>
        <v>2420</v>
      </c>
      <c r="E60" s="202">
        <f t="shared" si="36"/>
        <v>6290</v>
      </c>
      <c r="F60" s="202">
        <f t="shared" si="36"/>
        <v>9700</v>
      </c>
      <c r="G60" s="202">
        <f t="shared" si="36"/>
        <v>9160</v>
      </c>
      <c r="H60" s="202">
        <f t="shared" si="36"/>
        <v>8060</v>
      </c>
      <c r="I60" s="202">
        <f t="shared" si="36"/>
        <v>6990</v>
      </c>
      <c r="J60" s="202">
        <f t="shared" si="36"/>
        <v>5910</v>
      </c>
      <c r="K60" s="202">
        <f t="shared" si="36"/>
        <v>4840</v>
      </c>
      <c r="L60" s="202">
        <f t="shared" si="36"/>
        <v>3760</v>
      </c>
      <c r="M60" s="202">
        <f t="shared" si="36"/>
        <v>2690</v>
      </c>
      <c r="N60" s="202">
        <f t="shared" si="36"/>
        <v>1610</v>
      </c>
      <c r="O60" s="202">
        <f t="shared" si="36"/>
        <v>540</v>
      </c>
      <c r="P60" s="202">
        <f t="shared" si="36"/>
        <v>0</v>
      </c>
      <c r="Q60" s="202">
        <f t="shared" si="36"/>
        <v>0</v>
      </c>
      <c r="R60" s="202">
        <f t="shared" si="36"/>
        <v>0</v>
      </c>
      <c r="S60" s="202">
        <f t="shared" si="36"/>
        <v>0</v>
      </c>
      <c r="T60" s="202">
        <f t="shared" si="36"/>
        <v>0</v>
      </c>
      <c r="U60" s="203">
        <f t="shared" si="36"/>
        <v>0</v>
      </c>
    </row>
    <row r="61" spans="2:21" ht="15.5" x14ac:dyDescent="0.35">
      <c r="B61" s="7" t="s">
        <v>78</v>
      </c>
      <c r="C61" s="202">
        <v>0</v>
      </c>
      <c r="D61" s="202">
        <f t="shared" ref="D61:U61" si="37">C61+D89</f>
        <v>0</v>
      </c>
      <c r="E61" s="202">
        <f t="shared" si="37"/>
        <v>0</v>
      </c>
      <c r="F61" s="202">
        <f t="shared" si="37"/>
        <v>0</v>
      </c>
      <c r="G61" s="202">
        <f t="shared" si="37"/>
        <v>930</v>
      </c>
      <c r="H61" s="202">
        <f t="shared" si="37"/>
        <v>940</v>
      </c>
      <c r="I61" s="202">
        <f t="shared" si="37"/>
        <v>960</v>
      </c>
      <c r="J61" s="202">
        <f t="shared" si="37"/>
        <v>980</v>
      </c>
      <c r="K61" s="202">
        <f t="shared" si="37"/>
        <v>990</v>
      </c>
      <c r="L61" s="202">
        <f t="shared" si="37"/>
        <v>1010</v>
      </c>
      <c r="M61" s="202">
        <f t="shared" si="37"/>
        <v>1030</v>
      </c>
      <c r="N61" s="202">
        <f t="shared" si="37"/>
        <v>1050</v>
      </c>
      <c r="O61" s="202">
        <f t="shared" si="37"/>
        <v>1070</v>
      </c>
      <c r="P61" s="202">
        <f t="shared" si="37"/>
        <v>1090</v>
      </c>
      <c r="Q61" s="202">
        <f t="shared" si="37"/>
        <v>1110</v>
      </c>
      <c r="R61" s="202">
        <f t="shared" si="37"/>
        <v>1130</v>
      </c>
      <c r="S61" s="202">
        <f t="shared" si="37"/>
        <v>1160</v>
      </c>
      <c r="T61" s="202">
        <f t="shared" si="37"/>
        <v>1180</v>
      </c>
      <c r="U61" s="203">
        <f t="shared" si="37"/>
        <v>1200</v>
      </c>
    </row>
    <row r="62" spans="2:21" ht="15.5" x14ac:dyDescent="0.35">
      <c r="B62" s="7" t="s">
        <v>4</v>
      </c>
      <c r="C62" s="307">
        <v>0</v>
      </c>
      <c r="D62" s="307">
        <f t="shared" ref="D62:U62" si="38">D60+D61</f>
        <v>2420</v>
      </c>
      <c r="E62" s="307">
        <f t="shared" si="38"/>
        <v>6290</v>
      </c>
      <c r="F62" s="307">
        <f t="shared" si="38"/>
        <v>9700</v>
      </c>
      <c r="G62" s="307">
        <f t="shared" si="38"/>
        <v>10090</v>
      </c>
      <c r="H62" s="307">
        <f t="shared" si="38"/>
        <v>9000</v>
      </c>
      <c r="I62" s="307">
        <f t="shared" si="38"/>
        <v>7950</v>
      </c>
      <c r="J62" s="307">
        <f t="shared" si="38"/>
        <v>6890</v>
      </c>
      <c r="K62" s="307">
        <f t="shared" si="38"/>
        <v>5830</v>
      </c>
      <c r="L62" s="307">
        <f t="shared" si="38"/>
        <v>4770</v>
      </c>
      <c r="M62" s="307">
        <f t="shared" si="38"/>
        <v>3720</v>
      </c>
      <c r="N62" s="307">
        <f t="shared" si="38"/>
        <v>2660</v>
      </c>
      <c r="O62" s="307">
        <f t="shared" si="38"/>
        <v>1610</v>
      </c>
      <c r="P62" s="307">
        <f t="shared" si="38"/>
        <v>1090</v>
      </c>
      <c r="Q62" s="307">
        <f t="shared" si="38"/>
        <v>1110</v>
      </c>
      <c r="R62" s="307">
        <f t="shared" si="38"/>
        <v>1130</v>
      </c>
      <c r="S62" s="307">
        <f t="shared" si="38"/>
        <v>1160</v>
      </c>
      <c r="T62" s="307">
        <f t="shared" si="38"/>
        <v>1180</v>
      </c>
      <c r="U62" s="308">
        <f t="shared" si="38"/>
        <v>1200</v>
      </c>
    </row>
    <row r="63" spans="2:21" ht="15.5" x14ac:dyDescent="0.35">
      <c r="B63" s="7" t="s">
        <v>5</v>
      </c>
      <c r="C63" s="307">
        <v>0</v>
      </c>
      <c r="D63" s="307">
        <f t="shared" ref="D63:U63" si="39">D57+D62</f>
        <v>3460</v>
      </c>
      <c r="E63" s="307">
        <f t="shared" si="39"/>
        <v>8980</v>
      </c>
      <c r="F63" s="307">
        <f t="shared" si="39"/>
        <v>13860</v>
      </c>
      <c r="G63" s="307">
        <f t="shared" si="39"/>
        <v>15220</v>
      </c>
      <c r="H63" s="307">
        <f t="shared" si="39"/>
        <v>15150</v>
      </c>
      <c r="I63" s="307">
        <f t="shared" si="39"/>
        <v>15190</v>
      </c>
      <c r="J63" s="307">
        <f t="shared" si="39"/>
        <v>15280</v>
      </c>
      <c r="K63" s="307">
        <f t="shared" si="39"/>
        <v>15430</v>
      </c>
      <c r="L63" s="307">
        <f t="shared" si="39"/>
        <v>15640</v>
      </c>
      <c r="M63" s="307">
        <f t="shared" si="39"/>
        <v>15920</v>
      </c>
      <c r="N63" s="307">
        <f t="shared" si="39"/>
        <v>16250</v>
      </c>
      <c r="O63" s="307">
        <f t="shared" si="39"/>
        <v>16670</v>
      </c>
      <c r="P63" s="307">
        <f t="shared" si="39"/>
        <v>17680</v>
      </c>
      <c r="Q63" s="307">
        <f t="shared" si="39"/>
        <v>19200</v>
      </c>
      <c r="R63" s="307">
        <f t="shared" si="39"/>
        <v>20680</v>
      </c>
      <c r="S63" s="307">
        <f t="shared" si="39"/>
        <v>22110</v>
      </c>
      <c r="T63" s="307">
        <f t="shared" si="39"/>
        <v>23470</v>
      </c>
      <c r="U63" s="308">
        <f t="shared" si="39"/>
        <v>24770</v>
      </c>
    </row>
    <row r="64" spans="2:21" ht="15.5" x14ac:dyDescent="0.35">
      <c r="B64" s="7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3"/>
    </row>
    <row r="65" spans="2:26" ht="15.5" x14ac:dyDescent="0.35">
      <c r="B65" s="304" t="s">
        <v>6</v>
      </c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3"/>
    </row>
    <row r="66" spans="2:26" ht="15.5" x14ac:dyDescent="0.35">
      <c r="B66" s="7" t="s">
        <v>197</v>
      </c>
      <c r="C66" s="202">
        <v>0</v>
      </c>
      <c r="D66" s="202">
        <v>3460</v>
      </c>
      <c r="E66" s="202">
        <v>8980</v>
      </c>
      <c r="F66" s="202">
        <v>13550</v>
      </c>
      <c r="G66" s="202">
        <v>13550</v>
      </c>
      <c r="H66" s="202">
        <v>13550</v>
      </c>
      <c r="I66" s="202">
        <v>13550</v>
      </c>
      <c r="J66" s="202">
        <v>13550</v>
      </c>
      <c r="K66" s="202">
        <v>13550</v>
      </c>
      <c r="L66" s="202">
        <v>13550</v>
      </c>
      <c r="M66" s="202">
        <v>13550</v>
      </c>
      <c r="N66" s="202">
        <v>13550</v>
      </c>
      <c r="O66" s="202">
        <v>13550</v>
      </c>
      <c r="P66" s="202">
        <v>13550</v>
      </c>
      <c r="Q66" s="202">
        <v>13550</v>
      </c>
      <c r="R66" s="202">
        <v>13550</v>
      </c>
      <c r="S66" s="202">
        <v>13550</v>
      </c>
      <c r="T66" s="202">
        <v>13550</v>
      </c>
      <c r="U66" s="203">
        <v>13550</v>
      </c>
    </row>
    <row r="67" spans="2:26" ht="15.5" x14ac:dyDescent="0.35">
      <c r="B67" s="7" t="s">
        <v>7</v>
      </c>
      <c r="C67" s="202">
        <v>0</v>
      </c>
      <c r="D67" s="202">
        <f>D31</f>
        <v>0</v>
      </c>
      <c r="E67" s="202">
        <f t="shared" ref="E67:U67" si="40">D67+E31</f>
        <v>0</v>
      </c>
      <c r="F67" s="202">
        <f t="shared" si="40"/>
        <v>0</v>
      </c>
      <c r="G67" s="202">
        <f t="shared" si="40"/>
        <v>680</v>
      </c>
      <c r="H67" s="202">
        <f t="shared" si="40"/>
        <v>1360</v>
      </c>
      <c r="I67" s="202">
        <f t="shared" si="40"/>
        <v>2040</v>
      </c>
      <c r="J67" s="202">
        <f t="shared" si="40"/>
        <v>2720</v>
      </c>
      <c r="K67" s="202">
        <f t="shared" si="40"/>
        <v>3400</v>
      </c>
      <c r="L67" s="202">
        <f t="shared" si="40"/>
        <v>4080</v>
      </c>
      <c r="M67" s="202">
        <f t="shared" si="40"/>
        <v>4760</v>
      </c>
      <c r="N67" s="202">
        <f t="shared" si="40"/>
        <v>5440</v>
      </c>
      <c r="O67" s="202">
        <f t="shared" si="40"/>
        <v>6120</v>
      </c>
      <c r="P67" s="202">
        <f t="shared" si="40"/>
        <v>6800</v>
      </c>
      <c r="Q67" s="202">
        <f t="shared" si="40"/>
        <v>7480</v>
      </c>
      <c r="R67" s="202">
        <f t="shared" si="40"/>
        <v>8160</v>
      </c>
      <c r="S67" s="202">
        <f t="shared" si="40"/>
        <v>8840</v>
      </c>
      <c r="T67" s="202">
        <f t="shared" si="40"/>
        <v>9520</v>
      </c>
      <c r="U67" s="203">
        <f t="shared" si="40"/>
        <v>10200</v>
      </c>
    </row>
    <row r="68" spans="2:26" ht="15.5" x14ac:dyDescent="0.35">
      <c r="B68" s="7" t="s">
        <v>8</v>
      </c>
      <c r="C68" s="202">
        <v>0</v>
      </c>
      <c r="D68" s="187">
        <f>D66-D67</f>
        <v>3460</v>
      </c>
      <c r="E68" s="187">
        <f>E66-E67</f>
        <v>8980</v>
      </c>
      <c r="F68" s="187">
        <f>F66-F67</f>
        <v>13550</v>
      </c>
      <c r="G68" s="187">
        <f>G66-G67</f>
        <v>12870</v>
      </c>
      <c r="H68" s="187">
        <f t="shared" ref="H68:U68" si="41">H66-H67</f>
        <v>12190</v>
      </c>
      <c r="I68" s="202">
        <f t="shared" si="41"/>
        <v>11510</v>
      </c>
      <c r="J68" s="202">
        <f t="shared" si="41"/>
        <v>10830</v>
      </c>
      <c r="K68" s="202">
        <f t="shared" si="41"/>
        <v>10150</v>
      </c>
      <c r="L68" s="202">
        <f t="shared" si="41"/>
        <v>9470</v>
      </c>
      <c r="M68" s="202">
        <f t="shared" si="41"/>
        <v>8790</v>
      </c>
      <c r="N68" s="202">
        <f t="shared" si="41"/>
        <v>8110</v>
      </c>
      <c r="O68" s="202">
        <f t="shared" si="41"/>
        <v>7430</v>
      </c>
      <c r="P68" s="202">
        <f t="shared" si="41"/>
        <v>6750</v>
      </c>
      <c r="Q68" s="202">
        <f t="shared" si="41"/>
        <v>6070</v>
      </c>
      <c r="R68" s="202">
        <f t="shared" si="41"/>
        <v>5390</v>
      </c>
      <c r="S68" s="202">
        <f t="shared" si="41"/>
        <v>4710</v>
      </c>
      <c r="T68" s="202">
        <f t="shared" si="41"/>
        <v>4030</v>
      </c>
      <c r="U68" s="203">
        <f t="shared" si="41"/>
        <v>3350</v>
      </c>
    </row>
    <row r="69" spans="2:26" ht="15.5" x14ac:dyDescent="0.35">
      <c r="B69" s="7" t="s">
        <v>57</v>
      </c>
      <c r="C69" s="202">
        <v>0</v>
      </c>
      <c r="D69" s="202">
        <v>0</v>
      </c>
      <c r="E69" s="202">
        <v>0</v>
      </c>
      <c r="F69" s="202">
        <v>0</v>
      </c>
      <c r="G69" s="202">
        <f>G104</f>
        <v>1240</v>
      </c>
      <c r="H69" s="202">
        <f t="shared" ref="H69:U69" si="42">H104</f>
        <v>1250</v>
      </c>
      <c r="I69" s="202">
        <f t="shared" si="42"/>
        <v>1280</v>
      </c>
      <c r="J69" s="202">
        <f t="shared" si="42"/>
        <v>1300</v>
      </c>
      <c r="K69" s="202">
        <f t="shared" si="42"/>
        <v>1320</v>
      </c>
      <c r="L69" s="202">
        <f t="shared" si="42"/>
        <v>1350</v>
      </c>
      <c r="M69" s="202">
        <f t="shared" si="42"/>
        <v>1370</v>
      </c>
      <c r="N69" s="202">
        <f t="shared" si="42"/>
        <v>1400</v>
      </c>
      <c r="O69" s="202">
        <f t="shared" si="42"/>
        <v>1430</v>
      </c>
      <c r="P69" s="202">
        <f t="shared" si="42"/>
        <v>1450</v>
      </c>
      <c r="Q69" s="202">
        <f t="shared" si="42"/>
        <v>1480</v>
      </c>
      <c r="R69" s="202">
        <f t="shared" si="42"/>
        <v>1510</v>
      </c>
      <c r="S69" s="202">
        <f t="shared" si="42"/>
        <v>1540</v>
      </c>
      <c r="T69" s="202">
        <f t="shared" si="42"/>
        <v>1570</v>
      </c>
      <c r="U69" s="203">
        <f t="shared" si="42"/>
        <v>1600</v>
      </c>
    </row>
    <row r="70" spans="2:26" ht="15.5" x14ac:dyDescent="0.35">
      <c r="B70" s="7" t="s">
        <v>112</v>
      </c>
      <c r="C70" s="202">
        <v>0</v>
      </c>
      <c r="D70" s="202">
        <v>0</v>
      </c>
      <c r="E70" s="202">
        <v>0</v>
      </c>
      <c r="F70" s="202">
        <v>0</v>
      </c>
      <c r="G70" s="202">
        <v>0</v>
      </c>
      <c r="H70" s="202">
        <v>0</v>
      </c>
      <c r="I70" s="202">
        <v>0</v>
      </c>
      <c r="J70" s="202">
        <v>0</v>
      </c>
      <c r="K70" s="202">
        <v>0</v>
      </c>
      <c r="L70" s="202">
        <v>0</v>
      </c>
      <c r="M70" s="202">
        <v>0</v>
      </c>
      <c r="N70" s="202">
        <v>10</v>
      </c>
      <c r="O70" s="202">
        <v>50</v>
      </c>
      <c r="P70" s="202">
        <v>120</v>
      </c>
      <c r="Q70" s="202">
        <v>210</v>
      </c>
      <c r="R70" s="202">
        <v>320</v>
      </c>
      <c r="S70" s="187">
        <v>450</v>
      </c>
      <c r="T70" s="202">
        <v>590</v>
      </c>
      <c r="U70" s="203">
        <v>740</v>
      </c>
    </row>
    <row r="71" spans="2:26" ht="15.5" x14ac:dyDescent="0.35">
      <c r="B71" s="7" t="s">
        <v>9</v>
      </c>
      <c r="C71" s="202">
        <v>0</v>
      </c>
      <c r="D71" s="202">
        <f t="shared" ref="D71:U71" si="43">D99</f>
        <v>0</v>
      </c>
      <c r="E71" s="202">
        <f t="shared" si="43"/>
        <v>0</v>
      </c>
      <c r="F71" s="202">
        <f t="shared" si="43"/>
        <v>310</v>
      </c>
      <c r="G71" s="202">
        <f t="shared" si="43"/>
        <v>1110</v>
      </c>
      <c r="H71" s="202">
        <f t="shared" si="43"/>
        <v>1710</v>
      </c>
      <c r="I71" s="202">
        <f t="shared" si="43"/>
        <v>2400</v>
      </c>
      <c r="J71" s="202">
        <f t="shared" si="43"/>
        <v>3150</v>
      </c>
      <c r="K71" s="202">
        <f t="shared" si="43"/>
        <v>3960</v>
      </c>
      <c r="L71" s="202">
        <f t="shared" si="43"/>
        <v>4820</v>
      </c>
      <c r="M71" s="202">
        <f t="shared" si="43"/>
        <v>5760</v>
      </c>
      <c r="N71" s="202">
        <f t="shared" si="43"/>
        <v>6730</v>
      </c>
      <c r="O71" s="202">
        <f t="shared" si="43"/>
        <v>7760</v>
      </c>
      <c r="P71" s="202">
        <f t="shared" si="43"/>
        <v>9360</v>
      </c>
      <c r="Q71" s="202">
        <f t="shared" si="43"/>
        <v>11440</v>
      </c>
      <c r="R71" s="202">
        <f t="shared" si="43"/>
        <v>13460</v>
      </c>
      <c r="S71" s="202">
        <f t="shared" si="43"/>
        <v>15410</v>
      </c>
      <c r="T71" s="202">
        <f t="shared" si="43"/>
        <v>17280</v>
      </c>
      <c r="U71" s="203">
        <f t="shared" si="43"/>
        <v>19080</v>
      </c>
    </row>
    <row r="72" spans="2:26" ht="15.5" x14ac:dyDescent="0.35">
      <c r="B72" s="7" t="s">
        <v>10</v>
      </c>
      <c r="C72" s="202">
        <v>0</v>
      </c>
      <c r="D72" s="186">
        <f t="shared" ref="D72:U72" si="44">SUM(D68:D71)</f>
        <v>3460</v>
      </c>
      <c r="E72" s="186">
        <f t="shared" si="44"/>
        <v>8980</v>
      </c>
      <c r="F72" s="186">
        <f t="shared" si="44"/>
        <v>13860</v>
      </c>
      <c r="G72" s="186">
        <f t="shared" si="44"/>
        <v>15220</v>
      </c>
      <c r="H72" s="307">
        <f t="shared" si="44"/>
        <v>15150</v>
      </c>
      <c r="I72" s="307">
        <f t="shared" si="44"/>
        <v>15190</v>
      </c>
      <c r="J72" s="307">
        <f t="shared" si="44"/>
        <v>15280</v>
      </c>
      <c r="K72" s="307">
        <f t="shared" si="44"/>
        <v>15430</v>
      </c>
      <c r="L72" s="307">
        <f t="shared" si="44"/>
        <v>15640</v>
      </c>
      <c r="M72" s="307">
        <f t="shared" si="44"/>
        <v>15920</v>
      </c>
      <c r="N72" s="307">
        <f t="shared" si="44"/>
        <v>16250</v>
      </c>
      <c r="O72" s="307">
        <f t="shared" si="44"/>
        <v>16670</v>
      </c>
      <c r="P72" s="307">
        <f t="shared" si="44"/>
        <v>17680</v>
      </c>
      <c r="Q72" s="307">
        <f t="shared" si="44"/>
        <v>19200</v>
      </c>
      <c r="R72" s="307">
        <f t="shared" si="44"/>
        <v>20680</v>
      </c>
      <c r="S72" s="307">
        <f t="shared" si="44"/>
        <v>22110</v>
      </c>
      <c r="T72" s="307">
        <f t="shared" si="44"/>
        <v>23470</v>
      </c>
      <c r="U72" s="308">
        <f t="shared" si="44"/>
        <v>24770</v>
      </c>
      <c r="W72" s="34"/>
      <c r="X72" s="34"/>
      <c r="Y72" s="34"/>
      <c r="Z72" s="34"/>
    </row>
    <row r="73" spans="2:26" x14ac:dyDescent="0.35">
      <c r="B73" s="329" t="s">
        <v>185</v>
      </c>
      <c r="C73" s="16"/>
      <c r="D73" s="269">
        <f t="shared" ref="D73:U73" si="45">D63-D72</f>
        <v>0</v>
      </c>
      <c r="E73" s="269">
        <f t="shared" si="45"/>
        <v>0</v>
      </c>
      <c r="F73" s="269">
        <f t="shared" si="45"/>
        <v>0</v>
      </c>
      <c r="G73" s="269">
        <f t="shared" si="45"/>
        <v>0</v>
      </c>
      <c r="H73" s="269">
        <f t="shared" si="45"/>
        <v>0</v>
      </c>
      <c r="I73" s="269">
        <f t="shared" si="45"/>
        <v>0</v>
      </c>
      <c r="J73" s="269">
        <f t="shared" si="45"/>
        <v>0</v>
      </c>
      <c r="K73" s="269">
        <f t="shared" si="45"/>
        <v>0</v>
      </c>
      <c r="L73" s="269">
        <f t="shared" si="45"/>
        <v>0</v>
      </c>
      <c r="M73" s="269">
        <f t="shared" si="45"/>
        <v>0</v>
      </c>
      <c r="N73" s="269">
        <f t="shared" si="45"/>
        <v>0</v>
      </c>
      <c r="O73" s="269">
        <f t="shared" si="45"/>
        <v>0</v>
      </c>
      <c r="P73" s="269">
        <f t="shared" si="45"/>
        <v>0</v>
      </c>
      <c r="Q73" s="269">
        <f t="shared" si="45"/>
        <v>0</v>
      </c>
      <c r="R73" s="269">
        <f t="shared" si="45"/>
        <v>0</v>
      </c>
      <c r="S73" s="269">
        <f t="shared" si="45"/>
        <v>0</v>
      </c>
      <c r="T73" s="269">
        <f t="shared" si="45"/>
        <v>0</v>
      </c>
      <c r="U73" s="269">
        <f t="shared" si="45"/>
        <v>0</v>
      </c>
    </row>
    <row r="74" spans="2:26" ht="15" thickBot="1" x14ac:dyDescent="0.4">
      <c r="B74" s="15"/>
      <c r="C74" s="16"/>
      <c r="D74" s="17"/>
      <c r="E74" s="17"/>
      <c r="F74" s="17"/>
      <c r="G74" s="13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2:26" ht="16" thickBot="1" x14ac:dyDescent="0.4">
      <c r="B75" s="299" t="s">
        <v>176</v>
      </c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1"/>
    </row>
    <row r="76" spans="2:26" ht="16" thickBot="1" x14ac:dyDescent="0.4">
      <c r="B76" s="306" t="s">
        <v>110</v>
      </c>
      <c r="C76" s="2">
        <v>2009</v>
      </c>
      <c r="D76" s="2">
        <v>2010</v>
      </c>
      <c r="E76" s="2">
        <v>2011</v>
      </c>
      <c r="F76" s="2">
        <v>2012</v>
      </c>
      <c r="G76" s="2">
        <v>2013</v>
      </c>
      <c r="H76" s="2">
        <v>2014</v>
      </c>
      <c r="I76" s="2">
        <v>2015</v>
      </c>
      <c r="J76" s="2">
        <v>2016</v>
      </c>
      <c r="K76" s="2">
        <v>2017</v>
      </c>
      <c r="L76" s="2">
        <v>2018</v>
      </c>
      <c r="M76" s="2">
        <v>2019</v>
      </c>
      <c r="N76" s="2">
        <v>2020</v>
      </c>
      <c r="O76" s="2">
        <v>2021</v>
      </c>
      <c r="P76" s="2">
        <v>2022</v>
      </c>
      <c r="Q76" s="2">
        <v>2023</v>
      </c>
      <c r="R76" s="2">
        <v>2024</v>
      </c>
      <c r="S76" s="2">
        <v>2025</v>
      </c>
      <c r="T76" s="2">
        <v>2026</v>
      </c>
      <c r="U76" s="3">
        <v>2027</v>
      </c>
    </row>
    <row r="77" spans="2:26" ht="15.5" x14ac:dyDescent="0.35">
      <c r="B77" s="305" t="s">
        <v>180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6"/>
    </row>
    <row r="78" spans="2:26" ht="15.5" x14ac:dyDescent="0.35">
      <c r="B78" s="336" t="s">
        <v>87</v>
      </c>
      <c r="C78" s="202"/>
      <c r="D78" s="202">
        <f t="shared" ref="D78:U78" si="46">D36</f>
        <v>0</v>
      </c>
      <c r="E78" s="202">
        <f t="shared" si="46"/>
        <v>0</v>
      </c>
      <c r="F78" s="202">
        <f t="shared" si="46"/>
        <v>0</v>
      </c>
      <c r="G78" s="202">
        <f t="shared" si="46"/>
        <v>1065.6552067648568</v>
      </c>
      <c r="H78" s="202">
        <f t="shared" si="46"/>
        <v>1110.1200629678021</v>
      </c>
      <c r="I78" s="202">
        <f t="shared" si="46"/>
        <v>1182.3497768568359</v>
      </c>
      <c r="J78" s="202">
        <f t="shared" si="46"/>
        <v>1239.8381400825406</v>
      </c>
      <c r="K78" s="202">
        <f t="shared" si="46"/>
        <v>1304.8753143762174</v>
      </c>
      <c r="L78" s="202">
        <f t="shared" si="46"/>
        <v>1366.7477089304957</v>
      </c>
      <c r="M78" s="202">
        <f t="shared" si="46"/>
        <v>1424.7378535927469</v>
      </c>
      <c r="N78" s="202">
        <f t="shared" si="46"/>
        <v>1489.3242677257313</v>
      </c>
      <c r="O78" s="202">
        <f t="shared" si="46"/>
        <v>1570.3813245847523</v>
      </c>
      <c r="P78" s="202">
        <f t="shared" si="46"/>
        <v>1615.3791110552847</v>
      </c>
      <c r="Q78" s="202">
        <f t="shared" si="46"/>
        <v>1602.3832825894297</v>
      </c>
      <c r="R78" s="202">
        <f t="shared" si="46"/>
        <v>1553.0549131738785</v>
      </c>
      <c r="S78" s="202">
        <f t="shared" si="46"/>
        <v>1509.0503401560723</v>
      </c>
      <c r="T78" s="202">
        <f t="shared" si="46"/>
        <v>1440.8210037491112</v>
      </c>
      <c r="U78" s="203">
        <f t="shared" si="46"/>
        <v>1378.8132810295565</v>
      </c>
    </row>
    <row r="79" spans="2:26" ht="15.5" x14ac:dyDescent="0.35">
      <c r="B79" s="313" t="s">
        <v>30</v>
      </c>
      <c r="C79" s="202"/>
      <c r="D79" s="202">
        <f t="shared" ref="D79:U79" si="47">D31</f>
        <v>0</v>
      </c>
      <c r="E79" s="202">
        <f t="shared" si="47"/>
        <v>0</v>
      </c>
      <c r="F79" s="202">
        <f t="shared" si="47"/>
        <v>0</v>
      </c>
      <c r="G79" s="202">
        <f t="shared" si="47"/>
        <v>680</v>
      </c>
      <c r="H79" s="202">
        <f t="shared" si="47"/>
        <v>680</v>
      </c>
      <c r="I79" s="202">
        <f t="shared" si="47"/>
        <v>680</v>
      </c>
      <c r="J79" s="202">
        <f t="shared" si="47"/>
        <v>680</v>
      </c>
      <c r="K79" s="202">
        <f t="shared" si="47"/>
        <v>680</v>
      </c>
      <c r="L79" s="202">
        <f t="shared" si="47"/>
        <v>680</v>
      </c>
      <c r="M79" s="202">
        <f t="shared" si="47"/>
        <v>680</v>
      </c>
      <c r="N79" s="202">
        <f t="shared" si="47"/>
        <v>680</v>
      </c>
      <c r="O79" s="202">
        <f t="shared" si="47"/>
        <v>680</v>
      </c>
      <c r="P79" s="202">
        <f t="shared" si="47"/>
        <v>680</v>
      </c>
      <c r="Q79" s="202">
        <f t="shared" si="47"/>
        <v>680</v>
      </c>
      <c r="R79" s="202">
        <f t="shared" si="47"/>
        <v>680</v>
      </c>
      <c r="S79" s="202">
        <f t="shared" si="47"/>
        <v>680</v>
      </c>
      <c r="T79" s="202">
        <f t="shared" si="47"/>
        <v>680</v>
      </c>
      <c r="U79" s="203">
        <f t="shared" si="47"/>
        <v>680</v>
      </c>
    </row>
    <row r="80" spans="2:26" ht="15.5" x14ac:dyDescent="0.35">
      <c r="B80" s="313" t="s">
        <v>184</v>
      </c>
      <c r="C80" s="202"/>
      <c r="D80" s="202">
        <f t="shared" ref="D80:U80" si="48">C66-D66</f>
        <v>-3460</v>
      </c>
      <c r="E80" s="202">
        <f t="shared" si="48"/>
        <v>-5520</v>
      </c>
      <c r="F80" s="202">
        <f t="shared" si="48"/>
        <v>-4570</v>
      </c>
      <c r="G80" s="202">
        <f t="shared" si="48"/>
        <v>0</v>
      </c>
      <c r="H80" s="202">
        <f t="shared" si="48"/>
        <v>0</v>
      </c>
      <c r="I80" s="202">
        <f t="shared" si="48"/>
        <v>0</v>
      </c>
      <c r="J80" s="202">
        <f t="shared" si="48"/>
        <v>0</v>
      </c>
      <c r="K80" s="202">
        <f t="shared" si="48"/>
        <v>0</v>
      </c>
      <c r="L80" s="202">
        <f t="shared" si="48"/>
        <v>0</v>
      </c>
      <c r="M80" s="202">
        <f t="shared" si="48"/>
        <v>0</v>
      </c>
      <c r="N80" s="202">
        <f t="shared" si="48"/>
        <v>0</v>
      </c>
      <c r="O80" s="202">
        <f t="shared" si="48"/>
        <v>0</v>
      </c>
      <c r="P80" s="202">
        <f t="shared" si="48"/>
        <v>0</v>
      </c>
      <c r="Q80" s="202">
        <f t="shared" si="48"/>
        <v>0</v>
      </c>
      <c r="R80" s="202">
        <f t="shared" si="48"/>
        <v>0</v>
      </c>
      <c r="S80" s="202">
        <f t="shared" si="48"/>
        <v>0</v>
      </c>
      <c r="T80" s="202">
        <f t="shared" si="48"/>
        <v>0</v>
      </c>
      <c r="U80" s="203">
        <f t="shared" si="48"/>
        <v>0</v>
      </c>
    </row>
    <row r="81" spans="2:22" ht="15.5" x14ac:dyDescent="0.35">
      <c r="B81" s="313" t="s">
        <v>230</v>
      </c>
      <c r="C81" s="202"/>
      <c r="D81" s="202">
        <f t="shared" ref="D81:U81" si="49">C69-D69</f>
        <v>0</v>
      </c>
      <c r="E81" s="202">
        <f t="shared" si="49"/>
        <v>0</v>
      </c>
      <c r="F81" s="202">
        <f t="shared" si="49"/>
        <v>0</v>
      </c>
      <c r="G81" s="202">
        <f t="shared" si="49"/>
        <v>-1240</v>
      </c>
      <c r="H81" s="202">
        <f t="shared" si="49"/>
        <v>-10</v>
      </c>
      <c r="I81" s="202">
        <f t="shared" si="49"/>
        <v>-30</v>
      </c>
      <c r="J81" s="202">
        <f t="shared" si="49"/>
        <v>-20</v>
      </c>
      <c r="K81" s="202">
        <f t="shared" si="49"/>
        <v>-20</v>
      </c>
      <c r="L81" s="202">
        <f t="shared" si="49"/>
        <v>-30</v>
      </c>
      <c r="M81" s="202">
        <f t="shared" si="49"/>
        <v>-20</v>
      </c>
      <c r="N81" s="202">
        <f t="shared" si="49"/>
        <v>-30</v>
      </c>
      <c r="O81" s="202">
        <f t="shared" si="49"/>
        <v>-30</v>
      </c>
      <c r="P81" s="202">
        <f t="shared" si="49"/>
        <v>-20</v>
      </c>
      <c r="Q81" s="202">
        <f t="shared" si="49"/>
        <v>-30</v>
      </c>
      <c r="R81" s="202">
        <f t="shared" si="49"/>
        <v>-30</v>
      </c>
      <c r="S81" s="202">
        <f t="shared" si="49"/>
        <v>-30</v>
      </c>
      <c r="T81" s="202">
        <f t="shared" si="49"/>
        <v>-30</v>
      </c>
      <c r="U81" s="203">
        <f t="shared" si="49"/>
        <v>-30</v>
      </c>
    </row>
    <row r="82" spans="2:22" ht="15.5" x14ac:dyDescent="0.35">
      <c r="B82" s="313" t="s">
        <v>231</v>
      </c>
      <c r="C82" s="202"/>
      <c r="D82" s="202">
        <f t="shared" ref="D82:U82" si="50">C70-D70</f>
        <v>0</v>
      </c>
      <c r="E82" s="202">
        <f t="shared" si="50"/>
        <v>0</v>
      </c>
      <c r="F82" s="202">
        <f t="shared" si="50"/>
        <v>0</v>
      </c>
      <c r="G82" s="202">
        <f t="shared" si="50"/>
        <v>0</v>
      </c>
      <c r="H82" s="202">
        <f t="shared" si="50"/>
        <v>0</v>
      </c>
      <c r="I82" s="202">
        <f t="shared" si="50"/>
        <v>0</v>
      </c>
      <c r="J82" s="202">
        <f t="shared" si="50"/>
        <v>0</v>
      </c>
      <c r="K82" s="202">
        <f t="shared" si="50"/>
        <v>0</v>
      </c>
      <c r="L82" s="202">
        <f t="shared" si="50"/>
        <v>0</v>
      </c>
      <c r="M82" s="202">
        <f t="shared" si="50"/>
        <v>0</v>
      </c>
      <c r="N82" s="202">
        <f t="shared" si="50"/>
        <v>-10</v>
      </c>
      <c r="O82" s="202">
        <f t="shared" si="50"/>
        <v>-40</v>
      </c>
      <c r="P82" s="202">
        <f t="shared" si="50"/>
        <v>-70</v>
      </c>
      <c r="Q82" s="202">
        <f t="shared" si="50"/>
        <v>-90</v>
      </c>
      <c r="R82" s="202">
        <f t="shared" si="50"/>
        <v>-110</v>
      </c>
      <c r="S82" s="202">
        <f t="shared" si="50"/>
        <v>-130</v>
      </c>
      <c r="T82" s="202">
        <f t="shared" si="50"/>
        <v>-140</v>
      </c>
      <c r="U82" s="203">
        <f t="shared" si="50"/>
        <v>-150</v>
      </c>
    </row>
    <row r="83" spans="2:22" ht="15.5" x14ac:dyDescent="0.35">
      <c r="B83" s="313" t="s">
        <v>145</v>
      </c>
      <c r="C83" s="202"/>
      <c r="D83" s="202">
        <f t="shared" ref="D83:U83" si="51">D28+D29</f>
        <v>0</v>
      </c>
      <c r="E83" s="202">
        <f t="shared" si="51"/>
        <v>0</v>
      </c>
      <c r="F83" s="202">
        <f t="shared" si="51"/>
        <v>0</v>
      </c>
      <c r="G83" s="202">
        <f t="shared" si="51"/>
        <v>1243.1999999999998</v>
      </c>
      <c r="H83" s="202">
        <f t="shared" si="51"/>
        <v>1145.4000000000001</v>
      </c>
      <c r="I83" s="202">
        <f t="shared" si="51"/>
        <v>1017</v>
      </c>
      <c r="J83" s="202">
        <f t="shared" si="51"/>
        <v>890.4</v>
      </c>
      <c r="K83" s="202">
        <f t="shared" si="51"/>
        <v>763.2</v>
      </c>
      <c r="L83" s="202">
        <f t="shared" si="51"/>
        <v>636</v>
      </c>
      <c r="M83" s="202">
        <f t="shared" si="51"/>
        <v>509.4</v>
      </c>
      <c r="N83" s="202">
        <f t="shared" si="51"/>
        <v>382.8</v>
      </c>
      <c r="O83" s="202">
        <f t="shared" si="51"/>
        <v>256.2</v>
      </c>
      <c r="P83" s="202">
        <f t="shared" si="51"/>
        <v>162</v>
      </c>
      <c r="Q83" s="202">
        <f t="shared" si="51"/>
        <v>132</v>
      </c>
      <c r="R83" s="202">
        <f t="shared" si="51"/>
        <v>134.4</v>
      </c>
      <c r="S83" s="202">
        <f t="shared" si="51"/>
        <v>137.4</v>
      </c>
      <c r="T83" s="202">
        <f t="shared" si="51"/>
        <v>140.4</v>
      </c>
      <c r="U83" s="203">
        <f t="shared" si="51"/>
        <v>142.79999999999998</v>
      </c>
    </row>
    <row r="84" spans="2:22" ht="15.5" x14ac:dyDescent="0.35">
      <c r="B84" s="7" t="s">
        <v>183</v>
      </c>
      <c r="C84" s="307"/>
      <c r="D84" s="307">
        <f>SUM(D78:D83)</f>
        <v>-3460</v>
      </c>
      <c r="E84" s="307">
        <f t="shared" ref="E84:U84" si="52">SUM(E78:E83)</f>
        <v>-5520</v>
      </c>
      <c r="F84" s="307">
        <f t="shared" si="52"/>
        <v>-4570</v>
      </c>
      <c r="G84" s="307">
        <f t="shared" si="52"/>
        <v>1748.8552067648566</v>
      </c>
      <c r="H84" s="307">
        <f t="shared" si="52"/>
        <v>2925.520062967802</v>
      </c>
      <c r="I84" s="307">
        <f t="shared" si="52"/>
        <v>2849.3497768568359</v>
      </c>
      <c r="J84" s="307">
        <f t="shared" si="52"/>
        <v>2790.2381400825407</v>
      </c>
      <c r="K84" s="307">
        <f t="shared" si="52"/>
        <v>2728.0753143762176</v>
      </c>
      <c r="L84" s="307">
        <f t="shared" si="52"/>
        <v>2652.7477089304957</v>
      </c>
      <c r="M84" s="307">
        <f t="shared" si="52"/>
        <v>2594.137853592747</v>
      </c>
      <c r="N84" s="307">
        <f t="shared" si="52"/>
        <v>2512.1242677257314</v>
      </c>
      <c r="O84" s="307">
        <f t="shared" si="52"/>
        <v>2436.5813245847521</v>
      </c>
      <c r="P84" s="307">
        <f t="shared" si="52"/>
        <v>2367.3791110552847</v>
      </c>
      <c r="Q84" s="307">
        <f t="shared" si="52"/>
        <v>2294.3832825894297</v>
      </c>
      <c r="R84" s="307">
        <f t="shared" si="52"/>
        <v>2227.4549131738786</v>
      </c>
      <c r="S84" s="307">
        <f t="shared" si="52"/>
        <v>2166.4503401560723</v>
      </c>
      <c r="T84" s="307">
        <f t="shared" si="52"/>
        <v>2091.2210037491113</v>
      </c>
      <c r="U84" s="308">
        <f t="shared" si="52"/>
        <v>2021.6132810295564</v>
      </c>
    </row>
    <row r="85" spans="2:22" ht="15.5" x14ac:dyDescent="0.35">
      <c r="B85" s="7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02"/>
      <c r="Q85" s="202"/>
      <c r="R85" s="202"/>
      <c r="S85" s="202"/>
      <c r="T85" s="202"/>
      <c r="U85" s="203"/>
    </row>
    <row r="86" spans="2:22" ht="15.5" x14ac:dyDescent="0.35">
      <c r="B86" s="304" t="s">
        <v>181</v>
      </c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3"/>
    </row>
    <row r="87" spans="2:22" ht="15.5" x14ac:dyDescent="0.35">
      <c r="B87" s="313" t="s">
        <v>190</v>
      </c>
      <c r="C87" s="202"/>
      <c r="D87" s="202">
        <v>2420</v>
      </c>
      <c r="E87" s="202">
        <v>3870</v>
      </c>
      <c r="F87" s="202">
        <v>3410</v>
      </c>
      <c r="G87" s="202">
        <v>0</v>
      </c>
      <c r="H87" s="202">
        <v>0</v>
      </c>
      <c r="I87" s="202">
        <v>0</v>
      </c>
      <c r="J87" s="202">
        <v>0</v>
      </c>
      <c r="K87" s="202">
        <v>0</v>
      </c>
      <c r="L87" s="202">
        <v>0</v>
      </c>
      <c r="M87" s="202">
        <v>0</v>
      </c>
      <c r="N87" s="202">
        <v>0</v>
      </c>
      <c r="O87" s="202">
        <v>0</v>
      </c>
      <c r="P87" s="202">
        <v>0</v>
      </c>
      <c r="Q87" s="202">
        <v>0</v>
      </c>
      <c r="R87" s="202">
        <v>0</v>
      </c>
      <c r="S87" s="202">
        <v>0</v>
      </c>
      <c r="T87" s="202">
        <v>0</v>
      </c>
      <c r="U87" s="203">
        <v>0</v>
      </c>
    </row>
    <row r="88" spans="2:22" ht="15.5" x14ac:dyDescent="0.35">
      <c r="B88" s="313" t="s">
        <v>241</v>
      </c>
      <c r="C88" s="202"/>
      <c r="D88" s="202">
        <v>0</v>
      </c>
      <c r="E88" s="202">
        <v>0</v>
      </c>
      <c r="F88" s="202">
        <v>0</v>
      </c>
      <c r="G88" s="202">
        <v>-540</v>
      </c>
      <c r="H88" s="202">
        <v>-1100</v>
      </c>
      <c r="I88" s="202">
        <v>-1070</v>
      </c>
      <c r="J88" s="202">
        <v>-1080</v>
      </c>
      <c r="K88" s="202">
        <v>-1070</v>
      </c>
      <c r="L88" s="202">
        <v>-1080</v>
      </c>
      <c r="M88" s="202">
        <v>-1070</v>
      </c>
      <c r="N88" s="202">
        <v>-1080</v>
      </c>
      <c r="O88" s="202">
        <v>-1070</v>
      </c>
      <c r="P88" s="202">
        <v>-540</v>
      </c>
      <c r="Q88" s="202">
        <v>0</v>
      </c>
      <c r="R88" s="202">
        <v>0</v>
      </c>
      <c r="S88" s="202">
        <v>0</v>
      </c>
      <c r="T88" s="202">
        <v>0</v>
      </c>
      <c r="U88" s="203">
        <v>0</v>
      </c>
    </row>
    <row r="89" spans="2:22" ht="15.5" x14ac:dyDescent="0.35">
      <c r="B89" s="313" t="s">
        <v>186</v>
      </c>
      <c r="C89" s="339" t="s">
        <v>201</v>
      </c>
      <c r="D89" s="202">
        <v>0</v>
      </c>
      <c r="E89" s="202">
        <v>0</v>
      </c>
      <c r="F89" s="202">
        <v>0</v>
      </c>
      <c r="G89" s="202">
        <v>930</v>
      </c>
      <c r="H89" s="202">
        <v>10</v>
      </c>
      <c r="I89" s="202">
        <v>20</v>
      </c>
      <c r="J89" s="202">
        <v>20</v>
      </c>
      <c r="K89" s="202">
        <v>10</v>
      </c>
      <c r="L89" s="202">
        <v>20</v>
      </c>
      <c r="M89" s="202">
        <v>20</v>
      </c>
      <c r="N89" s="202">
        <v>20</v>
      </c>
      <c r="O89" s="202">
        <v>20</v>
      </c>
      <c r="P89" s="202">
        <v>20</v>
      </c>
      <c r="Q89" s="202">
        <v>20</v>
      </c>
      <c r="R89" s="202">
        <v>20</v>
      </c>
      <c r="S89" s="202">
        <v>30</v>
      </c>
      <c r="T89" s="202">
        <v>20</v>
      </c>
      <c r="U89" s="203">
        <v>20</v>
      </c>
      <c r="V89" s="284"/>
    </row>
    <row r="90" spans="2:22" ht="15.5" x14ac:dyDescent="0.35">
      <c r="B90" s="313" t="s">
        <v>240</v>
      </c>
      <c r="C90" s="339"/>
      <c r="D90" s="202">
        <v>0</v>
      </c>
      <c r="E90" s="202">
        <v>0</v>
      </c>
      <c r="F90" s="202">
        <v>0</v>
      </c>
      <c r="G90" s="202">
        <v>0</v>
      </c>
      <c r="H90" s="202">
        <v>0</v>
      </c>
      <c r="I90" s="202">
        <v>0</v>
      </c>
      <c r="J90" s="202">
        <v>0</v>
      </c>
      <c r="K90" s="202">
        <v>0</v>
      </c>
      <c r="L90" s="202">
        <v>0</v>
      </c>
      <c r="M90" s="202">
        <v>0</v>
      </c>
      <c r="N90" s="202">
        <v>0</v>
      </c>
      <c r="O90" s="202">
        <v>0</v>
      </c>
      <c r="P90" s="202">
        <v>0</v>
      </c>
      <c r="Q90" s="202">
        <v>0</v>
      </c>
      <c r="R90" s="202">
        <v>0</v>
      </c>
      <c r="S90" s="202">
        <v>0</v>
      </c>
      <c r="T90" s="202">
        <v>0</v>
      </c>
      <c r="U90" s="203">
        <v>0</v>
      </c>
      <c r="V90" s="284"/>
    </row>
    <row r="91" spans="2:22" ht="15.5" x14ac:dyDescent="0.35">
      <c r="B91" s="313" t="s">
        <v>145</v>
      </c>
      <c r="C91" s="202"/>
      <c r="D91" s="202">
        <f>-D83</f>
        <v>0</v>
      </c>
      <c r="E91" s="202">
        <f t="shared" ref="E91:U91" si="53">-E83</f>
        <v>0</v>
      </c>
      <c r="F91" s="202">
        <f t="shared" si="53"/>
        <v>0</v>
      </c>
      <c r="G91" s="202">
        <f t="shared" si="53"/>
        <v>-1243.1999999999998</v>
      </c>
      <c r="H91" s="202">
        <f t="shared" si="53"/>
        <v>-1145.4000000000001</v>
      </c>
      <c r="I91" s="202">
        <f t="shared" si="53"/>
        <v>-1017</v>
      </c>
      <c r="J91" s="202">
        <f t="shared" si="53"/>
        <v>-890.4</v>
      </c>
      <c r="K91" s="202">
        <f t="shared" si="53"/>
        <v>-763.2</v>
      </c>
      <c r="L91" s="202">
        <f t="shared" si="53"/>
        <v>-636</v>
      </c>
      <c r="M91" s="202">
        <f t="shared" si="53"/>
        <v>-509.4</v>
      </c>
      <c r="N91" s="202">
        <f t="shared" si="53"/>
        <v>-382.8</v>
      </c>
      <c r="O91" s="202">
        <f t="shared" si="53"/>
        <v>-256.2</v>
      </c>
      <c r="P91" s="202">
        <f t="shared" si="53"/>
        <v>-162</v>
      </c>
      <c r="Q91" s="202">
        <f t="shared" si="53"/>
        <v>-132</v>
      </c>
      <c r="R91" s="202">
        <f t="shared" si="53"/>
        <v>-134.4</v>
      </c>
      <c r="S91" s="202">
        <f t="shared" si="53"/>
        <v>-137.4</v>
      </c>
      <c r="T91" s="202">
        <f t="shared" si="53"/>
        <v>-140.4</v>
      </c>
      <c r="U91" s="203">
        <f t="shared" si="53"/>
        <v>-142.79999999999998</v>
      </c>
    </row>
    <row r="92" spans="2:22" ht="15.5" x14ac:dyDescent="0.35">
      <c r="B92" s="313" t="s">
        <v>191</v>
      </c>
      <c r="C92" s="202"/>
      <c r="D92" s="202">
        <f t="shared" ref="D92:U92" si="54">D54-C54</f>
        <v>1040</v>
      </c>
      <c r="E92" s="202">
        <f t="shared" si="54"/>
        <v>1650</v>
      </c>
      <c r="F92" s="202">
        <f t="shared" si="54"/>
        <v>1470</v>
      </c>
      <c r="G92" s="202">
        <f t="shared" si="54"/>
        <v>0</v>
      </c>
      <c r="H92" s="202">
        <f t="shared" si="54"/>
        <v>0</v>
      </c>
      <c r="I92" s="202">
        <f t="shared" si="54"/>
        <v>0</v>
      </c>
      <c r="J92" s="202">
        <f t="shared" si="54"/>
        <v>0</v>
      </c>
      <c r="K92" s="202">
        <f t="shared" si="54"/>
        <v>0</v>
      </c>
      <c r="L92" s="202">
        <f t="shared" si="54"/>
        <v>0</v>
      </c>
      <c r="M92" s="202">
        <f t="shared" si="54"/>
        <v>0</v>
      </c>
      <c r="N92" s="202">
        <f t="shared" si="54"/>
        <v>0</v>
      </c>
      <c r="O92" s="202">
        <f t="shared" si="54"/>
        <v>0</v>
      </c>
      <c r="P92" s="202">
        <f t="shared" si="54"/>
        <v>0</v>
      </c>
      <c r="Q92" s="202">
        <f t="shared" si="54"/>
        <v>0</v>
      </c>
      <c r="R92" s="202">
        <f t="shared" si="54"/>
        <v>0</v>
      </c>
      <c r="S92" s="202">
        <f t="shared" si="54"/>
        <v>0</v>
      </c>
      <c r="T92" s="202">
        <f t="shared" si="54"/>
        <v>0</v>
      </c>
      <c r="U92" s="203">
        <f t="shared" si="54"/>
        <v>0</v>
      </c>
    </row>
    <row r="93" spans="2:22" ht="15.5" x14ac:dyDescent="0.35">
      <c r="B93" s="313" t="s">
        <v>255</v>
      </c>
      <c r="C93" s="202"/>
      <c r="D93" s="202">
        <v>0</v>
      </c>
      <c r="E93" s="202">
        <v>0</v>
      </c>
      <c r="F93" s="202">
        <v>0</v>
      </c>
      <c r="G93" s="202">
        <f t="shared" ref="G93:U93" si="55">G114</f>
        <v>-95.655206764856757</v>
      </c>
      <c r="H93" s="202">
        <f t="shared" si="55"/>
        <v>-90.120062967802141</v>
      </c>
      <c r="I93" s="202">
        <f t="shared" si="55"/>
        <v>-92.349776856835888</v>
      </c>
      <c r="J93" s="202">
        <f t="shared" si="55"/>
        <v>-89.838140082540576</v>
      </c>
      <c r="K93" s="202">
        <f t="shared" si="55"/>
        <v>-94.875314376217375</v>
      </c>
      <c r="L93" s="202">
        <f t="shared" si="55"/>
        <v>-96.747708930495719</v>
      </c>
      <c r="M93" s="202">
        <f t="shared" si="55"/>
        <v>-94.737853592746887</v>
      </c>
      <c r="N93" s="202">
        <f t="shared" si="55"/>
        <v>-99.324267725731275</v>
      </c>
      <c r="O93" s="202">
        <f t="shared" si="55"/>
        <v>-100.38132458475229</v>
      </c>
      <c r="P93" s="202">
        <f t="shared" si="55"/>
        <v>-85.379111055284739</v>
      </c>
      <c r="Q93" s="202">
        <f t="shared" si="55"/>
        <v>-102.38328258942964</v>
      </c>
      <c r="R93" s="202">
        <f t="shared" si="55"/>
        <v>-93.054913173878504</v>
      </c>
      <c r="S93" s="202">
        <f t="shared" si="55"/>
        <v>-109.05034015607225</v>
      </c>
      <c r="T93" s="202">
        <f t="shared" si="55"/>
        <v>-100.82100374911124</v>
      </c>
      <c r="U93" s="203">
        <f t="shared" si="55"/>
        <v>-98.813281029556506</v>
      </c>
    </row>
    <row r="94" spans="2:22" ht="15.5" x14ac:dyDescent="0.35">
      <c r="B94" s="7" t="s">
        <v>182</v>
      </c>
      <c r="C94" s="202"/>
      <c r="D94" s="307">
        <f>SUM(D87:D93)</f>
        <v>3460</v>
      </c>
      <c r="E94" s="307">
        <f t="shared" ref="E94:U94" si="56">SUM(E87:E93)</f>
        <v>5520</v>
      </c>
      <c r="F94" s="307">
        <f t="shared" si="56"/>
        <v>4880</v>
      </c>
      <c r="G94" s="307">
        <f t="shared" si="56"/>
        <v>-948.85520676485658</v>
      </c>
      <c r="H94" s="307">
        <f t="shared" si="56"/>
        <v>-2325.520062967802</v>
      </c>
      <c r="I94" s="307">
        <f t="shared" si="56"/>
        <v>-2159.3497768568359</v>
      </c>
      <c r="J94" s="307">
        <f t="shared" si="56"/>
        <v>-2040.2381400825407</v>
      </c>
      <c r="K94" s="307">
        <f t="shared" si="56"/>
        <v>-1918.0753143762174</v>
      </c>
      <c r="L94" s="307">
        <f t="shared" si="56"/>
        <v>-1792.7477089304957</v>
      </c>
      <c r="M94" s="307">
        <f t="shared" si="56"/>
        <v>-1654.137853592747</v>
      </c>
      <c r="N94" s="307">
        <f t="shared" si="56"/>
        <v>-1542.1242677257312</v>
      </c>
      <c r="O94" s="307">
        <f t="shared" si="56"/>
        <v>-1406.5813245847523</v>
      </c>
      <c r="P94" s="307">
        <f t="shared" si="56"/>
        <v>-767.37911105528474</v>
      </c>
      <c r="Q94" s="307">
        <f t="shared" si="56"/>
        <v>-214.38328258942965</v>
      </c>
      <c r="R94" s="307">
        <f t="shared" si="56"/>
        <v>-207.45491317387851</v>
      </c>
      <c r="S94" s="307">
        <f t="shared" si="56"/>
        <v>-216.45034015607226</v>
      </c>
      <c r="T94" s="307">
        <f t="shared" si="56"/>
        <v>-221.22100374911125</v>
      </c>
      <c r="U94" s="308">
        <f t="shared" si="56"/>
        <v>-221.6132810295565</v>
      </c>
    </row>
    <row r="95" spans="2:22" ht="15.5" x14ac:dyDescent="0.35">
      <c r="B95" s="7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3"/>
    </row>
    <row r="96" spans="2:22" ht="15.5" x14ac:dyDescent="0.35">
      <c r="B96" s="7" t="s">
        <v>179</v>
      </c>
      <c r="C96" s="202"/>
      <c r="D96" s="186">
        <f>D84+D94</f>
        <v>0</v>
      </c>
      <c r="E96" s="186">
        <f t="shared" ref="E96:U96" si="57">E84+E94</f>
        <v>0</v>
      </c>
      <c r="F96" s="186">
        <f t="shared" si="57"/>
        <v>310</v>
      </c>
      <c r="G96" s="186">
        <f t="shared" si="57"/>
        <v>800</v>
      </c>
      <c r="H96" s="186">
        <f t="shared" si="57"/>
        <v>600</v>
      </c>
      <c r="I96" s="186">
        <f t="shared" si="57"/>
        <v>690</v>
      </c>
      <c r="J96" s="186">
        <f t="shared" si="57"/>
        <v>750</v>
      </c>
      <c r="K96" s="186">
        <f t="shared" si="57"/>
        <v>810.00000000000023</v>
      </c>
      <c r="L96" s="186">
        <f t="shared" si="57"/>
        <v>860</v>
      </c>
      <c r="M96" s="186">
        <f t="shared" si="57"/>
        <v>940</v>
      </c>
      <c r="N96" s="186">
        <f t="shared" si="57"/>
        <v>970.00000000000023</v>
      </c>
      <c r="O96" s="186">
        <f t="shared" si="57"/>
        <v>1029.9999999999998</v>
      </c>
      <c r="P96" s="186">
        <f t="shared" si="57"/>
        <v>1600</v>
      </c>
      <c r="Q96" s="186">
        <f t="shared" si="57"/>
        <v>2080</v>
      </c>
      <c r="R96" s="186">
        <f t="shared" si="57"/>
        <v>2020</v>
      </c>
      <c r="S96" s="186">
        <f t="shared" si="57"/>
        <v>1950</v>
      </c>
      <c r="T96" s="186">
        <f t="shared" si="57"/>
        <v>1870</v>
      </c>
      <c r="U96" s="308">
        <f t="shared" si="57"/>
        <v>1800</v>
      </c>
    </row>
    <row r="97" spans="1:21" ht="15.5" x14ac:dyDescent="0.35">
      <c r="B97" s="7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8" spans="1:21" ht="15.5" x14ac:dyDescent="0.35">
      <c r="B98" s="7" t="s">
        <v>177</v>
      </c>
      <c r="C98" s="202"/>
      <c r="D98" s="307">
        <v>0</v>
      </c>
      <c r="E98" s="307">
        <v>0</v>
      </c>
      <c r="F98" s="307">
        <f t="shared" ref="F98:U98" si="58">E99</f>
        <v>0</v>
      </c>
      <c r="G98" s="307">
        <f t="shared" si="58"/>
        <v>310</v>
      </c>
      <c r="H98" s="307">
        <f t="shared" si="58"/>
        <v>1110</v>
      </c>
      <c r="I98" s="307">
        <f t="shared" si="58"/>
        <v>1710</v>
      </c>
      <c r="J98" s="307">
        <f t="shared" si="58"/>
        <v>2400</v>
      </c>
      <c r="K98" s="307">
        <f t="shared" si="58"/>
        <v>3150</v>
      </c>
      <c r="L98" s="307">
        <f t="shared" si="58"/>
        <v>3960</v>
      </c>
      <c r="M98" s="307">
        <f t="shared" si="58"/>
        <v>4820</v>
      </c>
      <c r="N98" s="307">
        <f t="shared" si="58"/>
        <v>5760</v>
      </c>
      <c r="O98" s="307">
        <f t="shared" si="58"/>
        <v>6730</v>
      </c>
      <c r="P98" s="307">
        <f t="shared" si="58"/>
        <v>7760</v>
      </c>
      <c r="Q98" s="307">
        <f t="shared" si="58"/>
        <v>9360</v>
      </c>
      <c r="R98" s="307">
        <f t="shared" si="58"/>
        <v>11440</v>
      </c>
      <c r="S98" s="307">
        <f t="shared" si="58"/>
        <v>13460</v>
      </c>
      <c r="T98" s="307">
        <f t="shared" si="58"/>
        <v>15410</v>
      </c>
      <c r="U98" s="308">
        <f t="shared" si="58"/>
        <v>17280</v>
      </c>
    </row>
    <row r="99" spans="1:21" ht="15.5" x14ac:dyDescent="0.35">
      <c r="B99" s="7" t="s">
        <v>178</v>
      </c>
      <c r="C99" s="202"/>
      <c r="D99" s="307">
        <v>0</v>
      </c>
      <c r="E99" s="307">
        <v>0</v>
      </c>
      <c r="F99" s="307">
        <f t="shared" ref="F99:U99" si="59">F96+F98</f>
        <v>310</v>
      </c>
      <c r="G99" s="307">
        <f t="shared" si="59"/>
        <v>1110</v>
      </c>
      <c r="H99" s="307">
        <f t="shared" si="59"/>
        <v>1710</v>
      </c>
      <c r="I99" s="307">
        <f t="shared" si="59"/>
        <v>2400</v>
      </c>
      <c r="J99" s="307">
        <f t="shared" si="59"/>
        <v>3150</v>
      </c>
      <c r="K99" s="307">
        <f t="shared" si="59"/>
        <v>3960</v>
      </c>
      <c r="L99" s="307">
        <f t="shared" si="59"/>
        <v>4820</v>
      </c>
      <c r="M99" s="307">
        <f t="shared" si="59"/>
        <v>5760</v>
      </c>
      <c r="N99" s="307">
        <f t="shared" si="59"/>
        <v>6730</v>
      </c>
      <c r="O99" s="307">
        <f t="shared" si="59"/>
        <v>7760</v>
      </c>
      <c r="P99" s="307">
        <f t="shared" si="59"/>
        <v>9360</v>
      </c>
      <c r="Q99" s="307">
        <f t="shared" si="59"/>
        <v>11440</v>
      </c>
      <c r="R99" s="307">
        <f t="shared" si="59"/>
        <v>13460</v>
      </c>
      <c r="S99" s="307">
        <f t="shared" si="59"/>
        <v>15410</v>
      </c>
      <c r="T99" s="307">
        <f t="shared" si="59"/>
        <v>17280</v>
      </c>
      <c r="U99" s="308">
        <f t="shared" si="59"/>
        <v>19080</v>
      </c>
    </row>
    <row r="100" spans="1:21" x14ac:dyDescent="0.35">
      <c r="A100" s="332"/>
      <c r="B100" s="329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</row>
    <row r="101" spans="1:21" x14ac:dyDescent="0.35">
      <c r="B101" s="15"/>
      <c r="C101" s="16"/>
      <c r="D101" s="17"/>
      <c r="E101" s="17"/>
      <c r="F101" s="17"/>
      <c r="G101" s="13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5.5" x14ac:dyDescent="0.35">
      <c r="B102" s="315" t="s">
        <v>193</v>
      </c>
      <c r="C102" s="16"/>
      <c r="D102" s="17"/>
      <c r="E102" s="17"/>
      <c r="F102" s="17"/>
      <c r="G102" s="13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  <row r="103" spans="1:21" x14ac:dyDescent="0.35">
      <c r="B103" s="314" t="s">
        <v>232</v>
      </c>
      <c r="C103" s="16"/>
      <c r="D103" s="17"/>
      <c r="E103" s="17"/>
      <c r="F103" s="17"/>
      <c r="G103" s="13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</row>
    <row r="104" spans="1:21" x14ac:dyDescent="0.35">
      <c r="B104" s="316" t="s">
        <v>57</v>
      </c>
      <c r="C104" s="317"/>
      <c r="D104" s="319">
        <v>0</v>
      </c>
      <c r="E104" s="319">
        <v>0</v>
      </c>
      <c r="F104" s="319">
        <v>0</v>
      </c>
      <c r="G104" s="319">
        <f t="shared" ref="G104:U104" si="60">G21*G105</f>
        <v>1240</v>
      </c>
      <c r="H104" s="319">
        <f t="shared" si="60"/>
        <v>1250</v>
      </c>
      <c r="I104" s="319">
        <f t="shared" si="60"/>
        <v>1280</v>
      </c>
      <c r="J104" s="319">
        <f t="shared" si="60"/>
        <v>1300</v>
      </c>
      <c r="K104" s="319">
        <f t="shared" si="60"/>
        <v>1320</v>
      </c>
      <c r="L104" s="319">
        <f t="shared" si="60"/>
        <v>1350</v>
      </c>
      <c r="M104" s="319">
        <f t="shared" si="60"/>
        <v>1370</v>
      </c>
      <c r="N104" s="319">
        <f t="shared" si="60"/>
        <v>1400</v>
      </c>
      <c r="O104" s="319">
        <f t="shared" si="60"/>
        <v>1430</v>
      </c>
      <c r="P104" s="319">
        <f t="shared" si="60"/>
        <v>1450</v>
      </c>
      <c r="Q104" s="319">
        <f t="shared" si="60"/>
        <v>1480</v>
      </c>
      <c r="R104" s="319">
        <f t="shared" si="60"/>
        <v>1510</v>
      </c>
      <c r="S104" s="319">
        <f t="shared" si="60"/>
        <v>1540</v>
      </c>
      <c r="T104" s="319">
        <f t="shared" si="60"/>
        <v>1570</v>
      </c>
      <c r="U104" s="319">
        <f t="shared" si="60"/>
        <v>1600</v>
      </c>
    </row>
    <row r="105" spans="1:21" x14ac:dyDescent="0.35">
      <c r="B105" s="316" t="s">
        <v>192</v>
      </c>
      <c r="C105" s="317"/>
      <c r="D105" s="324"/>
      <c r="E105" s="324"/>
      <c r="F105" s="324"/>
      <c r="G105" s="325">
        <v>0.1848472922853088</v>
      </c>
      <c r="H105" s="325">
        <v>0.18449306559935805</v>
      </c>
      <c r="I105" s="325">
        <v>0.18705039522152736</v>
      </c>
      <c r="J105" s="325">
        <v>0.18809213628402349</v>
      </c>
      <c r="K105" s="325">
        <v>0.18909491233428105</v>
      </c>
      <c r="L105" s="325">
        <v>0.19147774651311086</v>
      </c>
      <c r="M105" s="325">
        <v>0.19239054838501055</v>
      </c>
      <c r="N105" s="325">
        <v>0.19465691099155508</v>
      </c>
      <c r="O105" s="325">
        <v>0.19685953516119076</v>
      </c>
      <c r="P105" s="325">
        <v>0.1976364508645895</v>
      </c>
      <c r="Q105" s="325">
        <v>0.19972819889354212</v>
      </c>
      <c r="R105" s="325">
        <v>0.20175915194624608</v>
      </c>
      <c r="S105" s="325">
        <v>0.2037303088303842</v>
      </c>
      <c r="T105" s="325">
        <v>0.20564265453497699</v>
      </c>
      <c r="U105" s="325">
        <v>0.20749716040610655</v>
      </c>
    </row>
    <row r="106" spans="1:21" x14ac:dyDescent="0.35">
      <c r="B106" s="316"/>
      <c r="C106" s="317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21"/>
      <c r="P106" s="321"/>
      <c r="Q106" s="321"/>
      <c r="R106" s="321"/>
      <c r="S106" s="321"/>
      <c r="T106" s="321"/>
      <c r="U106" s="321"/>
    </row>
    <row r="107" spans="1:21" x14ac:dyDescent="0.35">
      <c r="B107" s="314" t="s">
        <v>233</v>
      </c>
      <c r="C107" s="317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</row>
    <row r="108" spans="1:21" x14ac:dyDescent="0.35">
      <c r="B108" s="316" t="s">
        <v>195</v>
      </c>
      <c r="C108" s="317"/>
      <c r="D108" s="320">
        <f>D34</f>
        <v>0</v>
      </c>
      <c r="E108" s="320">
        <f>E34</f>
        <v>0</v>
      </c>
      <c r="F108" s="320">
        <f>F34</f>
        <v>0</v>
      </c>
      <c r="G108" s="320">
        <f t="shared" ref="G108:U108" si="61">G32*G109</f>
        <v>200.00000000000003</v>
      </c>
      <c r="H108" s="320">
        <f t="shared" si="61"/>
        <v>210</v>
      </c>
      <c r="I108" s="320">
        <f t="shared" si="61"/>
        <v>220</v>
      </c>
      <c r="J108" s="320">
        <f t="shared" si="61"/>
        <v>240</v>
      </c>
      <c r="K108" s="320">
        <f t="shared" si="61"/>
        <v>250</v>
      </c>
      <c r="L108" s="320">
        <f t="shared" si="61"/>
        <v>260</v>
      </c>
      <c r="M108" s="320">
        <f t="shared" si="61"/>
        <v>270</v>
      </c>
      <c r="N108" s="320">
        <f t="shared" si="61"/>
        <v>280</v>
      </c>
      <c r="O108" s="320">
        <f t="shared" si="61"/>
        <v>290</v>
      </c>
      <c r="P108" s="320">
        <f t="shared" si="61"/>
        <v>300</v>
      </c>
      <c r="Q108" s="320">
        <f t="shared" si="61"/>
        <v>290</v>
      </c>
      <c r="R108" s="320">
        <f t="shared" si="61"/>
        <v>280</v>
      </c>
      <c r="S108" s="320">
        <f t="shared" si="61"/>
        <v>260</v>
      </c>
      <c r="T108" s="320">
        <f t="shared" si="61"/>
        <v>250.00000000000003</v>
      </c>
      <c r="U108" s="320">
        <f t="shared" si="61"/>
        <v>230</v>
      </c>
    </row>
    <row r="109" spans="1:21" x14ac:dyDescent="0.35">
      <c r="B109" s="316" t="s">
        <v>194</v>
      </c>
      <c r="C109" s="317"/>
      <c r="D109" s="326">
        <v>0</v>
      </c>
      <c r="E109" s="326">
        <v>0</v>
      </c>
      <c r="F109" s="326">
        <v>0</v>
      </c>
      <c r="G109" s="328">
        <v>0.15802091986112105</v>
      </c>
      <c r="H109" s="328">
        <v>0.15907644000795851</v>
      </c>
      <c r="I109" s="328">
        <v>0.15687954861953068</v>
      </c>
      <c r="J109" s="328">
        <v>0.16217989893584819</v>
      </c>
      <c r="K109" s="328">
        <v>0.16078459648084042</v>
      </c>
      <c r="L109" s="328">
        <v>0.1598281027676608</v>
      </c>
      <c r="M109" s="328">
        <v>0.15931667509970082</v>
      </c>
      <c r="N109" s="328">
        <v>0.15915201372283375</v>
      </c>
      <c r="O109" s="328">
        <v>0.15930728143794376</v>
      </c>
      <c r="P109" s="328">
        <v>0.16256822145799854</v>
      </c>
      <c r="Q109" s="328">
        <v>0.16089807467774875</v>
      </c>
      <c r="R109" s="328">
        <v>0.16250207573723705</v>
      </c>
      <c r="S109" s="328">
        <v>0.15862844089049913</v>
      </c>
      <c r="T109" s="328">
        <v>0.16120493557646226</v>
      </c>
      <c r="U109" s="328">
        <v>0.15766239791680375</v>
      </c>
    </row>
    <row r="110" spans="1:21" s="34" customFormat="1" x14ac:dyDescent="0.35">
      <c r="N110" s="327"/>
      <c r="O110" s="327"/>
      <c r="P110" s="327"/>
      <c r="Q110" s="327"/>
      <c r="R110" s="327"/>
      <c r="S110" s="327"/>
      <c r="T110" s="327"/>
      <c r="U110" s="327"/>
    </row>
    <row r="111" spans="1:21" s="34" customFormat="1" x14ac:dyDescent="0.35">
      <c r="B111" s="361" t="s">
        <v>234</v>
      </c>
      <c r="N111" s="327"/>
      <c r="O111" s="327"/>
      <c r="P111" s="327"/>
      <c r="Q111" s="327"/>
      <c r="R111" s="327"/>
      <c r="S111" s="327"/>
      <c r="T111" s="327"/>
      <c r="U111" s="327"/>
    </row>
    <row r="112" spans="1:21" s="34" customFormat="1" x14ac:dyDescent="0.35">
      <c r="B112" s="335" t="s">
        <v>198</v>
      </c>
      <c r="G112" s="277">
        <f t="shared" ref="G112:U112" si="62">F116</f>
        <v>0</v>
      </c>
      <c r="H112" s="277">
        <f t="shared" si="62"/>
        <v>970</v>
      </c>
      <c r="I112" s="277">
        <f t="shared" si="62"/>
        <v>1990.0000000000002</v>
      </c>
      <c r="J112" s="277">
        <f t="shared" si="62"/>
        <v>3080</v>
      </c>
      <c r="K112" s="277">
        <f t="shared" si="62"/>
        <v>4230</v>
      </c>
      <c r="L112" s="277">
        <f t="shared" si="62"/>
        <v>5440</v>
      </c>
      <c r="M112" s="277">
        <f t="shared" si="62"/>
        <v>6710</v>
      </c>
      <c r="N112" s="277">
        <f t="shared" si="62"/>
        <v>8040</v>
      </c>
      <c r="O112" s="277">
        <f t="shared" si="62"/>
        <v>9430</v>
      </c>
      <c r="P112" s="277">
        <f t="shared" si="62"/>
        <v>10900</v>
      </c>
      <c r="Q112" s="277">
        <f t="shared" si="62"/>
        <v>12430</v>
      </c>
      <c r="R112" s="277">
        <f t="shared" si="62"/>
        <v>13930</v>
      </c>
      <c r="S112" s="277">
        <f t="shared" si="62"/>
        <v>15390</v>
      </c>
      <c r="T112" s="277">
        <f t="shared" si="62"/>
        <v>16790</v>
      </c>
      <c r="U112" s="277">
        <f t="shared" si="62"/>
        <v>18130</v>
      </c>
    </row>
    <row r="113" spans="2:21" s="34" customFormat="1" x14ac:dyDescent="0.35">
      <c r="B113" s="34" t="s">
        <v>87</v>
      </c>
      <c r="G113" s="277">
        <f t="shared" ref="G113:U113" si="63">G36</f>
        <v>1065.6552067648568</v>
      </c>
      <c r="H113" s="277">
        <f t="shared" si="63"/>
        <v>1110.1200629678021</v>
      </c>
      <c r="I113" s="277">
        <f t="shared" si="63"/>
        <v>1182.3497768568359</v>
      </c>
      <c r="J113" s="277">
        <f t="shared" si="63"/>
        <v>1239.8381400825406</v>
      </c>
      <c r="K113" s="277">
        <f t="shared" si="63"/>
        <v>1304.8753143762174</v>
      </c>
      <c r="L113" s="277">
        <f t="shared" si="63"/>
        <v>1366.7477089304957</v>
      </c>
      <c r="M113" s="277">
        <f t="shared" si="63"/>
        <v>1424.7378535927469</v>
      </c>
      <c r="N113" s="277">
        <f t="shared" si="63"/>
        <v>1489.3242677257313</v>
      </c>
      <c r="O113" s="277">
        <f t="shared" si="63"/>
        <v>1570.3813245847523</v>
      </c>
      <c r="P113" s="277">
        <f t="shared" si="63"/>
        <v>1615.3791110552847</v>
      </c>
      <c r="Q113" s="277">
        <f t="shared" si="63"/>
        <v>1602.3832825894297</v>
      </c>
      <c r="R113" s="277">
        <f t="shared" si="63"/>
        <v>1553.0549131738785</v>
      </c>
      <c r="S113" s="277">
        <f t="shared" si="63"/>
        <v>1509.0503401560723</v>
      </c>
      <c r="T113" s="277">
        <f t="shared" si="63"/>
        <v>1440.8210037491112</v>
      </c>
      <c r="U113" s="277">
        <f t="shared" si="63"/>
        <v>1378.8132810295565</v>
      </c>
    </row>
    <row r="114" spans="2:21" s="34" customFormat="1" x14ac:dyDescent="0.35">
      <c r="B114" s="335" t="s">
        <v>256</v>
      </c>
      <c r="G114" s="277">
        <f>-G113*G115</f>
        <v>-95.655206764856757</v>
      </c>
      <c r="H114" s="277">
        <f t="shared" ref="H114:U114" si="64">-H113*H115</f>
        <v>-90.120062967802141</v>
      </c>
      <c r="I114" s="277">
        <f t="shared" si="64"/>
        <v>-92.349776856835888</v>
      </c>
      <c r="J114" s="277">
        <f t="shared" si="64"/>
        <v>-89.838140082540576</v>
      </c>
      <c r="K114" s="277">
        <f t="shared" si="64"/>
        <v>-94.875314376217375</v>
      </c>
      <c r="L114" s="277">
        <f t="shared" si="64"/>
        <v>-96.747708930495719</v>
      </c>
      <c r="M114" s="277">
        <f t="shared" si="64"/>
        <v>-94.737853592746887</v>
      </c>
      <c r="N114" s="277">
        <f t="shared" si="64"/>
        <v>-99.324267725731275</v>
      </c>
      <c r="O114" s="277">
        <f t="shared" si="64"/>
        <v>-100.38132458475229</v>
      </c>
      <c r="P114" s="277">
        <f t="shared" si="64"/>
        <v>-85.379111055284739</v>
      </c>
      <c r="Q114" s="277">
        <f t="shared" si="64"/>
        <v>-102.38328258942964</v>
      </c>
      <c r="R114" s="277">
        <f t="shared" si="64"/>
        <v>-93.054913173878504</v>
      </c>
      <c r="S114" s="277">
        <f t="shared" si="64"/>
        <v>-109.05034015607225</v>
      </c>
      <c r="T114" s="277">
        <f t="shared" si="64"/>
        <v>-100.82100374911124</v>
      </c>
      <c r="U114" s="277">
        <f t="shared" si="64"/>
        <v>-98.813281029556506</v>
      </c>
    </row>
    <row r="115" spans="2:21" s="34" customFormat="1" x14ac:dyDescent="0.35">
      <c r="B115" s="34" t="s">
        <v>199</v>
      </c>
      <c r="D115" s="337"/>
      <c r="E115" s="337"/>
      <c r="F115" s="337"/>
      <c r="G115" s="338">
        <v>8.9761872468346743E-2</v>
      </c>
      <c r="H115" s="338">
        <v>8.1180465045262384E-2</v>
      </c>
      <c r="I115" s="338">
        <v>7.8106985483042901E-2</v>
      </c>
      <c r="J115" s="338">
        <v>7.245957127642462E-2</v>
      </c>
      <c r="K115" s="338">
        <v>7.2708337211185248E-2</v>
      </c>
      <c r="L115" s="338">
        <v>7.0786808932134598E-2</v>
      </c>
      <c r="M115" s="338">
        <v>6.6494936843186567E-2</v>
      </c>
      <c r="N115" s="338">
        <v>6.6690827429679994E-2</v>
      </c>
      <c r="O115" s="338">
        <v>6.3921624011477343E-2</v>
      </c>
      <c r="P115" s="338">
        <v>5.2853915511826083E-2</v>
      </c>
      <c r="Q115" s="338">
        <v>6.389437764476652E-2</v>
      </c>
      <c r="R115" s="338">
        <v>5.9917336073911358E-2</v>
      </c>
      <c r="S115" s="338">
        <v>7.226421627842701E-2</v>
      </c>
      <c r="T115" s="338">
        <v>6.9974690462429642E-2</v>
      </c>
      <c r="U115" s="338">
        <v>7.1665454916254409E-2</v>
      </c>
    </row>
    <row r="116" spans="2:21" s="34" customFormat="1" x14ac:dyDescent="0.35">
      <c r="B116" s="335" t="s">
        <v>200</v>
      </c>
      <c r="D116" s="277">
        <f>D55</f>
        <v>0</v>
      </c>
      <c r="E116" s="277">
        <f t="shared" ref="E116:F116" si="65">E55</f>
        <v>0</v>
      </c>
      <c r="F116" s="277">
        <f t="shared" si="65"/>
        <v>0</v>
      </c>
      <c r="G116" s="277">
        <f t="shared" ref="G116:U116" si="66">G112+G113+G114</f>
        <v>970</v>
      </c>
      <c r="H116" s="277">
        <f t="shared" si="66"/>
        <v>1990.0000000000002</v>
      </c>
      <c r="I116" s="277">
        <f t="shared" si="66"/>
        <v>3080</v>
      </c>
      <c r="J116" s="277">
        <f t="shared" si="66"/>
        <v>4230</v>
      </c>
      <c r="K116" s="277">
        <f t="shared" si="66"/>
        <v>5440</v>
      </c>
      <c r="L116" s="277">
        <f t="shared" si="66"/>
        <v>6710</v>
      </c>
      <c r="M116" s="277">
        <f t="shared" si="66"/>
        <v>8040</v>
      </c>
      <c r="N116" s="277">
        <f t="shared" si="66"/>
        <v>9430</v>
      </c>
      <c r="O116" s="277">
        <f t="shared" si="66"/>
        <v>10900</v>
      </c>
      <c r="P116" s="277">
        <f t="shared" si="66"/>
        <v>12430</v>
      </c>
      <c r="Q116" s="277">
        <f t="shared" si="66"/>
        <v>13930</v>
      </c>
      <c r="R116" s="277">
        <f t="shared" si="66"/>
        <v>15390</v>
      </c>
      <c r="S116" s="277">
        <f t="shared" si="66"/>
        <v>16790</v>
      </c>
      <c r="T116" s="277">
        <f t="shared" si="66"/>
        <v>18130</v>
      </c>
      <c r="U116" s="277">
        <f t="shared" si="66"/>
        <v>19410</v>
      </c>
    </row>
    <row r="117" spans="2:21" s="34" customFormat="1" ht="8.75" customHeight="1" x14ac:dyDescent="0.35"/>
    <row r="118" spans="2:21" s="34" customFormat="1" ht="25.75" customHeight="1" x14ac:dyDescent="0.35">
      <c r="B118" s="361" t="s">
        <v>235</v>
      </c>
      <c r="C118" s="356" t="s">
        <v>228</v>
      </c>
      <c r="E118" s="356" t="s">
        <v>227</v>
      </c>
      <c r="G118" s="356" t="s">
        <v>229</v>
      </c>
    </row>
    <row r="119" spans="2:21" s="34" customFormat="1" x14ac:dyDescent="0.35">
      <c r="B119" s="34" t="s">
        <v>224</v>
      </c>
      <c r="C119" s="277">
        <f>U69</f>
        <v>1600</v>
      </c>
      <c r="E119" s="357">
        <v>0.5</v>
      </c>
      <c r="G119" s="277">
        <f>C119*E119</f>
        <v>800</v>
      </c>
    </row>
    <row r="120" spans="2:21" s="34" customFormat="1" x14ac:dyDescent="0.35">
      <c r="B120" s="34" t="s">
        <v>8</v>
      </c>
      <c r="C120" s="277">
        <f>U68</f>
        <v>3350</v>
      </c>
      <c r="E120" s="357">
        <v>0.1</v>
      </c>
      <c r="G120" s="277">
        <f>C120*E120</f>
        <v>335</v>
      </c>
    </row>
    <row r="121" spans="2:21" s="34" customFormat="1" x14ac:dyDescent="0.35">
      <c r="B121" s="34" t="s">
        <v>226</v>
      </c>
      <c r="C121" s="277">
        <f>U70</f>
        <v>740</v>
      </c>
      <c r="E121" s="357">
        <v>0</v>
      </c>
      <c r="G121" s="277">
        <f>C121*E121</f>
        <v>0</v>
      </c>
    </row>
    <row r="122" spans="2:21" s="34" customFormat="1" x14ac:dyDescent="0.35">
      <c r="B122" s="34" t="s">
        <v>9</v>
      </c>
      <c r="C122" s="277">
        <f>U71</f>
        <v>19080</v>
      </c>
      <c r="E122" s="357">
        <v>1</v>
      </c>
      <c r="G122" s="358">
        <f>C122*E122</f>
        <v>19080</v>
      </c>
    </row>
    <row r="123" spans="2:21" s="34" customFormat="1" x14ac:dyDescent="0.35">
      <c r="B123" s="360" t="s">
        <v>236</v>
      </c>
      <c r="C123" s="277"/>
      <c r="G123" s="359">
        <f>SUM(G119:G122)</f>
        <v>20215</v>
      </c>
    </row>
    <row r="124" spans="2:21" s="34" customFormat="1" x14ac:dyDescent="0.35">
      <c r="B124" s="34" t="s">
        <v>225</v>
      </c>
      <c r="C124" s="277">
        <f>-U61</f>
        <v>-1200</v>
      </c>
      <c r="E124" s="357">
        <v>1</v>
      </c>
      <c r="G124" s="358">
        <f>C124*E124</f>
        <v>-1200</v>
      </c>
    </row>
    <row r="125" spans="2:21" s="34" customFormat="1" x14ac:dyDescent="0.35">
      <c r="B125" s="360" t="s">
        <v>237</v>
      </c>
      <c r="C125" s="277"/>
      <c r="G125" s="359">
        <f>G123+G124</f>
        <v>19015</v>
      </c>
    </row>
    <row r="126" spans="2:21" s="34" customFormat="1" x14ac:dyDescent="0.35"/>
    <row r="127" spans="2:21" s="34" customFormat="1" ht="15" thickBot="1" x14ac:dyDescent="0.4"/>
    <row r="128" spans="2:21" s="34" customFormat="1" ht="17.5" thickBot="1" x14ac:dyDescent="0.4">
      <c r="B128" s="310" t="s">
        <v>238</v>
      </c>
      <c r="C128" s="311"/>
      <c r="D128" s="311"/>
      <c r="E128" s="311"/>
      <c r="F128" s="311"/>
      <c r="G128" s="311"/>
      <c r="H128" s="311"/>
      <c r="I128" s="311"/>
      <c r="J128" s="311"/>
      <c r="K128" s="311"/>
      <c r="L128" s="311"/>
      <c r="M128" s="311"/>
      <c r="N128" s="311"/>
      <c r="O128" s="311"/>
      <c r="P128" s="311"/>
      <c r="Q128" s="311"/>
      <c r="R128" s="311"/>
      <c r="S128" s="311"/>
      <c r="T128" s="311"/>
      <c r="U128" s="312"/>
    </row>
    <row r="129" spans="2:21" s="34" customFormat="1" ht="16" thickBot="1" x14ac:dyDescent="0.4">
      <c r="B129" s="95" t="s">
        <v>109</v>
      </c>
      <c r="C129" s="96">
        <v>2009</v>
      </c>
      <c r="D129" s="96">
        <v>2010</v>
      </c>
      <c r="E129" s="97">
        <v>2011</v>
      </c>
      <c r="F129" s="97">
        <v>2012</v>
      </c>
      <c r="G129" s="97">
        <v>2013</v>
      </c>
      <c r="H129" s="97">
        <v>2014</v>
      </c>
      <c r="I129" s="97">
        <v>2015</v>
      </c>
      <c r="J129" s="97">
        <v>2016</v>
      </c>
      <c r="K129" s="97">
        <v>2017</v>
      </c>
      <c r="L129" s="97">
        <v>2018</v>
      </c>
      <c r="M129" s="97">
        <v>2019</v>
      </c>
      <c r="N129" s="97">
        <v>2020</v>
      </c>
      <c r="O129" s="97">
        <v>2021</v>
      </c>
      <c r="P129" s="97">
        <v>2022</v>
      </c>
      <c r="Q129" s="97">
        <v>2023</v>
      </c>
      <c r="R129" s="97">
        <v>2024</v>
      </c>
      <c r="S129" s="97">
        <v>2025</v>
      </c>
      <c r="T129" s="97">
        <v>2026</v>
      </c>
      <c r="U129" s="98">
        <v>2027</v>
      </c>
    </row>
    <row r="130" spans="2:21" s="34" customFormat="1" ht="15.5" x14ac:dyDescent="0.35">
      <c r="B130" s="355" t="s">
        <v>247</v>
      </c>
      <c r="C130" s="198"/>
      <c r="D130" s="198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200"/>
    </row>
    <row r="131" spans="2:21" ht="15.5" x14ac:dyDescent="0.35">
      <c r="B131" s="103" t="s">
        <v>87</v>
      </c>
      <c r="C131" s="202"/>
      <c r="D131" s="202"/>
      <c r="E131" s="202"/>
      <c r="F131" s="202"/>
      <c r="G131" s="202">
        <f t="shared" ref="E131:U133" si="67">G78</f>
        <v>1065.6552067648568</v>
      </c>
      <c r="H131" s="202">
        <f t="shared" si="67"/>
        <v>1110.1200629678021</v>
      </c>
      <c r="I131" s="202">
        <f t="shared" si="67"/>
        <v>1182.3497768568359</v>
      </c>
      <c r="J131" s="202">
        <f t="shared" si="67"/>
        <v>1239.8381400825406</v>
      </c>
      <c r="K131" s="202">
        <f t="shared" si="67"/>
        <v>1304.8753143762174</v>
      </c>
      <c r="L131" s="202">
        <f t="shared" si="67"/>
        <v>1366.7477089304957</v>
      </c>
      <c r="M131" s="202">
        <f t="shared" si="67"/>
        <v>1424.7378535927469</v>
      </c>
      <c r="N131" s="202">
        <f t="shared" si="67"/>
        <v>1489.3242677257313</v>
      </c>
      <c r="O131" s="202">
        <f t="shared" si="67"/>
        <v>1570.3813245847523</v>
      </c>
      <c r="P131" s="202">
        <f t="shared" si="67"/>
        <v>1615.3791110552847</v>
      </c>
      <c r="Q131" s="202">
        <f t="shared" si="67"/>
        <v>1602.3832825894297</v>
      </c>
      <c r="R131" s="202">
        <f t="shared" si="67"/>
        <v>1553.0549131738785</v>
      </c>
      <c r="S131" s="202">
        <f t="shared" si="67"/>
        <v>1509.0503401560723</v>
      </c>
      <c r="T131" s="202">
        <f t="shared" si="67"/>
        <v>1440.8210037491112</v>
      </c>
      <c r="U131" s="203">
        <f t="shared" si="67"/>
        <v>1378.8132810295565</v>
      </c>
    </row>
    <row r="132" spans="2:21" ht="15.5" x14ac:dyDescent="0.35">
      <c r="B132" s="103" t="s">
        <v>30</v>
      </c>
      <c r="C132" s="202"/>
      <c r="D132" s="202"/>
      <c r="E132" s="202"/>
      <c r="F132" s="202"/>
      <c r="G132" s="202">
        <f t="shared" ref="D132:S133" si="68">G79</f>
        <v>680</v>
      </c>
      <c r="H132" s="202">
        <f t="shared" si="68"/>
        <v>680</v>
      </c>
      <c r="I132" s="202">
        <f t="shared" si="68"/>
        <v>680</v>
      </c>
      <c r="J132" s="202">
        <f t="shared" si="68"/>
        <v>680</v>
      </c>
      <c r="K132" s="202">
        <f t="shared" si="68"/>
        <v>680</v>
      </c>
      <c r="L132" s="202">
        <f t="shared" si="68"/>
        <v>680</v>
      </c>
      <c r="M132" s="202">
        <f t="shared" si="68"/>
        <v>680</v>
      </c>
      <c r="N132" s="202">
        <f t="shared" si="68"/>
        <v>680</v>
      </c>
      <c r="O132" s="202">
        <f t="shared" si="68"/>
        <v>680</v>
      </c>
      <c r="P132" s="202">
        <f t="shared" si="68"/>
        <v>680</v>
      </c>
      <c r="Q132" s="202">
        <f t="shared" si="68"/>
        <v>680</v>
      </c>
      <c r="R132" s="202">
        <f t="shared" si="68"/>
        <v>680</v>
      </c>
      <c r="S132" s="202">
        <f t="shared" si="68"/>
        <v>680</v>
      </c>
      <c r="T132" s="202">
        <f t="shared" si="67"/>
        <v>680</v>
      </c>
      <c r="U132" s="203">
        <f t="shared" si="67"/>
        <v>680</v>
      </c>
    </row>
    <row r="133" spans="2:21" ht="15.5" x14ac:dyDescent="0.35">
      <c r="B133" s="103" t="s">
        <v>184</v>
      </c>
      <c r="C133" s="202"/>
      <c r="D133" s="202">
        <f t="shared" si="68"/>
        <v>-3460</v>
      </c>
      <c r="E133" s="202">
        <f t="shared" si="67"/>
        <v>-5520</v>
      </c>
      <c r="F133" s="202">
        <f t="shared" si="67"/>
        <v>-4570</v>
      </c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3"/>
    </row>
    <row r="134" spans="2:21" ht="15.5" x14ac:dyDescent="0.35">
      <c r="B134" s="103" t="s">
        <v>257</v>
      </c>
      <c r="C134" s="202"/>
      <c r="D134" s="202"/>
      <c r="E134" s="202"/>
      <c r="F134" s="202">
        <f>-13860-D133-E133-F133</f>
        <v>-310</v>
      </c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3"/>
    </row>
    <row r="135" spans="2:21" ht="15.5" x14ac:dyDescent="0.35">
      <c r="B135" s="103" t="s">
        <v>230</v>
      </c>
      <c r="C135" s="202"/>
      <c r="D135" s="202"/>
      <c r="E135" s="202"/>
      <c r="F135" s="202"/>
      <c r="G135" s="202">
        <f t="shared" ref="G135:U135" si="69">G81</f>
        <v>-1240</v>
      </c>
      <c r="H135" s="202">
        <f t="shared" si="69"/>
        <v>-10</v>
      </c>
      <c r="I135" s="202">
        <f t="shared" si="69"/>
        <v>-30</v>
      </c>
      <c r="J135" s="202">
        <f t="shared" si="69"/>
        <v>-20</v>
      </c>
      <c r="K135" s="202">
        <f t="shared" si="69"/>
        <v>-20</v>
      </c>
      <c r="L135" s="202">
        <f t="shared" si="69"/>
        <v>-30</v>
      </c>
      <c r="M135" s="202">
        <f t="shared" si="69"/>
        <v>-20</v>
      </c>
      <c r="N135" s="202">
        <f t="shared" si="69"/>
        <v>-30</v>
      </c>
      <c r="O135" s="202">
        <f t="shared" si="69"/>
        <v>-30</v>
      </c>
      <c r="P135" s="202">
        <f t="shared" si="69"/>
        <v>-20</v>
      </c>
      <c r="Q135" s="202">
        <f t="shared" si="69"/>
        <v>-30</v>
      </c>
      <c r="R135" s="202">
        <f t="shared" si="69"/>
        <v>-30</v>
      </c>
      <c r="S135" s="202">
        <f t="shared" si="69"/>
        <v>-30</v>
      </c>
      <c r="T135" s="202">
        <f t="shared" si="69"/>
        <v>-30</v>
      </c>
      <c r="U135" s="203">
        <f t="shared" si="69"/>
        <v>-30</v>
      </c>
    </row>
    <row r="136" spans="2:21" ht="15.5" x14ac:dyDescent="0.35">
      <c r="B136" s="103" t="s">
        <v>231</v>
      </c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>
        <f t="shared" ref="N136:U137" si="70">N82</f>
        <v>-10</v>
      </c>
      <c r="O136" s="202">
        <f t="shared" si="70"/>
        <v>-40</v>
      </c>
      <c r="P136" s="202">
        <f t="shared" si="70"/>
        <v>-70</v>
      </c>
      <c r="Q136" s="202">
        <f t="shared" si="70"/>
        <v>-90</v>
      </c>
      <c r="R136" s="202">
        <f t="shared" si="70"/>
        <v>-110</v>
      </c>
      <c r="S136" s="202">
        <f t="shared" si="70"/>
        <v>-130</v>
      </c>
      <c r="T136" s="202">
        <f t="shared" si="70"/>
        <v>-140</v>
      </c>
      <c r="U136" s="203">
        <f t="shared" si="70"/>
        <v>-150</v>
      </c>
    </row>
    <row r="137" spans="2:21" ht="15.5" x14ac:dyDescent="0.35">
      <c r="B137" s="103" t="s">
        <v>145</v>
      </c>
      <c r="C137" s="202"/>
      <c r="D137" s="202"/>
      <c r="E137" s="202"/>
      <c r="F137" s="202"/>
      <c r="G137" s="202">
        <f t="shared" ref="G137:M137" si="71">G83</f>
        <v>1243.1999999999998</v>
      </c>
      <c r="H137" s="202">
        <f t="shared" si="71"/>
        <v>1145.4000000000001</v>
      </c>
      <c r="I137" s="202">
        <f t="shared" si="71"/>
        <v>1017</v>
      </c>
      <c r="J137" s="202">
        <f t="shared" si="71"/>
        <v>890.4</v>
      </c>
      <c r="K137" s="202">
        <f t="shared" si="71"/>
        <v>763.2</v>
      </c>
      <c r="L137" s="202">
        <f t="shared" si="71"/>
        <v>636</v>
      </c>
      <c r="M137" s="202">
        <f t="shared" si="71"/>
        <v>509.4</v>
      </c>
      <c r="N137" s="202">
        <f t="shared" si="70"/>
        <v>382.8</v>
      </c>
      <c r="O137" s="202">
        <f t="shared" si="70"/>
        <v>256.2</v>
      </c>
      <c r="P137" s="202">
        <f t="shared" si="70"/>
        <v>162</v>
      </c>
      <c r="Q137" s="202">
        <f t="shared" si="70"/>
        <v>132</v>
      </c>
      <c r="R137" s="202">
        <f t="shared" si="70"/>
        <v>134.4</v>
      </c>
      <c r="S137" s="202">
        <f t="shared" si="70"/>
        <v>137.4</v>
      </c>
      <c r="T137" s="202">
        <f t="shared" si="70"/>
        <v>140.4</v>
      </c>
      <c r="U137" s="203">
        <f t="shared" si="70"/>
        <v>142.79999999999998</v>
      </c>
    </row>
    <row r="138" spans="2:21" ht="15.5" x14ac:dyDescent="0.35">
      <c r="B138" s="374" t="s">
        <v>248</v>
      </c>
      <c r="C138" s="307"/>
      <c r="D138" s="307">
        <f>SUM(D131:D137)</f>
        <v>-3460</v>
      </c>
      <c r="E138" s="307">
        <f t="shared" ref="E138" si="72">SUM(E131:E137)</f>
        <v>-5520</v>
      </c>
      <c r="F138" s="307">
        <f t="shared" ref="F138" si="73">SUM(F131:F137)</f>
        <v>-4880</v>
      </c>
      <c r="G138" s="307">
        <f t="shared" ref="G138" si="74">SUM(G131:G137)</f>
        <v>1748.8552067648566</v>
      </c>
      <c r="H138" s="307">
        <f t="shared" ref="H138" si="75">SUM(H131:H137)</f>
        <v>2925.520062967802</v>
      </c>
      <c r="I138" s="307">
        <f t="shared" ref="I138" si="76">SUM(I131:I137)</f>
        <v>2849.3497768568359</v>
      </c>
      <c r="J138" s="307">
        <f t="shared" ref="J138" si="77">SUM(J131:J137)</f>
        <v>2790.2381400825407</v>
      </c>
      <c r="K138" s="307">
        <f t="shared" ref="K138" si="78">SUM(K131:K137)</f>
        <v>2728.0753143762176</v>
      </c>
      <c r="L138" s="307">
        <f t="shared" ref="L138" si="79">SUM(L131:L137)</f>
        <v>2652.7477089304957</v>
      </c>
      <c r="M138" s="307">
        <f t="shared" ref="M138" si="80">SUM(M131:M137)</f>
        <v>2594.137853592747</v>
      </c>
      <c r="N138" s="307">
        <f t="shared" ref="N138" si="81">SUM(N131:N137)</f>
        <v>2512.1242677257314</v>
      </c>
      <c r="O138" s="307">
        <f t="shared" ref="O138" si="82">SUM(O131:O137)</f>
        <v>2436.5813245847521</v>
      </c>
      <c r="P138" s="307">
        <f t="shared" ref="P138" si="83">SUM(P131:P137)</f>
        <v>2367.3791110552847</v>
      </c>
      <c r="Q138" s="307">
        <f t="shared" ref="Q138" si="84">SUM(Q131:Q137)</f>
        <v>2294.3832825894297</v>
      </c>
      <c r="R138" s="307">
        <f t="shared" ref="R138" si="85">SUM(R131:R137)</f>
        <v>2227.4549131738786</v>
      </c>
      <c r="S138" s="307">
        <f t="shared" ref="S138" si="86">SUM(S131:S137)</f>
        <v>2166.4503401560723</v>
      </c>
      <c r="T138" s="307">
        <f t="shared" ref="T138" si="87">SUM(T131:T137)</f>
        <v>2091.2210037491113</v>
      </c>
      <c r="U138" s="308">
        <f t="shared" ref="U138" si="88">SUM(U131:U137)</f>
        <v>2021.6132810295564</v>
      </c>
    </row>
    <row r="139" spans="2:21" s="34" customFormat="1" ht="15.5" x14ac:dyDescent="0.35">
      <c r="B139" s="107" t="s">
        <v>48</v>
      </c>
      <c r="C139" s="204"/>
      <c r="D139" s="204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>
        <f>G123</f>
        <v>20215</v>
      </c>
    </row>
    <row r="140" spans="2:21" s="34" customFormat="1" ht="16" thickBot="1" x14ac:dyDescent="0.4">
      <c r="B140" s="123" t="s">
        <v>249</v>
      </c>
      <c r="C140" s="216"/>
      <c r="D140" s="363">
        <f t="shared" ref="D140:S140" si="89">D138+D139</f>
        <v>-3460</v>
      </c>
      <c r="E140" s="363">
        <f t="shared" si="89"/>
        <v>-5520</v>
      </c>
      <c r="F140" s="363">
        <f t="shared" si="89"/>
        <v>-4880</v>
      </c>
      <c r="G140" s="363">
        <f t="shared" si="89"/>
        <v>1748.8552067648566</v>
      </c>
      <c r="H140" s="363">
        <f t="shared" si="89"/>
        <v>2925.520062967802</v>
      </c>
      <c r="I140" s="363">
        <f t="shared" si="89"/>
        <v>2849.3497768568359</v>
      </c>
      <c r="J140" s="363">
        <f t="shared" si="89"/>
        <v>2790.2381400825407</v>
      </c>
      <c r="K140" s="363">
        <f t="shared" si="89"/>
        <v>2728.0753143762176</v>
      </c>
      <c r="L140" s="363">
        <f t="shared" si="89"/>
        <v>2652.7477089304957</v>
      </c>
      <c r="M140" s="363">
        <f t="shared" si="89"/>
        <v>2594.137853592747</v>
      </c>
      <c r="N140" s="363">
        <f t="shared" si="89"/>
        <v>2512.1242677257314</v>
      </c>
      <c r="O140" s="363">
        <f t="shared" si="89"/>
        <v>2436.5813245847521</v>
      </c>
      <c r="P140" s="363">
        <f t="shared" si="89"/>
        <v>2367.3791110552847</v>
      </c>
      <c r="Q140" s="363">
        <f t="shared" si="89"/>
        <v>2294.3832825894297</v>
      </c>
      <c r="R140" s="363">
        <f t="shared" si="89"/>
        <v>2227.4549131738786</v>
      </c>
      <c r="S140" s="363">
        <f t="shared" si="89"/>
        <v>2166.4503401560723</v>
      </c>
      <c r="T140" s="363">
        <f>T138+T139</f>
        <v>2091.2210037491113</v>
      </c>
      <c r="U140" s="364">
        <f>U138+U139</f>
        <v>22236.613281029557</v>
      </c>
    </row>
    <row r="141" spans="2:21" s="34" customFormat="1" ht="7.5" customHeight="1" x14ac:dyDescent="0.35">
      <c r="B141" s="369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</row>
    <row r="142" spans="2:21" s="34" customFormat="1" ht="15.5" x14ac:dyDescent="0.35">
      <c r="B142" s="370" t="s">
        <v>242</v>
      </c>
      <c r="C142" s="371">
        <f>IRR(D140:U140)</f>
        <v>0.16150184020911373</v>
      </c>
      <c r="D142" s="366"/>
      <c r="E142" s="367"/>
      <c r="F142" s="367"/>
      <c r="G142" s="367"/>
      <c r="H142" s="367"/>
      <c r="I142" s="367"/>
      <c r="J142" s="367"/>
      <c r="K142" s="367"/>
      <c r="L142" s="367"/>
      <c r="M142" s="367"/>
      <c r="N142" s="367"/>
      <c r="O142" s="367"/>
      <c r="P142" s="367"/>
      <c r="Q142" s="367"/>
      <c r="R142" s="367"/>
      <c r="S142" s="367"/>
      <c r="T142" s="367"/>
      <c r="U142" s="367"/>
    </row>
    <row r="143" spans="2:21" s="34" customFormat="1" ht="15.5" x14ac:dyDescent="0.35">
      <c r="B143" s="372" t="s">
        <v>243</v>
      </c>
      <c r="C143" s="373">
        <f>IRR(D138:U138)</f>
        <v>0.13597678233853094</v>
      </c>
      <c r="D143" s="366"/>
      <c r="E143" s="367"/>
      <c r="F143" s="367"/>
      <c r="G143" s="367"/>
      <c r="H143" s="367"/>
      <c r="I143" s="367"/>
      <c r="J143" s="367"/>
      <c r="K143" s="367"/>
      <c r="L143" s="367"/>
      <c r="M143" s="367"/>
      <c r="N143" s="367"/>
      <c r="O143" s="367"/>
      <c r="P143" s="367"/>
      <c r="Q143" s="367"/>
      <c r="R143" s="367"/>
      <c r="S143" s="367"/>
      <c r="T143" s="367"/>
      <c r="U143" s="367"/>
    </row>
    <row r="144" spans="2:21" s="34" customFormat="1" ht="15.5" x14ac:dyDescent="0.35">
      <c r="B144" s="372" t="s">
        <v>244</v>
      </c>
      <c r="C144" s="373">
        <f>C142-C143</f>
        <v>2.552505787058279E-2</v>
      </c>
      <c r="D144" s="366"/>
      <c r="E144" s="367"/>
      <c r="F144" s="367"/>
      <c r="G144" s="367"/>
      <c r="H144" s="367"/>
      <c r="I144" s="367"/>
      <c r="J144" s="367"/>
      <c r="K144" s="367"/>
      <c r="L144" s="367"/>
      <c r="M144" s="367"/>
      <c r="N144" s="367"/>
      <c r="O144" s="367"/>
      <c r="P144" s="367"/>
      <c r="Q144" s="367"/>
      <c r="R144" s="367"/>
      <c r="S144" s="367"/>
      <c r="T144" s="367"/>
      <c r="U144" s="367"/>
    </row>
    <row r="145" spans="2:22" s="34" customFormat="1" ht="15" thickBot="1" x14ac:dyDescent="0.4"/>
    <row r="146" spans="2:22" s="34" customFormat="1" ht="17.5" thickBot="1" x14ac:dyDescent="0.4">
      <c r="B146" s="310" t="s">
        <v>239</v>
      </c>
      <c r="C146" s="311"/>
      <c r="D146" s="311"/>
      <c r="E146" s="311"/>
      <c r="F146" s="311"/>
      <c r="G146" s="311"/>
      <c r="H146" s="311"/>
      <c r="I146" s="311"/>
      <c r="J146" s="311"/>
      <c r="K146" s="311"/>
      <c r="L146" s="311"/>
      <c r="M146" s="311"/>
      <c r="N146" s="311"/>
      <c r="O146" s="311"/>
      <c r="P146" s="311"/>
      <c r="Q146" s="311"/>
      <c r="R146" s="311"/>
      <c r="S146" s="311"/>
      <c r="T146" s="311"/>
      <c r="U146" s="312"/>
    </row>
    <row r="147" spans="2:22" s="34" customFormat="1" ht="16" thickBot="1" x14ac:dyDescent="0.4">
      <c r="B147" s="95" t="s">
        <v>109</v>
      </c>
      <c r="C147" s="96">
        <v>2009</v>
      </c>
      <c r="D147" s="96">
        <v>2010</v>
      </c>
      <c r="E147" s="97">
        <v>2011</v>
      </c>
      <c r="F147" s="97">
        <v>2012</v>
      </c>
      <c r="G147" s="97">
        <v>2013</v>
      </c>
      <c r="H147" s="97">
        <v>2014</v>
      </c>
      <c r="I147" s="97">
        <v>2015</v>
      </c>
      <c r="J147" s="97">
        <v>2016</v>
      </c>
      <c r="K147" s="97">
        <v>2017</v>
      </c>
      <c r="L147" s="97">
        <v>2018</v>
      </c>
      <c r="M147" s="97">
        <v>2019</v>
      </c>
      <c r="N147" s="97">
        <v>2020</v>
      </c>
      <c r="O147" s="97">
        <v>2021</v>
      </c>
      <c r="P147" s="97">
        <v>2022</v>
      </c>
      <c r="Q147" s="97">
        <v>2023</v>
      </c>
      <c r="R147" s="97">
        <v>2024</v>
      </c>
      <c r="S147" s="97">
        <v>2025</v>
      </c>
      <c r="T147" s="97">
        <v>2026</v>
      </c>
      <c r="U147" s="98">
        <v>2027</v>
      </c>
    </row>
    <row r="148" spans="2:22" s="34" customFormat="1" ht="15.5" x14ac:dyDescent="0.35">
      <c r="B148" s="355" t="s">
        <v>247</v>
      </c>
      <c r="C148" s="198"/>
      <c r="D148" s="198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200"/>
    </row>
    <row r="149" spans="2:22" s="134" customFormat="1" ht="15.5" x14ac:dyDescent="0.35">
      <c r="B149" s="103" t="s">
        <v>248</v>
      </c>
      <c r="C149" s="201"/>
      <c r="D149" s="201">
        <f t="shared" ref="D149:U149" si="90">D138</f>
        <v>-3460</v>
      </c>
      <c r="E149" s="201">
        <f t="shared" si="90"/>
        <v>-5520</v>
      </c>
      <c r="F149" s="201">
        <f t="shared" si="90"/>
        <v>-4880</v>
      </c>
      <c r="G149" s="201">
        <f t="shared" si="90"/>
        <v>1748.8552067648566</v>
      </c>
      <c r="H149" s="201">
        <f t="shared" si="90"/>
        <v>2925.520062967802</v>
      </c>
      <c r="I149" s="201">
        <f t="shared" si="90"/>
        <v>2849.3497768568359</v>
      </c>
      <c r="J149" s="201">
        <f t="shared" si="90"/>
        <v>2790.2381400825407</v>
      </c>
      <c r="K149" s="201">
        <f t="shared" si="90"/>
        <v>2728.0753143762176</v>
      </c>
      <c r="L149" s="201">
        <f t="shared" si="90"/>
        <v>2652.7477089304957</v>
      </c>
      <c r="M149" s="201">
        <f t="shared" si="90"/>
        <v>2594.137853592747</v>
      </c>
      <c r="N149" s="201">
        <f t="shared" si="90"/>
        <v>2512.1242677257314</v>
      </c>
      <c r="O149" s="201">
        <f t="shared" si="90"/>
        <v>2436.5813245847521</v>
      </c>
      <c r="P149" s="201">
        <f t="shared" si="90"/>
        <v>2367.3791110552847</v>
      </c>
      <c r="Q149" s="201">
        <f t="shared" si="90"/>
        <v>2294.3832825894297</v>
      </c>
      <c r="R149" s="201">
        <f t="shared" si="90"/>
        <v>2227.4549131738786</v>
      </c>
      <c r="S149" s="201">
        <f t="shared" si="90"/>
        <v>2166.4503401560723</v>
      </c>
      <c r="T149" s="201">
        <f t="shared" si="90"/>
        <v>2091.2210037491113</v>
      </c>
      <c r="U149" s="203">
        <f t="shared" si="90"/>
        <v>2021.6132810295564</v>
      </c>
    </row>
    <row r="150" spans="2:22" s="34" customFormat="1" ht="15.5" x14ac:dyDescent="0.35">
      <c r="B150" s="355" t="s">
        <v>254</v>
      </c>
      <c r="C150" s="198"/>
      <c r="D150" s="198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200"/>
    </row>
    <row r="151" spans="2:22" ht="15.5" x14ac:dyDescent="0.35">
      <c r="B151" s="103" t="s">
        <v>190</v>
      </c>
      <c r="C151" s="202"/>
      <c r="D151" s="202">
        <f>D87</f>
        <v>2420</v>
      </c>
      <c r="E151" s="202">
        <f t="shared" ref="E151:F151" si="91">E87</f>
        <v>3870</v>
      </c>
      <c r="F151" s="202">
        <f t="shared" si="91"/>
        <v>3410</v>
      </c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3"/>
    </row>
    <row r="152" spans="2:22" ht="15.5" x14ac:dyDescent="0.35">
      <c r="B152" s="103" t="s">
        <v>241</v>
      </c>
      <c r="C152" s="202"/>
      <c r="D152" s="202"/>
      <c r="E152" s="202"/>
      <c r="F152" s="202"/>
      <c r="G152" s="202">
        <f t="shared" ref="G152:P152" si="92">G88</f>
        <v>-540</v>
      </c>
      <c r="H152" s="202">
        <f t="shared" si="92"/>
        <v>-1100</v>
      </c>
      <c r="I152" s="202">
        <f t="shared" si="92"/>
        <v>-1070</v>
      </c>
      <c r="J152" s="202">
        <f t="shared" si="92"/>
        <v>-1080</v>
      </c>
      <c r="K152" s="202">
        <f t="shared" si="92"/>
        <v>-1070</v>
      </c>
      <c r="L152" s="202">
        <f t="shared" si="92"/>
        <v>-1080</v>
      </c>
      <c r="M152" s="202">
        <f t="shared" si="92"/>
        <v>-1070</v>
      </c>
      <c r="N152" s="202">
        <f t="shared" si="92"/>
        <v>-1080</v>
      </c>
      <c r="O152" s="202">
        <f t="shared" si="92"/>
        <v>-1070</v>
      </c>
      <c r="P152" s="202">
        <f t="shared" si="92"/>
        <v>-540</v>
      </c>
      <c r="Q152" s="202"/>
      <c r="R152" s="202"/>
      <c r="S152" s="202"/>
      <c r="T152" s="202"/>
      <c r="U152" s="203"/>
    </row>
    <row r="153" spans="2:22" ht="15.5" x14ac:dyDescent="0.35">
      <c r="B153" s="103" t="s">
        <v>186</v>
      </c>
      <c r="C153" s="339"/>
      <c r="D153" s="202"/>
      <c r="E153" s="202"/>
      <c r="F153" s="202"/>
      <c r="G153" s="202">
        <f t="shared" ref="G153:U153" si="93">G89</f>
        <v>930</v>
      </c>
      <c r="H153" s="202">
        <f t="shared" si="93"/>
        <v>10</v>
      </c>
      <c r="I153" s="202">
        <f t="shared" si="93"/>
        <v>20</v>
      </c>
      <c r="J153" s="202">
        <f t="shared" si="93"/>
        <v>20</v>
      </c>
      <c r="K153" s="202">
        <f t="shared" si="93"/>
        <v>10</v>
      </c>
      <c r="L153" s="202">
        <f t="shared" si="93"/>
        <v>20</v>
      </c>
      <c r="M153" s="202">
        <f t="shared" si="93"/>
        <v>20</v>
      </c>
      <c r="N153" s="202">
        <f t="shared" si="93"/>
        <v>20</v>
      </c>
      <c r="O153" s="202">
        <f t="shared" si="93"/>
        <v>20</v>
      </c>
      <c r="P153" s="202">
        <f t="shared" si="93"/>
        <v>20</v>
      </c>
      <c r="Q153" s="202">
        <f t="shared" si="93"/>
        <v>20</v>
      </c>
      <c r="R153" s="202">
        <f t="shared" si="93"/>
        <v>20</v>
      </c>
      <c r="S153" s="202">
        <f t="shared" si="93"/>
        <v>30</v>
      </c>
      <c r="T153" s="202">
        <f t="shared" si="93"/>
        <v>20</v>
      </c>
      <c r="U153" s="203">
        <f t="shared" si="93"/>
        <v>20</v>
      </c>
      <c r="V153" s="284"/>
    </row>
    <row r="154" spans="2:22" ht="15.5" x14ac:dyDescent="0.35">
      <c r="B154" s="103" t="s">
        <v>240</v>
      </c>
      <c r="C154" s="339"/>
      <c r="D154" s="202"/>
      <c r="E154" s="202"/>
      <c r="F154" s="202"/>
      <c r="G154" s="202">
        <f t="shared" ref="G154:U154" si="94">G90</f>
        <v>0</v>
      </c>
      <c r="H154" s="202">
        <f t="shared" si="94"/>
        <v>0</v>
      </c>
      <c r="I154" s="202">
        <f t="shared" si="94"/>
        <v>0</v>
      </c>
      <c r="J154" s="202">
        <f t="shared" si="94"/>
        <v>0</v>
      </c>
      <c r="K154" s="202">
        <f t="shared" si="94"/>
        <v>0</v>
      </c>
      <c r="L154" s="202">
        <f t="shared" si="94"/>
        <v>0</v>
      </c>
      <c r="M154" s="202">
        <f t="shared" si="94"/>
        <v>0</v>
      </c>
      <c r="N154" s="202">
        <f t="shared" si="94"/>
        <v>0</v>
      </c>
      <c r="O154" s="202">
        <f t="shared" si="94"/>
        <v>0</v>
      </c>
      <c r="P154" s="202">
        <f t="shared" si="94"/>
        <v>0</v>
      </c>
      <c r="Q154" s="202">
        <f t="shared" si="94"/>
        <v>0</v>
      </c>
      <c r="R154" s="202">
        <f t="shared" si="94"/>
        <v>0</v>
      </c>
      <c r="S154" s="202">
        <f t="shared" si="94"/>
        <v>0</v>
      </c>
      <c r="T154" s="202">
        <f t="shared" si="94"/>
        <v>0</v>
      </c>
      <c r="U154" s="203">
        <f t="shared" si="94"/>
        <v>0</v>
      </c>
      <c r="V154" s="284"/>
    </row>
    <row r="155" spans="2:22" ht="15.5" x14ac:dyDescent="0.35">
      <c r="B155" s="103" t="s">
        <v>145</v>
      </c>
      <c r="C155" s="202"/>
      <c r="D155" s="202"/>
      <c r="E155" s="202"/>
      <c r="F155" s="202"/>
      <c r="G155" s="202">
        <f t="shared" ref="G155:U155" si="95">G91</f>
        <v>-1243.1999999999998</v>
      </c>
      <c r="H155" s="202">
        <f t="shared" si="95"/>
        <v>-1145.4000000000001</v>
      </c>
      <c r="I155" s="202">
        <f t="shared" si="95"/>
        <v>-1017</v>
      </c>
      <c r="J155" s="202">
        <f t="shared" si="95"/>
        <v>-890.4</v>
      </c>
      <c r="K155" s="202">
        <f t="shared" si="95"/>
        <v>-763.2</v>
      </c>
      <c r="L155" s="202">
        <f t="shared" si="95"/>
        <v>-636</v>
      </c>
      <c r="M155" s="202">
        <f t="shared" si="95"/>
        <v>-509.4</v>
      </c>
      <c r="N155" s="202">
        <f t="shared" si="95"/>
        <v>-382.8</v>
      </c>
      <c r="O155" s="202">
        <f t="shared" si="95"/>
        <v>-256.2</v>
      </c>
      <c r="P155" s="202">
        <f t="shared" si="95"/>
        <v>-162</v>
      </c>
      <c r="Q155" s="202">
        <f t="shared" si="95"/>
        <v>-132</v>
      </c>
      <c r="R155" s="202">
        <f t="shared" si="95"/>
        <v>-134.4</v>
      </c>
      <c r="S155" s="202">
        <f t="shared" si="95"/>
        <v>-137.4</v>
      </c>
      <c r="T155" s="202">
        <f t="shared" si="95"/>
        <v>-140.4</v>
      </c>
      <c r="U155" s="203">
        <f t="shared" si="95"/>
        <v>-142.79999999999998</v>
      </c>
    </row>
    <row r="156" spans="2:22" ht="5.75" customHeight="1" thickBot="1" x14ac:dyDescent="0.4">
      <c r="B156" s="123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3"/>
    </row>
    <row r="157" spans="2:22" s="34" customFormat="1" ht="15.5" x14ac:dyDescent="0.35">
      <c r="B157" s="119" t="s">
        <v>253</v>
      </c>
      <c r="C157" s="213"/>
      <c r="D157" s="362">
        <f t="shared" ref="D157:U157" si="96">SUM(D149:D155)</f>
        <v>-1040</v>
      </c>
      <c r="E157" s="362">
        <f t="shared" si="96"/>
        <v>-1650</v>
      </c>
      <c r="F157" s="362">
        <f t="shared" si="96"/>
        <v>-1470</v>
      </c>
      <c r="G157" s="362">
        <f t="shared" si="96"/>
        <v>895.65520676485676</v>
      </c>
      <c r="H157" s="362">
        <f t="shared" si="96"/>
        <v>690.12006296780191</v>
      </c>
      <c r="I157" s="362">
        <f t="shared" si="96"/>
        <v>782.34977685683589</v>
      </c>
      <c r="J157" s="362">
        <f t="shared" si="96"/>
        <v>839.83814008254069</v>
      </c>
      <c r="K157" s="362">
        <f t="shared" si="96"/>
        <v>904.8753143762176</v>
      </c>
      <c r="L157" s="362">
        <f t="shared" si="96"/>
        <v>956.74770893049572</v>
      </c>
      <c r="M157" s="362">
        <f t="shared" si="96"/>
        <v>1034.7378535927469</v>
      </c>
      <c r="N157" s="362">
        <f t="shared" si="96"/>
        <v>1069.3242677257315</v>
      </c>
      <c r="O157" s="362">
        <f t="shared" si="96"/>
        <v>1130.3813245847521</v>
      </c>
      <c r="P157" s="362">
        <f t="shared" si="96"/>
        <v>1685.3791110552847</v>
      </c>
      <c r="Q157" s="362">
        <f t="shared" si="96"/>
        <v>2182.3832825894297</v>
      </c>
      <c r="R157" s="362">
        <f t="shared" si="96"/>
        <v>2113.0549131738785</v>
      </c>
      <c r="S157" s="362">
        <f t="shared" si="96"/>
        <v>2059.0503401560723</v>
      </c>
      <c r="T157" s="362">
        <f t="shared" si="96"/>
        <v>1970.8210037491112</v>
      </c>
      <c r="U157" s="365">
        <f t="shared" si="96"/>
        <v>1898.8132810295565</v>
      </c>
    </row>
    <row r="158" spans="2:22" s="34" customFormat="1" ht="15.5" x14ac:dyDescent="0.35">
      <c r="B158" s="107" t="s">
        <v>48</v>
      </c>
      <c r="C158" s="204"/>
      <c r="D158" s="204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3">
        <f>G125</f>
        <v>19015</v>
      </c>
    </row>
    <row r="159" spans="2:22" s="34" customFormat="1" ht="16" thickBot="1" x14ac:dyDescent="0.4">
      <c r="B159" s="123" t="s">
        <v>250</v>
      </c>
      <c r="C159" s="216"/>
      <c r="D159" s="363">
        <f t="shared" ref="D159" si="97">D157+D158</f>
        <v>-1040</v>
      </c>
      <c r="E159" s="363">
        <f t="shared" ref="E159" si="98">E157+E158</f>
        <v>-1650</v>
      </c>
      <c r="F159" s="363">
        <f t="shared" ref="F159" si="99">F157+F158</f>
        <v>-1470</v>
      </c>
      <c r="G159" s="363">
        <f t="shared" ref="G159" si="100">G157+G158</f>
        <v>895.65520676485676</v>
      </c>
      <c r="H159" s="363">
        <f t="shared" ref="H159" si="101">H157+H158</f>
        <v>690.12006296780191</v>
      </c>
      <c r="I159" s="363">
        <f t="shared" ref="I159" si="102">I157+I158</f>
        <v>782.34977685683589</v>
      </c>
      <c r="J159" s="363">
        <f t="shared" ref="J159" si="103">J157+J158</f>
        <v>839.83814008254069</v>
      </c>
      <c r="K159" s="363">
        <f t="shared" ref="K159" si="104">K157+K158</f>
        <v>904.8753143762176</v>
      </c>
      <c r="L159" s="363">
        <f t="shared" ref="L159" si="105">L157+L158</f>
        <v>956.74770893049572</v>
      </c>
      <c r="M159" s="363">
        <f t="shared" ref="M159" si="106">M157+M158</f>
        <v>1034.7378535927469</v>
      </c>
      <c r="N159" s="363">
        <f t="shared" ref="N159" si="107">N157+N158</f>
        <v>1069.3242677257315</v>
      </c>
      <c r="O159" s="363">
        <f t="shared" ref="O159" si="108">O157+O158</f>
        <v>1130.3813245847521</v>
      </c>
      <c r="P159" s="363">
        <f t="shared" ref="P159" si="109">P157+P158</f>
        <v>1685.3791110552847</v>
      </c>
      <c r="Q159" s="363">
        <f t="shared" ref="Q159" si="110">Q157+Q158</f>
        <v>2182.3832825894297</v>
      </c>
      <c r="R159" s="363">
        <f t="shared" ref="R159" si="111">R157+R158</f>
        <v>2113.0549131738785</v>
      </c>
      <c r="S159" s="363">
        <f t="shared" ref="S159" si="112">S157+S158</f>
        <v>2059.0503401560723</v>
      </c>
      <c r="T159" s="363">
        <f>T157+T158</f>
        <v>1970.8210037491112</v>
      </c>
      <c r="U159" s="364">
        <f>U157+U158</f>
        <v>20913.813281029557</v>
      </c>
    </row>
    <row r="160" spans="2:22" s="34" customFormat="1" ht="7.5" customHeight="1" x14ac:dyDescent="0.35">
      <c r="B160" s="369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</row>
    <row r="161" spans="2:21" s="34" customFormat="1" ht="15.5" x14ac:dyDescent="0.35">
      <c r="B161" s="370" t="s">
        <v>242</v>
      </c>
      <c r="C161" s="371">
        <f>IRR(D159:U159)</f>
        <v>0.22758785320502262</v>
      </c>
      <c r="D161" s="366"/>
      <c r="E161" s="367"/>
      <c r="F161" s="367"/>
      <c r="G161" s="367"/>
      <c r="H161" s="367"/>
      <c r="I161" s="367"/>
      <c r="J161" s="367"/>
      <c r="K161" s="367"/>
      <c r="L161" s="367"/>
      <c r="M161" s="367"/>
      <c r="N161" s="367"/>
      <c r="O161" s="367"/>
      <c r="P161" s="367"/>
      <c r="Q161" s="367"/>
      <c r="R161" s="367"/>
      <c r="S161" s="367"/>
      <c r="T161" s="367"/>
      <c r="U161" s="367"/>
    </row>
    <row r="162" spans="2:21" s="34" customFormat="1" ht="15.5" x14ac:dyDescent="0.35">
      <c r="B162" s="372" t="s">
        <v>243</v>
      </c>
      <c r="C162" s="373">
        <f>IRR(D157:U157)</f>
        <v>0.19485335222795497</v>
      </c>
      <c r="D162" s="366"/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</row>
    <row r="163" spans="2:21" s="34" customFormat="1" ht="15.5" x14ac:dyDescent="0.35">
      <c r="B163" s="372" t="s">
        <v>244</v>
      </c>
      <c r="C163" s="373">
        <f>C161-C162</f>
        <v>3.2734500977067649E-2</v>
      </c>
      <c r="D163" s="366"/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</row>
    <row r="164" spans="2:21" s="34" customFormat="1" x14ac:dyDescent="0.35"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</row>
    <row r="165" spans="2:21" s="34" customFormat="1" x14ac:dyDescent="0.35"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</row>
    <row r="166" spans="2:21" s="34" customFormat="1" x14ac:dyDescent="0.35"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</row>
    <row r="167" spans="2:21" s="34" customFormat="1" x14ac:dyDescent="0.35"/>
    <row r="168" spans="2:21" s="34" customFormat="1" x14ac:dyDescent="0.35"/>
    <row r="169" spans="2:21" s="34" customFormat="1" x14ac:dyDescent="0.35"/>
    <row r="170" spans="2:21" s="34" customFormat="1" x14ac:dyDescent="0.35"/>
    <row r="171" spans="2:21" s="34" customFormat="1" x14ac:dyDescent="0.35"/>
    <row r="172" spans="2:21" s="34" customFormat="1" x14ac:dyDescent="0.35"/>
    <row r="173" spans="2:21" s="34" customFormat="1" x14ac:dyDescent="0.35"/>
    <row r="174" spans="2:21" s="34" customFormat="1" x14ac:dyDescent="0.35"/>
    <row r="175" spans="2:21" s="34" customFormat="1" x14ac:dyDescent="0.35"/>
    <row r="176" spans="2:21" s="34" customFormat="1" x14ac:dyDescent="0.35"/>
    <row r="177" s="34" customFormat="1" x14ac:dyDescent="0.35"/>
    <row r="178" s="34" customFormat="1" x14ac:dyDescent="0.35"/>
    <row r="179" s="34" customFormat="1" x14ac:dyDescent="0.35"/>
    <row r="180" s="34" customFormat="1" x14ac:dyDescent="0.35"/>
    <row r="181" s="34" customFormat="1" x14ac:dyDescent="0.35"/>
    <row r="182" s="34" customFormat="1" x14ac:dyDescent="0.35"/>
    <row r="183" s="34" customFormat="1" x14ac:dyDescent="0.35"/>
    <row r="184" s="34" customFormat="1" x14ac:dyDescent="0.35"/>
    <row r="185" s="34" customFormat="1" x14ac:dyDescent="0.35"/>
    <row r="186" s="34" customFormat="1" x14ac:dyDescent="0.35"/>
    <row r="187" s="34" customFormat="1" x14ac:dyDescent="0.35"/>
    <row r="188" s="34" customFormat="1" x14ac:dyDescent="0.35"/>
    <row r="189" s="34" customFormat="1" x14ac:dyDescent="0.35"/>
    <row r="190" s="34" customFormat="1" x14ac:dyDescent="0.35"/>
    <row r="191" s="34" customFormat="1" x14ac:dyDescent="0.35"/>
    <row r="192" s="34" customFormat="1" x14ac:dyDescent="0.35"/>
    <row r="193" s="34" customFormat="1" x14ac:dyDescent="0.35"/>
    <row r="194" s="34" customFormat="1" x14ac:dyDescent="0.35"/>
    <row r="195" s="34" customFormat="1" x14ac:dyDescent="0.35"/>
    <row r="196" s="34" customFormat="1" x14ac:dyDescent="0.35"/>
    <row r="197" s="34" customFormat="1" x14ac:dyDescent="0.35"/>
    <row r="198" s="34" customFormat="1" x14ac:dyDescent="0.35"/>
    <row r="199" s="34" customFormat="1" x14ac:dyDescent="0.35"/>
    <row r="200" s="34" customFormat="1" x14ac:dyDescent="0.35"/>
    <row r="201" s="34" customFormat="1" x14ac:dyDescent="0.35"/>
  </sheetData>
  <pageMargins left="0.75" right="0.75" top="1" bottom="1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V102"/>
  <sheetViews>
    <sheetView showGridLines="0" topLeftCell="A23" workbookViewId="0">
      <selection activeCell="F28" sqref="F28"/>
    </sheetView>
  </sheetViews>
  <sheetFormatPr baseColWidth="10" defaultColWidth="8.81640625" defaultRowHeight="14.5" x14ac:dyDescent="0.35"/>
  <cols>
    <col min="2" max="2" width="39" bestFit="1" customWidth="1"/>
    <col min="3" max="3" width="7.81640625" customWidth="1"/>
    <col min="4" max="6" width="6.6328125" customWidth="1"/>
    <col min="7" max="8" width="7.1796875" customWidth="1"/>
    <col min="9" max="11" width="6.6328125" customWidth="1"/>
    <col min="12" max="12" width="7.26953125" customWidth="1"/>
    <col min="13" max="20" width="6.6328125" customWidth="1"/>
    <col min="21" max="21" width="39.453125" bestFit="1" customWidth="1"/>
    <col min="22" max="22" width="5.453125" customWidth="1"/>
  </cols>
  <sheetData>
    <row r="1" spans="2:22" ht="15" thickBot="1" x14ac:dyDescent="0.4"/>
    <row r="2" spans="2:22" ht="16" thickBot="1" x14ac:dyDescent="0.4">
      <c r="B2" s="496" t="s">
        <v>37</v>
      </c>
      <c r="C2" s="497"/>
      <c r="D2" s="34"/>
      <c r="E2" s="157" t="s">
        <v>38</v>
      </c>
      <c r="F2" s="169"/>
      <c r="G2" s="167">
        <f>SUM(C31:L31,C24:L24,C26:L26)/SUM(C24:L24,C34:L34)</f>
        <v>1.5365519467476272</v>
      </c>
      <c r="H2" s="34"/>
      <c r="I2" s="34"/>
      <c r="J2" s="34"/>
      <c r="K2" s="34"/>
      <c r="L2" s="34"/>
      <c r="M2" s="34"/>
      <c r="N2" s="34"/>
      <c r="O2" s="34"/>
      <c r="P2" s="34"/>
      <c r="Q2" s="34"/>
      <c r="U2" s="146" t="s">
        <v>79</v>
      </c>
      <c r="V2" s="147"/>
    </row>
    <row r="3" spans="2:22" x14ac:dyDescent="0.35">
      <c r="B3" s="59" t="s">
        <v>16</v>
      </c>
      <c r="C3" s="60">
        <v>0.8</v>
      </c>
      <c r="D3" s="34"/>
      <c r="E3" s="170" t="s">
        <v>58</v>
      </c>
      <c r="F3" s="171"/>
      <c r="G3" s="168">
        <f>C51</f>
        <v>0.13848410167704839</v>
      </c>
      <c r="H3" s="34"/>
      <c r="I3" s="34"/>
      <c r="J3" s="34"/>
      <c r="K3" s="34"/>
      <c r="L3" s="34"/>
      <c r="M3" s="34"/>
      <c r="N3" s="34"/>
      <c r="O3" s="34"/>
      <c r="P3" s="34"/>
      <c r="Q3" s="34"/>
      <c r="U3" s="148" t="s">
        <v>60</v>
      </c>
      <c r="V3" s="149">
        <f>($C$13*2400/(5500*1000))/0.992</f>
        <v>0.92480938416422287</v>
      </c>
    </row>
    <row r="4" spans="2:22" ht="15" thickBot="1" x14ac:dyDescent="0.4">
      <c r="B4" s="62" t="s">
        <v>39</v>
      </c>
      <c r="C4" s="63">
        <v>1</v>
      </c>
      <c r="E4" s="64" t="s">
        <v>59</v>
      </c>
      <c r="F4" s="140"/>
      <c r="G4" s="143">
        <f>C64</f>
        <v>0.11098225344350454</v>
      </c>
      <c r="U4" s="148" t="s">
        <v>61</v>
      </c>
      <c r="V4" s="149">
        <f>($C$13*2400/(3450*1000))/0.992</f>
        <v>1.4743338008415148</v>
      </c>
    </row>
    <row r="5" spans="2:22" x14ac:dyDescent="0.35">
      <c r="B5" s="62" t="s">
        <v>40</v>
      </c>
      <c r="C5" s="65">
        <v>0.12</v>
      </c>
      <c r="U5" s="150" t="s">
        <v>62</v>
      </c>
      <c r="V5" s="149">
        <f>AVERAGE(V3:V4)</f>
        <v>1.1995715925028687</v>
      </c>
    </row>
    <row r="6" spans="2:22" ht="15" thickBot="1" x14ac:dyDescent="0.4">
      <c r="B6" s="66" t="s">
        <v>41</v>
      </c>
      <c r="C6" s="67">
        <v>1</v>
      </c>
      <c r="U6" s="155"/>
      <c r="V6" s="156"/>
    </row>
    <row r="7" spans="2:22" x14ac:dyDescent="0.35">
      <c r="U7" s="157" t="s">
        <v>70</v>
      </c>
      <c r="V7" s="158"/>
    </row>
    <row r="8" spans="2:22" ht="15" thickBot="1" x14ac:dyDescent="0.4">
      <c r="U8" s="152" t="s">
        <v>60</v>
      </c>
      <c r="V8" s="151"/>
    </row>
    <row r="9" spans="2:22" ht="16" thickBot="1" x14ac:dyDescent="0.4">
      <c r="B9" s="491" t="s">
        <v>106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3"/>
      <c r="U9" s="148" t="s">
        <v>69</v>
      </c>
      <c r="V9" s="153">
        <f>(1150+700)/2</f>
        <v>925</v>
      </c>
    </row>
    <row r="10" spans="2:22" s="68" customFormat="1" ht="16" thickBot="1" x14ac:dyDescent="0.4">
      <c r="B10" s="30" t="s">
        <v>113</v>
      </c>
      <c r="C10" s="2">
        <v>2013</v>
      </c>
      <c r="D10" s="2">
        <v>2014</v>
      </c>
      <c r="E10" s="2">
        <v>2015</v>
      </c>
      <c r="F10" s="2">
        <v>2016</v>
      </c>
      <c r="G10" s="2">
        <v>2017</v>
      </c>
      <c r="H10" s="2">
        <v>2018</v>
      </c>
      <c r="I10" s="2">
        <v>2019</v>
      </c>
      <c r="J10" s="2">
        <v>2020</v>
      </c>
      <c r="K10" s="2">
        <v>2021</v>
      </c>
      <c r="L10" s="2">
        <v>2022</v>
      </c>
      <c r="M10" s="2">
        <v>2023</v>
      </c>
      <c r="N10" s="2">
        <v>2024</v>
      </c>
      <c r="O10" s="2">
        <v>2025</v>
      </c>
      <c r="P10" s="2">
        <v>2026</v>
      </c>
      <c r="Q10" s="3">
        <v>2027</v>
      </c>
      <c r="U10" s="148" t="s">
        <v>65</v>
      </c>
      <c r="V10" s="154">
        <v>1</v>
      </c>
    </row>
    <row r="11" spans="2:22" s="34" customFormat="1" ht="16" thickBot="1" x14ac:dyDescent="0.4">
      <c r="B11" s="31" t="s">
        <v>15</v>
      </c>
      <c r="C11" s="69">
        <v>300</v>
      </c>
      <c r="D11" s="69">
        <v>300</v>
      </c>
      <c r="E11" s="69">
        <v>300</v>
      </c>
      <c r="F11" s="69">
        <v>300</v>
      </c>
      <c r="G11" s="69">
        <v>300</v>
      </c>
      <c r="H11" s="69">
        <v>300</v>
      </c>
      <c r="I11" s="69">
        <v>300</v>
      </c>
      <c r="J11" s="69">
        <v>300</v>
      </c>
      <c r="K11" s="69">
        <v>300</v>
      </c>
      <c r="L11" s="69">
        <v>300</v>
      </c>
      <c r="M11" s="69">
        <v>300</v>
      </c>
      <c r="N11" s="69">
        <v>300</v>
      </c>
      <c r="O11" s="69">
        <v>300</v>
      </c>
      <c r="P11" s="69">
        <v>300</v>
      </c>
      <c r="Q11" s="70">
        <v>300</v>
      </c>
      <c r="R11" s="71"/>
      <c r="U11" s="148" t="s">
        <v>66</v>
      </c>
      <c r="V11" s="165">
        <v>0.03</v>
      </c>
    </row>
    <row r="12" spans="2:22" s="34" customFormat="1" ht="16" thickTop="1" x14ac:dyDescent="0.35">
      <c r="B12" s="35" t="s">
        <v>16</v>
      </c>
      <c r="C12" s="72">
        <f>$C$3</f>
        <v>0.8</v>
      </c>
      <c r="D12" s="72">
        <f t="shared" ref="D12:Q12" si="0">$C$3</f>
        <v>0.8</v>
      </c>
      <c r="E12" s="72">
        <f t="shared" si="0"/>
        <v>0.8</v>
      </c>
      <c r="F12" s="72">
        <f t="shared" si="0"/>
        <v>0.8</v>
      </c>
      <c r="G12" s="72">
        <f t="shared" si="0"/>
        <v>0.8</v>
      </c>
      <c r="H12" s="72">
        <f t="shared" si="0"/>
        <v>0.8</v>
      </c>
      <c r="I12" s="72">
        <f t="shared" si="0"/>
        <v>0.8</v>
      </c>
      <c r="J12" s="72">
        <f t="shared" si="0"/>
        <v>0.8</v>
      </c>
      <c r="K12" s="72">
        <f t="shared" si="0"/>
        <v>0.8</v>
      </c>
      <c r="L12" s="72">
        <f t="shared" si="0"/>
        <v>0.8</v>
      </c>
      <c r="M12" s="72">
        <f t="shared" si="0"/>
        <v>0.8</v>
      </c>
      <c r="N12" s="72">
        <f t="shared" si="0"/>
        <v>0.8</v>
      </c>
      <c r="O12" s="72">
        <f t="shared" si="0"/>
        <v>0.8</v>
      </c>
      <c r="P12" s="72">
        <f t="shared" si="0"/>
        <v>0.8</v>
      </c>
      <c r="Q12" s="73">
        <f t="shared" si="0"/>
        <v>0.8</v>
      </c>
      <c r="R12" s="71"/>
      <c r="U12" s="148"/>
      <c r="V12" s="164">
        <f>V9*((1+V11)^3)</f>
        <v>1010.772475</v>
      </c>
    </row>
    <row r="13" spans="2:22" s="34" customFormat="1" ht="15.5" x14ac:dyDescent="0.35">
      <c r="B13" s="35" t="s">
        <v>80</v>
      </c>
      <c r="C13" s="74">
        <f t="shared" ref="C13:Q13" si="1">C11*1000*24*365*C12/1000000</f>
        <v>2102.4</v>
      </c>
      <c r="D13" s="74">
        <f t="shared" si="1"/>
        <v>2102.4</v>
      </c>
      <c r="E13" s="74">
        <f t="shared" si="1"/>
        <v>2102.4</v>
      </c>
      <c r="F13" s="74">
        <f t="shared" si="1"/>
        <v>2102.4</v>
      </c>
      <c r="G13" s="74">
        <f t="shared" si="1"/>
        <v>2102.4</v>
      </c>
      <c r="H13" s="74">
        <f t="shared" si="1"/>
        <v>2102.4</v>
      </c>
      <c r="I13" s="74">
        <f t="shared" si="1"/>
        <v>2102.4</v>
      </c>
      <c r="J13" s="74">
        <f t="shared" si="1"/>
        <v>2102.4</v>
      </c>
      <c r="K13" s="74">
        <f t="shared" si="1"/>
        <v>2102.4</v>
      </c>
      <c r="L13" s="74">
        <f t="shared" si="1"/>
        <v>2102.4</v>
      </c>
      <c r="M13" s="74">
        <f t="shared" si="1"/>
        <v>2102.4</v>
      </c>
      <c r="N13" s="74">
        <f t="shared" si="1"/>
        <v>2102.4</v>
      </c>
      <c r="O13" s="74">
        <f t="shared" si="1"/>
        <v>2102.4</v>
      </c>
      <c r="P13" s="74">
        <f t="shared" si="1"/>
        <v>2102.4</v>
      </c>
      <c r="Q13" s="75">
        <f t="shared" si="1"/>
        <v>2102.4</v>
      </c>
      <c r="R13" s="71"/>
      <c r="U13" s="148"/>
      <c r="V13" s="149"/>
    </row>
    <row r="14" spans="2:22" s="34" customFormat="1" ht="15.5" x14ac:dyDescent="0.35">
      <c r="B14" s="35" t="s">
        <v>81</v>
      </c>
      <c r="C14" s="76">
        <v>201</v>
      </c>
      <c r="D14" s="76">
        <v>201</v>
      </c>
      <c r="E14" s="76">
        <v>201</v>
      </c>
      <c r="F14" s="76">
        <v>201</v>
      </c>
      <c r="G14" s="76">
        <v>201</v>
      </c>
      <c r="H14" s="76">
        <v>201</v>
      </c>
      <c r="I14" s="76">
        <v>201</v>
      </c>
      <c r="J14" s="76">
        <v>201</v>
      </c>
      <c r="K14" s="76">
        <v>201</v>
      </c>
      <c r="L14" s="76">
        <v>201</v>
      </c>
      <c r="M14" s="76">
        <v>201</v>
      </c>
      <c r="N14" s="76">
        <v>201</v>
      </c>
      <c r="O14" s="76">
        <v>201</v>
      </c>
      <c r="P14" s="76">
        <v>201</v>
      </c>
      <c r="Q14" s="77">
        <v>201</v>
      </c>
      <c r="R14" s="71"/>
      <c r="U14" s="152" t="s">
        <v>61</v>
      </c>
      <c r="V14" s="149"/>
    </row>
    <row r="15" spans="2:22" s="34" customFormat="1" ht="15.5" x14ac:dyDescent="0.35">
      <c r="B15" s="78" t="s">
        <v>82</v>
      </c>
      <c r="C15" s="74">
        <f t="shared" ref="C15:Q15" si="2">C13-C14</f>
        <v>1901.4</v>
      </c>
      <c r="D15" s="74">
        <f t="shared" si="2"/>
        <v>1901.4</v>
      </c>
      <c r="E15" s="74">
        <f t="shared" si="2"/>
        <v>1901.4</v>
      </c>
      <c r="F15" s="74">
        <f t="shared" si="2"/>
        <v>1901.4</v>
      </c>
      <c r="G15" s="74">
        <f t="shared" si="2"/>
        <v>1901.4</v>
      </c>
      <c r="H15" s="74">
        <f t="shared" si="2"/>
        <v>1901.4</v>
      </c>
      <c r="I15" s="74">
        <f t="shared" si="2"/>
        <v>1901.4</v>
      </c>
      <c r="J15" s="74">
        <f t="shared" si="2"/>
        <v>1901.4</v>
      </c>
      <c r="K15" s="74">
        <f t="shared" si="2"/>
        <v>1901.4</v>
      </c>
      <c r="L15" s="74">
        <f t="shared" si="2"/>
        <v>1901.4</v>
      </c>
      <c r="M15" s="74">
        <f t="shared" si="2"/>
        <v>1901.4</v>
      </c>
      <c r="N15" s="74">
        <f t="shared" si="2"/>
        <v>1901.4</v>
      </c>
      <c r="O15" s="74">
        <f t="shared" si="2"/>
        <v>1901.4</v>
      </c>
      <c r="P15" s="74">
        <f t="shared" si="2"/>
        <v>1901.4</v>
      </c>
      <c r="Q15" s="75">
        <f t="shared" si="2"/>
        <v>1901.4</v>
      </c>
      <c r="U15" s="148" t="s">
        <v>67</v>
      </c>
      <c r="V15" s="153">
        <f>67.5*49</f>
        <v>3307.5</v>
      </c>
    </row>
    <row r="16" spans="2:22" s="34" customFormat="1" ht="15.5" x14ac:dyDescent="0.35">
      <c r="B16" s="35" t="s">
        <v>111</v>
      </c>
      <c r="C16" s="79">
        <v>3.3</v>
      </c>
      <c r="D16" s="79">
        <f>C16*1.01</f>
        <v>3.3329999999999997</v>
      </c>
      <c r="E16" s="79">
        <f t="shared" ref="E16:Q16" si="3">D16*1.01</f>
        <v>3.3663299999999996</v>
      </c>
      <c r="F16" s="79">
        <f t="shared" si="3"/>
        <v>3.3999932999999998</v>
      </c>
      <c r="G16" s="79">
        <f t="shared" si="3"/>
        <v>3.4339932329999998</v>
      </c>
      <c r="H16" s="79">
        <f t="shared" si="3"/>
        <v>3.4683331653299998</v>
      </c>
      <c r="I16" s="79">
        <f t="shared" si="3"/>
        <v>3.5030164969833</v>
      </c>
      <c r="J16" s="79">
        <f t="shared" si="3"/>
        <v>3.5380466619531332</v>
      </c>
      <c r="K16" s="79">
        <f t="shared" si="3"/>
        <v>3.5734271285726646</v>
      </c>
      <c r="L16" s="79">
        <f t="shared" si="3"/>
        <v>3.6091613998583911</v>
      </c>
      <c r="M16" s="79">
        <f t="shared" si="3"/>
        <v>3.645253013856975</v>
      </c>
      <c r="N16" s="79">
        <f t="shared" si="3"/>
        <v>3.6817055439955446</v>
      </c>
      <c r="O16" s="79">
        <f t="shared" si="3"/>
        <v>3.7185225994355</v>
      </c>
      <c r="P16" s="79">
        <f t="shared" si="3"/>
        <v>3.7557078254298553</v>
      </c>
      <c r="Q16" s="80">
        <f t="shared" si="3"/>
        <v>3.7932649036841539</v>
      </c>
      <c r="R16" s="81"/>
      <c r="U16" s="148" t="s">
        <v>64</v>
      </c>
      <c r="V16" s="154">
        <v>1</v>
      </c>
    </row>
    <row r="17" spans="2:22" s="34" customFormat="1" ht="16" thickBot="1" x14ac:dyDescent="0.4">
      <c r="B17" s="82" t="s">
        <v>21</v>
      </c>
      <c r="C17" s="83">
        <f>C15*C16</f>
        <v>6274.62</v>
      </c>
      <c r="D17" s="83">
        <f t="shared" ref="D17:Q17" si="4">D15*D16</f>
        <v>6337.3661999999995</v>
      </c>
      <c r="E17" s="83">
        <f t="shared" si="4"/>
        <v>6400.7398619999994</v>
      </c>
      <c r="F17" s="83">
        <f t="shared" si="4"/>
        <v>6464.7472606199999</v>
      </c>
      <c r="G17" s="83">
        <f t="shared" si="4"/>
        <v>6529.3947332261996</v>
      </c>
      <c r="H17" s="83">
        <f t="shared" si="4"/>
        <v>6594.6886805584618</v>
      </c>
      <c r="I17" s="83">
        <f t="shared" si="4"/>
        <v>6660.6355673640473</v>
      </c>
      <c r="J17" s="83">
        <f t="shared" si="4"/>
        <v>6727.2419230376881</v>
      </c>
      <c r="K17" s="83">
        <f t="shared" si="4"/>
        <v>6794.5143422680649</v>
      </c>
      <c r="L17" s="83">
        <f t="shared" si="4"/>
        <v>6862.4594856907452</v>
      </c>
      <c r="M17" s="83">
        <f t="shared" si="4"/>
        <v>6931.0840805476528</v>
      </c>
      <c r="N17" s="83">
        <f t="shared" si="4"/>
        <v>7000.3949213531287</v>
      </c>
      <c r="O17" s="83">
        <f t="shared" si="4"/>
        <v>7070.3988705666598</v>
      </c>
      <c r="P17" s="83">
        <f t="shared" si="4"/>
        <v>7141.1028592723269</v>
      </c>
      <c r="Q17" s="84">
        <f t="shared" si="4"/>
        <v>7212.5138878650505</v>
      </c>
      <c r="U17" s="148" t="s">
        <v>66</v>
      </c>
      <c r="V17" s="165">
        <v>0.03</v>
      </c>
    </row>
    <row r="18" spans="2:22" s="34" customFormat="1" ht="16" thickTop="1" x14ac:dyDescent="0.35">
      <c r="B18" s="45" t="s">
        <v>22</v>
      </c>
      <c r="C18" s="144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  <c r="U18" s="148"/>
      <c r="V18" s="164">
        <f>V15*((1+V17)^3)</f>
        <v>3614.1945525000001</v>
      </c>
    </row>
    <row r="19" spans="2:22" s="34" customFormat="1" ht="15.5" x14ac:dyDescent="0.35">
      <c r="B19" s="35" t="s">
        <v>41</v>
      </c>
      <c r="C19" s="74">
        <f>($V$22*((1.03^(C10-2012))))*$C$6</f>
        <v>2857.2092171624881</v>
      </c>
      <c r="D19" s="76">
        <f t="shared" ref="D19:Q19" si="5">($V$22*((1.03^(D10-2012))))*$C$6</f>
        <v>2942.9254936773627</v>
      </c>
      <c r="E19" s="76">
        <f t="shared" si="5"/>
        <v>3031.213258487684</v>
      </c>
      <c r="F19" s="76">
        <f t="shared" si="5"/>
        <v>3122.149656242314</v>
      </c>
      <c r="G19" s="76">
        <f t="shared" si="5"/>
        <v>3215.8141459295834</v>
      </c>
      <c r="H19" s="76">
        <f t="shared" si="5"/>
        <v>3312.2885703074712</v>
      </c>
      <c r="I19" s="76">
        <f t="shared" si="5"/>
        <v>3411.6572274166952</v>
      </c>
      <c r="J19" s="76">
        <f t="shared" si="5"/>
        <v>3514.0069442391959</v>
      </c>
      <c r="K19" s="76">
        <f t="shared" si="5"/>
        <v>3619.4271525663717</v>
      </c>
      <c r="L19" s="76">
        <f t="shared" si="5"/>
        <v>3728.0099671433627</v>
      </c>
      <c r="M19" s="76">
        <f t="shared" si="5"/>
        <v>3839.850266157664</v>
      </c>
      <c r="N19" s="76">
        <f t="shared" si="5"/>
        <v>3955.0457741423934</v>
      </c>
      <c r="O19" s="76">
        <f t="shared" si="5"/>
        <v>4073.6971473666649</v>
      </c>
      <c r="P19" s="76">
        <f t="shared" si="5"/>
        <v>4195.9080617876652</v>
      </c>
      <c r="Q19" s="77">
        <f t="shared" si="5"/>
        <v>4321.7853036412953</v>
      </c>
      <c r="U19" s="148"/>
      <c r="V19" s="149"/>
    </row>
    <row r="20" spans="2:22" s="34" customFormat="1" ht="15.5" x14ac:dyDescent="0.35">
      <c r="B20" s="35" t="s">
        <v>84</v>
      </c>
      <c r="C20" s="74">
        <f t="shared" ref="C20:Q20" si="6">((1.55*C11*((1.04)^(C10-2012))))*($C$3/85%)</f>
        <v>455.15294117647068</v>
      </c>
      <c r="D20" s="74">
        <f t="shared" si="6"/>
        <v>473.35905882352955</v>
      </c>
      <c r="E20" s="74">
        <f t="shared" si="6"/>
        <v>492.2934211764707</v>
      </c>
      <c r="F20" s="74">
        <f t="shared" si="6"/>
        <v>511.98515802352955</v>
      </c>
      <c r="G20" s="74">
        <f t="shared" si="6"/>
        <v>532.46456434447089</v>
      </c>
      <c r="H20" s="74">
        <f t="shared" si="6"/>
        <v>553.76314691824962</v>
      </c>
      <c r="I20" s="74">
        <f t="shared" si="6"/>
        <v>575.91367279497956</v>
      </c>
      <c r="J20" s="74">
        <f t="shared" si="6"/>
        <v>598.95021970677885</v>
      </c>
      <c r="K20" s="74">
        <f t="shared" si="6"/>
        <v>622.90822849505003</v>
      </c>
      <c r="L20" s="74">
        <f t="shared" si="6"/>
        <v>647.824557634852</v>
      </c>
      <c r="M20" s="74">
        <f t="shared" si="6"/>
        <v>673.73753994024617</v>
      </c>
      <c r="N20" s="74">
        <f t="shared" si="6"/>
        <v>700.68704153785609</v>
      </c>
      <c r="O20" s="74">
        <f t="shared" si="6"/>
        <v>728.71452319937032</v>
      </c>
      <c r="P20" s="74">
        <f t="shared" si="6"/>
        <v>757.8631041273452</v>
      </c>
      <c r="Q20" s="75">
        <f t="shared" si="6"/>
        <v>788.17762829243884</v>
      </c>
      <c r="U20" s="150" t="s">
        <v>71</v>
      </c>
      <c r="V20" s="159">
        <f>AVERAGE(V18,V12)</f>
        <v>2312.4835137499999</v>
      </c>
    </row>
    <row r="21" spans="2:22" s="34" customFormat="1" ht="16" thickBot="1" x14ac:dyDescent="0.4">
      <c r="B21" s="82" t="s">
        <v>25</v>
      </c>
      <c r="C21" s="76">
        <f t="shared" ref="C21:Q21" si="7">SUM(C19:C20)</f>
        <v>3312.3621583389586</v>
      </c>
      <c r="D21" s="74">
        <f t="shared" si="7"/>
        <v>3416.2845525008925</v>
      </c>
      <c r="E21" s="76">
        <f t="shared" si="7"/>
        <v>3523.5066796641549</v>
      </c>
      <c r="F21" s="76">
        <f t="shared" si="7"/>
        <v>3634.1348142658435</v>
      </c>
      <c r="G21" s="76">
        <f t="shared" si="7"/>
        <v>3748.2787102740544</v>
      </c>
      <c r="H21" s="76">
        <f t="shared" si="7"/>
        <v>3866.0517172257209</v>
      </c>
      <c r="I21" s="76">
        <f t="shared" si="7"/>
        <v>3987.5709002116746</v>
      </c>
      <c r="J21" s="76">
        <f t="shared" si="7"/>
        <v>4112.9571639459746</v>
      </c>
      <c r="K21" s="76">
        <f t="shared" si="7"/>
        <v>4242.3353810614217</v>
      </c>
      <c r="L21" s="76">
        <f t="shared" si="7"/>
        <v>4375.8345247782145</v>
      </c>
      <c r="M21" s="76">
        <f t="shared" si="7"/>
        <v>4513.5878060979103</v>
      </c>
      <c r="N21" s="76">
        <f t="shared" si="7"/>
        <v>4655.7328156802496</v>
      </c>
      <c r="O21" s="76">
        <f t="shared" si="7"/>
        <v>4802.4116705660354</v>
      </c>
      <c r="P21" s="76">
        <f t="shared" si="7"/>
        <v>4953.77116591501</v>
      </c>
      <c r="Q21" s="77">
        <f t="shared" si="7"/>
        <v>5109.9629319337346</v>
      </c>
      <c r="U21" s="162"/>
      <c r="V21" s="160"/>
    </row>
    <row r="22" spans="2:22" s="34" customFormat="1" ht="31.5" thickBot="1" x14ac:dyDescent="0.4">
      <c r="B22" s="85" t="s">
        <v>85</v>
      </c>
      <c r="C22" s="83">
        <f t="shared" ref="C22:Q22" si="8">C17-C21</f>
        <v>2962.2578416610413</v>
      </c>
      <c r="D22" s="83">
        <f t="shared" si="8"/>
        <v>2921.081647499107</v>
      </c>
      <c r="E22" s="83">
        <f t="shared" si="8"/>
        <v>2877.2331823358445</v>
      </c>
      <c r="F22" s="83">
        <f t="shared" si="8"/>
        <v>2830.6124463541564</v>
      </c>
      <c r="G22" s="83">
        <f t="shared" si="8"/>
        <v>2781.1160229521452</v>
      </c>
      <c r="H22" s="83">
        <f t="shared" si="8"/>
        <v>2728.6369633327408</v>
      </c>
      <c r="I22" s="83">
        <f t="shared" si="8"/>
        <v>2673.0646671523727</v>
      </c>
      <c r="J22" s="83">
        <f t="shared" si="8"/>
        <v>2614.2847590917136</v>
      </c>
      <c r="K22" s="83">
        <f t="shared" si="8"/>
        <v>2552.1789612066432</v>
      </c>
      <c r="L22" s="83">
        <f t="shared" si="8"/>
        <v>2486.6249609125307</v>
      </c>
      <c r="M22" s="83">
        <f t="shared" si="8"/>
        <v>2417.4962744497425</v>
      </c>
      <c r="N22" s="83">
        <f t="shared" si="8"/>
        <v>2344.6621056728791</v>
      </c>
      <c r="O22" s="83">
        <f t="shared" si="8"/>
        <v>2267.9872000006244</v>
      </c>
      <c r="P22" s="83">
        <f t="shared" si="8"/>
        <v>2187.3316933573169</v>
      </c>
      <c r="Q22" s="84">
        <f t="shared" si="8"/>
        <v>2102.5509559313159</v>
      </c>
      <c r="U22" s="163" t="s">
        <v>68</v>
      </c>
      <c r="V22" s="161">
        <f>V20*V5</f>
        <v>2773.9895312257167</v>
      </c>
    </row>
    <row r="23" spans="2:22" s="34" customFormat="1" ht="15.5" x14ac:dyDescent="0.35">
      <c r="B23" s="45" t="s">
        <v>27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  <c r="U23"/>
      <c r="V23"/>
    </row>
    <row r="24" spans="2:22" s="34" customFormat="1" ht="15.5" x14ac:dyDescent="0.35">
      <c r="B24" s="35" t="s">
        <v>28</v>
      </c>
      <c r="C24" s="74">
        <f>$C$5*(('Balance Sheet (Case Exhibit 6)'!F12+'Balance Sheet (Case Exhibit 6)'!G12)/2)</f>
        <v>1131.5999999999999</v>
      </c>
      <c r="D24" s="74">
        <f>$C$5*(('Balance Sheet (Case Exhibit 6)'!G12+'Balance Sheet (Case Exhibit 6)'!H12)/2)</f>
        <v>1033.2</v>
      </c>
      <c r="E24" s="74">
        <f>$C$5*(('Balance Sheet (Case Exhibit 6)'!H12+'Balance Sheet (Case Exhibit 6)'!I12)/2)</f>
        <v>903</v>
      </c>
      <c r="F24" s="74">
        <f>$C$5*(('Balance Sheet (Case Exhibit 6)'!I12+'Balance Sheet (Case Exhibit 6)'!J12)/2)</f>
        <v>774</v>
      </c>
      <c r="G24" s="74">
        <f>$C$5*(('Balance Sheet (Case Exhibit 6)'!J12+'Balance Sheet (Case Exhibit 6)'!K12)/2)</f>
        <v>645</v>
      </c>
      <c r="H24" s="74">
        <f>$C$5*(('Balance Sheet (Case Exhibit 6)'!K12+'Balance Sheet (Case Exhibit 6)'!L12)/2)</f>
        <v>516</v>
      </c>
      <c r="I24" s="74">
        <f>$C$5*(('Balance Sheet (Case Exhibit 6)'!L12+'Balance Sheet (Case Exhibit 6)'!M12)/2)</f>
        <v>387</v>
      </c>
      <c r="J24" s="74">
        <f>$C$5*(('Balance Sheet (Case Exhibit 6)'!M12+'Balance Sheet (Case Exhibit 6)'!N12)/2)</f>
        <v>258</v>
      </c>
      <c r="K24" s="74">
        <f>$C$5*(('Balance Sheet (Case Exhibit 6)'!N12+'Balance Sheet (Case Exhibit 6)'!O12)/2)</f>
        <v>129</v>
      </c>
      <c r="L24" s="74">
        <f>$C$5*(('Balance Sheet (Case Exhibit 6)'!O12+'Balance Sheet (Case Exhibit 6)'!P12)/2)</f>
        <v>32.4</v>
      </c>
      <c r="M24" s="76">
        <f>$C$5*(('Balance Sheet (Case Exhibit 6)'!P12+'Balance Sheet (Case Exhibit 6)'!Q12)/2)</f>
        <v>0</v>
      </c>
      <c r="N24" s="76">
        <f>$C$5*(('Balance Sheet (Case Exhibit 6)'!Q12+'Balance Sheet (Case Exhibit 6)'!R12)/2)</f>
        <v>0</v>
      </c>
      <c r="O24" s="76">
        <f>$C$5*(('Balance Sheet (Case Exhibit 6)'!R12+'Balance Sheet (Case Exhibit 6)'!S12)/2)</f>
        <v>0</v>
      </c>
      <c r="P24" s="76">
        <f>$C$5*(('Balance Sheet (Case Exhibit 6)'!S12+'Balance Sheet (Case Exhibit 6)'!T12)/2)</f>
        <v>0</v>
      </c>
      <c r="Q24" s="77">
        <f>$C$5*(('Balance Sheet (Case Exhibit 6)'!T12+'Balance Sheet (Case Exhibit 6)'!U12)/2)</f>
        <v>0</v>
      </c>
      <c r="U24"/>
      <c r="V24"/>
    </row>
    <row r="25" spans="2:22" s="34" customFormat="1" ht="15.5" x14ac:dyDescent="0.35">
      <c r="B25" s="35" t="s">
        <v>29</v>
      </c>
      <c r="C25" s="136">
        <f>$C$5*(('Balance Sheet (Case Exhibit 6)'!G13))</f>
        <v>111.6</v>
      </c>
      <c r="D25" s="136">
        <f>$C$5*(('Balance Sheet (Case Exhibit 6)'!G13+'Balance Sheet (Case Exhibit 6)'!H13)/2)</f>
        <v>112.2</v>
      </c>
      <c r="E25" s="136">
        <f>$C$5*(('Balance Sheet (Case Exhibit 6)'!H13+'Balance Sheet (Case Exhibit 6)'!I13)/2)</f>
        <v>114</v>
      </c>
      <c r="F25" s="136">
        <f>$C$5*(('Balance Sheet (Case Exhibit 6)'!I13+'Balance Sheet (Case Exhibit 6)'!J13)/2)</f>
        <v>116.39999999999999</v>
      </c>
      <c r="G25" s="136">
        <f>$C$5*(('Balance Sheet (Case Exhibit 6)'!J13+'Balance Sheet (Case Exhibit 6)'!K13)/2)</f>
        <v>118.19999999999999</v>
      </c>
      <c r="H25" s="136">
        <f>$C$5*(('Balance Sheet (Case Exhibit 6)'!K13+'Balance Sheet (Case Exhibit 6)'!L13)/2)</f>
        <v>120</v>
      </c>
      <c r="I25" s="136">
        <f>$C$5*(('Balance Sheet (Case Exhibit 6)'!L13+'Balance Sheet (Case Exhibit 6)'!M13)/2)</f>
        <v>122.39999999999999</v>
      </c>
      <c r="J25" s="136">
        <f>$C$5*(('Balance Sheet (Case Exhibit 6)'!M13+'Balance Sheet (Case Exhibit 6)'!N13)/2)</f>
        <v>124.8</v>
      </c>
      <c r="K25" s="136">
        <f>$C$5*(('Balance Sheet (Case Exhibit 6)'!N13+'Balance Sheet (Case Exhibit 6)'!O13)/2)</f>
        <v>127.19999999999999</v>
      </c>
      <c r="L25" s="136">
        <f>$C$5*(('Balance Sheet (Case Exhibit 6)'!O13+'Balance Sheet (Case Exhibit 6)'!P13)/2)</f>
        <v>129.6</v>
      </c>
      <c r="M25" s="136">
        <f>$C$5*(('Balance Sheet (Case Exhibit 6)'!P13+'Balance Sheet (Case Exhibit 6)'!Q13)/2)</f>
        <v>132</v>
      </c>
      <c r="N25" s="136">
        <f>$C$5*(('Balance Sheet (Case Exhibit 6)'!Q13+'Balance Sheet (Case Exhibit 6)'!R13)/2)</f>
        <v>134.4</v>
      </c>
      <c r="O25" s="136">
        <f>$C$5*(('Balance Sheet (Case Exhibit 6)'!R13+'Balance Sheet (Case Exhibit 6)'!S13)/2)</f>
        <v>137.4</v>
      </c>
      <c r="P25" s="136">
        <f>$C$5*(('Balance Sheet (Case Exhibit 6)'!S13+'Balance Sheet (Case Exhibit 6)'!T13)/2)</f>
        <v>140.4</v>
      </c>
      <c r="Q25" s="137">
        <f>$C$5*(('Balance Sheet (Case Exhibit 6)'!T13+'Balance Sheet (Case Exhibit 6)'!U13)/2)</f>
        <v>142.79999999999998</v>
      </c>
      <c r="U25"/>
      <c r="V25"/>
    </row>
    <row r="26" spans="2:22" s="34" customFormat="1" ht="15.5" x14ac:dyDescent="0.35">
      <c r="B26" s="35" t="s">
        <v>30</v>
      </c>
      <c r="C26" s="38">
        <v>680</v>
      </c>
      <c r="D26" s="38">
        <v>680</v>
      </c>
      <c r="E26" s="38">
        <v>680</v>
      </c>
      <c r="F26" s="38">
        <v>680</v>
      </c>
      <c r="G26" s="38">
        <v>680</v>
      </c>
      <c r="H26" s="38">
        <v>680</v>
      </c>
      <c r="I26" s="38">
        <v>680</v>
      </c>
      <c r="J26" s="38">
        <v>680</v>
      </c>
      <c r="K26" s="38">
        <v>680</v>
      </c>
      <c r="L26" s="38">
        <v>680</v>
      </c>
      <c r="M26" s="38">
        <v>680</v>
      </c>
      <c r="N26" s="38">
        <v>680</v>
      </c>
      <c r="O26" s="38">
        <v>680</v>
      </c>
      <c r="P26" s="38">
        <v>680</v>
      </c>
      <c r="Q26" s="39">
        <v>680</v>
      </c>
      <c r="U26"/>
      <c r="V26"/>
    </row>
    <row r="27" spans="2:22" s="34" customFormat="1" ht="15.5" x14ac:dyDescent="0.35">
      <c r="B27" s="52" t="s">
        <v>86</v>
      </c>
      <c r="C27" s="136">
        <f t="shared" ref="C27:Q27" si="9">C22-C24-C25-C26</f>
        <v>1039.0578416610415</v>
      </c>
      <c r="D27" s="83">
        <f t="shared" si="9"/>
        <v>1095.6816474991069</v>
      </c>
      <c r="E27" s="83">
        <f t="shared" si="9"/>
        <v>1180.2331823358445</v>
      </c>
      <c r="F27" s="83">
        <f t="shared" si="9"/>
        <v>1260.2124463541563</v>
      </c>
      <c r="G27" s="83">
        <f t="shared" si="9"/>
        <v>1337.9160229521451</v>
      </c>
      <c r="H27" s="83">
        <f t="shared" si="9"/>
        <v>1412.6369633327408</v>
      </c>
      <c r="I27" s="83">
        <f t="shared" si="9"/>
        <v>1483.6646671523727</v>
      </c>
      <c r="J27" s="83">
        <f t="shared" si="9"/>
        <v>1551.4847590917134</v>
      </c>
      <c r="K27" s="83">
        <f t="shared" si="9"/>
        <v>1615.9789612066434</v>
      </c>
      <c r="L27" s="83">
        <f t="shared" si="9"/>
        <v>1644.6249609125307</v>
      </c>
      <c r="M27" s="83">
        <f t="shared" si="9"/>
        <v>1605.4962744497425</v>
      </c>
      <c r="N27" s="83">
        <f t="shared" si="9"/>
        <v>1530.262105672879</v>
      </c>
      <c r="O27" s="83">
        <f t="shared" si="9"/>
        <v>1450.5872000006243</v>
      </c>
      <c r="P27" s="83">
        <f t="shared" si="9"/>
        <v>1366.9316933573168</v>
      </c>
      <c r="Q27" s="84">
        <f t="shared" si="9"/>
        <v>1279.750955931316</v>
      </c>
      <c r="U27"/>
      <c r="V27"/>
    </row>
    <row r="28" spans="2:22" s="34" customFormat="1" ht="15.5" x14ac:dyDescent="0.35">
      <c r="B28" s="45" t="s">
        <v>32</v>
      </c>
      <c r="C28" s="4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  <c r="U28"/>
      <c r="V28"/>
    </row>
    <row r="29" spans="2:22" s="34" customFormat="1" ht="15.5" x14ac:dyDescent="0.35">
      <c r="B29" s="35" t="s">
        <v>33</v>
      </c>
      <c r="C29" s="38">
        <v>200</v>
      </c>
      <c r="D29" s="38">
        <v>210</v>
      </c>
      <c r="E29" s="38">
        <v>220</v>
      </c>
      <c r="F29" s="38">
        <v>240</v>
      </c>
      <c r="G29" s="38">
        <v>250</v>
      </c>
      <c r="H29" s="38">
        <v>260</v>
      </c>
      <c r="I29" s="38">
        <v>270</v>
      </c>
      <c r="J29" s="38">
        <v>280</v>
      </c>
      <c r="K29" s="38">
        <v>290</v>
      </c>
      <c r="L29" s="38">
        <v>300</v>
      </c>
      <c r="M29" s="38">
        <v>290</v>
      </c>
      <c r="N29" s="38">
        <v>280</v>
      </c>
      <c r="O29" s="38">
        <v>260</v>
      </c>
      <c r="P29" s="38">
        <v>250</v>
      </c>
      <c r="Q29" s="39">
        <v>230</v>
      </c>
      <c r="U29"/>
      <c r="V29"/>
    </row>
    <row r="30" spans="2:22" s="34" customFormat="1" ht="15.5" x14ac:dyDescent="0.35">
      <c r="B30" s="35" t="s">
        <v>34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-10</v>
      </c>
      <c r="K30" s="38">
        <v>-40</v>
      </c>
      <c r="L30" s="38">
        <v>-70</v>
      </c>
      <c r="M30" s="38">
        <v>-90</v>
      </c>
      <c r="N30" s="38">
        <v>-110</v>
      </c>
      <c r="O30" s="38">
        <v>-130</v>
      </c>
      <c r="P30" s="38">
        <v>-140</v>
      </c>
      <c r="Q30" s="39">
        <v>-150</v>
      </c>
      <c r="U30"/>
      <c r="V30"/>
    </row>
    <row r="31" spans="2:22" s="34" customFormat="1" ht="15.5" x14ac:dyDescent="0.35">
      <c r="B31" s="86" t="s">
        <v>87</v>
      </c>
      <c r="C31" s="136">
        <f t="shared" ref="C31:Q31" si="10">C27-C29-C30</f>
        <v>839.05784166104149</v>
      </c>
      <c r="D31" s="83">
        <f t="shared" si="10"/>
        <v>885.68164749910693</v>
      </c>
      <c r="E31" s="83">
        <f t="shared" si="10"/>
        <v>960.2331823358445</v>
      </c>
      <c r="F31" s="83">
        <f t="shared" si="10"/>
        <v>1020.2124463541563</v>
      </c>
      <c r="G31" s="83">
        <f t="shared" si="10"/>
        <v>1087.9160229521451</v>
      </c>
      <c r="H31" s="83">
        <f t="shared" si="10"/>
        <v>1152.6369633327408</v>
      </c>
      <c r="I31" s="83">
        <f t="shared" si="10"/>
        <v>1213.6646671523727</v>
      </c>
      <c r="J31" s="83">
        <f t="shared" si="10"/>
        <v>1281.4847590917134</v>
      </c>
      <c r="K31" s="83">
        <f t="shared" si="10"/>
        <v>1365.9789612066434</v>
      </c>
      <c r="L31" s="83">
        <f t="shared" si="10"/>
        <v>1414.6249609125307</v>
      </c>
      <c r="M31" s="83">
        <f t="shared" si="10"/>
        <v>1405.4962744497425</v>
      </c>
      <c r="N31" s="83">
        <f t="shared" si="10"/>
        <v>1360.262105672879</v>
      </c>
      <c r="O31" s="83">
        <f t="shared" si="10"/>
        <v>1320.5872000006243</v>
      </c>
      <c r="P31" s="83">
        <f t="shared" si="10"/>
        <v>1256.9316933573168</v>
      </c>
      <c r="Q31" s="84">
        <f t="shared" si="10"/>
        <v>1199.750955931316</v>
      </c>
      <c r="U31"/>
      <c r="V31"/>
    </row>
    <row r="32" spans="2:22" s="34" customFormat="1" ht="15.5" x14ac:dyDescent="0.35">
      <c r="B32" s="86" t="s">
        <v>88</v>
      </c>
      <c r="C32" s="138">
        <f t="shared" ref="C32:Q32" si="11">C31+C26+C30</f>
        <v>1519.0578416610415</v>
      </c>
      <c r="D32" s="87">
        <f t="shared" si="11"/>
        <v>1565.6816474991069</v>
      </c>
      <c r="E32" s="87">
        <f t="shared" si="11"/>
        <v>1640.2331823358445</v>
      </c>
      <c r="F32" s="87">
        <f t="shared" si="11"/>
        <v>1700.2124463541563</v>
      </c>
      <c r="G32" s="87">
        <f t="shared" si="11"/>
        <v>1767.9160229521451</v>
      </c>
      <c r="H32" s="87">
        <f t="shared" si="11"/>
        <v>1832.6369633327408</v>
      </c>
      <c r="I32" s="87">
        <f t="shared" si="11"/>
        <v>1893.6646671523727</v>
      </c>
      <c r="J32" s="87">
        <f t="shared" si="11"/>
        <v>1951.4847590917134</v>
      </c>
      <c r="K32" s="87">
        <f t="shared" si="11"/>
        <v>2005.9789612066434</v>
      </c>
      <c r="L32" s="87">
        <f t="shared" si="11"/>
        <v>2024.6249609125307</v>
      </c>
      <c r="M32" s="87">
        <f t="shared" si="11"/>
        <v>1995.4962744497425</v>
      </c>
      <c r="N32" s="87">
        <f t="shared" si="11"/>
        <v>1930.262105672879</v>
      </c>
      <c r="O32" s="87">
        <f t="shared" si="11"/>
        <v>1870.5872000006243</v>
      </c>
      <c r="P32" s="87">
        <f t="shared" si="11"/>
        <v>1796.9316933573168</v>
      </c>
      <c r="Q32" s="88">
        <f t="shared" si="11"/>
        <v>1729.750955931316</v>
      </c>
      <c r="U32"/>
      <c r="V32"/>
    </row>
    <row r="33" spans="2:22" s="34" customFormat="1" ht="15.5" x14ac:dyDescent="0.35">
      <c r="B33" s="86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U33"/>
      <c r="V33"/>
    </row>
    <row r="34" spans="2:22" s="34" customFormat="1" ht="15.5" x14ac:dyDescent="0.35">
      <c r="B34" s="86" t="s">
        <v>89</v>
      </c>
      <c r="C34" s="90">
        <f>-('Balance Sheet (Case Exhibit 6)'!G12-'Balance Sheet (Case Exhibit 6)'!F12)</f>
        <v>540</v>
      </c>
      <c r="D34" s="90">
        <f>-('Balance Sheet (Case Exhibit 6)'!H12-'Balance Sheet (Case Exhibit 6)'!G12)</f>
        <v>1100</v>
      </c>
      <c r="E34" s="90">
        <f>-('Balance Sheet (Case Exhibit 6)'!I12-'Balance Sheet (Case Exhibit 6)'!H12)</f>
        <v>1070</v>
      </c>
      <c r="F34" s="90">
        <f>-('Balance Sheet (Case Exhibit 6)'!J12-'Balance Sheet (Case Exhibit 6)'!I12)</f>
        <v>1080</v>
      </c>
      <c r="G34" s="90">
        <f>-('Balance Sheet (Case Exhibit 6)'!K12-'Balance Sheet (Case Exhibit 6)'!J12)</f>
        <v>1070</v>
      </c>
      <c r="H34" s="90">
        <f>-('Balance Sheet (Case Exhibit 6)'!L12-'Balance Sheet (Case Exhibit 6)'!K12)</f>
        <v>1080</v>
      </c>
      <c r="I34" s="90">
        <f>-('Balance Sheet (Case Exhibit 6)'!M12-'Balance Sheet (Case Exhibit 6)'!L12)</f>
        <v>1070</v>
      </c>
      <c r="J34" s="90">
        <f>-('Balance Sheet (Case Exhibit 6)'!N12-'Balance Sheet (Case Exhibit 6)'!M12)</f>
        <v>1080</v>
      </c>
      <c r="K34" s="90">
        <f>-('Balance Sheet (Case Exhibit 6)'!O12-'Balance Sheet (Case Exhibit 6)'!N12)</f>
        <v>1070</v>
      </c>
      <c r="L34" s="90">
        <f>-('Balance Sheet (Case Exhibit 6)'!P12-'Balance Sheet (Case Exhibit 6)'!O12)</f>
        <v>540</v>
      </c>
      <c r="M34" s="89"/>
      <c r="N34" s="89"/>
      <c r="O34" s="89"/>
      <c r="P34" s="89"/>
      <c r="Q34" s="91"/>
      <c r="U34"/>
      <c r="V34"/>
    </row>
    <row r="35" spans="2:22" s="34" customFormat="1" ht="15.5" x14ac:dyDescent="0.35">
      <c r="B35" s="86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89"/>
      <c r="N35" s="89"/>
      <c r="O35" s="89"/>
      <c r="P35" s="89"/>
      <c r="Q35" s="91"/>
      <c r="U35"/>
      <c r="V35"/>
    </row>
    <row r="36" spans="2:22" s="34" customFormat="1" ht="15.5" x14ac:dyDescent="0.35">
      <c r="B36" s="86" t="s">
        <v>43</v>
      </c>
      <c r="C36" s="92">
        <f>(C31+C24+C26)/(C24+C34)</f>
        <v>1.585701029947979</v>
      </c>
      <c r="D36" s="92">
        <f t="shared" ref="D36:L36" si="12">(D31+D24+D26)/(D24+D34)</f>
        <v>1.2183019161349651</v>
      </c>
      <c r="E36" s="92">
        <f t="shared" si="12"/>
        <v>1.2890183387409246</v>
      </c>
      <c r="F36" s="92">
        <f t="shared" si="12"/>
        <v>1.3345266700939356</v>
      </c>
      <c r="G36" s="92">
        <f t="shared" si="12"/>
        <v>1.406948118339443</v>
      </c>
      <c r="H36" s="92">
        <f t="shared" si="12"/>
        <v>1.4715770446946999</v>
      </c>
      <c r="I36" s="92">
        <f t="shared" si="12"/>
        <v>1.5653154887799401</v>
      </c>
      <c r="J36" s="92">
        <f t="shared" si="12"/>
        <v>1.6588077422210115</v>
      </c>
      <c r="K36" s="92">
        <f t="shared" si="12"/>
        <v>1.8139941294467417</v>
      </c>
      <c r="L36" s="92">
        <f t="shared" si="12"/>
        <v>3.7159765215103615</v>
      </c>
      <c r="M36" s="93"/>
      <c r="N36" s="93"/>
      <c r="O36" s="93"/>
      <c r="P36" s="93"/>
      <c r="Q36" s="94"/>
      <c r="U36"/>
      <c r="V36"/>
    </row>
    <row r="37" spans="2:22" s="34" customFormat="1" ht="16" thickBot="1" x14ac:dyDescent="0.4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  <c r="U37"/>
      <c r="V37"/>
    </row>
    <row r="38" spans="2:22" s="34" customFormat="1" x14ac:dyDescent="0.35">
      <c r="U38"/>
      <c r="V38"/>
    </row>
    <row r="39" spans="2:22" s="34" customFormat="1" ht="15" thickBot="1" x14ac:dyDescent="0.4">
      <c r="U39"/>
      <c r="V39"/>
    </row>
    <row r="40" spans="2:22" s="34" customFormat="1" ht="16" thickBot="1" x14ac:dyDescent="0.4">
      <c r="B40" s="498" t="s">
        <v>44</v>
      </c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500"/>
      <c r="U40"/>
      <c r="V40"/>
    </row>
    <row r="41" spans="2:22" s="34" customFormat="1" ht="16" thickBot="1" x14ac:dyDescent="0.4">
      <c r="B41" s="95" t="s">
        <v>109</v>
      </c>
      <c r="C41" s="96">
        <v>2010</v>
      </c>
      <c r="D41" s="97">
        <v>2011</v>
      </c>
      <c r="E41" s="97">
        <v>2012</v>
      </c>
      <c r="F41" s="97">
        <v>2013</v>
      </c>
      <c r="G41" s="97">
        <v>2014</v>
      </c>
      <c r="H41" s="97">
        <v>2015</v>
      </c>
      <c r="I41" s="97">
        <v>2016</v>
      </c>
      <c r="J41" s="97">
        <v>2017</v>
      </c>
      <c r="K41" s="97">
        <v>2018</v>
      </c>
      <c r="L41" s="97">
        <v>2019</v>
      </c>
      <c r="M41" s="97">
        <v>2020</v>
      </c>
      <c r="N41" s="97">
        <v>2021</v>
      </c>
      <c r="O41" s="97">
        <v>2022</v>
      </c>
      <c r="P41" s="97">
        <v>2023</v>
      </c>
      <c r="Q41" s="97">
        <v>2024</v>
      </c>
      <c r="R41" s="97">
        <v>2025</v>
      </c>
      <c r="S41" s="97">
        <v>2026</v>
      </c>
      <c r="T41" s="98">
        <v>2027</v>
      </c>
      <c r="U41"/>
      <c r="V41"/>
    </row>
    <row r="42" spans="2:22" s="34" customFormat="1" ht="15.5" x14ac:dyDescent="0.35">
      <c r="B42" s="99" t="s">
        <v>46</v>
      </c>
      <c r="C42" s="100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2"/>
      <c r="U42"/>
      <c r="V42"/>
    </row>
    <row r="43" spans="2:22" s="34" customFormat="1" ht="15.5" x14ac:dyDescent="0.35">
      <c r="B43" s="103" t="s">
        <v>47</v>
      </c>
      <c r="C43" s="104">
        <v>0</v>
      </c>
      <c r="D43" s="105">
        <v>0</v>
      </c>
      <c r="E43" s="105">
        <v>0</v>
      </c>
      <c r="F43" s="105">
        <f>'Sensitivity-PLF @ 80%'!C31+'Sensitivity-PLF @ 80%'!C24+'Sensitivity-PLF @ 80%'!C25+'Sensitivity-PLF @ 80%'!C26</f>
        <v>2762.2578416610413</v>
      </c>
      <c r="G43" s="105">
        <f>'Sensitivity-PLF @ 80%'!D31+'Sensitivity-PLF @ 80%'!D24+'Sensitivity-PLF @ 80%'!D25+'Sensitivity-PLF @ 80%'!D26</f>
        <v>2711.081647499107</v>
      </c>
      <c r="H43" s="105">
        <f>'Sensitivity-PLF @ 80%'!E31+'Sensitivity-PLF @ 80%'!E24+'Sensitivity-PLF @ 80%'!E25+'Sensitivity-PLF @ 80%'!E26</f>
        <v>2657.2331823358445</v>
      </c>
      <c r="I43" s="105">
        <f>'Sensitivity-PLF @ 80%'!F31+'Sensitivity-PLF @ 80%'!F24+'Sensitivity-PLF @ 80%'!F25+'Sensitivity-PLF @ 80%'!F26</f>
        <v>2590.6124463541564</v>
      </c>
      <c r="J43" s="105">
        <f>'Sensitivity-PLF @ 80%'!G31+'Sensitivity-PLF @ 80%'!G24+'Sensitivity-PLF @ 80%'!G25+'Sensitivity-PLF @ 80%'!G26</f>
        <v>2531.1160229521452</v>
      </c>
      <c r="K43" s="105">
        <f>'Sensitivity-PLF @ 80%'!H31+'Sensitivity-PLF @ 80%'!H24+'Sensitivity-PLF @ 80%'!H25+'Sensitivity-PLF @ 80%'!H26</f>
        <v>2468.6369633327408</v>
      </c>
      <c r="L43" s="105">
        <f>'Sensitivity-PLF @ 80%'!I31+'Sensitivity-PLF @ 80%'!I24+'Sensitivity-PLF @ 80%'!I25+'Sensitivity-PLF @ 80%'!I26</f>
        <v>2403.0646671523727</v>
      </c>
      <c r="M43" s="105">
        <f>'Sensitivity-PLF @ 80%'!J31+'Sensitivity-PLF @ 80%'!J24+'Sensitivity-PLF @ 80%'!J25+'Sensitivity-PLF @ 80%'!J26</f>
        <v>2344.2847590917136</v>
      </c>
      <c r="N43" s="105">
        <f>'Sensitivity-PLF @ 80%'!K31+'Sensitivity-PLF @ 80%'!K24+'Sensitivity-PLF @ 80%'!K25+'Sensitivity-PLF @ 80%'!K26</f>
        <v>2302.1789612066432</v>
      </c>
      <c r="O43" s="105">
        <f>'Sensitivity-PLF @ 80%'!L31+'Sensitivity-PLF @ 80%'!L24+'Sensitivity-PLF @ 80%'!L25+'Sensitivity-PLF @ 80%'!L26</f>
        <v>2256.6249609125307</v>
      </c>
      <c r="P43" s="105">
        <f>'Sensitivity-PLF @ 80%'!M31+'Sensitivity-PLF @ 80%'!M24+'Sensitivity-PLF @ 80%'!M25+'Sensitivity-PLF @ 80%'!M26</f>
        <v>2217.4962744497425</v>
      </c>
      <c r="Q43" s="105">
        <f>'Sensitivity-PLF @ 80%'!N31+'Sensitivity-PLF @ 80%'!N24+'Sensitivity-PLF @ 80%'!N25+'Sensitivity-PLF @ 80%'!N26</f>
        <v>2174.6621056728791</v>
      </c>
      <c r="R43" s="105">
        <f>'Sensitivity-PLF @ 80%'!O31+'Sensitivity-PLF @ 80%'!O24+'Sensitivity-PLF @ 80%'!O25+'Sensitivity-PLF @ 80%'!O26</f>
        <v>2137.9872000006244</v>
      </c>
      <c r="S43" s="105">
        <f>'Sensitivity-PLF @ 80%'!P31+'Sensitivity-PLF @ 80%'!P24+'Sensitivity-PLF @ 80%'!P25+'Sensitivity-PLF @ 80%'!P26</f>
        <v>2077.3316933573169</v>
      </c>
      <c r="T43" s="106">
        <f>'Sensitivity-PLF @ 80%'!Q31+'Sensitivity-PLF @ 80%'!Q24+'Sensitivity-PLF @ 80%'!Q25+'Sensitivity-PLF @ 80%'!Q26</f>
        <v>2022.5509559313159</v>
      </c>
      <c r="U43"/>
      <c r="V43"/>
    </row>
    <row r="44" spans="2:22" s="34" customFormat="1" ht="16" thickBot="1" x14ac:dyDescent="0.4">
      <c r="B44" s="107" t="s">
        <v>48</v>
      </c>
      <c r="C44" s="108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6">
        <f>0.05*'Balance Sheet (Case Exhibit 6)'!U24</f>
        <v>1238.5</v>
      </c>
      <c r="U44"/>
      <c r="V44"/>
    </row>
    <row r="45" spans="2:22" s="34" customFormat="1" ht="16" thickBot="1" x14ac:dyDescent="0.4">
      <c r="B45" s="95" t="s">
        <v>90</v>
      </c>
      <c r="C45" s="110">
        <f t="shared" ref="C45:T45" si="13">SUM(C43:C44)</f>
        <v>0</v>
      </c>
      <c r="D45" s="111">
        <f t="shared" si="13"/>
        <v>0</v>
      </c>
      <c r="E45" s="111">
        <f t="shared" si="13"/>
        <v>0</v>
      </c>
      <c r="F45" s="111">
        <f t="shared" si="13"/>
        <v>2762.2578416610413</v>
      </c>
      <c r="G45" s="111">
        <f t="shared" si="13"/>
        <v>2711.081647499107</v>
      </c>
      <c r="H45" s="111">
        <f t="shared" si="13"/>
        <v>2657.2331823358445</v>
      </c>
      <c r="I45" s="111">
        <f t="shared" si="13"/>
        <v>2590.6124463541564</v>
      </c>
      <c r="J45" s="111">
        <f t="shared" si="13"/>
        <v>2531.1160229521452</v>
      </c>
      <c r="K45" s="111">
        <f t="shared" si="13"/>
        <v>2468.6369633327408</v>
      </c>
      <c r="L45" s="111">
        <f t="shared" si="13"/>
        <v>2403.0646671523727</v>
      </c>
      <c r="M45" s="111">
        <f t="shared" si="13"/>
        <v>2344.2847590917136</v>
      </c>
      <c r="N45" s="111">
        <f t="shared" si="13"/>
        <v>2302.1789612066432</v>
      </c>
      <c r="O45" s="111">
        <f t="shared" si="13"/>
        <v>2256.6249609125307</v>
      </c>
      <c r="P45" s="111">
        <f t="shared" si="13"/>
        <v>2217.4962744497425</v>
      </c>
      <c r="Q45" s="111">
        <f t="shared" si="13"/>
        <v>2174.6621056728791</v>
      </c>
      <c r="R45" s="111">
        <f t="shared" si="13"/>
        <v>2137.9872000006244</v>
      </c>
      <c r="S45" s="111">
        <f t="shared" si="13"/>
        <v>2077.3316933573169</v>
      </c>
      <c r="T45" s="112">
        <f t="shared" si="13"/>
        <v>3261.0509559313159</v>
      </c>
      <c r="U45"/>
      <c r="V45"/>
    </row>
    <row r="46" spans="2:22" s="34" customFormat="1" ht="15.5" x14ac:dyDescent="0.35">
      <c r="B46" s="99" t="s">
        <v>50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2"/>
      <c r="U46"/>
      <c r="V46"/>
    </row>
    <row r="47" spans="2:22" s="34" customFormat="1" ht="15.5" x14ac:dyDescent="0.35">
      <c r="B47" s="103" t="s">
        <v>97</v>
      </c>
      <c r="C47" s="113">
        <f>'Balance Sheet (Case Exhibit 6)'!D24-'Balance Sheet (Case Exhibit 6)'!D22</f>
        <v>3460</v>
      </c>
      <c r="D47" s="114">
        <f>'Balance Sheet (Case Exhibit 6)'!E24-'Balance Sheet (Case Exhibit 6)'!E22-'Balance Sheet (Case Exhibit 6)'!D24</f>
        <v>5520</v>
      </c>
      <c r="E47" s="114">
        <f>'Balance Sheet (Case Exhibit 6)'!F24-'Balance Sheet (Case Exhibit 6)'!F22-'Balance Sheet (Case Exhibit 6)'!E24</f>
        <v>4570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/>
      <c r="V47"/>
    </row>
    <row r="48" spans="2:22" s="34" customFormat="1" ht="16" thickBot="1" x14ac:dyDescent="0.4">
      <c r="B48" s="107" t="s">
        <v>73</v>
      </c>
      <c r="C48" s="115">
        <v>0</v>
      </c>
      <c r="D48" s="116">
        <v>0</v>
      </c>
      <c r="E48" s="116">
        <v>0</v>
      </c>
      <c r="F48" s="117">
        <f>'Balance Sheet (Case Exhibit 6)'!G30</f>
        <v>310</v>
      </c>
      <c r="G48" s="117">
        <f>'Balance Sheet (Case Exhibit 6)'!H30</f>
        <v>0</v>
      </c>
      <c r="H48" s="116">
        <f>'Balance Sheet (Case Exhibit 6)'!I30</f>
        <v>10</v>
      </c>
      <c r="I48" s="116">
        <f>'Balance Sheet (Case Exhibit 6)'!J30</f>
        <v>0</v>
      </c>
      <c r="J48" s="116">
        <f>'Balance Sheet (Case Exhibit 6)'!K30</f>
        <v>10</v>
      </c>
      <c r="K48" s="116">
        <f>'Balance Sheet (Case Exhibit 6)'!L30</f>
        <v>10</v>
      </c>
      <c r="L48" s="116">
        <f>'Balance Sheet (Case Exhibit 6)'!M30</f>
        <v>0</v>
      </c>
      <c r="M48" s="116">
        <f>'Balance Sheet (Case Exhibit 6)'!N30</f>
        <v>10</v>
      </c>
      <c r="N48" s="116">
        <f>'Balance Sheet (Case Exhibit 6)'!O30</f>
        <v>10</v>
      </c>
      <c r="O48" s="116">
        <f>'Balance Sheet (Case Exhibit 6)'!P30</f>
        <v>0</v>
      </c>
      <c r="P48" s="116">
        <f>'Balance Sheet (Case Exhibit 6)'!Q30</f>
        <v>10</v>
      </c>
      <c r="Q48" s="116">
        <f>'Balance Sheet (Case Exhibit 6)'!R30</f>
        <v>10</v>
      </c>
      <c r="R48" s="116">
        <f>'Balance Sheet (Case Exhibit 6)'!S30</f>
        <v>0</v>
      </c>
      <c r="S48" s="116">
        <f>'Balance Sheet (Case Exhibit 6)'!T30</f>
        <v>10</v>
      </c>
      <c r="T48" s="118">
        <f>'Balance Sheet (Case Exhibit 6)'!U30</f>
        <v>10</v>
      </c>
      <c r="U48"/>
      <c r="V48"/>
    </row>
    <row r="49" spans="2:22" s="34" customFormat="1" ht="15.5" x14ac:dyDescent="0.35">
      <c r="B49" s="119" t="s">
        <v>53</v>
      </c>
      <c r="C49" s="120">
        <f t="shared" ref="C49:T49" si="14">C47+C48</f>
        <v>3460</v>
      </c>
      <c r="D49" s="121">
        <f t="shared" si="14"/>
        <v>5520</v>
      </c>
      <c r="E49" s="121">
        <f t="shared" si="14"/>
        <v>4570</v>
      </c>
      <c r="F49" s="121">
        <f t="shared" si="14"/>
        <v>310</v>
      </c>
      <c r="G49" s="121">
        <f t="shared" si="14"/>
        <v>0</v>
      </c>
      <c r="H49" s="121">
        <f t="shared" si="14"/>
        <v>10</v>
      </c>
      <c r="I49" s="121">
        <f t="shared" si="14"/>
        <v>0</v>
      </c>
      <c r="J49" s="121">
        <f t="shared" si="14"/>
        <v>10</v>
      </c>
      <c r="K49" s="121">
        <f t="shared" si="14"/>
        <v>10</v>
      </c>
      <c r="L49" s="121">
        <f t="shared" si="14"/>
        <v>0</v>
      </c>
      <c r="M49" s="121">
        <f t="shared" si="14"/>
        <v>10</v>
      </c>
      <c r="N49" s="121">
        <f t="shared" si="14"/>
        <v>10</v>
      </c>
      <c r="O49" s="121">
        <f t="shared" si="14"/>
        <v>0</v>
      </c>
      <c r="P49" s="121">
        <f t="shared" si="14"/>
        <v>10</v>
      </c>
      <c r="Q49" s="121">
        <f t="shared" si="14"/>
        <v>10</v>
      </c>
      <c r="R49" s="121">
        <f t="shared" si="14"/>
        <v>0</v>
      </c>
      <c r="S49" s="121">
        <f t="shared" si="14"/>
        <v>10</v>
      </c>
      <c r="T49" s="122">
        <f t="shared" si="14"/>
        <v>10</v>
      </c>
      <c r="U49"/>
      <c r="V49"/>
    </row>
    <row r="50" spans="2:22" s="34" customFormat="1" ht="16" thickBot="1" x14ac:dyDescent="0.4">
      <c r="B50" s="123" t="s">
        <v>93</v>
      </c>
      <c r="C50" s="124">
        <f t="shared" ref="C50:T50" si="15">C45-C49</f>
        <v>-3460</v>
      </c>
      <c r="D50" s="125">
        <f t="shared" si="15"/>
        <v>-5520</v>
      </c>
      <c r="E50" s="125">
        <f t="shared" si="15"/>
        <v>-4570</v>
      </c>
      <c r="F50" s="125">
        <f t="shared" si="15"/>
        <v>2452.2578416610413</v>
      </c>
      <c r="G50" s="125">
        <f t="shared" si="15"/>
        <v>2711.081647499107</v>
      </c>
      <c r="H50" s="125">
        <f t="shared" si="15"/>
        <v>2647.2331823358445</v>
      </c>
      <c r="I50" s="125">
        <f t="shared" si="15"/>
        <v>2590.6124463541564</v>
      </c>
      <c r="J50" s="125">
        <f t="shared" si="15"/>
        <v>2521.1160229521452</v>
      </c>
      <c r="K50" s="125">
        <f t="shared" si="15"/>
        <v>2458.6369633327408</v>
      </c>
      <c r="L50" s="125">
        <f t="shared" si="15"/>
        <v>2403.0646671523727</v>
      </c>
      <c r="M50" s="125">
        <f t="shared" si="15"/>
        <v>2334.2847590917136</v>
      </c>
      <c r="N50" s="125">
        <f t="shared" si="15"/>
        <v>2292.1789612066432</v>
      </c>
      <c r="O50" s="125">
        <f t="shared" si="15"/>
        <v>2256.6249609125307</v>
      </c>
      <c r="P50" s="125">
        <f t="shared" si="15"/>
        <v>2207.4962744497425</v>
      </c>
      <c r="Q50" s="125">
        <f t="shared" si="15"/>
        <v>2164.6621056728791</v>
      </c>
      <c r="R50" s="125">
        <f t="shared" si="15"/>
        <v>2137.9872000006244</v>
      </c>
      <c r="S50" s="125">
        <f t="shared" si="15"/>
        <v>2067.3316933573169</v>
      </c>
      <c r="T50" s="126">
        <f t="shared" si="15"/>
        <v>3251.0509559313159</v>
      </c>
      <c r="U50"/>
      <c r="V50"/>
    </row>
    <row r="51" spans="2:22" s="34" customFormat="1" ht="16" thickBot="1" x14ac:dyDescent="0.4">
      <c r="B51" s="127" t="s">
        <v>94</v>
      </c>
      <c r="C51" s="128">
        <f>IRR(C50:T50)</f>
        <v>0.13848410167704839</v>
      </c>
      <c r="D51" s="129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1"/>
      <c r="U51"/>
      <c r="V51"/>
    </row>
    <row r="52" spans="2:22" s="34" customFormat="1" ht="15" thickBot="1" x14ac:dyDescent="0.4">
      <c r="U52"/>
      <c r="V52"/>
    </row>
    <row r="53" spans="2:22" s="34" customFormat="1" ht="16" thickBot="1" x14ac:dyDescent="0.4">
      <c r="B53" s="501" t="s">
        <v>44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2"/>
      <c r="N53" s="502"/>
      <c r="O53" s="503"/>
      <c r="U53"/>
      <c r="V53"/>
    </row>
    <row r="54" spans="2:22" s="34" customFormat="1" ht="16" thickBot="1" x14ac:dyDescent="0.4">
      <c r="B54" s="95" t="s">
        <v>109</v>
      </c>
      <c r="C54" s="132">
        <v>2010</v>
      </c>
      <c r="D54" s="97">
        <v>2011</v>
      </c>
      <c r="E54" s="97">
        <v>2012</v>
      </c>
      <c r="F54" s="97">
        <v>2013</v>
      </c>
      <c r="G54" s="97">
        <v>2014</v>
      </c>
      <c r="H54" s="97">
        <v>2015</v>
      </c>
      <c r="I54" s="97">
        <v>2016</v>
      </c>
      <c r="J54" s="97">
        <v>2017</v>
      </c>
      <c r="K54" s="97">
        <v>2018</v>
      </c>
      <c r="L54" s="97">
        <v>2019</v>
      </c>
      <c r="M54" s="97">
        <v>2020</v>
      </c>
      <c r="N54" s="97">
        <v>2021</v>
      </c>
      <c r="O54" s="98">
        <v>2022</v>
      </c>
      <c r="U54"/>
      <c r="V54"/>
    </row>
    <row r="55" spans="2:22" s="34" customFormat="1" ht="15.5" x14ac:dyDescent="0.35">
      <c r="B55" s="99" t="s">
        <v>46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2"/>
      <c r="U55"/>
      <c r="V55"/>
    </row>
    <row r="56" spans="2:22" s="34" customFormat="1" ht="15.5" x14ac:dyDescent="0.35">
      <c r="B56" s="103" t="s">
        <v>47</v>
      </c>
      <c r="C56" s="104">
        <f>C43</f>
        <v>0</v>
      </c>
      <c r="D56" s="105">
        <f t="shared" ref="D56:O56" si="16">D43</f>
        <v>0</v>
      </c>
      <c r="E56" s="105">
        <f t="shared" si="16"/>
        <v>0</v>
      </c>
      <c r="F56" s="105">
        <f t="shared" si="16"/>
        <v>2762.2578416610413</v>
      </c>
      <c r="G56" s="105">
        <f t="shared" si="16"/>
        <v>2711.081647499107</v>
      </c>
      <c r="H56" s="105">
        <f t="shared" si="16"/>
        <v>2657.2331823358445</v>
      </c>
      <c r="I56" s="105">
        <f t="shared" si="16"/>
        <v>2590.6124463541564</v>
      </c>
      <c r="J56" s="105">
        <f t="shared" si="16"/>
        <v>2531.1160229521452</v>
      </c>
      <c r="K56" s="105">
        <f t="shared" si="16"/>
        <v>2468.6369633327408</v>
      </c>
      <c r="L56" s="105">
        <f t="shared" si="16"/>
        <v>2403.0646671523727</v>
      </c>
      <c r="M56" s="105">
        <f t="shared" si="16"/>
        <v>2344.2847590917136</v>
      </c>
      <c r="N56" s="105">
        <f t="shared" si="16"/>
        <v>2302.1789612066432</v>
      </c>
      <c r="O56" s="106">
        <f t="shared" si="16"/>
        <v>2256.6249609125307</v>
      </c>
      <c r="U56"/>
      <c r="V56"/>
    </row>
    <row r="57" spans="2:22" s="34" customFormat="1" ht="16" thickBot="1" x14ac:dyDescent="0.4">
      <c r="B57" s="107" t="s">
        <v>48</v>
      </c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33">
        <f>0.05*'Balance Sheet (Case Exhibit 6)'!P24</f>
        <v>884</v>
      </c>
      <c r="U57"/>
      <c r="V57"/>
    </row>
    <row r="58" spans="2:22" s="34" customFormat="1" ht="16" thickBot="1" x14ac:dyDescent="0.4">
      <c r="B58" s="95" t="s">
        <v>90</v>
      </c>
      <c r="C58" s="110">
        <f t="shared" ref="C58:O58" si="17">SUM(C56:C57)</f>
        <v>0</v>
      </c>
      <c r="D58" s="111">
        <f t="shared" si="17"/>
        <v>0</v>
      </c>
      <c r="E58" s="111">
        <f t="shared" si="17"/>
        <v>0</v>
      </c>
      <c r="F58" s="111">
        <f t="shared" si="17"/>
        <v>2762.2578416610413</v>
      </c>
      <c r="G58" s="111">
        <f t="shared" si="17"/>
        <v>2711.081647499107</v>
      </c>
      <c r="H58" s="111">
        <f t="shared" si="17"/>
        <v>2657.2331823358445</v>
      </c>
      <c r="I58" s="111">
        <f t="shared" si="17"/>
        <v>2590.6124463541564</v>
      </c>
      <c r="J58" s="111">
        <f t="shared" si="17"/>
        <v>2531.1160229521452</v>
      </c>
      <c r="K58" s="111">
        <f t="shared" si="17"/>
        <v>2468.6369633327408</v>
      </c>
      <c r="L58" s="111">
        <f t="shared" si="17"/>
        <v>2403.0646671523727</v>
      </c>
      <c r="M58" s="111">
        <f t="shared" si="17"/>
        <v>2344.2847590917136</v>
      </c>
      <c r="N58" s="111">
        <f t="shared" si="17"/>
        <v>2302.1789612066432</v>
      </c>
      <c r="O58" s="112">
        <f t="shared" si="17"/>
        <v>3140.6249609125307</v>
      </c>
      <c r="U58"/>
      <c r="V58"/>
    </row>
    <row r="59" spans="2:22" s="34" customFormat="1" ht="15.5" x14ac:dyDescent="0.35">
      <c r="B59" s="99" t="s">
        <v>50</v>
      </c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2"/>
      <c r="U59"/>
      <c r="V59"/>
    </row>
    <row r="60" spans="2:22" s="34" customFormat="1" ht="15.5" x14ac:dyDescent="0.35">
      <c r="B60" s="103" t="s">
        <v>101</v>
      </c>
      <c r="C60" s="113">
        <f>C47</f>
        <v>3460</v>
      </c>
      <c r="D60" s="114">
        <f t="shared" ref="D60:O60" si="18">D47</f>
        <v>5520</v>
      </c>
      <c r="E60" s="114">
        <f t="shared" si="18"/>
        <v>4570</v>
      </c>
      <c r="F60" s="8">
        <f t="shared" si="18"/>
        <v>0</v>
      </c>
      <c r="G60" s="8">
        <f t="shared" si="18"/>
        <v>0</v>
      </c>
      <c r="H60" s="8">
        <f t="shared" si="18"/>
        <v>0</v>
      </c>
      <c r="I60" s="8">
        <f t="shared" si="18"/>
        <v>0</v>
      </c>
      <c r="J60" s="8">
        <f t="shared" si="18"/>
        <v>0</v>
      </c>
      <c r="K60" s="8">
        <f t="shared" si="18"/>
        <v>0</v>
      </c>
      <c r="L60" s="8">
        <f t="shared" si="18"/>
        <v>0</v>
      </c>
      <c r="M60" s="8">
        <f t="shared" si="18"/>
        <v>0</v>
      </c>
      <c r="N60" s="8">
        <f t="shared" si="18"/>
        <v>0</v>
      </c>
      <c r="O60" s="9">
        <f t="shared" si="18"/>
        <v>0</v>
      </c>
      <c r="U60"/>
      <c r="V60"/>
    </row>
    <row r="61" spans="2:22" s="34" customFormat="1" ht="16" thickBot="1" x14ac:dyDescent="0.4">
      <c r="B61" s="107" t="s">
        <v>92</v>
      </c>
      <c r="C61" s="115">
        <f t="shared" ref="C61:O61" si="19">C48</f>
        <v>0</v>
      </c>
      <c r="D61" s="116">
        <f t="shared" si="19"/>
        <v>0</v>
      </c>
      <c r="E61" s="116">
        <f t="shared" si="19"/>
        <v>0</v>
      </c>
      <c r="F61" s="117">
        <f t="shared" si="19"/>
        <v>310</v>
      </c>
      <c r="G61" s="117">
        <f t="shared" si="19"/>
        <v>0</v>
      </c>
      <c r="H61" s="116">
        <f t="shared" si="19"/>
        <v>10</v>
      </c>
      <c r="I61" s="116">
        <f t="shared" si="19"/>
        <v>0</v>
      </c>
      <c r="J61" s="116">
        <f t="shared" si="19"/>
        <v>10</v>
      </c>
      <c r="K61" s="116">
        <f t="shared" si="19"/>
        <v>10</v>
      </c>
      <c r="L61" s="116">
        <f t="shared" si="19"/>
        <v>0</v>
      </c>
      <c r="M61" s="116">
        <f t="shared" si="19"/>
        <v>10</v>
      </c>
      <c r="N61" s="116">
        <f t="shared" si="19"/>
        <v>10</v>
      </c>
      <c r="O61" s="118">
        <f t="shared" si="19"/>
        <v>0</v>
      </c>
      <c r="U61"/>
      <c r="V61"/>
    </row>
    <row r="62" spans="2:22" s="34" customFormat="1" ht="15.5" x14ac:dyDescent="0.35">
      <c r="B62" s="119" t="s">
        <v>53</v>
      </c>
      <c r="C62" s="120">
        <f t="shared" ref="C62:O62" si="20">C60+C61</f>
        <v>3460</v>
      </c>
      <c r="D62" s="121">
        <f t="shared" si="20"/>
        <v>5520</v>
      </c>
      <c r="E62" s="121">
        <f t="shared" si="20"/>
        <v>4570</v>
      </c>
      <c r="F62" s="121">
        <f t="shared" si="20"/>
        <v>310</v>
      </c>
      <c r="G62" s="121">
        <f t="shared" si="20"/>
        <v>0</v>
      </c>
      <c r="H62" s="121">
        <f t="shared" si="20"/>
        <v>10</v>
      </c>
      <c r="I62" s="121">
        <f t="shared" si="20"/>
        <v>0</v>
      </c>
      <c r="J62" s="121">
        <f t="shared" si="20"/>
        <v>10</v>
      </c>
      <c r="K62" s="121">
        <f t="shared" si="20"/>
        <v>10</v>
      </c>
      <c r="L62" s="121">
        <f t="shared" si="20"/>
        <v>0</v>
      </c>
      <c r="M62" s="121">
        <f t="shared" si="20"/>
        <v>10</v>
      </c>
      <c r="N62" s="121">
        <f t="shared" si="20"/>
        <v>10</v>
      </c>
      <c r="O62" s="122">
        <f t="shared" si="20"/>
        <v>0</v>
      </c>
      <c r="U62"/>
      <c r="V62"/>
    </row>
    <row r="63" spans="2:22" s="34" customFormat="1" ht="16" thickBot="1" x14ac:dyDescent="0.4">
      <c r="B63" s="123" t="s">
        <v>93</v>
      </c>
      <c r="C63" s="124">
        <f t="shared" ref="C63:O63" si="21">C58-C62</f>
        <v>-3460</v>
      </c>
      <c r="D63" s="125">
        <f t="shared" si="21"/>
        <v>-5520</v>
      </c>
      <c r="E63" s="125">
        <f t="shared" si="21"/>
        <v>-4570</v>
      </c>
      <c r="F63" s="125">
        <f t="shared" si="21"/>
        <v>2452.2578416610413</v>
      </c>
      <c r="G63" s="125">
        <f t="shared" si="21"/>
        <v>2711.081647499107</v>
      </c>
      <c r="H63" s="125">
        <f t="shared" si="21"/>
        <v>2647.2331823358445</v>
      </c>
      <c r="I63" s="125">
        <f t="shared" si="21"/>
        <v>2590.6124463541564</v>
      </c>
      <c r="J63" s="125">
        <f t="shared" si="21"/>
        <v>2521.1160229521452</v>
      </c>
      <c r="K63" s="125">
        <f t="shared" si="21"/>
        <v>2458.6369633327408</v>
      </c>
      <c r="L63" s="125">
        <f t="shared" si="21"/>
        <v>2403.0646671523727</v>
      </c>
      <c r="M63" s="125">
        <f t="shared" si="21"/>
        <v>2334.2847590917136</v>
      </c>
      <c r="N63" s="125">
        <f t="shared" si="21"/>
        <v>2292.1789612066432</v>
      </c>
      <c r="O63" s="126">
        <f t="shared" si="21"/>
        <v>3140.6249609125307</v>
      </c>
      <c r="U63"/>
      <c r="V63"/>
    </row>
    <row r="64" spans="2:22" s="34" customFormat="1" ht="16" thickBot="1" x14ac:dyDescent="0.4">
      <c r="B64" s="127" t="s">
        <v>95</v>
      </c>
      <c r="C64" s="128">
        <f>IRR(C63:O63)</f>
        <v>0.11098225344350454</v>
      </c>
      <c r="D64" s="129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1"/>
      <c r="U64"/>
      <c r="V64"/>
    </row>
    <row r="65" spans="3:22" s="34" customFormat="1" x14ac:dyDescent="0.35"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U65"/>
      <c r="V65"/>
    </row>
    <row r="66" spans="3:22" s="34" customFormat="1" x14ac:dyDescent="0.35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U66"/>
      <c r="V66"/>
    </row>
    <row r="67" spans="3:22" s="34" customFormat="1" x14ac:dyDescent="0.3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U67"/>
      <c r="V67"/>
    </row>
    <row r="68" spans="3:22" s="34" customFormat="1" x14ac:dyDescent="0.35">
      <c r="U68"/>
      <c r="V68"/>
    </row>
    <row r="69" spans="3:22" s="34" customFormat="1" x14ac:dyDescent="0.35">
      <c r="U69"/>
      <c r="V69"/>
    </row>
    <row r="70" spans="3:22" s="34" customFormat="1" x14ac:dyDescent="0.35">
      <c r="U70"/>
      <c r="V70"/>
    </row>
    <row r="71" spans="3:22" s="34" customFormat="1" x14ac:dyDescent="0.35">
      <c r="U71"/>
      <c r="V71"/>
    </row>
    <row r="72" spans="3:22" s="34" customFormat="1" x14ac:dyDescent="0.35">
      <c r="U72"/>
      <c r="V72"/>
    </row>
    <row r="73" spans="3:22" s="34" customFormat="1" x14ac:dyDescent="0.35">
      <c r="U73"/>
      <c r="V73"/>
    </row>
    <row r="74" spans="3:22" s="34" customFormat="1" x14ac:dyDescent="0.35">
      <c r="U74"/>
      <c r="V74"/>
    </row>
    <row r="75" spans="3:22" s="34" customFormat="1" x14ac:dyDescent="0.35">
      <c r="U75"/>
      <c r="V75"/>
    </row>
    <row r="76" spans="3:22" s="34" customFormat="1" x14ac:dyDescent="0.35">
      <c r="U76"/>
      <c r="V76"/>
    </row>
    <row r="77" spans="3:22" s="34" customFormat="1" x14ac:dyDescent="0.35">
      <c r="U77"/>
      <c r="V77"/>
    </row>
    <row r="78" spans="3:22" s="34" customFormat="1" x14ac:dyDescent="0.35">
      <c r="U78"/>
      <c r="V78"/>
    </row>
    <row r="79" spans="3:22" s="34" customFormat="1" x14ac:dyDescent="0.35">
      <c r="U79"/>
      <c r="V79"/>
    </row>
    <row r="80" spans="3:22" s="34" customFormat="1" x14ac:dyDescent="0.35">
      <c r="U80"/>
      <c r="V80"/>
    </row>
    <row r="81" spans="21:22" s="34" customFormat="1" x14ac:dyDescent="0.35">
      <c r="U81"/>
      <c r="V81"/>
    </row>
    <row r="82" spans="21:22" s="34" customFormat="1" x14ac:dyDescent="0.35">
      <c r="U82"/>
      <c r="V82"/>
    </row>
    <row r="83" spans="21:22" s="34" customFormat="1" x14ac:dyDescent="0.35">
      <c r="U83"/>
      <c r="V83"/>
    </row>
    <row r="84" spans="21:22" s="34" customFormat="1" x14ac:dyDescent="0.35">
      <c r="U84"/>
      <c r="V84"/>
    </row>
    <row r="85" spans="21:22" s="34" customFormat="1" x14ac:dyDescent="0.35">
      <c r="U85"/>
      <c r="V85"/>
    </row>
    <row r="86" spans="21:22" s="34" customFormat="1" x14ac:dyDescent="0.35">
      <c r="U86"/>
      <c r="V86"/>
    </row>
    <row r="87" spans="21:22" s="34" customFormat="1" x14ac:dyDescent="0.35">
      <c r="U87"/>
      <c r="V87"/>
    </row>
    <row r="88" spans="21:22" s="34" customFormat="1" x14ac:dyDescent="0.35">
      <c r="U88"/>
      <c r="V88"/>
    </row>
    <row r="89" spans="21:22" s="34" customFormat="1" x14ac:dyDescent="0.35">
      <c r="U89"/>
      <c r="V89"/>
    </row>
    <row r="90" spans="21:22" s="34" customFormat="1" x14ac:dyDescent="0.35">
      <c r="U90"/>
      <c r="V90"/>
    </row>
    <row r="91" spans="21:22" s="34" customFormat="1" x14ac:dyDescent="0.35">
      <c r="U91"/>
      <c r="V91"/>
    </row>
    <row r="92" spans="21:22" s="34" customFormat="1" x14ac:dyDescent="0.35">
      <c r="U92"/>
      <c r="V92"/>
    </row>
    <row r="93" spans="21:22" s="34" customFormat="1" x14ac:dyDescent="0.35">
      <c r="U93"/>
      <c r="V93"/>
    </row>
    <row r="94" spans="21:22" s="34" customFormat="1" x14ac:dyDescent="0.35">
      <c r="U94"/>
      <c r="V94"/>
    </row>
    <row r="95" spans="21:22" s="34" customFormat="1" x14ac:dyDescent="0.35">
      <c r="U95"/>
      <c r="V95"/>
    </row>
    <row r="96" spans="21:22" s="34" customFormat="1" x14ac:dyDescent="0.35">
      <c r="U96"/>
      <c r="V96"/>
    </row>
    <row r="97" spans="21:22" s="34" customFormat="1" x14ac:dyDescent="0.35">
      <c r="U97"/>
      <c r="V97"/>
    </row>
    <row r="98" spans="21:22" s="34" customFormat="1" x14ac:dyDescent="0.35">
      <c r="U98"/>
      <c r="V98"/>
    </row>
    <row r="99" spans="21:22" s="34" customFormat="1" x14ac:dyDescent="0.35">
      <c r="U99"/>
      <c r="V99"/>
    </row>
    <row r="100" spans="21:22" s="34" customFormat="1" x14ac:dyDescent="0.35">
      <c r="U100"/>
      <c r="V100"/>
    </row>
    <row r="101" spans="21:22" s="34" customFormat="1" x14ac:dyDescent="0.35">
      <c r="U101"/>
      <c r="V101"/>
    </row>
    <row r="102" spans="21:22" s="34" customFormat="1" x14ac:dyDescent="0.35">
      <c r="U102"/>
      <c r="V102"/>
    </row>
  </sheetData>
  <mergeCells count="4">
    <mergeCell ref="B2:C2"/>
    <mergeCell ref="B9:Q9"/>
    <mergeCell ref="B40:T40"/>
    <mergeCell ref="B53:O53"/>
  </mergeCells>
  <pageMargins left="0.75" right="0.75" top="1" bottom="1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837B-91A2-4455-8446-83BF07443C49}">
  <dimension ref="A1:AJ24"/>
  <sheetViews>
    <sheetView showGridLines="0" zoomScale="90" zoomScaleNormal="90" workbookViewId="0">
      <selection activeCell="AK15" sqref="AK15"/>
    </sheetView>
  </sheetViews>
  <sheetFormatPr baseColWidth="10" defaultRowHeight="14.5" outlineLevelCol="1" x14ac:dyDescent="0.35"/>
  <cols>
    <col min="1" max="1" width="1.08984375" customWidth="1"/>
    <col min="2" max="2" width="19.54296875" customWidth="1"/>
    <col min="3" max="3" width="1.36328125" customWidth="1"/>
    <col min="4" max="4" width="11.08984375" customWidth="1"/>
    <col min="5" max="5" width="0.90625" customWidth="1"/>
    <col min="6" max="6" width="7.453125" customWidth="1"/>
    <col min="7" max="7" width="0.90625" customWidth="1"/>
    <col min="8" max="8" width="8.453125" customWidth="1"/>
    <col min="9" max="9" width="0.90625" customWidth="1"/>
    <col min="10" max="10" width="11.08984375" customWidth="1"/>
    <col min="11" max="11" width="0.90625" customWidth="1"/>
    <col min="12" max="12" width="9.08984375" hidden="1" customWidth="1" outlineLevel="1"/>
    <col min="13" max="13" width="0.90625" hidden="1" customWidth="1" outlineLevel="1"/>
    <col min="14" max="14" width="7.1796875" hidden="1" customWidth="1" outlineLevel="1"/>
    <col min="15" max="15" width="0.90625" hidden="1" customWidth="1" outlineLevel="1"/>
    <col min="16" max="16" width="11.1796875" customWidth="1" collapsed="1"/>
    <col min="17" max="17" width="0.90625" customWidth="1"/>
    <col min="18" max="18" width="10.90625" customWidth="1"/>
    <col min="19" max="19" width="0.90625" customWidth="1"/>
    <col min="20" max="20" width="6.81640625" customWidth="1"/>
    <col min="21" max="21" width="0.90625" customWidth="1"/>
    <col min="22" max="22" width="6.1796875" customWidth="1"/>
    <col min="23" max="23" width="3.08984375" customWidth="1"/>
    <col min="24" max="24" width="8.81640625" hidden="1" customWidth="1" outlineLevel="1"/>
    <col min="25" max="25" width="2.6328125" hidden="1" customWidth="1" outlineLevel="1"/>
    <col min="26" max="26" width="9.08984375" hidden="1" customWidth="1" outlineLevel="1"/>
    <col min="27" max="27" width="1.90625" hidden="1" customWidth="1" outlineLevel="1"/>
    <col min="28" max="28" width="6.453125" hidden="1" customWidth="1" outlineLevel="1"/>
    <col min="29" max="29" width="1.90625" hidden="1" customWidth="1" outlineLevel="1"/>
    <col min="30" max="30" width="8.453125" hidden="1" customWidth="1" outlineLevel="1"/>
    <col min="31" max="31" width="1.90625" hidden="1" customWidth="1" outlineLevel="1"/>
    <col min="32" max="32" width="10.26953125" hidden="1" customWidth="1" outlineLevel="1"/>
    <col min="33" max="33" width="6.26953125" hidden="1" customWidth="1" outlineLevel="1"/>
    <col min="34" max="35" width="10.90625" hidden="1" customWidth="1" outlineLevel="1"/>
    <col min="36" max="36" width="10.90625" collapsed="1"/>
  </cols>
  <sheetData>
    <row r="1" spans="1:35" ht="15.5" x14ac:dyDescent="0.35">
      <c r="A1" s="274" t="s">
        <v>223</v>
      </c>
    </row>
    <row r="3" spans="1:35" x14ac:dyDescent="0.35">
      <c r="B3" s="428" t="s">
        <v>143</v>
      </c>
    </row>
    <row r="4" spans="1:35" ht="46.75" customHeight="1" x14ac:dyDescent="0.35">
      <c r="D4" s="268" t="s">
        <v>142</v>
      </c>
      <c r="E4" s="267"/>
      <c r="F4" s="268" t="s">
        <v>144</v>
      </c>
      <c r="G4" s="267"/>
      <c r="H4" s="268" t="s">
        <v>149</v>
      </c>
      <c r="I4" s="267"/>
      <c r="J4" s="268" t="s">
        <v>151</v>
      </c>
      <c r="K4" s="267"/>
      <c r="L4" s="268" t="s">
        <v>156</v>
      </c>
      <c r="M4" s="267"/>
      <c r="N4" s="268" t="s">
        <v>145</v>
      </c>
      <c r="O4" s="267"/>
      <c r="P4" s="268" t="s">
        <v>148</v>
      </c>
      <c r="Q4" s="267"/>
      <c r="R4" s="268" t="s">
        <v>158</v>
      </c>
      <c r="S4" s="267"/>
      <c r="T4" s="268" t="s">
        <v>150</v>
      </c>
      <c r="V4" s="268" t="s">
        <v>157</v>
      </c>
      <c r="X4" s="283" t="s">
        <v>162</v>
      </c>
      <c r="Z4" s="268" t="s">
        <v>216</v>
      </c>
      <c r="AB4" s="268" t="s">
        <v>217</v>
      </c>
      <c r="AD4" s="268" t="s">
        <v>218</v>
      </c>
      <c r="AF4" s="268" t="s">
        <v>219</v>
      </c>
      <c r="AH4" s="268" t="s">
        <v>220</v>
      </c>
      <c r="AI4" s="283" t="s">
        <v>222</v>
      </c>
    </row>
    <row r="5" spans="1:35" x14ac:dyDescent="0.35">
      <c r="X5" s="284"/>
      <c r="AB5" s="269"/>
      <c r="AH5" s="269"/>
      <c r="AI5" s="284"/>
    </row>
    <row r="6" spans="1:35" x14ac:dyDescent="0.35">
      <c r="B6" t="s">
        <v>147</v>
      </c>
      <c r="D6" s="271">
        <v>547076</v>
      </c>
      <c r="E6" s="271"/>
      <c r="F6" s="271">
        <v>1662</v>
      </c>
      <c r="G6" s="271"/>
      <c r="H6" s="271">
        <v>388226</v>
      </c>
      <c r="I6" s="271"/>
      <c r="J6" s="271">
        <f>D6+F6+H6</f>
        <v>936964</v>
      </c>
      <c r="K6" s="271"/>
      <c r="L6" s="271">
        <f>93073+N6</f>
        <v>114240</v>
      </c>
      <c r="M6" s="271"/>
      <c r="N6" s="271">
        <v>21167</v>
      </c>
      <c r="P6" s="266">
        <f>H6/J6</f>
        <v>0.41434462796863059</v>
      </c>
      <c r="R6" s="270">
        <f>L6/N6</f>
        <v>5.3970803609391975</v>
      </c>
      <c r="T6" s="266">
        <f>N6/H6</f>
        <v>5.452236583845492E-2</v>
      </c>
      <c r="V6" s="269">
        <v>0.48</v>
      </c>
      <c r="W6" s="276"/>
      <c r="X6" s="285">
        <v>0.48</v>
      </c>
      <c r="Z6" s="270">
        <f>AF6*AH6/AD6</f>
        <v>16.561233037701577</v>
      </c>
      <c r="AB6" s="269">
        <f>AD6/AF6</f>
        <v>9.8144866164239328</v>
      </c>
      <c r="AD6" s="271">
        <v>80925</v>
      </c>
      <c r="AF6" s="271">
        <v>8245.4644000000008</v>
      </c>
      <c r="AH6" s="269">
        <v>162.54</v>
      </c>
      <c r="AI6" s="285">
        <v>1</v>
      </c>
    </row>
    <row r="7" spans="1:35" x14ac:dyDescent="0.35"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V7" s="269"/>
      <c r="X7" s="285"/>
      <c r="AB7" s="269"/>
      <c r="AD7" s="271"/>
      <c r="AF7" s="269"/>
      <c r="AH7" s="269"/>
      <c r="AI7" s="285"/>
    </row>
    <row r="8" spans="1:35" x14ac:dyDescent="0.35">
      <c r="B8" t="s">
        <v>154</v>
      </c>
      <c r="D8" s="271">
        <f>(221.4+8397.51)*10</f>
        <v>86189.1</v>
      </c>
      <c r="E8" s="271"/>
      <c r="F8" s="271">
        <f>944.37*10</f>
        <v>9443.7000000000007</v>
      </c>
      <c r="G8" s="271"/>
      <c r="H8" s="271">
        <f>(11050.67+3092.75)*10</f>
        <v>141434.20000000001</v>
      </c>
      <c r="I8" s="271"/>
      <c r="J8" s="271">
        <f>D8+F8+H8</f>
        <v>237067</v>
      </c>
      <c r="K8" s="271"/>
      <c r="L8" s="271">
        <f>(2463.83)*10+N8</f>
        <v>32767.1</v>
      </c>
      <c r="M8" s="271"/>
      <c r="N8" s="271">
        <f>812.88*10</f>
        <v>8128.8</v>
      </c>
      <c r="P8" s="266">
        <f>H8/J8</f>
        <v>0.59660011726642681</v>
      </c>
      <c r="R8" s="270">
        <f>L8/N8</f>
        <v>4.0309885838008066</v>
      </c>
      <c r="T8" s="266">
        <f>N8/H8</f>
        <v>5.7474076284236765E-2</v>
      </c>
      <c r="V8" s="269">
        <v>0.62</v>
      </c>
      <c r="W8" s="276"/>
      <c r="X8" s="285">
        <v>0.62</v>
      </c>
      <c r="Z8" s="270">
        <f>AF8*AH8/AD8</f>
        <v>19.444736381152566</v>
      </c>
      <c r="AB8" s="269">
        <f>AD8/AF8</f>
        <v>57.09</v>
      </c>
      <c r="AD8" s="271">
        <f>(1298.73+27.57)*10</f>
        <v>13263</v>
      </c>
      <c r="AF8" s="271">
        <v>232.31739358906987</v>
      </c>
      <c r="AH8" s="269">
        <f>111.01*AI8</f>
        <v>1110.1000000000001</v>
      </c>
      <c r="AI8" s="285">
        <v>10</v>
      </c>
    </row>
    <row r="9" spans="1:35" x14ac:dyDescent="0.35"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V9" s="269"/>
      <c r="X9" s="285"/>
      <c r="AB9" s="269"/>
      <c r="AD9" s="271"/>
      <c r="AF9" s="269"/>
      <c r="AH9" s="269"/>
      <c r="AI9" s="285"/>
    </row>
    <row r="10" spans="1:35" x14ac:dyDescent="0.35">
      <c r="B10" t="s">
        <v>146</v>
      </c>
      <c r="D10" s="271">
        <v>19821.23</v>
      </c>
      <c r="E10" s="271"/>
      <c r="F10" s="271">
        <v>1649.86</v>
      </c>
      <c r="G10" s="271"/>
      <c r="H10" s="271">
        <f>21725.86+659.73</f>
        <v>22385.59</v>
      </c>
      <c r="I10" s="271"/>
      <c r="J10" s="271">
        <f>D10+F10+H10</f>
        <v>43856.68</v>
      </c>
      <c r="K10" s="271"/>
      <c r="L10" s="271">
        <f>1897.13+N10</f>
        <v>3118.57</v>
      </c>
      <c r="M10" s="271"/>
      <c r="N10" s="271">
        <v>1221.44</v>
      </c>
      <c r="P10" s="266">
        <f>H10/J10</f>
        <v>0.51042600579888853</v>
      </c>
      <c r="R10" s="270">
        <f>L10/N10</f>
        <v>2.5531913151689807</v>
      </c>
      <c r="T10" s="266">
        <f>N10/H10</f>
        <v>5.456367243391843E-2</v>
      </c>
      <c r="V10" s="269">
        <v>1.32</v>
      </c>
      <c r="W10" s="276"/>
      <c r="X10" s="285">
        <v>1.32</v>
      </c>
      <c r="Z10" s="270">
        <f>AF10*AH10/AD10</f>
        <v>26.191646191646189</v>
      </c>
      <c r="AB10" s="269">
        <f>AD10/AF10</f>
        <v>4.07</v>
      </c>
      <c r="AD10" s="271">
        <v>1454.25</v>
      </c>
      <c r="AF10" s="271">
        <v>357.30958230958231</v>
      </c>
      <c r="AG10" s="271">
        <v>346.10473999999999</v>
      </c>
      <c r="AH10" s="269">
        <f>213.2*AI10</f>
        <v>106.6</v>
      </c>
      <c r="AI10" s="285">
        <v>0.5</v>
      </c>
    </row>
    <row r="11" spans="1:35" x14ac:dyDescent="0.35"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V11" s="269"/>
      <c r="X11" s="285"/>
      <c r="AB11" s="269"/>
      <c r="AD11" s="271"/>
      <c r="AF11" s="269"/>
      <c r="AH11" s="269"/>
      <c r="AI11" s="284"/>
    </row>
    <row r="12" spans="1:35" x14ac:dyDescent="0.35">
      <c r="B12" t="s">
        <v>152</v>
      </c>
      <c r="D12" s="271">
        <f>23968+113823.505232</f>
        <v>137791.505232</v>
      </c>
      <c r="E12" s="271"/>
      <c r="F12" s="271">
        <v>0</v>
      </c>
      <c r="G12" s="271"/>
      <c r="H12" s="271">
        <v>13324.942048000001</v>
      </c>
      <c r="I12" s="271"/>
      <c r="J12" s="271">
        <f>D12+F12+H12</f>
        <v>151116.44727999999</v>
      </c>
      <c r="K12" s="271"/>
      <c r="L12" s="353">
        <v>2570.2373429999998</v>
      </c>
      <c r="M12" s="271"/>
      <c r="N12" s="272" t="s">
        <v>153</v>
      </c>
      <c r="P12" s="266">
        <f>H12/J12</f>
        <v>8.8176649781281188E-2</v>
      </c>
      <c r="R12" s="273" t="s">
        <v>159</v>
      </c>
      <c r="T12" s="272" t="s">
        <v>153</v>
      </c>
      <c r="V12" s="269">
        <v>0.54</v>
      </c>
      <c r="W12" s="276"/>
      <c r="X12" s="285">
        <v>0.54</v>
      </c>
      <c r="Z12" s="270">
        <f>AF12*AH12/AD12</f>
        <v>16.418771206271213</v>
      </c>
      <c r="AB12" s="269">
        <f>AD12/AF12</f>
        <v>1.0201737870372583</v>
      </c>
      <c r="AD12" s="354">
        <f>2445.097171</f>
        <v>2445.0971709999999</v>
      </c>
      <c r="AF12" s="271">
        <v>2396.7457330000002</v>
      </c>
      <c r="AH12" s="269">
        <f>167.5/AI12</f>
        <v>16.75</v>
      </c>
      <c r="AI12" s="285">
        <v>10</v>
      </c>
    </row>
    <row r="13" spans="1:35" x14ac:dyDescent="0.35"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V13" s="269"/>
      <c r="X13" s="285"/>
      <c r="AB13" s="269"/>
      <c r="AD13" s="271"/>
      <c r="AF13" s="270"/>
      <c r="AH13" s="269"/>
    </row>
    <row r="14" spans="1:35" x14ac:dyDescent="0.35">
      <c r="B14" t="s">
        <v>155</v>
      </c>
      <c r="D14" s="271">
        <f>(229370.1)/10</f>
        <v>22937.010000000002</v>
      </c>
      <c r="E14" s="271"/>
      <c r="F14" s="271">
        <f>(6994.22)/10</f>
        <v>699.42200000000003</v>
      </c>
      <c r="G14" s="271"/>
      <c r="H14" s="271">
        <f>(408968.65+90000)/10</f>
        <v>49896.865000000005</v>
      </c>
      <c r="I14" s="271"/>
      <c r="J14" s="271">
        <f>D14+F14+H14</f>
        <v>73533.297000000006</v>
      </c>
      <c r="K14" s="271"/>
      <c r="L14" s="272">
        <f>-554.16/10</f>
        <v>-55.415999999999997</v>
      </c>
      <c r="M14" s="271"/>
      <c r="N14" s="272" t="s">
        <v>153</v>
      </c>
      <c r="P14" s="266">
        <f>H14/J14</f>
        <v>0.67856150935269499</v>
      </c>
      <c r="R14" s="273" t="s">
        <v>159</v>
      </c>
      <c r="T14" s="272" t="s">
        <v>153</v>
      </c>
      <c r="V14" s="269">
        <v>0.8</v>
      </c>
      <c r="W14" s="276"/>
      <c r="X14" s="285">
        <v>0.8</v>
      </c>
      <c r="Z14" s="273" t="s">
        <v>159</v>
      </c>
      <c r="AB14" s="269">
        <f>AD14/AF14</f>
        <v>-3.1931751958147445E-2</v>
      </c>
      <c r="AD14" s="272">
        <f>-554.16/10</f>
        <v>-55.415999999999997</v>
      </c>
      <c r="AF14" s="271">
        <v>1735.451286</v>
      </c>
      <c r="AH14" s="269">
        <v>100.1</v>
      </c>
    </row>
    <row r="15" spans="1:35" x14ac:dyDescent="0.35"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V15" s="269"/>
      <c r="X15" s="285"/>
      <c r="AB15" s="269"/>
      <c r="AD15" s="271"/>
      <c r="AF15" s="269"/>
    </row>
    <row r="16" spans="1:35" x14ac:dyDescent="0.35">
      <c r="D16" s="271"/>
      <c r="E16" s="271"/>
      <c r="F16" s="271"/>
      <c r="G16" s="271"/>
      <c r="H16" s="296" t="s">
        <v>320</v>
      </c>
      <c r="I16" s="286"/>
      <c r="J16" s="286"/>
      <c r="K16" s="286"/>
      <c r="L16" s="286"/>
      <c r="M16" s="286"/>
      <c r="N16" s="286"/>
      <c r="O16" s="286"/>
      <c r="P16" s="287">
        <f>AVERAGE(P6:P14)</f>
        <v>0.45762178203358445</v>
      </c>
      <c r="Q16" s="286"/>
      <c r="R16" s="288">
        <f>AVERAGE(R6:R14)</f>
        <v>3.993753419969662</v>
      </c>
      <c r="S16" s="286"/>
      <c r="T16" s="287">
        <f>AVERAGE(T6:T14)</f>
        <v>5.5520038185536712E-2</v>
      </c>
      <c r="U16" s="286"/>
      <c r="V16" s="289">
        <f>AVERAGE(V6:V14)</f>
        <v>0.752</v>
      </c>
      <c r="X16" s="285"/>
      <c r="AB16" s="269"/>
      <c r="AD16" s="271"/>
      <c r="AF16" s="269"/>
    </row>
    <row r="17" spans="2:35" x14ac:dyDescent="0.35">
      <c r="D17" s="271"/>
      <c r="E17" s="271"/>
      <c r="F17" s="271"/>
      <c r="G17" s="271"/>
      <c r="H17" s="296" t="s">
        <v>321</v>
      </c>
      <c r="I17" s="286"/>
      <c r="J17" s="286"/>
      <c r="K17" s="286"/>
      <c r="L17" s="286"/>
      <c r="M17" s="286"/>
      <c r="N17" s="286"/>
      <c r="O17" s="286"/>
      <c r="P17" s="287">
        <f>AVERAGE(P8,P10,P14)</f>
        <v>0.59519587747267011</v>
      </c>
      <c r="Q17" s="286"/>
      <c r="R17" s="288">
        <f>AVERAGE(R8,R10,R14)</f>
        <v>3.2920899494848936</v>
      </c>
      <c r="S17" s="286"/>
      <c r="T17" s="287">
        <f>AVERAGE(T8,T10,T14)</f>
        <v>5.6018874359077597E-2</v>
      </c>
      <c r="U17" s="286"/>
      <c r="V17" s="289">
        <f>AVERAGE(V8,V10,V14)</f>
        <v>0.91333333333333344</v>
      </c>
      <c r="X17" s="285"/>
      <c r="AB17" s="269"/>
      <c r="AD17" s="271"/>
      <c r="AF17" s="269"/>
    </row>
    <row r="18" spans="2:35" x14ac:dyDescent="0.35">
      <c r="D18" s="271"/>
      <c r="E18" s="271"/>
      <c r="F18" s="271"/>
      <c r="G18" s="271"/>
      <c r="H18" s="296" t="s">
        <v>160</v>
      </c>
      <c r="I18" s="286"/>
      <c r="J18" s="286"/>
      <c r="K18" s="286"/>
      <c r="L18" s="286"/>
      <c r="M18" s="286"/>
      <c r="N18" s="286"/>
      <c r="O18" s="286"/>
      <c r="P18" s="287">
        <f>MIN(P6:P14)</f>
        <v>8.8176649781281188E-2</v>
      </c>
      <c r="Q18" s="286"/>
      <c r="R18" s="288">
        <f>MIN(R6:R14)</f>
        <v>2.5531913151689807</v>
      </c>
      <c r="S18" s="286"/>
      <c r="T18" s="287">
        <f>MIN(T6:T14)</f>
        <v>5.452236583845492E-2</v>
      </c>
      <c r="U18" s="286"/>
      <c r="V18" s="289">
        <f>MIN(V6:V14)</f>
        <v>0.48</v>
      </c>
      <c r="X18" s="285"/>
      <c r="AB18" s="269"/>
      <c r="AD18" s="271"/>
      <c r="AF18" s="269"/>
    </row>
    <row r="19" spans="2:35" x14ac:dyDescent="0.35">
      <c r="D19" s="271"/>
      <c r="E19" s="271"/>
      <c r="F19" s="271"/>
      <c r="G19" s="271"/>
      <c r="H19" s="296" t="s">
        <v>161</v>
      </c>
      <c r="I19" s="286"/>
      <c r="J19" s="286"/>
      <c r="K19" s="286"/>
      <c r="L19" s="286"/>
      <c r="M19" s="286"/>
      <c r="N19" s="286"/>
      <c r="O19" s="286"/>
      <c r="P19" s="287">
        <f>MAX(P6:P14)</f>
        <v>0.67856150935269499</v>
      </c>
      <c r="Q19" s="286"/>
      <c r="R19" s="288">
        <f>MAX(R6:R14)</f>
        <v>5.3970803609391975</v>
      </c>
      <c r="S19" s="286"/>
      <c r="T19" s="287">
        <f>MAX(T6:T14)</f>
        <v>5.7474076284236765E-2</v>
      </c>
      <c r="U19" s="286"/>
      <c r="V19" s="289">
        <f>MAX(V6:V14)</f>
        <v>1.32</v>
      </c>
      <c r="X19" s="285"/>
      <c r="AB19" s="269"/>
      <c r="AD19" s="271"/>
      <c r="AF19" s="269"/>
    </row>
    <row r="20" spans="2:35" x14ac:dyDescent="0.35">
      <c r="V20" s="269"/>
      <c r="X20" s="284"/>
      <c r="AB20" s="269"/>
      <c r="AD20" s="271"/>
      <c r="AF20" s="269"/>
    </row>
    <row r="21" spans="2:35" x14ac:dyDescent="0.35">
      <c r="B21" s="290" t="s">
        <v>319</v>
      </c>
      <c r="C21" s="290"/>
      <c r="D21" s="291">
        <f>118347.74/10</f>
        <v>11834.774000000001</v>
      </c>
      <c r="E21" s="291"/>
      <c r="F21" s="291">
        <f>0.01/10</f>
        <v>1E-3</v>
      </c>
      <c r="G21" s="291"/>
      <c r="H21" s="291">
        <f>43037.29/10</f>
        <v>4303.7290000000003</v>
      </c>
      <c r="I21" s="291"/>
      <c r="J21" s="291">
        <f>D21+F21+H21</f>
        <v>16138.504000000001</v>
      </c>
      <c r="K21" s="291"/>
      <c r="L21" s="292">
        <f>56382.98/10+N21</f>
        <v>5970.0610000000006</v>
      </c>
      <c r="M21" s="291"/>
      <c r="N21" s="292">
        <f>3317.63/10</f>
        <v>331.76300000000003</v>
      </c>
      <c r="O21" s="290"/>
      <c r="P21" s="293">
        <f>H21/J21</f>
        <v>0.26667459387809428</v>
      </c>
      <c r="Q21" s="290"/>
      <c r="R21" s="294">
        <f>L21/N21</f>
        <v>17.994957243574479</v>
      </c>
      <c r="S21" s="290"/>
      <c r="T21" s="293">
        <f>N21/H21</f>
        <v>7.7087335192341344E-2</v>
      </c>
      <c r="U21" s="290"/>
      <c r="V21" s="295">
        <v>0.87</v>
      </c>
      <c r="W21" s="276"/>
      <c r="X21" s="285">
        <v>0.93</v>
      </c>
      <c r="Z21" s="270">
        <f>AF21*AH21/AD21</f>
        <v>20.955494045794023</v>
      </c>
      <c r="AB21" s="269">
        <f>AD21/AF21</f>
        <v>0.68249404994918539</v>
      </c>
      <c r="AD21" s="271">
        <f>52080.16/10</f>
        <v>5208.0160000000005</v>
      </c>
      <c r="AF21" s="271">
        <f>76308592/10000</f>
        <v>7630.8591999999999</v>
      </c>
      <c r="AH21" s="269">
        <f>143.02/AI21</f>
        <v>14.302000000000001</v>
      </c>
      <c r="AI21" s="285">
        <v>10</v>
      </c>
    </row>
    <row r="24" spans="2:35" x14ac:dyDescent="0.35">
      <c r="B24" s="275" t="s">
        <v>221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V102"/>
  <sheetViews>
    <sheetView showGridLines="0" workbookViewId="0"/>
  </sheetViews>
  <sheetFormatPr baseColWidth="10" defaultColWidth="8.81640625" defaultRowHeight="14.5" x14ac:dyDescent="0.35"/>
  <cols>
    <col min="2" max="2" width="39" bestFit="1" customWidth="1"/>
    <col min="3" max="3" width="7.81640625" customWidth="1"/>
    <col min="4" max="6" width="6.6328125" customWidth="1"/>
    <col min="7" max="8" width="7.1796875" customWidth="1"/>
    <col min="9" max="11" width="6.6328125" customWidth="1"/>
    <col min="12" max="12" width="7.26953125" customWidth="1"/>
    <col min="13" max="20" width="6.6328125" customWidth="1"/>
    <col min="21" max="21" width="39.453125" bestFit="1" customWidth="1"/>
    <col min="22" max="22" width="5.453125" customWidth="1"/>
  </cols>
  <sheetData>
    <row r="1" spans="2:22" ht="15" thickBot="1" x14ac:dyDescent="0.4"/>
    <row r="2" spans="2:22" ht="16" thickBot="1" x14ac:dyDescent="0.4">
      <c r="B2" s="496" t="s">
        <v>37</v>
      </c>
      <c r="C2" s="497"/>
      <c r="E2" s="57" t="s">
        <v>38</v>
      </c>
      <c r="F2" s="58"/>
      <c r="G2" s="141">
        <f>SUM(C31:L31,C24:L24,C26:L26)/SUM(C24:L24,C34:L34)</f>
        <v>1.5634142015480765</v>
      </c>
      <c r="U2" s="146" t="s">
        <v>63</v>
      </c>
      <c r="V2" s="147"/>
    </row>
    <row r="3" spans="2:22" x14ac:dyDescent="0.35">
      <c r="B3" s="59" t="s">
        <v>16</v>
      </c>
      <c r="C3" s="60">
        <v>0.75</v>
      </c>
      <c r="E3" s="61" t="s">
        <v>58</v>
      </c>
      <c r="F3" s="139"/>
      <c r="G3" s="142">
        <f>C51</f>
        <v>0.14166250797415425</v>
      </c>
      <c r="U3" s="148" t="s">
        <v>60</v>
      </c>
      <c r="V3" s="149">
        <f>($C$13*2400/(5500*1000))/0.992</f>
        <v>0.867008797653959</v>
      </c>
    </row>
    <row r="4" spans="2:22" ht="15" thickBot="1" x14ac:dyDescent="0.4">
      <c r="B4" s="62" t="s">
        <v>39</v>
      </c>
      <c r="C4" s="63">
        <v>1</v>
      </c>
      <c r="E4" s="64" t="s">
        <v>59</v>
      </c>
      <c r="F4" s="140"/>
      <c r="G4" s="143">
        <f>C64</f>
        <v>0.11339592067148763</v>
      </c>
      <c r="U4" s="148" t="s">
        <v>61</v>
      </c>
      <c r="V4" s="149">
        <f>($C$13*2400/(3450*1000))/0.992</f>
        <v>1.3821879382889202</v>
      </c>
    </row>
    <row r="5" spans="2:22" x14ac:dyDescent="0.35">
      <c r="B5" s="62" t="s">
        <v>40</v>
      </c>
      <c r="C5" s="65">
        <v>0.12</v>
      </c>
      <c r="U5" s="150" t="s">
        <v>62</v>
      </c>
      <c r="V5" s="149">
        <f>AVERAGE(V3:V4)</f>
        <v>1.1245983679714395</v>
      </c>
    </row>
    <row r="6" spans="2:22" ht="15" thickBot="1" x14ac:dyDescent="0.4">
      <c r="B6" s="66" t="s">
        <v>41</v>
      </c>
      <c r="C6" s="67">
        <v>1</v>
      </c>
      <c r="U6" s="155"/>
      <c r="V6" s="156"/>
    </row>
    <row r="7" spans="2:22" x14ac:dyDescent="0.35">
      <c r="U7" s="157" t="s">
        <v>70</v>
      </c>
      <c r="V7" s="158"/>
    </row>
    <row r="8" spans="2:22" ht="15" thickBot="1" x14ac:dyDescent="0.4">
      <c r="U8" s="152" t="s">
        <v>60</v>
      </c>
      <c r="V8" s="151"/>
    </row>
    <row r="9" spans="2:22" ht="16" thickBot="1" x14ac:dyDescent="0.4">
      <c r="B9" s="491" t="s">
        <v>0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3"/>
      <c r="U9" s="148" t="s">
        <v>69</v>
      </c>
      <c r="V9" s="153">
        <f>(1150+700)/2</f>
        <v>925</v>
      </c>
    </row>
    <row r="10" spans="2:22" s="68" customFormat="1" ht="16" thickBot="1" x14ac:dyDescent="0.4">
      <c r="B10" s="30" t="s">
        <v>14</v>
      </c>
      <c r="C10" s="2">
        <v>2013</v>
      </c>
      <c r="D10" s="2">
        <v>2014</v>
      </c>
      <c r="E10" s="2">
        <v>2015</v>
      </c>
      <c r="F10" s="2">
        <v>2016</v>
      </c>
      <c r="G10" s="2">
        <v>2017</v>
      </c>
      <c r="H10" s="2">
        <v>2018</v>
      </c>
      <c r="I10" s="2">
        <v>2019</v>
      </c>
      <c r="J10" s="2">
        <v>2020</v>
      </c>
      <c r="K10" s="2">
        <v>2021</v>
      </c>
      <c r="L10" s="2">
        <v>2022</v>
      </c>
      <c r="M10" s="2">
        <v>2023</v>
      </c>
      <c r="N10" s="2">
        <v>2024</v>
      </c>
      <c r="O10" s="2">
        <v>2025</v>
      </c>
      <c r="P10" s="2">
        <v>2026</v>
      </c>
      <c r="Q10" s="3">
        <v>2027</v>
      </c>
      <c r="U10" s="148" t="s">
        <v>65</v>
      </c>
      <c r="V10" s="154">
        <v>1</v>
      </c>
    </row>
    <row r="11" spans="2:22" s="34" customFormat="1" ht="16" thickBot="1" x14ac:dyDescent="0.4">
      <c r="B11" s="31" t="s">
        <v>15</v>
      </c>
      <c r="C11" s="69">
        <v>300</v>
      </c>
      <c r="D11" s="69">
        <v>300</v>
      </c>
      <c r="E11" s="69">
        <v>300</v>
      </c>
      <c r="F11" s="69">
        <v>300</v>
      </c>
      <c r="G11" s="69">
        <v>300</v>
      </c>
      <c r="H11" s="69">
        <v>300</v>
      </c>
      <c r="I11" s="69">
        <v>300</v>
      </c>
      <c r="J11" s="69">
        <v>300</v>
      </c>
      <c r="K11" s="69">
        <v>300</v>
      </c>
      <c r="L11" s="69">
        <v>300</v>
      </c>
      <c r="M11" s="69">
        <v>300</v>
      </c>
      <c r="N11" s="69">
        <v>300</v>
      </c>
      <c r="O11" s="69">
        <v>300</v>
      </c>
      <c r="P11" s="69">
        <v>300</v>
      </c>
      <c r="Q11" s="70">
        <v>300</v>
      </c>
      <c r="R11" s="71"/>
      <c r="U11" s="148" t="s">
        <v>66</v>
      </c>
      <c r="V11" s="165">
        <v>0.03</v>
      </c>
    </row>
    <row r="12" spans="2:22" s="34" customFormat="1" ht="16" thickTop="1" x14ac:dyDescent="0.35">
      <c r="B12" s="35" t="s">
        <v>16</v>
      </c>
      <c r="C12" s="72">
        <f>$C$3</f>
        <v>0.75</v>
      </c>
      <c r="D12" s="72">
        <f t="shared" ref="D12:Q12" si="0">$C$3</f>
        <v>0.75</v>
      </c>
      <c r="E12" s="72">
        <f t="shared" si="0"/>
        <v>0.75</v>
      </c>
      <c r="F12" s="72">
        <f t="shared" si="0"/>
        <v>0.75</v>
      </c>
      <c r="G12" s="72">
        <f t="shared" si="0"/>
        <v>0.75</v>
      </c>
      <c r="H12" s="72">
        <f t="shared" si="0"/>
        <v>0.75</v>
      </c>
      <c r="I12" s="72">
        <f t="shared" si="0"/>
        <v>0.75</v>
      </c>
      <c r="J12" s="72">
        <f t="shared" si="0"/>
        <v>0.75</v>
      </c>
      <c r="K12" s="72">
        <f t="shared" si="0"/>
        <v>0.75</v>
      </c>
      <c r="L12" s="72">
        <f t="shared" si="0"/>
        <v>0.75</v>
      </c>
      <c r="M12" s="72">
        <f t="shared" si="0"/>
        <v>0.75</v>
      </c>
      <c r="N12" s="72">
        <f t="shared" si="0"/>
        <v>0.75</v>
      </c>
      <c r="O12" s="72">
        <f t="shared" si="0"/>
        <v>0.75</v>
      </c>
      <c r="P12" s="72">
        <f t="shared" si="0"/>
        <v>0.75</v>
      </c>
      <c r="Q12" s="73">
        <f t="shared" si="0"/>
        <v>0.75</v>
      </c>
      <c r="R12" s="71"/>
      <c r="U12" s="148"/>
      <c r="V12" s="164">
        <f>V9*((1+V11)^3)</f>
        <v>1010.772475</v>
      </c>
    </row>
    <row r="13" spans="2:22" s="34" customFormat="1" ht="15.5" x14ac:dyDescent="0.35">
      <c r="B13" s="35" t="s">
        <v>17</v>
      </c>
      <c r="C13" s="74">
        <f t="shared" ref="C13:Q13" si="1">C11*1000*24*365*C12/1000000</f>
        <v>1971</v>
      </c>
      <c r="D13" s="74">
        <f t="shared" si="1"/>
        <v>1971</v>
      </c>
      <c r="E13" s="74">
        <f t="shared" si="1"/>
        <v>1971</v>
      </c>
      <c r="F13" s="74">
        <f t="shared" si="1"/>
        <v>1971</v>
      </c>
      <c r="G13" s="74">
        <f t="shared" si="1"/>
        <v>1971</v>
      </c>
      <c r="H13" s="74">
        <f t="shared" si="1"/>
        <v>1971</v>
      </c>
      <c r="I13" s="74">
        <f t="shared" si="1"/>
        <v>1971</v>
      </c>
      <c r="J13" s="74">
        <f t="shared" si="1"/>
        <v>1971</v>
      </c>
      <c r="K13" s="74">
        <f t="shared" si="1"/>
        <v>1971</v>
      </c>
      <c r="L13" s="74">
        <f t="shared" si="1"/>
        <v>1971</v>
      </c>
      <c r="M13" s="74">
        <f t="shared" si="1"/>
        <v>1971</v>
      </c>
      <c r="N13" s="74">
        <f t="shared" si="1"/>
        <v>1971</v>
      </c>
      <c r="O13" s="74">
        <f t="shared" si="1"/>
        <v>1971</v>
      </c>
      <c r="P13" s="74">
        <f t="shared" si="1"/>
        <v>1971</v>
      </c>
      <c r="Q13" s="75">
        <f t="shared" si="1"/>
        <v>1971</v>
      </c>
      <c r="R13" s="71"/>
      <c r="U13" s="148"/>
      <c r="V13" s="149"/>
    </row>
    <row r="14" spans="2:22" s="34" customFormat="1" ht="15.5" x14ac:dyDescent="0.35">
      <c r="B14" s="35" t="s">
        <v>18</v>
      </c>
      <c r="C14" s="76">
        <v>201</v>
      </c>
      <c r="D14" s="76">
        <v>201</v>
      </c>
      <c r="E14" s="76">
        <v>201</v>
      </c>
      <c r="F14" s="76">
        <v>201</v>
      </c>
      <c r="G14" s="76">
        <v>201</v>
      </c>
      <c r="H14" s="76">
        <v>201</v>
      </c>
      <c r="I14" s="76">
        <v>201</v>
      </c>
      <c r="J14" s="76">
        <v>201</v>
      </c>
      <c r="K14" s="76">
        <v>201</v>
      </c>
      <c r="L14" s="76">
        <v>201</v>
      </c>
      <c r="M14" s="76">
        <v>201</v>
      </c>
      <c r="N14" s="76">
        <v>201</v>
      </c>
      <c r="O14" s="76">
        <v>201</v>
      </c>
      <c r="P14" s="76">
        <v>201</v>
      </c>
      <c r="Q14" s="77">
        <v>201</v>
      </c>
      <c r="R14" s="71"/>
      <c r="U14" s="152" t="s">
        <v>61</v>
      </c>
      <c r="V14" s="149"/>
    </row>
    <row r="15" spans="2:22" s="34" customFormat="1" ht="15.5" x14ac:dyDescent="0.35">
      <c r="B15" s="78" t="s">
        <v>19</v>
      </c>
      <c r="C15" s="74">
        <f t="shared" ref="C15:Q15" si="2">C13-C14</f>
        <v>1770</v>
      </c>
      <c r="D15" s="74">
        <f t="shared" si="2"/>
        <v>1770</v>
      </c>
      <c r="E15" s="74">
        <f t="shared" si="2"/>
        <v>1770</v>
      </c>
      <c r="F15" s="74">
        <f t="shared" si="2"/>
        <v>1770</v>
      </c>
      <c r="G15" s="74">
        <f t="shared" si="2"/>
        <v>1770</v>
      </c>
      <c r="H15" s="74">
        <f t="shared" si="2"/>
        <v>1770</v>
      </c>
      <c r="I15" s="74">
        <f t="shared" si="2"/>
        <v>1770</v>
      </c>
      <c r="J15" s="74">
        <f t="shared" si="2"/>
        <v>1770</v>
      </c>
      <c r="K15" s="74">
        <f t="shared" si="2"/>
        <v>1770</v>
      </c>
      <c r="L15" s="74">
        <f t="shared" si="2"/>
        <v>1770</v>
      </c>
      <c r="M15" s="74">
        <f t="shared" si="2"/>
        <v>1770</v>
      </c>
      <c r="N15" s="74">
        <f t="shared" si="2"/>
        <v>1770</v>
      </c>
      <c r="O15" s="74">
        <f t="shared" si="2"/>
        <v>1770</v>
      </c>
      <c r="P15" s="74">
        <f t="shared" si="2"/>
        <v>1770</v>
      </c>
      <c r="Q15" s="75">
        <f t="shared" si="2"/>
        <v>1770</v>
      </c>
      <c r="U15" s="148" t="s">
        <v>67</v>
      </c>
      <c r="V15" s="153">
        <f>67.5*49</f>
        <v>3307.5</v>
      </c>
    </row>
    <row r="16" spans="2:22" s="34" customFormat="1" ht="15.5" x14ac:dyDescent="0.35">
      <c r="B16" s="35" t="s">
        <v>20</v>
      </c>
      <c r="C16" s="79">
        <v>3.25</v>
      </c>
      <c r="D16" s="79">
        <f>C16*1.01</f>
        <v>3.2825000000000002</v>
      </c>
      <c r="E16" s="79">
        <f t="shared" ref="E16:Q16" si="3">D16*1.01</f>
        <v>3.3153250000000001</v>
      </c>
      <c r="F16" s="79">
        <f t="shared" si="3"/>
        <v>3.3484782500000003</v>
      </c>
      <c r="G16" s="79">
        <f t="shared" si="3"/>
        <v>3.3819630325000003</v>
      </c>
      <c r="H16" s="79">
        <f t="shared" si="3"/>
        <v>3.4157826628250003</v>
      </c>
      <c r="I16" s="79">
        <f t="shared" si="3"/>
        <v>3.4499404894532502</v>
      </c>
      <c r="J16" s="79">
        <f t="shared" si="3"/>
        <v>3.4844398943477826</v>
      </c>
      <c r="K16" s="79">
        <f t="shared" si="3"/>
        <v>3.5192842932912605</v>
      </c>
      <c r="L16" s="79">
        <f t="shared" si="3"/>
        <v>3.5544771362241732</v>
      </c>
      <c r="M16" s="79">
        <f t="shared" si="3"/>
        <v>3.590021907586415</v>
      </c>
      <c r="N16" s="79">
        <f t="shared" si="3"/>
        <v>3.6259221266622794</v>
      </c>
      <c r="O16" s="79">
        <f t="shared" si="3"/>
        <v>3.662181347928902</v>
      </c>
      <c r="P16" s="79">
        <f t="shared" si="3"/>
        <v>3.6988031614081911</v>
      </c>
      <c r="Q16" s="80">
        <f t="shared" si="3"/>
        <v>3.7357911930222731</v>
      </c>
      <c r="R16" s="81"/>
      <c r="U16" s="148" t="s">
        <v>64</v>
      </c>
      <c r="V16" s="154">
        <v>1</v>
      </c>
    </row>
    <row r="17" spans="2:22" s="34" customFormat="1" ht="16" thickBot="1" x14ac:dyDescent="0.4">
      <c r="B17" s="82" t="s">
        <v>21</v>
      </c>
      <c r="C17" s="83">
        <f>C15*C16</f>
        <v>5752.5</v>
      </c>
      <c r="D17" s="83">
        <f t="shared" ref="D17:Q17" si="4">D15*D16</f>
        <v>5810.0250000000005</v>
      </c>
      <c r="E17" s="83">
        <f t="shared" si="4"/>
        <v>5868.1252500000001</v>
      </c>
      <c r="F17" s="83">
        <f t="shared" si="4"/>
        <v>5926.8065025000005</v>
      </c>
      <c r="G17" s="83">
        <f t="shared" si="4"/>
        <v>5986.0745675250009</v>
      </c>
      <c r="H17" s="83">
        <f t="shared" si="4"/>
        <v>6045.9353132002507</v>
      </c>
      <c r="I17" s="83">
        <f t="shared" si="4"/>
        <v>6106.3946663322531</v>
      </c>
      <c r="J17" s="83">
        <f t="shared" si="4"/>
        <v>6167.4586129955751</v>
      </c>
      <c r="K17" s="83">
        <f t="shared" si="4"/>
        <v>6229.1331991255311</v>
      </c>
      <c r="L17" s="83">
        <f t="shared" si="4"/>
        <v>6291.4245311167861</v>
      </c>
      <c r="M17" s="83">
        <f t="shared" si="4"/>
        <v>6354.3387764279551</v>
      </c>
      <c r="N17" s="83">
        <f t="shared" si="4"/>
        <v>6417.882164192235</v>
      </c>
      <c r="O17" s="83">
        <f t="shared" si="4"/>
        <v>6482.0609858341568</v>
      </c>
      <c r="P17" s="83">
        <f t="shared" si="4"/>
        <v>6546.8815956924982</v>
      </c>
      <c r="Q17" s="84">
        <f t="shared" si="4"/>
        <v>6612.3504116494232</v>
      </c>
      <c r="U17" s="148" t="s">
        <v>66</v>
      </c>
      <c r="V17" s="165">
        <v>0.03</v>
      </c>
    </row>
    <row r="18" spans="2:22" s="34" customFormat="1" ht="16" thickTop="1" x14ac:dyDescent="0.35">
      <c r="B18" s="45" t="s">
        <v>22</v>
      </c>
      <c r="C18" s="144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  <c r="U18" s="148"/>
      <c r="V18" s="164">
        <f>V15*((1+V17)^3)</f>
        <v>3614.1945525000001</v>
      </c>
    </row>
    <row r="19" spans="2:22" s="34" customFormat="1" ht="15.5" x14ac:dyDescent="0.35">
      <c r="B19" s="35" t="s">
        <v>23</v>
      </c>
      <c r="C19" s="74">
        <f>($V$20*((1.03^(C10-2012))))*$C$6</f>
        <v>2381.8580191625001</v>
      </c>
      <c r="D19" s="76">
        <f t="shared" ref="D19:Q19" si="5">($V$20*((1.03^(D10-2012))))*$C$6</f>
        <v>2453.3137597373748</v>
      </c>
      <c r="E19" s="76">
        <f t="shared" si="5"/>
        <v>2526.913172529496</v>
      </c>
      <c r="F19" s="76">
        <f t="shared" si="5"/>
        <v>2602.7205677053807</v>
      </c>
      <c r="G19" s="76">
        <f t="shared" si="5"/>
        <v>2680.8021847365421</v>
      </c>
      <c r="H19" s="76">
        <f t="shared" si="5"/>
        <v>2761.2262502786384</v>
      </c>
      <c r="I19" s="76">
        <f t="shared" si="5"/>
        <v>2844.0630377869979</v>
      </c>
      <c r="J19" s="76">
        <f t="shared" si="5"/>
        <v>2929.3849289206073</v>
      </c>
      <c r="K19" s="76">
        <f t="shared" si="5"/>
        <v>3017.2664767882256</v>
      </c>
      <c r="L19" s="76">
        <f t="shared" si="5"/>
        <v>3107.7844710918725</v>
      </c>
      <c r="M19" s="76">
        <f t="shared" si="5"/>
        <v>3201.0180052246287</v>
      </c>
      <c r="N19" s="76">
        <f t="shared" si="5"/>
        <v>3297.0485453813671</v>
      </c>
      <c r="O19" s="76">
        <f t="shared" si="5"/>
        <v>3395.9600017428079</v>
      </c>
      <c r="P19" s="76">
        <f t="shared" si="5"/>
        <v>3497.8388017950929</v>
      </c>
      <c r="Q19" s="77">
        <f t="shared" si="5"/>
        <v>3602.7739658489459</v>
      </c>
      <c r="U19" s="148"/>
      <c r="V19" s="149"/>
    </row>
    <row r="20" spans="2:22" s="34" customFormat="1" ht="15.5" x14ac:dyDescent="0.35">
      <c r="B20" s="35" t="s">
        <v>24</v>
      </c>
      <c r="C20" s="74">
        <f>((1.55*C11*((1.04)^(C10-2012)))-10)*($C$3/85%)</f>
        <v>417.88235294117646</v>
      </c>
      <c r="D20" s="74">
        <f t="shared" ref="D20:Q20" si="6">((1.55*D11*((1.04)^(D10-2012)))-10)*($C$3/85%)</f>
        <v>434.95058823529416</v>
      </c>
      <c r="E20" s="74">
        <f t="shared" si="6"/>
        <v>452.70155294117649</v>
      </c>
      <c r="F20" s="74">
        <f t="shared" si="6"/>
        <v>471.16255623529423</v>
      </c>
      <c r="G20" s="74">
        <f t="shared" si="6"/>
        <v>490.36199966117664</v>
      </c>
      <c r="H20" s="74">
        <f t="shared" si="6"/>
        <v>510.32942082409426</v>
      </c>
      <c r="I20" s="74">
        <f t="shared" si="6"/>
        <v>531.09553883352862</v>
      </c>
      <c r="J20" s="74">
        <f t="shared" si="6"/>
        <v>552.69230156334038</v>
      </c>
      <c r="K20" s="74">
        <f t="shared" si="6"/>
        <v>575.15293480234459</v>
      </c>
      <c r="L20" s="74">
        <f t="shared" si="6"/>
        <v>598.51199337090895</v>
      </c>
      <c r="M20" s="74">
        <f t="shared" si="6"/>
        <v>622.80541428221591</v>
      </c>
      <c r="N20" s="74">
        <f t="shared" si="6"/>
        <v>648.07057202997521</v>
      </c>
      <c r="O20" s="74">
        <f t="shared" si="6"/>
        <v>674.34633608764489</v>
      </c>
      <c r="P20" s="74">
        <f t="shared" si="6"/>
        <v>701.67313070762134</v>
      </c>
      <c r="Q20" s="75">
        <f t="shared" si="6"/>
        <v>730.09299711239669</v>
      </c>
      <c r="U20" s="150" t="s">
        <v>71</v>
      </c>
      <c r="V20" s="159">
        <f>AVERAGE(V18,V12)</f>
        <v>2312.4835137499999</v>
      </c>
    </row>
    <row r="21" spans="2:22" s="34" customFormat="1" ht="16" thickBot="1" x14ac:dyDescent="0.4">
      <c r="B21" s="82" t="s">
        <v>25</v>
      </c>
      <c r="C21" s="76">
        <f t="shared" ref="C21:Q21" si="7">SUM(C19:C20)</f>
        <v>2799.7403721036767</v>
      </c>
      <c r="D21" s="74">
        <f t="shared" si="7"/>
        <v>2888.2643479726689</v>
      </c>
      <c r="E21" s="76">
        <f t="shared" si="7"/>
        <v>2979.6147254706725</v>
      </c>
      <c r="F21" s="76">
        <f t="shared" si="7"/>
        <v>3073.883123940675</v>
      </c>
      <c r="G21" s="76">
        <f t="shared" si="7"/>
        <v>3171.1641843977186</v>
      </c>
      <c r="H21" s="76">
        <f t="shared" si="7"/>
        <v>3271.5556711027325</v>
      </c>
      <c r="I21" s="76">
        <f t="shared" si="7"/>
        <v>3375.1585766205267</v>
      </c>
      <c r="J21" s="76">
        <f t="shared" si="7"/>
        <v>3482.0772304839475</v>
      </c>
      <c r="K21" s="76">
        <f t="shared" si="7"/>
        <v>3592.4194115905702</v>
      </c>
      <c r="L21" s="76">
        <f t="shared" si="7"/>
        <v>3706.2964644627814</v>
      </c>
      <c r="M21" s="76">
        <f t="shared" si="7"/>
        <v>3823.8234195068444</v>
      </c>
      <c r="N21" s="76">
        <f t="shared" si="7"/>
        <v>3945.1191174113424</v>
      </c>
      <c r="O21" s="76">
        <f t="shared" si="7"/>
        <v>4070.3063378304528</v>
      </c>
      <c r="P21" s="76">
        <f t="shared" si="7"/>
        <v>4199.5119325027144</v>
      </c>
      <c r="Q21" s="77">
        <f t="shared" si="7"/>
        <v>4332.8669629613423</v>
      </c>
      <c r="U21" s="162"/>
      <c r="V21" s="160"/>
    </row>
    <row r="22" spans="2:22" s="34" customFormat="1" ht="16" thickBot="1" x14ac:dyDescent="0.4">
      <c r="B22" s="85" t="s">
        <v>26</v>
      </c>
      <c r="C22" s="83">
        <f t="shared" ref="C22:Q22" si="8">C17-C21</f>
        <v>2952.7596278963233</v>
      </c>
      <c r="D22" s="83">
        <f t="shared" si="8"/>
        <v>2921.7606520273316</v>
      </c>
      <c r="E22" s="83">
        <f t="shared" si="8"/>
        <v>2888.5105245293275</v>
      </c>
      <c r="F22" s="83">
        <f t="shared" si="8"/>
        <v>2852.9233785593256</v>
      </c>
      <c r="G22" s="83">
        <f t="shared" si="8"/>
        <v>2814.9103831272823</v>
      </c>
      <c r="H22" s="83">
        <f t="shared" si="8"/>
        <v>2774.3796420975182</v>
      </c>
      <c r="I22" s="83">
        <f t="shared" si="8"/>
        <v>2731.2360897117264</v>
      </c>
      <c r="J22" s="83">
        <f t="shared" si="8"/>
        <v>2685.3813825116276</v>
      </c>
      <c r="K22" s="83">
        <f t="shared" si="8"/>
        <v>2636.7137875349608</v>
      </c>
      <c r="L22" s="83">
        <f t="shared" si="8"/>
        <v>2585.1280666540047</v>
      </c>
      <c r="M22" s="83">
        <f t="shared" si="8"/>
        <v>2530.5153569211107</v>
      </c>
      <c r="N22" s="83">
        <f t="shared" si="8"/>
        <v>2472.7630467808926</v>
      </c>
      <c r="O22" s="83">
        <f t="shared" si="8"/>
        <v>2411.754648003704</v>
      </c>
      <c r="P22" s="83">
        <f t="shared" si="8"/>
        <v>2347.3696631897838</v>
      </c>
      <c r="Q22" s="84">
        <f t="shared" si="8"/>
        <v>2279.4834486880809</v>
      </c>
      <c r="U22" s="163" t="s">
        <v>68</v>
      </c>
      <c r="V22" s="161">
        <f>V20*V5</f>
        <v>2600.6151855241101</v>
      </c>
    </row>
    <row r="23" spans="2:22" s="34" customFormat="1" ht="15.5" x14ac:dyDescent="0.35">
      <c r="B23" s="45" t="s">
        <v>27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  <c r="U23"/>
      <c r="V23"/>
    </row>
    <row r="24" spans="2:22" s="34" customFormat="1" ht="15.5" x14ac:dyDescent="0.35">
      <c r="B24" s="35" t="s">
        <v>28</v>
      </c>
      <c r="C24" s="74">
        <f>$C$5*(('Balance Sheet (Case Exhibit 6)'!F12+'Balance Sheet (Case Exhibit 6)'!G12)/2)</f>
        <v>1131.5999999999999</v>
      </c>
      <c r="D24" s="74">
        <f>$C$5*(('Balance Sheet (Case Exhibit 6)'!G12+'Balance Sheet (Case Exhibit 6)'!H12)/2)</f>
        <v>1033.2</v>
      </c>
      <c r="E24" s="74">
        <f>$C$5*(('Balance Sheet (Case Exhibit 6)'!H12+'Balance Sheet (Case Exhibit 6)'!I12)/2)</f>
        <v>903</v>
      </c>
      <c r="F24" s="74">
        <f>$C$5*(('Balance Sheet (Case Exhibit 6)'!I12+'Balance Sheet (Case Exhibit 6)'!J12)/2)</f>
        <v>774</v>
      </c>
      <c r="G24" s="74">
        <f>$C$5*(('Balance Sheet (Case Exhibit 6)'!J12+'Balance Sheet (Case Exhibit 6)'!K12)/2)</f>
        <v>645</v>
      </c>
      <c r="H24" s="74">
        <f>$C$5*(('Balance Sheet (Case Exhibit 6)'!K12+'Balance Sheet (Case Exhibit 6)'!L12)/2)</f>
        <v>516</v>
      </c>
      <c r="I24" s="74">
        <f>$C$5*(('Balance Sheet (Case Exhibit 6)'!L12+'Balance Sheet (Case Exhibit 6)'!M12)/2)</f>
        <v>387</v>
      </c>
      <c r="J24" s="74">
        <f>$C$5*(('Balance Sheet (Case Exhibit 6)'!M12+'Balance Sheet (Case Exhibit 6)'!N12)/2)</f>
        <v>258</v>
      </c>
      <c r="K24" s="74">
        <f>$C$5*(('Balance Sheet (Case Exhibit 6)'!N12+'Balance Sheet (Case Exhibit 6)'!O12)/2)</f>
        <v>129</v>
      </c>
      <c r="L24" s="74">
        <f>$C$5*(('Balance Sheet (Case Exhibit 6)'!O12+'Balance Sheet (Case Exhibit 6)'!P12)/2)</f>
        <v>32.4</v>
      </c>
      <c r="M24" s="76">
        <f>$C$5*(('Balance Sheet (Case Exhibit 6)'!P12+'Balance Sheet (Case Exhibit 6)'!Q12)/2)</f>
        <v>0</v>
      </c>
      <c r="N24" s="76">
        <f>$C$5*(('Balance Sheet (Case Exhibit 6)'!Q12+'Balance Sheet (Case Exhibit 6)'!R12)/2)</f>
        <v>0</v>
      </c>
      <c r="O24" s="76">
        <f>$C$5*(('Balance Sheet (Case Exhibit 6)'!R12+'Balance Sheet (Case Exhibit 6)'!S12)/2)</f>
        <v>0</v>
      </c>
      <c r="P24" s="76">
        <f>$C$5*(('Balance Sheet (Case Exhibit 6)'!S12+'Balance Sheet (Case Exhibit 6)'!T12)/2)</f>
        <v>0</v>
      </c>
      <c r="Q24" s="77">
        <f>$C$5*(('Balance Sheet (Case Exhibit 6)'!T12+'Balance Sheet (Case Exhibit 6)'!U12)/2)</f>
        <v>0</v>
      </c>
      <c r="U24"/>
      <c r="V24"/>
    </row>
    <row r="25" spans="2:22" s="34" customFormat="1" ht="15.5" x14ac:dyDescent="0.35">
      <c r="B25" s="35" t="s">
        <v>29</v>
      </c>
      <c r="C25" s="136">
        <f>$C$5*(('Balance Sheet (Case Exhibit 6)'!G13))</f>
        <v>111.6</v>
      </c>
      <c r="D25" s="136">
        <f>$C$5*(('Balance Sheet (Case Exhibit 6)'!G13+'Balance Sheet (Case Exhibit 6)'!H13)/2)</f>
        <v>112.2</v>
      </c>
      <c r="E25" s="136">
        <f>$C$5*(('Balance Sheet (Case Exhibit 6)'!H13+'Balance Sheet (Case Exhibit 6)'!I13)/2)</f>
        <v>114</v>
      </c>
      <c r="F25" s="136">
        <f>$C$5*(('Balance Sheet (Case Exhibit 6)'!I13+'Balance Sheet (Case Exhibit 6)'!J13)/2)</f>
        <v>116.39999999999999</v>
      </c>
      <c r="G25" s="136">
        <f>$C$5*(('Balance Sheet (Case Exhibit 6)'!J13+'Balance Sheet (Case Exhibit 6)'!K13)/2)</f>
        <v>118.19999999999999</v>
      </c>
      <c r="H25" s="136">
        <f>$C$5*(('Balance Sheet (Case Exhibit 6)'!K13+'Balance Sheet (Case Exhibit 6)'!L13)/2)</f>
        <v>120</v>
      </c>
      <c r="I25" s="136">
        <f>$C$5*(('Balance Sheet (Case Exhibit 6)'!L13+'Balance Sheet (Case Exhibit 6)'!M13)/2)</f>
        <v>122.39999999999999</v>
      </c>
      <c r="J25" s="136">
        <f>$C$5*(('Balance Sheet (Case Exhibit 6)'!M13+'Balance Sheet (Case Exhibit 6)'!N13)/2)</f>
        <v>124.8</v>
      </c>
      <c r="K25" s="136">
        <f>$C$5*(('Balance Sheet (Case Exhibit 6)'!N13+'Balance Sheet (Case Exhibit 6)'!O13)/2)</f>
        <v>127.19999999999999</v>
      </c>
      <c r="L25" s="136">
        <f>$C$5*(('Balance Sheet (Case Exhibit 6)'!O13+'Balance Sheet (Case Exhibit 6)'!P13)/2)</f>
        <v>129.6</v>
      </c>
      <c r="M25" s="136">
        <f>$C$5*(('Balance Sheet (Case Exhibit 6)'!P13+'Balance Sheet (Case Exhibit 6)'!Q13)/2)</f>
        <v>132</v>
      </c>
      <c r="N25" s="136">
        <f>$C$5*(('Balance Sheet (Case Exhibit 6)'!Q13+'Balance Sheet (Case Exhibit 6)'!R13)/2)</f>
        <v>134.4</v>
      </c>
      <c r="O25" s="136">
        <f>$C$5*(('Balance Sheet (Case Exhibit 6)'!R13+'Balance Sheet (Case Exhibit 6)'!S13)/2)</f>
        <v>137.4</v>
      </c>
      <c r="P25" s="136">
        <f>$C$5*(('Balance Sheet (Case Exhibit 6)'!S13+'Balance Sheet (Case Exhibit 6)'!T13)/2)</f>
        <v>140.4</v>
      </c>
      <c r="Q25" s="137">
        <f>$C$5*(('Balance Sheet (Case Exhibit 6)'!T13+'Balance Sheet (Case Exhibit 6)'!U13)/2)</f>
        <v>142.79999999999998</v>
      </c>
      <c r="U25"/>
      <c r="V25"/>
    </row>
    <row r="26" spans="2:22" s="34" customFormat="1" ht="15.5" x14ac:dyDescent="0.35">
      <c r="B26" s="35" t="s">
        <v>30</v>
      </c>
      <c r="C26" s="38">
        <v>680</v>
      </c>
      <c r="D26" s="38">
        <v>680</v>
      </c>
      <c r="E26" s="38">
        <v>680</v>
      </c>
      <c r="F26" s="38">
        <v>680</v>
      </c>
      <c r="G26" s="38">
        <v>680</v>
      </c>
      <c r="H26" s="38">
        <v>680</v>
      </c>
      <c r="I26" s="38">
        <v>680</v>
      </c>
      <c r="J26" s="38">
        <v>680</v>
      </c>
      <c r="K26" s="38">
        <v>680</v>
      </c>
      <c r="L26" s="38">
        <v>680</v>
      </c>
      <c r="M26" s="38">
        <v>680</v>
      </c>
      <c r="N26" s="38">
        <v>680</v>
      </c>
      <c r="O26" s="38">
        <v>680</v>
      </c>
      <c r="P26" s="38">
        <v>680</v>
      </c>
      <c r="Q26" s="39">
        <v>680</v>
      </c>
      <c r="U26"/>
      <c r="V26"/>
    </row>
    <row r="27" spans="2:22" s="34" customFormat="1" ht="15.5" x14ac:dyDescent="0.35">
      <c r="B27" s="52" t="s">
        <v>31</v>
      </c>
      <c r="C27" s="136">
        <f t="shared" ref="C27:Q27" si="9">C22-C24-C25-C26</f>
        <v>1029.5596278963235</v>
      </c>
      <c r="D27" s="83">
        <f t="shared" si="9"/>
        <v>1096.3606520273315</v>
      </c>
      <c r="E27" s="83">
        <f t="shared" si="9"/>
        <v>1191.5105245293275</v>
      </c>
      <c r="F27" s="83">
        <f t="shared" si="9"/>
        <v>1282.5233785593255</v>
      </c>
      <c r="G27" s="83">
        <f t="shared" si="9"/>
        <v>1371.7103831272825</v>
      </c>
      <c r="H27" s="83">
        <f t="shared" si="9"/>
        <v>1458.3796420975182</v>
      </c>
      <c r="I27" s="83">
        <f t="shared" si="9"/>
        <v>1541.8360897117263</v>
      </c>
      <c r="J27" s="83">
        <f t="shared" si="9"/>
        <v>1622.5813825116275</v>
      </c>
      <c r="K27" s="83">
        <f t="shared" si="9"/>
        <v>1700.513787534961</v>
      </c>
      <c r="L27" s="83">
        <f t="shared" si="9"/>
        <v>1743.1280666540047</v>
      </c>
      <c r="M27" s="83">
        <f t="shared" si="9"/>
        <v>1718.5153569211107</v>
      </c>
      <c r="N27" s="83">
        <f t="shared" si="9"/>
        <v>1658.3630467808925</v>
      </c>
      <c r="O27" s="83">
        <f t="shared" si="9"/>
        <v>1594.3546480037039</v>
      </c>
      <c r="P27" s="83">
        <f t="shared" si="9"/>
        <v>1526.9696631897837</v>
      </c>
      <c r="Q27" s="84">
        <f t="shared" si="9"/>
        <v>1456.6834486880807</v>
      </c>
      <c r="U27"/>
      <c r="V27"/>
    </row>
    <row r="28" spans="2:22" s="34" customFormat="1" ht="15.5" x14ac:dyDescent="0.35">
      <c r="B28" s="45" t="s">
        <v>32</v>
      </c>
      <c r="C28" s="4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  <c r="U28"/>
      <c r="V28"/>
    </row>
    <row r="29" spans="2:22" s="34" customFormat="1" ht="15.5" x14ac:dyDescent="0.35">
      <c r="B29" s="35" t="s">
        <v>33</v>
      </c>
      <c r="C29" s="38">
        <v>200</v>
      </c>
      <c r="D29" s="38">
        <v>210</v>
      </c>
      <c r="E29" s="38">
        <v>220</v>
      </c>
      <c r="F29" s="38">
        <v>240</v>
      </c>
      <c r="G29" s="38">
        <v>250</v>
      </c>
      <c r="H29" s="38">
        <v>260</v>
      </c>
      <c r="I29" s="38">
        <v>270</v>
      </c>
      <c r="J29" s="38">
        <v>280</v>
      </c>
      <c r="K29" s="38">
        <v>290</v>
      </c>
      <c r="L29" s="38">
        <v>300</v>
      </c>
      <c r="M29" s="38">
        <v>290</v>
      </c>
      <c r="N29" s="38">
        <v>280</v>
      </c>
      <c r="O29" s="38">
        <v>260</v>
      </c>
      <c r="P29" s="38">
        <v>250</v>
      </c>
      <c r="Q29" s="39">
        <v>230</v>
      </c>
      <c r="U29"/>
      <c r="V29"/>
    </row>
    <row r="30" spans="2:22" s="34" customFormat="1" ht="15.5" x14ac:dyDescent="0.35">
      <c r="B30" s="35" t="s">
        <v>34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-10</v>
      </c>
      <c r="K30" s="38">
        <v>-40</v>
      </c>
      <c r="L30" s="38">
        <v>-70</v>
      </c>
      <c r="M30" s="38">
        <v>-90</v>
      </c>
      <c r="N30" s="38">
        <v>-110</v>
      </c>
      <c r="O30" s="38">
        <v>-130</v>
      </c>
      <c r="P30" s="38">
        <v>-140</v>
      </c>
      <c r="Q30" s="39">
        <v>-150</v>
      </c>
      <c r="U30"/>
      <c r="V30"/>
    </row>
    <row r="31" spans="2:22" s="34" customFormat="1" ht="15.5" x14ac:dyDescent="0.35">
      <c r="B31" s="86" t="s">
        <v>35</v>
      </c>
      <c r="C31" s="136">
        <f t="shared" ref="C31:Q31" si="10">C27-C29-C30</f>
        <v>829.55962789632349</v>
      </c>
      <c r="D31" s="83">
        <f t="shared" si="10"/>
        <v>886.36065202733153</v>
      </c>
      <c r="E31" s="83">
        <f t="shared" si="10"/>
        <v>971.51052452932754</v>
      </c>
      <c r="F31" s="83">
        <f t="shared" si="10"/>
        <v>1042.5233785593255</v>
      </c>
      <c r="G31" s="83">
        <f t="shared" si="10"/>
        <v>1121.7103831272825</v>
      </c>
      <c r="H31" s="83">
        <f t="shared" si="10"/>
        <v>1198.3796420975182</v>
      </c>
      <c r="I31" s="83">
        <f t="shared" si="10"/>
        <v>1271.8360897117263</v>
      </c>
      <c r="J31" s="83">
        <f t="shared" si="10"/>
        <v>1352.5813825116275</v>
      </c>
      <c r="K31" s="83">
        <f t="shared" si="10"/>
        <v>1450.513787534961</v>
      </c>
      <c r="L31" s="83">
        <f t="shared" si="10"/>
        <v>1513.1280666540047</v>
      </c>
      <c r="M31" s="83">
        <f t="shared" si="10"/>
        <v>1518.5153569211107</v>
      </c>
      <c r="N31" s="83">
        <f t="shared" si="10"/>
        <v>1488.3630467808925</v>
      </c>
      <c r="O31" s="83">
        <f t="shared" si="10"/>
        <v>1464.3546480037039</v>
      </c>
      <c r="P31" s="83">
        <f t="shared" si="10"/>
        <v>1416.9696631897837</v>
      </c>
      <c r="Q31" s="84">
        <f t="shared" si="10"/>
        <v>1376.6834486880807</v>
      </c>
      <c r="U31"/>
      <c r="V31"/>
    </row>
    <row r="32" spans="2:22" s="34" customFormat="1" ht="15.5" x14ac:dyDescent="0.35">
      <c r="B32" s="86" t="s">
        <v>36</v>
      </c>
      <c r="C32" s="138">
        <f t="shared" ref="C32:Q32" si="11">C31+C26+C30</f>
        <v>1509.5596278963235</v>
      </c>
      <c r="D32" s="87">
        <f t="shared" si="11"/>
        <v>1566.3606520273315</v>
      </c>
      <c r="E32" s="87">
        <f t="shared" si="11"/>
        <v>1651.5105245293275</v>
      </c>
      <c r="F32" s="87">
        <f t="shared" si="11"/>
        <v>1722.5233785593255</v>
      </c>
      <c r="G32" s="87">
        <f t="shared" si="11"/>
        <v>1801.7103831272825</v>
      </c>
      <c r="H32" s="87">
        <f t="shared" si="11"/>
        <v>1878.3796420975182</v>
      </c>
      <c r="I32" s="87">
        <f t="shared" si="11"/>
        <v>1951.8360897117263</v>
      </c>
      <c r="J32" s="87">
        <f t="shared" si="11"/>
        <v>2022.5813825116275</v>
      </c>
      <c r="K32" s="87">
        <f t="shared" si="11"/>
        <v>2090.513787534961</v>
      </c>
      <c r="L32" s="87">
        <f t="shared" si="11"/>
        <v>2123.1280666540047</v>
      </c>
      <c r="M32" s="87">
        <f t="shared" si="11"/>
        <v>2108.5153569211107</v>
      </c>
      <c r="N32" s="87">
        <f t="shared" si="11"/>
        <v>2058.3630467808925</v>
      </c>
      <c r="O32" s="87">
        <f t="shared" si="11"/>
        <v>2014.3546480037039</v>
      </c>
      <c r="P32" s="87">
        <f t="shared" si="11"/>
        <v>1956.9696631897837</v>
      </c>
      <c r="Q32" s="88">
        <f t="shared" si="11"/>
        <v>1906.6834486880807</v>
      </c>
      <c r="U32"/>
      <c r="V32"/>
    </row>
    <row r="33" spans="2:22" s="34" customFormat="1" ht="15.5" x14ac:dyDescent="0.35">
      <c r="B33" s="86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U33"/>
      <c r="V33"/>
    </row>
    <row r="34" spans="2:22" s="34" customFormat="1" ht="15.5" x14ac:dyDescent="0.35">
      <c r="B34" s="86" t="s">
        <v>42</v>
      </c>
      <c r="C34" s="90">
        <f>-('Balance Sheet (Case Exhibit 6)'!G12-'Balance Sheet (Case Exhibit 6)'!F12)</f>
        <v>540</v>
      </c>
      <c r="D34" s="90">
        <f>-('Balance Sheet (Case Exhibit 6)'!H12-'Balance Sheet (Case Exhibit 6)'!G12)</f>
        <v>1100</v>
      </c>
      <c r="E34" s="90">
        <f>-('Balance Sheet (Case Exhibit 6)'!I12-'Balance Sheet (Case Exhibit 6)'!H12)</f>
        <v>1070</v>
      </c>
      <c r="F34" s="90">
        <f>-('Balance Sheet (Case Exhibit 6)'!J12-'Balance Sheet (Case Exhibit 6)'!I12)</f>
        <v>1080</v>
      </c>
      <c r="G34" s="90">
        <f>-('Balance Sheet (Case Exhibit 6)'!K12-'Balance Sheet (Case Exhibit 6)'!J12)</f>
        <v>1070</v>
      </c>
      <c r="H34" s="90">
        <f>-('Balance Sheet (Case Exhibit 6)'!L12-'Balance Sheet (Case Exhibit 6)'!K12)</f>
        <v>1080</v>
      </c>
      <c r="I34" s="90">
        <f>-('Balance Sheet (Case Exhibit 6)'!M12-'Balance Sheet (Case Exhibit 6)'!L12)</f>
        <v>1070</v>
      </c>
      <c r="J34" s="90">
        <f>-('Balance Sheet (Case Exhibit 6)'!N12-'Balance Sheet (Case Exhibit 6)'!M12)</f>
        <v>1080</v>
      </c>
      <c r="K34" s="90">
        <f>-('Balance Sheet (Case Exhibit 6)'!O12-'Balance Sheet (Case Exhibit 6)'!N12)</f>
        <v>1070</v>
      </c>
      <c r="L34" s="90">
        <f>-('Balance Sheet (Case Exhibit 6)'!P12-'Balance Sheet (Case Exhibit 6)'!O12)</f>
        <v>540</v>
      </c>
      <c r="M34" s="89"/>
      <c r="N34" s="89"/>
      <c r="O34" s="89"/>
      <c r="P34" s="89"/>
      <c r="Q34" s="91"/>
      <c r="U34"/>
      <c r="V34"/>
    </row>
    <row r="35" spans="2:22" s="34" customFormat="1" ht="15.5" x14ac:dyDescent="0.35">
      <c r="B35" s="86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89"/>
      <c r="N35" s="89"/>
      <c r="O35" s="89"/>
      <c r="P35" s="89"/>
      <c r="Q35" s="91"/>
      <c r="U35"/>
      <c r="V35"/>
    </row>
    <row r="36" spans="2:22" s="34" customFormat="1" ht="15.5" x14ac:dyDescent="0.35">
      <c r="B36" s="86" t="s">
        <v>43</v>
      </c>
      <c r="C36" s="92">
        <f>(C31+C24+C26)/(C24+C34)</f>
        <v>1.5800189207324262</v>
      </c>
      <c r="D36" s="92">
        <f t="shared" ref="D36:L36" si="12">(D31+D24+D26)/(D24+D34)</f>
        <v>1.2186202194015243</v>
      </c>
      <c r="E36" s="92">
        <f t="shared" si="12"/>
        <v>1.2947341736083768</v>
      </c>
      <c r="F36" s="92">
        <f t="shared" si="12"/>
        <v>1.3465606141096684</v>
      </c>
      <c r="G36" s="92">
        <f t="shared" si="12"/>
        <v>1.4266532846223221</v>
      </c>
      <c r="H36" s="92">
        <f t="shared" si="12"/>
        <v>1.5002378709884199</v>
      </c>
      <c r="I36" s="92">
        <f t="shared" si="12"/>
        <v>1.6052409675440813</v>
      </c>
      <c r="J36" s="92">
        <f t="shared" si="12"/>
        <v>1.7119442320714704</v>
      </c>
      <c r="K36" s="92">
        <f t="shared" si="12"/>
        <v>1.8844985717555971</v>
      </c>
      <c r="L36" s="92">
        <f t="shared" si="12"/>
        <v>3.8880644071523496</v>
      </c>
      <c r="M36" s="93"/>
      <c r="N36" s="93"/>
      <c r="O36" s="93"/>
      <c r="P36" s="93"/>
      <c r="Q36" s="94"/>
      <c r="U36"/>
      <c r="V36"/>
    </row>
    <row r="37" spans="2:22" s="34" customFormat="1" ht="16" thickBot="1" x14ac:dyDescent="0.4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  <c r="U37"/>
      <c r="V37"/>
    </row>
    <row r="38" spans="2:22" s="34" customFormat="1" x14ac:dyDescent="0.35">
      <c r="U38"/>
      <c r="V38"/>
    </row>
    <row r="39" spans="2:22" s="34" customFormat="1" ht="15" thickBot="1" x14ac:dyDescent="0.4">
      <c r="U39"/>
      <c r="V39"/>
    </row>
    <row r="40" spans="2:22" s="34" customFormat="1" ht="16" thickBot="1" x14ac:dyDescent="0.4">
      <c r="B40" s="498" t="s">
        <v>44</v>
      </c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500"/>
      <c r="U40"/>
      <c r="V40"/>
    </row>
    <row r="41" spans="2:22" s="34" customFormat="1" ht="16" thickBot="1" x14ac:dyDescent="0.4">
      <c r="B41" s="95" t="s">
        <v>45</v>
      </c>
      <c r="C41" s="96">
        <v>2010</v>
      </c>
      <c r="D41" s="97">
        <v>2011</v>
      </c>
      <c r="E41" s="97">
        <v>2012</v>
      </c>
      <c r="F41" s="97">
        <v>2013</v>
      </c>
      <c r="G41" s="97">
        <v>2014</v>
      </c>
      <c r="H41" s="97">
        <v>2015</v>
      </c>
      <c r="I41" s="97">
        <v>2016</v>
      </c>
      <c r="J41" s="97">
        <v>2017</v>
      </c>
      <c r="K41" s="97">
        <v>2018</v>
      </c>
      <c r="L41" s="97">
        <v>2019</v>
      </c>
      <c r="M41" s="97">
        <v>2020</v>
      </c>
      <c r="N41" s="97">
        <v>2021</v>
      </c>
      <c r="O41" s="97">
        <v>2022</v>
      </c>
      <c r="P41" s="97">
        <v>2023</v>
      </c>
      <c r="Q41" s="97">
        <v>2024</v>
      </c>
      <c r="R41" s="97">
        <v>2025</v>
      </c>
      <c r="S41" s="97">
        <v>2026</v>
      </c>
      <c r="T41" s="98">
        <v>2027</v>
      </c>
      <c r="U41"/>
      <c r="V41"/>
    </row>
    <row r="42" spans="2:22" s="34" customFormat="1" ht="15.5" x14ac:dyDescent="0.35">
      <c r="B42" s="99" t="s">
        <v>46</v>
      </c>
      <c r="C42" s="100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2"/>
      <c r="U42"/>
      <c r="V42"/>
    </row>
    <row r="43" spans="2:22" s="34" customFormat="1" ht="15.5" x14ac:dyDescent="0.35">
      <c r="B43" s="103" t="s">
        <v>47</v>
      </c>
      <c r="C43" s="104">
        <v>0</v>
      </c>
      <c r="D43" s="105">
        <v>0</v>
      </c>
      <c r="E43" s="105">
        <v>0</v>
      </c>
      <c r="F43" s="105">
        <f>'Sensitivity-PLF @ 75%'!C31+'Sensitivity-PLF @ 75%'!C24+'Sensitivity-PLF @ 75%'!C25+'Sensitivity-PLF @ 75%'!C26</f>
        <v>2752.7596278963233</v>
      </c>
      <c r="G43" s="105">
        <f>'Sensitivity-PLF @ 75%'!D31+'Sensitivity-PLF @ 75%'!D24+'Sensitivity-PLF @ 75%'!D25+'Sensitivity-PLF @ 75%'!D26</f>
        <v>2711.7606520273316</v>
      </c>
      <c r="H43" s="105">
        <f>'Sensitivity-PLF @ 75%'!E31+'Sensitivity-PLF @ 75%'!E24+'Sensitivity-PLF @ 75%'!E25+'Sensitivity-PLF @ 75%'!E26</f>
        <v>2668.5105245293275</v>
      </c>
      <c r="I43" s="105">
        <f>'Sensitivity-PLF @ 75%'!F31+'Sensitivity-PLF @ 75%'!F24+'Sensitivity-PLF @ 75%'!F25+'Sensitivity-PLF @ 75%'!F26</f>
        <v>2612.9233785593256</v>
      </c>
      <c r="J43" s="105">
        <f>'Sensitivity-PLF @ 75%'!G31+'Sensitivity-PLF @ 75%'!G24+'Sensitivity-PLF @ 75%'!G25+'Sensitivity-PLF @ 75%'!G26</f>
        <v>2564.9103831272823</v>
      </c>
      <c r="K43" s="105">
        <f>'Sensitivity-PLF @ 75%'!H31+'Sensitivity-PLF @ 75%'!H24+'Sensitivity-PLF @ 75%'!H25+'Sensitivity-PLF @ 75%'!H26</f>
        <v>2514.3796420975182</v>
      </c>
      <c r="L43" s="105">
        <f>'Sensitivity-PLF @ 75%'!I31+'Sensitivity-PLF @ 75%'!I24+'Sensitivity-PLF @ 75%'!I25+'Sensitivity-PLF @ 75%'!I26</f>
        <v>2461.2360897117264</v>
      </c>
      <c r="M43" s="105">
        <f>'Sensitivity-PLF @ 75%'!J31+'Sensitivity-PLF @ 75%'!J24+'Sensitivity-PLF @ 75%'!J25+'Sensitivity-PLF @ 75%'!J26</f>
        <v>2415.3813825116276</v>
      </c>
      <c r="N43" s="105">
        <f>'Sensitivity-PLF @ 75%'!K31+'Sensitivity-PLF @ 75%'!K24+'Sensitivity-PLF @ 75%'!K25+'Sensitivity-PLF @ 75%'!K26</f>
        <v>2386.7137875349608</v>
      </c>
      <c r="O43" s="105">
        <f>'Sensitivity-PLF @ 75%'!L31+'Sensitivity-PLF @ 75%'!L24+'Sensitivity-PLF @ 75%'!L25+'Sensitivity-PLF @ 75%'!L26</f>
        <v>2355.1280666540047</v>
      </c>
      <c r="P43" s="105">
        <f>'Sensitivity-PLF @ 75%'!M31+'Sensitivity-PLF @ 75%'!M24+'Sensitivity-PLF @ 75%'!M25+'Sensitivity-PLF @ 75%'!M26</f>
        <v>2330.5153569211107</v>
      </c>
      <c r="Q43" s="105">
        <f>'Sensitivity-PLF @ 75%'!N31+'Sensitivity-PLF @ 75%'!N24+'Sensitivity-PLF @ 75%'!N25+'Sensitivity-PLF @ 75%'!N26</f>
        <v>2302.7630467808926</v>
      </c>
      <c r="R43" s="105">
        <f>'Sensitivity-PLF @ 75%'!O31+'Sensitivity-PLF @ 75%'!O24+'Sensitivity-PLF @ 75%'!O25+'Sensitivity-PLF @ 75%'!O26</f>
        <v>2281.754648003704</v>
      </c>
      <c r="S43" s="105">
        <f>'Sensitivity-PLF @ 75%'!P31+'Sensitivity-PLF @ 75%'!P24+'Sensitivity-PLF @ 75%'!P25+'Sensitivity-PLF @ 75%'!P26</f>
        <v>2237.3696631897838</v>
      </c>
      <c r="T43" s="106">
        <f>'Sensitivity-PLF @ 75%'!Q31+'Sensitivity-PLF @ 75%'!Q24+'Sensitivity-PLF @ 75%'!Q25+'Sensitivity-PLF @ 75%'!Q26</f>
        <v>2199.4834486880809</v>
      </c>
      <c r="U43"/>
      <c r="V43"/>
    </row>
    <row r="44" spans="2:22" s="34" customFormat="1" ht="16" thickBot="1" x14ac:dyDescent="0.4">
      <c r="B44" s="107" t="s">
        <v>48</v>
      </c>
      <c r="C44" s="108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6">
        <f>0.05*'Balance Sheet (Case Exhibit 6)'!U24</f>
        <v>1238.5</v>
      </c>
      <c r="U44"/>
      <c r="V44"/>
    </row>
    <row r="45" spans="2:22" s="34" customFormat="1" ht="16" thickBot="1" x14ac:dyDescent="0.4">
      <c r="B45" s="95" t="s">
        <v>49</v>
      </c>
      <c r="C45" s="110">
        <f t="shared" ref="C45:T45" si="13">SUM(C43:C44)</f>
        <v>0</v>
      </c>
      <c r="D45" s="111">
        <f t="shared" si="13"/>
        <v>0</v>
      </c>
      <c r="E45" s="111">
        <f t="shared" si="13"/>
        <v>0</v>
      </c>
      <c r="F45" s="111">
        <f t="shared" si="13"/>
        <v>2752.7596278963233</v>
      </c>
      <c r="G45" s="111">
        <f t="shared" si="13"/>
        <v>2711.7606520273316</v>
      </c>
      <c r="H45" s="111">
        <f t="shared" si="13"/>
        <v>2668.5105245293275</v>
      </c>
      <c r="I45" s="111">
        <f t="shared" si="13"/>
        <v>2612.9233785593256</v>
      </c>
      <c r="J45" s="111">
        <f t="shared" si="13"/>
        <v>2564.9103831272823</v>
      </c>
      <c r="K45" s="111">
        <f t="shared" si="13"/>
        <v>2514.3796420975182</v>
      </c>
      <c r="L45" s="111">
        <f t="shared" si="13"/>
        <v>2461.2360897117264</v>
      </c>
      <c r="M45" s="111">
        <f t="shared" si="13"/>
        <v>2415.3813825116276</v>
      </c>
      <c r="N45" s="111">
        <f t="shared" si="13"/>
        <v>2386.7137875349608</v>
      </c>
      <c r="O45" s="111">
        <f t="shared" si="13"/>
        <v>2355.1280666540047</v>
      </c>
      <c r="P45" s="111">
        <f t="shared" si="13"/>
        <v>2330.5153569211107</v>
      </c>
      <c r="Q45" s="111">
        <f t="shared" si="13"/>
        <v>2302.7630467808926</v>
      </c>
      <c r="R45" s="111">
        <f t="shared" si="13"/>
        <v>2281.754648003704</v>
      </c>
      <c r="S45" s="111">
        <f t="shared" si="13"/>
        <v>2237.3696631897838</v>
      </c>
      <c r="T45" s="112">
        <f t="shared" si="13"/>
        <v>3437.9834486880809</v>
      </c>
      <c r="U45"/>
      <c r="V45"/>
    </row>
    <row r="46" spans="2:22" s="34" customFormat="1" ht="15.5" x14ac:dyDescent="0.35">
      <c r="B46" s="99" t="s">
        <v>50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2"/>
      <c r="U46"/>
      <c r="V46"/>
    </row>
    <row r="47" spans="2:22" s="34" customFormat="1" ht="15.5" x14ac:dyDescent="0.35">
      <c r="B47" s="103" t="s">
        <v>72</v>
      </c>
      <c r="C47" s="113">
        <f>'Balance Sheet (Case Exhibit 6)'!D24-'Balance Sheet (Case Exhibit 6)'!D22</f>
        <v>3460</v>
      </c>
      <c r="D47" s="114">
        <f>'Balance Sheet (Case Exhibit 6)'!E24-'Balance Sheet (Case Exhibit 6)'!E22-'Balance Sheet (Case Exhibit 6)'!D24</f>
        <v>5520</v>
      </c>
      <c r="E47" s="114">
        <f>'Balance Sheet (Case Exhibit 6)'!F24-'Balance Sheet (Case Exhibit 6)'!F22-'Balance Sheet (Case Exhibit 6)'!E24</f>
        <v>4570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/>
      <c r="V47"/>
    </row>
    <row r="48" spans="2:22" s="34" customFormat="1" ht="16" thickBot="1" x14ac:dyDescent="0.4">
      <c r="B48" s="107" t="s">
        <v>73</v>
      </c>
      <c r="C48" s="115">
        <v>0</v>
      </c>
      <c r="D48" s="116">
        <v>0</v>
      </c>
      <c r="E48" s="116">
        <v>0</v>
      </c>
      <c r="F48" s="117">
        <f>'Balance Sheet (Case Exhibit 6)'!G30</f>
        <v>310</v>
      </c>
      <c r="G48" s="117">
        <f>'Balance Sheet (Case Exhibit 6)'!H30</f>
        <v>0</v>
      </c>
      <c r="H48" s="116">
        <f>'Balance Sheet (Case Exhibit 6)'!I30</f>
        <v>10</v>
      </c>
      <c r="I48" s="116">
        <f>'Balance Sheet (Case Exhibit 6)'!J30</f>
        <v>0</v>
      </c>
      <c r="J48" s="116">
        <f>'Balance Sheet (Case Exhibit 6)'!K30</f>
        <v>10</v>
      </c>
      <c r="K48" s="116">
        <f>'Balance Sheet (Case Exhibit 6)'!L30</f>
        <v>10</v>
      </c>
      <c r="L48" s="116">
        <f>'Balance Sheet (Case Exhibit 6)'!M30</f>
        <v>0</v>
      </c>
      <c r="M48" s="116">
        <f>'Balance Sheet (Case Exhibit 6)'!N30</f>
        <v>10</v>
      </c>
      <c r="N48" s="116">
        <f>'Balance Sheet (Case Exhibit 6)'!O30</f>
        <v>10</v>
      </c>
      <c r="O48" s="116">
        <f>'Balance Sheet (Case Exhibit 6)'!P30</f>
        <v>0</v>
      </c>
      <c r="P48" s="116">
        <f>'Balance Sheet (Case Exhibit 6)'!Q30</f>
        <v>10</v>
      </c>
      <c r="Q48" s="116">
        <f>'Balance Sheet (Case Exhibit 6)'!R30</f>
        <v>10</v>
      </c>
      <c r="R48" s="116">
        <f>'Balance Sheet (Case Exhibit 6)'!S30</f>
        <v>0</v>
      </c>
      <c r="S48" s="116">
        <f>'Balance Sheet (Case Exhibit 6)'!T30</f>
        <v>10</v>
      </c>
      <c r="T48" s="118">
        <f>'Balance Sheet (Case Exhibit 6)'!U30</f>
        <v>10</v>
      </c>
      <c r="U48"/>
      <c r="V48"/>
    </row>
    <row r="49" spans="2:22" s="34" customFormat="1" ht="15.5" x14ac:dyDescent="0.35">
      <c r="B49" s="119" t="s">
        <v>53</v>
      </c>
      <c r="C49" s="120">
        <f t="shared" ref="C49:T49" si="14">C47+C48</f>
        <v>3460</v>
      </c>
      <c r="D49" s="121">
        <f t="shared" si="14"/>
        <v>5520</v>
      </c>
      <c r="E49" s="121">
        <f t="shared" si="14"/>
        <v>4570</v>
      </c>
      <c r="F49" s="121">
        <f t="shared" si="14"/>
        <v>310</v>
      </c>
      <c r="G49" s="121">
        <f t="shared" si="14"/>
        <v>0</v>
      </c>
      <c r="H49" s="121">
        <f t="shared" si="14"/>
        <v>10</v>
      </c>
      <c r="I49" s="121">
        <f t="shared" si="14"/>
        <v>0</v>
      </c>
      <c r="J49" s="121">
        <f t="shared" si="14"/>
        <v>10</v>
      </c>
      <c r="K49" s="121">
        <f t="shared" si="14"/>
        <v>10</v>
      </c>
      <c r="L49" s="121">
        <f t="shared" si="14"/>
        <v>0</v>
      </c>
      <c r="M49" s="121">
        <f t="shared" si="14"/>
        <v>10</v>
      </c>
      <c r="N49" s="121">
        <f t="shared" si="14"/>
        <v>10</v>
      </c>
      <c r="O49" s="121">
        <f t="shared" si="14"/>
        <v>0</v>
      </c>
      <c r="P49" s="121">
        <f t="shared" si="14"/>
        <v>10</v>
      </c>
      <c r="Q49" s="121">
        <f t="shared" si="14"/>
        <v>10</v>
      </c>
      <c r="R49" s="121">
        <f t="shared" si="14"/>
        <v>0</v>
      </c>
      <c r="S49" s="121">
        <f t="shared" si="14"/>
        <v>10</v>
      </c>
      <c r="T49" s="122">
        <f t="shared" si="14"/>
        <v>10</v>
      </c>
      <c r="U49"/>
      <c r="V49"/>
    </row>
    <row r="50" spans="2:22" s="34" customFormat="1" ht="16" thickBot="1" x14ac:dyDescent="0.4">
      <c r="B50" s="123" t="s">
        <v>54</v>
      </c>
      <c r="C50" s="124">
        <f t="shared" ref="C50:T50" si="15">C45-C49</f>
        <v>-3460</v>
      </c>
      <c r="D50" s="125">
        <f t="shared" si="15"/>
        <v>-5520</v>
      </c>
      <c r="E50" s="125">
        <f t="shared" si="15"/>
        <v>-4570</v>
      </c>
      <c r="F50" s="125">
        <f t="shared" si="15"/>
        <v>2442.7596278963233</v>
      </c>
      <c r="G50" s="125">
        <f t="shared" si="15"/>
        <v>2711.7606520273316</v>
      </c>
      <c r="H50" s="125">
        <f t="shared" si="15"/>
        <v>2658.5105245293275</v>
      </c>
      <c r="I50" s="125">
        <f t="shared" si="15"/>
        <v>2612.9233785593256</v>
      </c>
      <c r="J50" s="125">
        <f t="shared" si="15"/>
        <v>2554.9103831272823</v>
      </c>
      <c r="K50" s="125">
        <f t="shared" si="15"/>
        <v>2504.3796420975182</v>
      </c>
      <c r="L50" s="125">
        <f t="shared" si="15"/>
        <v>2461.2360897117264</v>
      </c>
      <c r="M50" s="125">
        <f t="shared" si="15"/>
        <v>2405.3813825116276</v>
      </c>
      <c r="N50" s="125">
        <f t="shared" si="15"/>
        <v>2376.7137875349608</v>
      </c>
      <c r="O50" s="125">
        <f t="shared" si="15"/>
        <v>2355.1280666540047</v>
      </c>
      <c r="P50" s="125">
        <f t="shared" si="15"/>
        <v>2320.5153569211107</v>
      </c>
      <c r="Q50" s="125">
        <f t="shared" si="15"/>
        <v>2292.7630467808926</v>
      </c>
      <c r="R50" s="125">
        <f t="shared" si="15"/>
        <v>2281.754648003704</v>
      </c>
      <c r="S50" s="125">
        <f t="shared" si="15"/>
        <v>2227.3696631897838</v>
      </c>
      <c r="T50" s="126">
        <f t="shared" si="15"/>
        <v>3427.9834486880809</v>
      </c>
      <c r="U50"/>
      <c r="V50"/>
    </row>
    <row r="51" spans="2:22" s="34" customFormat="1" ht="16" thickBot="1" x14ac:dyDescent="0.4">
      <c r="B51" s="127" t="s">
        <v>55</v>
      </c>
      <c r="C51" s="128">
        <f>IRR(C50:T50)</f>
        <v>0.14166250797415425</v>
      </c>
      <c r="D51" s="129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1"/>
      <c r="U51"/>
      <c r="V51"/>
    </row>
    <row r="52" spans="2:22" s="34" customFormat="1" ht="15" thickBot="1" x14ac:dyDescent="0.4">
      <c r="U52"/>
      <c r="V52"/>
    </row>
    <row r="53" spans="2:22" s="34" customFormat="1" ht="16" thickBot="1" x14ac:dyDescent="0.4">
      <c r="B53" s="501" t="s">
        <v>44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2"/>
      <c r="N53" s="502"/>
      <c r="O53" s="503"/>
      <c r="U53"/>
      <c r="V53"/>
    </row>
    <row r="54" spans="2:22" s="34" customFormat="1" ht="16" thickBot="1" x14ac:dyDescent="0.4">
      <c r="B54" s="95" t="s">
        <v>45</v>
      </c>
      <c r="C54" s="132">
        <v>2010</v>
      </c>
      <c r="D54" s="97">
        <v>2011</v>
      </c>
      <c r="E54" s="97">
        <v>2012</v>
      </c>
      <c r="F54" s="97">
        <v>2013</v>
      </c>
      <c r="G54" s="97">
        <v>2014</v>
      </c>
      <c r="H54" s="97">
        <v>2015</v>
      </c>
      <c r="I54" s="97">
        <v>2016</v>
      </c>
      <c r="J54" s="97">
        <v>2017</v>
      </c>
      <c r="K54" s="97">
        <v>2018</v>
      </c>
      <c r="L54" s="97">
        <v>2019</v>
      </c>
      <c r="M54" s="97">
        <v>2020</v>
      </c>
      <c r="N54" s="97">
        <v>2021</v>
      </c>
      <c r="O54" s="98">
        <v>2022</v>
      </c>
      <c r="U54"/>
      <c r="V54"/>
    </row>
    <row r="55" spans="2:22" s="34" customFormat="1" ht="15.5" x14ac:dyDescent="0.35">
      <c r="B55" s="99" t="s">
        <v>46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2"/>
      <c r="U55"/>
      <c r="V55"/>
    </row>
    <row r="56" spans="2:22" s="34" customFormat="1" ht="15.5" x14ac:dyDescent="0.35">
      <c r="B56" s="103" t="s">
        <v>47</v>
      </c>
      <c r="C56" s="104">
        <f>C43</f>
        <v>0</v>
      </c>
      <c r="D56" s="105">
        <f t="shared" ref="D56:O56" si="16">D43</f>
        <v>0</v>
      </c>
      <c r="E56" s="105">
        <f t="shared" si="16"/>
        <v>0</v>
      </c>
      <c r="F56" s="105">
        <f t="shared" si="16"/>
        <v>2752.7596278963233</v>
      </c>
      <c r="G56" s="105">
        <f t="shared" si="16"/>
        <v>2711.7606520273316</v>
      </c>
      <c r="H56" s="105">
        <f t="shared" si="16"/>
        <v>2668.5105245293275</v>
      </c>
      <c r="I56" s="105">
        <f t="shared" si="16"/>
        <v>2612.9233785593256</v>
      </c>
      <c r="J56" s="105">
        <f t="shared" si="16"/>
        <v>2564.9103831272823</v>
      </c>
      <c r="K56" s="105">
        <f t="shared" si="16"/>
        <v>2514.3796420975182</v>
      </c>
      <c r="L56" s="105">
        <f t="shared" si="16"/>
        <v>2461.2360897117264</v>
      </c>
      <c r="M56" s="105">
        <f t="shared" si="16"/>
        <v>2415.3813825116276</v>
      </c>
      <c r="N56" s="105">
        <f t="shared" si="16"/>
        <v>2386.7137875349608</v>
      </c>
      <c r="O56" s="106">
        <f t="shared" si="16"/>
        <v>2355.1280666540047</v>
      </c>
      <c r="U56"/>
      <c r="V56"/>
    </row>
    <row r="57" spans="2:22" s="34" customFormat="1" ht="16" thickBot="1" x14ac:dyDescent="0.4">
      <c r="B57" s="107" t="s">
        <v>48</v>
      </c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33">
        <f>0.05*'Balance Sheet (Case Exhibit 6)'!P24</f>
        <v>884</v>
      </c>
      <c r="U57"/>
      <c r="V57"/>
    </row>
    <row r="58" spans="2:22" s="34" customFormat="1" ht="16" thickBot="1" x14ac:dyDescent="0.4">
      <c r="B58" s="95" t="s">
        <v>49</v>
      </c>
      <c r="C58" s="110">
        <f t="shared" ref="C58:O58" si="17">SUM(C56:C57)</f>
        <v>0</v>
      </c>
      <c r="D58" s="111">
        <f t="shared" si="17"/>
        <v>0</v>
      </c>
      <c r="E58" s="111">
        <f t="shared" si="17"/>
        <v>0</v>
      </c>
      <c r="F58" s="111">
        <f t="shared" si="17"/>
        <v>2752.7596278963233</v>
      </c>
      <c r="G58" s="111">
        <f t="shared" si="17"/>
        <v>2711.7606520273316</v>
      </c>
      <c r="H58" s="111">
        <f t="shared" si="17"/>
        <v>2668.5105245293275</v>
      </c>
      <c r="I58" s="111">
        <f t="shared" si="17"/>
        <v>2612.9233785593256</v>
      </c>
      <c r="J58" s="111">
        <f t="shared" si="17"/>
        <v>2564.9103831272823</v>
      </c>
      <c r="K58" s="111">
        <f t="shared" si="17"/>
        <v>2514.3796420975182</v>
      </c>
      <c r="L58" s="111">
        <f t="shared" si="17"/>
        <v>2461.2360897117264</v>
      </c>
      <c r="M58" s="111">
        <f t="shared" si="17"/>
        <v>2415.3813825116276</v>
      </c>
      <c r="N58" s="111">
        <f t="shared" si="17"/>
        <v>2386.7137875349608</v>
      </c>
      <c r="O58" s="112">
        <f t="shared" si="17"/>
        <v>3239.1280666540047</v>
      </c>
      <c r="U58"/>
      <c r="V58"/>
    </row>
    <row r="59" spans="2:22" s="34" customFormat="1" ht="15.5" x14ac:dyDescent="0.35">
      <c r="B59" s="99" t="s">
        <v>50</v>
      </c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2"/>
      <c r="U59"/>
      <c r="V59"/>
    </row>
    <row r="60" spans="2:22" s="34" customFormat="1" ht="15.5" x14ac:dyDescent="0.35">
      <c r="B60" s="103" t="s">
        <v>51</v>
      </c>
      <c r="C60" s="113">
        <f>C47</f>
        <v>3460</v>
      </c>
      <c r="D60" s="114">
        <f t="shared" ref="D60:O60" si="18">D47</f>
        <v>5520</v>
      </c>
      <c r="E60" s="114">
        <f t="shared" si="18"/>
        <v>4570</v>
      </c>
      <c r="F60" s="8">
        <f t="shared" si="18"/>
        <v>0</v>
      </c>
      <c r="G60" s="8">
        <f t="shared" si="18"/>
        <v>0</v>
      </c>
      <c r="H60" s="8">
        <f t="shared" si="18"/>
        <v>0</v>
      </c>
      <c r="I60" s="8">
        <f t="shared" si="18"/>
        <v>0</v>
      </c>
      <c r="J60" s="8">
        <f t="shared" si="18"/>
        <v>0</v>
      </c>
      <c r="K60" s="8">
        <f t="shared" si="18"/>
        <v>0</v>
      </c>
      <c r="L60" s="8">
        <f t="shared" si="18"/>
        <v>0</v>
      </c>
      <c r="M60" s="8">
        <f t="shared" si="18"/>
        <v>0</v>
      </c>
      <c r="N60" s="8">
        <f t="shared" si="18"/>
        <v>0</v>
      </c>
      <c r="O60" s="9">
        <f t="shared" si="18"/>
        <v>0</v>
      </c>
      <c r="U60"/>
      <c r="V60"/>
    </row>
    <row r="61" spans="2:22" s="34" customFormat="1" ht="16" thickBot="1" x14ac:dyDescent="0.4">
      <c r="B61" s="107" t="s">
        <v>52</v>
      </c>
      <c r="C61" s="115">
        <f t="shared" ref="C61:O61" si="19">C48</f>
        <v>0</v>
      </c>
      <c r="D61" s="116">
        <f t="shared" si="19"/>
        <v>0</v>
      </c>
      <c r="E61" s="116">
        <f t="shared" si="19"/>
        <v>0</v>
      </c>
      <c r="F61" s="117">
        <f t="shared" si="19"/>
        <v>310</v>
      </c>
      <c r="G61" s="117">
        <f t="shared" si="19"/>
        <v>0</v>
      </c>
      <c r="H61" s="116">
        <f t="shared" si="19"/>
        <v>10</v>
      </c>
      <c r="I61" s="116">
        <f t="shared" si="19"/>
        <v>0</v>
      </c>
      <c r="J61" s="116">
        <f t="shared" si="19"/>
        <v>10</v>
      </c>
      <c r="K61" s="116">
        <f t="shared" si="19"/>
        <v>10</v>
      </c>
      <c r="L61" s="116">
        <f t="shared" si="19"/>
        <v>0</v>
      </c>
      <c r="M61" s="116">
        <f t="shared" si="19"/>
        <v>10</v>
      </c>
      <c r="N61" s="116">
        <f t="shared" si="19"/>
        <v>10</v>
      </c>
      <c r="O61" s="118">
        <f t="shared" si="19"/>
        <v>0</v>
      </c>
      <c r="U61"/>
      <c r="V61"/>
    </row>
    <row r="62" spans="2:22" s="34" customFormat="1" ht="15.5" x14ac:dyDescent="0.35">
      <c r="B62" s="119" t="s">
        <v>53</v>
      </c>
      <c r="C62" s="120">
        <f t="shared" ref="C62:O62" si="20">C60+C61</f>
        <v>3460</v>
      </c>
      <c r="D62" s="121">
        <f t="shared" si="20"/>
        <v>5520</v>
      </c>
      <c r="E62" s="121">
        <f t="shared" si="20"/>
        <v>4570</v>
      </c>
      <c r="F62" s="121">
        <f t="shared" si="20"/>
        <v>310</v>
      </c>
      <c r="G62" s="121">
        <f t="shared" si="20"/>
        <v>0</v>
      </c>
      <c r="H62" s="121">
        <f t="shared" si="20"/>
        <v>10</v>
      </c>
      <c r="I62" s="121">
        <f t="shared" si="20"/>
        <v>0</v>
      </c>
      <c r="J62" s="121">
        <f t="shared" si="20"/>
        <v>10</v>
      </c>
      <c r="K62" s="121">
        <f t="shared" si="20"/>
        <v>10</v>
      </c>
      <c r="L62" s="121">
        <f t="shared" si="20"/>
        <v>0</v>
      </c>
      <c r="M62" s="121">
        <f t="shared" si="20"/>
        <v>10</v>
      </c>
      <c r="N62" s="121">
        <f t="shared" si="20"/>
        <v>10</v>
      </c>
      <c r="O62" s="122">
        <f t="shared" si="20"/>
        <v>0</v>
      </c>
      <c r="U62"/>
      <c r="V62"/>
    </row>
    <row r="63" spans="2:22" s="34" customFormat="1" ht="16" thickBot="1" x14ac:dyDescent="0.4">
      <c r="B63" s="123" t="s">
        <v>54</v>
      </c>
      <c r="C63" s="124">
        <f t="shared" ref="C63:O63" si="21">C58-C62</f>
        <v>-3460</v>
      </c>
      <c r="D63" s="125">
        <f t="shared" si="21"/>
        <v>-5520</v>
      </c>
      <c r="E63" s="125">
        <f t="shared" si="21"/>
        <v>-4570</v>
      </c>
      <c r="F63" s="125">
        <f t="shared" si="21"/>
        <v>2442.7596278963233</v>
      </c>
      <c r="G63" s="125">
        <f t="shared" si="21"/>
        <v>2711.7606520273316</v>
      </c>
      <c r="H63" s="125">
        <f t="shared" si="21"/>
        <v>2658.5105245293275</v>
      </c>
      <c r="I63" s="125">
        <f t="shared" si="21"/>
        <v>2612.9233785593256</v>
      </c>
      <c r="J63" s="125">
        <f t="shared" si="21"/>
        <v>2554.9103831272823</v>
      </c>
      <c r="K63" s="125">
        <f t="shared" si="21"/>
        <v>2504.3796420975182</v>
      </c>
      <c r="L63" s="125">
        <f t="shared" si="21"/>
        <v>2461.2360897117264</v>
      </c>
      <c r="M63" s="125">
        <f t="shared" si="21"/>
        <v>2405.3813825116276</v>
      </c>
      <c r="N63" s="125">
        <f t="shared" si="21"/>
        <v>2376.7137875349608</v>
      </c>
      <c r="O63" s="126">
        <f t="shared" si="21"/>
        <v>3239.1280666540047</v>
      </c>
      <c r="U63"/>
      <c r="V63"/>
    </row>
    <row r="64" spans="2:22" s="34" customFormat="1" ht="16" thickBot="1" x14ac:dyDescent="0.4">
      <c r="B64" s="127" t="s">
        <v>56</v>
      </c>
      <c r="C64" s="128">
        <f>IRR(C63:O63)</f>
        <v>0.11339592067148763</v>
      </c>
      <c r="D64" s="129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1"/>
      <c r="U64"/>
      <c r="V64"/>
    </row>
    <row r="65" spans="3:22" s="34" customFormat="1" x14ac:dyDescent="0.35"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U65"/>
      <c r="V65"/>
    </row>
    <row r="66" spans="3:22" s="34" customFormat="1" x14ac:dyDescent="0.35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U66"/>
      <c r="V66"/>
    </row>
    <row r="67" spans="3:22" s="34" customFormat="1" x14ac:dyDescent="0.3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U67"/>
      <c r="V67"/>
    </row>
    <row r="68" spans="3:22" s="34" customFormat="1" x14ac:dyDescent="0.35">
      <c r="U68"/>
      <c r="V68"/>
    </row>
    <row r="69" spans="3:22" s="34" customFormat="1" x14ac:dyDescent="0.35">
      <c r="U69"/>
      <c r="V69"/>
    </row>
    <row r="70" spans="3:22" s="34" customFormat="1" x14ac:dyDescent="0.35">
      <c r="U70"/>
      <c r="V70"/>
    </row>
    <row r="71" spans="3:22" s="34" customFormat="1" x14ac:dyDescent="0.35">
      <c r="U71"/>
      <c r="V71"/>
    </row>
    <row r="72" spans="3:22" s="34" customFormat="1" x14ac:dyDescent="0.35">
      <c r="U72"/>
      <c r="V72"/>
    </row>
    <row r="73" spans="3:22" s="34" customFormat="1" x14ac:dyDescent="0.35">
      <c r="U73"/>
      <c r="V73"/>
    </row>
    <row r="74" spans="3:22" s="34" customFormat="1" x14ac:dyDescent="0.35">
      <c r="U74"/>
      <c r="V74"/>
    </row>
    <row r="75" spans="3:22" s="34" customFormat="1" x14ac:dyDescent="0.35">
      <c r="U75"/>
      <c r="V75"/>
    </row>
    <row r="76" spans="3:22" s="34" customFormat="1" x14ac:dyDescent="0.35">
      <c r="U76"/>
      <c r="V76"/>
    </row>
    <row r="77" spans="3:22" s="34" customFormat="1" x14ac:dyDescent="0.35">
      <c r="U77"/>
      <c r="V77"/>
    </row>
    <row r="78" spans="3:22" s="34" customFormat="1" x14ac:dyDescent="0.35">
      <c r="U78"/>
      <c r="V78"/>
    </row>
    <row r="79" spans="3:22" s="34" customFormat="1" x14ac:dyDescent="0.35">
      <c r="U79"/>
      <c r="V79"/>
    </row>
    <row r="80" spans="3:22" s="34" customFormat="1" x14ac:dyDescent="0.35">
      <c r="U80"/>
      <c r="V80"/>
    </row>
    <row r="81" spans="21:22" s="34" customFormat="1" x14ac:dyDescent="0.35">
      <c r="U81"/>
      <c r="V81"/>
    </row>
    <row r="82" spans="21:22" s="34" customFormat="1" x14ac:dyDescent="0.35">
      <c r="U82"/>
      <c r="V82"/>
    </row>
    <row r="83" spans="21:22" s="34" customFormat="1" x14ac:dyDescent="0.35">
      <c r="U83"/>
      <c r="V83"/>
    </row>
    <row r="84" spans="21:22" s="34" customFormat="1" x14ac:dyDescent="0.35">
      <c r="U84"/>
      <c r="V84"/>
    </row>
    <row r="85" spans="21:22" s="34" customFormat="1" x14ac:dyDescent="0.35">
      <c r="U85"/>
      <c r="V85"/>
    </row>
    <row r="86" spans="21:22" s="34" customFormat="1" x14ac:dyDescent="0.35">
      <c r="U86"/>
      <c r="V86"/>
    </row>
    <row r="87" spans="21:22" s="34" customFormat="1" x14ac:dyDescent="0.35">
      <c r="U87"/>
      <c r="V87"/>
    </row>
    <row r="88" spans="21:22" s="34" customFormat="1" x14ac:dyDescent="0.35">
      <c r="U88"/>
      <c r="V88"/>
    </row>
    <row r="89" spans="21:22" s="34" customFormat="1" x14ac:dyDescent="0.35">
      <c r="U89"/>
      <c r="V89"/>
    </row>
    <row r="90" spans="21:22" s="34" customFormat="1" x14ac:dyDescent="0.35">
      <c r="U90"/>
      <c r="V90"/>
    </row>
    <row r="91" spans="21:22" s="34" customFormat="1" x14ac:dyDescent="0.35">
      <c r="U91"/>
      <c r="V91"/>
    </row>
    <row r="92" spans="21:22" s="34" customFormat="1" x14ac:dyDescent="0.35">
      <c r="U92"/>
      <c r="V92"/>
    </row>
    <row r="93" spans="21:22" s="34" customFormat="1" x14ac:dyDescent="0.35">
      <c r="U93"/>
      <c r="V93"/>
    </row>
    <row r="94" spans="21:22" s="34" customFormat="1" x14ac:dyDescent="0.35">
      <c r="U94"/>
      <c r="V94"/>
    </row>
    <row r="95" spans="21:22" s="34" customFormat="1" x14ac:dyDescent="0.35">
      <c r="U95"/>
      <c r="V95"/>
    </row>
    <row r="96" spans="21:22" s="34" customFormat="1" x14ac:dyDescent="0.35">
      <c r="U96"/>
      <c r="V96"/>
    </row>
    <row r="97" spans="21:22" s="34" customFormat="1" x14ac:dyDescent="0.35">
      <c r="U97"/>
      <c r="V97"/>
    </row>
    <row r="98" spans="21:22" s="34" customFormat="1" x14ac:dyDescent="0.35">
      <c r="U98"/>
      <c r="V98"/>
    </row>
    <row r="99" spans="21:22" s="34" customFormat="1" x14ac:dyDescent="0.35">
      <c r="U99"/>
      <c r="V99"/>
    </row>
    <row r="100" spans="21:22" s="34" customFormat="1" x14ac:dyDescent="0.35">
      <c r="U100"/>
      <c r="V100"/>
    </row>
    <row r="101" spans="21:22" s="34" customFormat="1" x14ac:dyDescent="0.35">
      <c r="U101"/>
      <c r="V101"/>
    </row>
    <row r="102" spans="21:22" s="34" customFormat="1" x14ac:dyDescent="0.35">
      <c r="U102"/>
      <c r="V102"/>
    </row>
  </sheetData>
  <mergeCells count="4">
    <mergeCell ref="B2:C2"/>
    <mergeCell ref="B9:Q9"/>
    <mergeCell ref="B40:T40"/>
    <mergeCell ref="B53:O53"/>
  </mergeCells>
  <pageMargins left="0.75" right="0.75" top="1" bottom="1" header="0.3" footer="0.3"/>
  <pageSetup paperSize="9" orientation="portrait" horizontalDpi="1200" verticalDpi="12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102"/>
  <sheetViews>
    <sheetView showGridLines="0" topLeftCell="A21" workbookViewId="0">
      <selection activeCell="K37" sqref="K37"/>
    </sheetView>
  </sheetViews>
  <sheetFormatPr baseColWidth="10" defaultColWidth="8.81640625" defaultRowHeight="14.5" x14ac:dyDescent="0.35"/>
  <cols>
    <col min="2" max="2" width="39" bestFit="1" customWidth="1"/>
    <col min="3" max="3" width="7.81640625" customWidth="1"/>
    <col min="4" max="6" width="6.6328125" customWidth="1"/>
    <col min="7" max="8" width="7.1796875" customWidth="1"/>
    <col min="9" max="11" width="6.6328125" customWidth="1"/>
    <col min="12" max="12" width="7.26953125" customWidth="1"/>
    <col min="13" max="20" width="6.6328125" customWidth="1"/>
    <col min="21" max="21" width="39.453125" bestFit="1" customWidth="1"/>
    <col min="22" max="22" width="5.453125" customWidth="1"/>
  </cols>
  <sheetData>
    <row r="1" spans="2:22" ht="15" thickBot="1" x14ac:dyDescent="0.4"/>
    <row r="2" spans="2:22" ht="16" thickBot="1" x14ac:dyDescent="0.4">
      <c r="B2" s="496" t="s">
        <v>37</v>
      </c>
      <c r="C2" s="497"/>
      <c r="E2" s="157" t="s">
        <v>38</v>
      </c>
      <c r="F2" s="169"/>
      <c r="G2" s="167">
        <f>SUM(C31:L31,C24:L24,C26:L26)/SUM(C24:L24,C34:L34)</f>
        <v>1.3980588384996855</v>
      </c>
      <c r="H2" s="34"/>
      <c r="I2" s="34"/>
      <c r="J2" s="34"/>
      <c r="K2" s="34"/>
      <c r="L2" s="34"/>
      <c r="M2" s="34"/>
      <c r="N2" s="34"/>
      <c r="O2" s="34"/>
      <c r="P2" s="34"/>
      <c r="Q2" s="34"/>
      <c r="U2" s="146" t="s">
        <v>79</v>
      </c>
      <c r="V2" s="147"/>
    </row>
    <row r="3" spans="2:22" x14ac:dyDescent="0.35">
      <c r="B3" s="59" t="s">
        <v>16</v>
      </c>
      <c r="C3" s="60">
        <v>0.75</v>
      </c>
      <c r="E3" s="170" t="s">
        <v>58</v>
      </c>
      <c r="F3" s="171"/>
      <c r="G3" s="168">
        <f>C51</f>
        <v>0.12321818350514713</v>
      </c>
      <c r="H3" s="34"/>
      <c r="I3" s="34"/>
      <c r="J3" s="34"/>
      <c r="K3" s="34"/>
      <c r="L3" s="34"/>
      <c r="M3" s="34"/>
      <c r="N3" s="34"/>
      <c r="O3" s="34"/>
      <c r="P3" s="34"/>
      <c r="Q3" s="34"/>
      <c r="U3" s="148" t="s">
        <v>60</v>
      </c>
      <c r="V3" s="149">
        <f>($C$13*2400/(5500*1000))/0.992</f>
        <v>0.867008797653959</v>
      </c>
    </row>
    <row r="4" spans="2:22" ht="15" thickBot="1" x14ac:dyDescent="0.4">
      <c r="B4" s="62" t="s">
        <v>39</v>
      </c>
      <c r="C4" s="63">
        <v>1</v>
      </c>
      <c r="E4" s="64" t="s">
        <v>59</v>
      </c>
      <c r="F4" s="140"/>
      <c r="G4" s="143">
        <f>C64</f>
        <v>9.3762060537879499E-2</v>
      </c>
      <c r="U4" s="148" t="s">
        <v>61</v>
      </c>
      <c r="V4" s="149">
        <f>($C$13*2400/(3450*1000))/0.992</f>
        <v>1.3821879382889202</v>
      </c>
    </row>
    <row r="5" spans="2:22" x14ac:dyDescent="0.35">
      <c r="B5" s="62" t="s">
        <v>40</v>
      </c>
      <c r="C5" s="65">
        <v>0.12</v>
      </c>
      <c r="U5" s="150" t="s">
        <v>62</v>
      </c>
      <c r="V5" s="149">
        <f>AVERAGE(V3:V4)</f>
        <v>1.1245983679714395</v>
      </c>
    </row>
    <row r="6" spans="2:22" ht="15" thickBot="1" x14ac:dyDescent="0.4">
      <c r="B6" s="66" t="s">
        <v>41</v>
      </c>
      <c r="C6" s="67">
        <v>1</v>
      </c>
      <c r="U6" s="155"/>
      <c r="V6" s="156"/>
    </row>
    <row r="7" spans="2:22" x14ac:dyDescent="0.35">
      <c r="U7" s="157" t="s">
        <v>70</v>
      </c>
      <c r="V7" s="158"/>
    </row>
    <row r="8" spans="2:22" ht="15" thickBot="1" x14ac:dyDescent="0.4">
      <c r="U8" s="152" t="s">
        <v>60</v>
      </c>
      <c r="V8" s="151"/>
    </row>
    <row r="9" spans="2:22" ht="16" thickBot="1" x14ac:dyDescent="0.4">
      <c r="B9" s="491" t="s">
        <v>106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3"/>
      <c r="U9" s="148" t="s">
        <v>69</v>
      </c>
      <c r="V9" s="153">
        <f>(1150+700)/2</f>
        <v>925</v>
      </c>
    </row>
    <row r="10" spans="2:22" s="68" customFormat="1" ht="16" thickBot="1" x14ac:dyDescent="0.4">
      <c r="B10" s="30" t="s">
        <v>109</v>
      </c>
      <c r="C10" s="2">
        <v>2013</v>
      </c>
      <c r="D10" s="2">
        <v>2014</v>
      </c>
      <c r="E10" s="2">
        <v>2015</v>
      </c>
      <c r="F10" s="2">
        <v>2016</v>
      </c>
      <c r="G10" s="2">
        <v>2017</v>
      </c>
      <c r="H10" s="2">
        <v>2018</v>
      </c>
      <c r="I10" s="2">
        <v>2019</v>
      </c>
      <c r="J10" s="2">
        <v>2020</v>
      </c>
      <c r="K10" s="2">
        <v>2021</v>
      </c>
      <c r="L10" s="2">
        <v>2022</v>
      </c>
      <c r="M10" s="2">
        <v>2023</v>
      </c>
      <c r="N10" s="2">
        <v>2024</v>
      </c>
      <c r="O10" s="2">
        <v>2025</v>
      </c>
      <c r="P10" s="2">
        <v>2026</v>
      </c>
      <c r="Q10" s="3">
        <v>2027</v>
      </c>
      <c r="U10" s="148" t="s">
        <v>65</v>
      </c>
      <c r="V10" s="154">
        <v>1</v>
      </c>
    </row>
    <row r="11" spans="2:22" s="34" customFormat="1" ht="16" thickBot="1" x14ac:dyDescent="0.4">
      <c r="B11" s="31" t="s">
        <v>15</v>
      </c>
      <c r="C11" s="69">
        <v>300</v>
      </c>
      <c r="D11" s="69">
        <v>300</v>
      </c>
      <c r="E11" s="69">
        <v>300</v>
      </c>
      <c r="F11" s="69">
        <v>300</v>
      </c>
      <c r="G11" s="69">
        <v>300</v>
      </c>
      <c r="H11" s="69">
        <v>300</v>
      </c>
      <c r="I11" s="69">
        <v>300</v>
      </c>
      <c r="J11" s="69">
        <v>300</v>
      </c>
      <c r="K11" s="69">
        <v>300</v>
      </c>
      <c r="L11" s="69">
        <v>300</v>
      </c>
      <c r="M11" s="69">
        <v>300</v>
      </c>
      <c r="N11" s="69">
        <v>300</v>
      </c>
      <c r="O11" s="69">
        <v>300</v>
      </c>
      <c r="P11" s="69">
        <v>300</v>
      </c>
      <c r="Q11" s="70">
        <v>300</v>
      </c>
      <c r="R11" s="71"/>
      <c r="U11" s="148" t="s">
        <v>66</v>
      </c>
      <c r="V11" s="165">
        <v>0.03</v>
      </c>
    </row>
    <row r="12" spans="2:22" s="34" customFormat="1" ht="16" thickTop="1" x14ac:dyDescent="0.35">
      <c r="B12" s="35" t="s">
        <v>16</v>
      </c>
      <c r="C12" s="72">
        <f>$C$3</f>
        <v>0.75</v>
      </c>
      <c r="D12" s="72">
        <f t="shared" ref="D12:Q12" si="0">$C$3</f>
        <v>0.75</v>
      </c>
      <c r="E12" s="72">
        <f t="shared" si="0"/>
        <v>0.75</v>
      </c>
      <c r="F12" s="72">
        <f t="shared" si="0"/>
        <v>0.75</v>
      </c>
      <c r="G12" s="72">
        <f t="shared" si="0"/>
        <v>0.75</v>
      </c>
      <c r="H12" s="72">
        <f t="shared" si="0"/>
        <v>0.75</v>
      </c>
      <c r="I12" s="72">
        <f t="shared" si="0"/>
        <v>0.75</v>
      </c>
      <c r="J12" s="72">
        <f t="shared" si="0"/>
        <v>0.75</v>
      </c>
      <c r="K12" s="72">
        <f t="shared" si="0"/>
        <v>0.75</v>
      </c>
      <c r="L12" s="72">
        <f t="shared" si="0"/>
        <v>0.75</v>
      </c>
      <c r="M12" s="72">
        <f t="shared" si="0"/>
        <v>0.75</v>
      </c>
      <c r="N12" s="72">
        <f t="shared" si="0"/>
        <v>0.75</v>
      </c>
      <c r="O12" s="72">
        <f t="shared" si="0"/>
        <v>0.75</v>
      </c>
      <c r="P12" s="72">
        <f t="shared" si="0"/>
        <v>0.75</v>
      </c>
      <c r="Q12" s="73">
        <f t="shared" si="0"/>
        <v>0.75</v>
      </c>
      <c r="R12" s="71"/>
      <c r="U12" s="148"/>
      <c r="V12" s="164">
        <f>V9*((1+V11)^3)</f>
        <v>1010.772475</v>
      </c>
    </row>
    <row r="13" spans="2:22" s="34" customFormat="1" ht="15.5" x14ac:dyDescent="0.35">
      <c r="B13" s="35" t="s">
        <v>80</v>
      </c>
      <c r="C13" s="74">
        <f t="shared" ref="C13:Q13" si="1">C11*1000*24*365*C12/1000000</f>
        <v>1971</v>
      </c>
      <c r="D13" s="74">
        <f t="shared" si="1"/>
        <v>1971</v>
      </c>
      <c r="E13" s="74">
        <f t="shared" si="1"/>
        <v>1971</v>
      </c>
      <c r="F13" s="74">
        <f t="shared" si="1"/>
        <v>1971</v>
      </c>
      <c r="G13" s="74">
        <f t="shared" si="1"/>
        <v>1971</v>
      </c>
      <c r="H13" s="74">
        <f t="shared" si="1"/>
        <v>1971</v>
      </c>
      <c r="I13" s="74">
        <f t="shared" si="1"/>
        <v>1971</v>
      </c>
      <c r="J13" s="74">
        <f t="shared" si="1"/>
        <v>1971</v>
      </c>
      <c r="K13" s="74">
        <f t="shared" si="1"/>
        <v>1971</v>
      </c>
      <c r="L13" s="74">
        <f t="shared" si="1"/>
        <v>1971</v>
      </c>
      <c r="M13" s="74">
        <f t="shared" si="1"/>
        <v>1971</v>
      </c>
      <c r="N13" s="74">
        <f t="shared" si="1"/>
        <v>1971</v>
      </c>
      <c r="O13" s="74">
        <f t="shared" si="1"/>
        <v>1971</v>
      </c>
      <c r="P13" s="74">
        <f t="shared" si="1"/>
        <v>1971</v>
      </c>
      <c r="Q13" s="75">
        <f t="shared" si="1"/>
        <v>1971</v>
      </c>
      <c r="R13" s="71"/>
      <c r="U13" s="148"/>
      <c r="V13" s="149"/>
    </row>
    <row r="14" spans="2:22" s="34" customFormat="1" ht="15.5" x14ac:dyDescent="0.35">
      <c r="B14" s="35" t="s">
        <v>81</v>
      </c>
      <c r="C14" s="76">
        <v>201</v>
      </c>
      <c r="D14" s="76">
        <v>201</v>
      </c>
      <c r="E14" s="76">
        <v>201</v>
      </c>
      <c r="F14" s="76">
        <v>201</v>
      </c>
      <c r="G14" s="76">
        <v>201</v>
      </c>
      <c r="H14" s="76">
        <v>201</v>
      </c>
      <c r="I14" s="76">
        <v>201</v>
      </c>
      <c r="J14" s="76">
        <v>201</v>
      </c>
      <c r="K14" s="76">
        <v>201</v>
      </c>
      <c r="L14" s="76">
        <v>201</v>
      </c>
      <c r="M14" s="76">
        <v>201</v>
      </c>
      <c r="N14" s="76">
        <v>201</v>
      </c>
      <c r="O14" s="76">
        <v>201</v>
      </c>
      <c r="P14" s="76">
        <v>201</v>
      </c>
      <c r="Q14" s="77">
        <v>201</v>
      </c>
      <c r="R14" s="71"/>
      <c r="U14" s="152" t="s">
        <v>61</v>
      </c>
      <c r="V14" s="149"/>
    </row>
    <row r="15" spans="2:22" s="34" customFormat="1" ht="15.5" x14ac:dyDescent="0.35">
      <c r="B15" s="78" t="s">
        <v>82</v>
      </c>
      <c r="C15" s="74">
        <f t="shared" ref="C15:Q15" si="2">C13-C14</f>
        <v>1770</v>
      </c>
      <c r="D15" s="74">
        <f t="shared" si="2"/>
        <v>1770</v>
      </c>
      <c r="E15" s="74">
        <f t="shared" si="2"/>
        <v>1770</v>
      </c>
      <c r="F15" s="74">
        <f t="shared" si="2"/>
        <v>1770</v>
      </c>
      <c r="G15" s="74">
        <f t="shared" si="2"/>
        <v>1770</v>
      </c>
      <c r="H15" s="74">
        <f t="shared" si="2"/>
        <v>1770</v>
      </c>
      <c r="I15" s="74">
        <f t="shared" si="2"/>
        <v>1770</v>
      </c>
      <c r="J15" s="74">
        <f t="shared" si="2"/>
        <v>1770</v>
      </c>
      <c r="K15" s="74">
        <f t="shared" si="2"/>
        <v>1770</v>
      </c>
      <c r="L15" s="74">
        <f t="shared" si="2"/>
        <v>1770</v>
      </c>
      <c r="M15" s="74">
        <f t="shared" si="2"/>
        <v>1770</v>
      </c>
      <c r="N15" s="74">
        <f t="shared" si="2"/>
        <v>1770</v>
      </c>
      <c r="O15" s="74">
        <f t="shared" si="2"/>
        <v>1770</v>
      </c>
      <c r="P15" s="74">
        <f t="shared" si="2"/>
        <v>1770</v>
      </c>
      <c r="Q15" s="75">
        <f t="shared" si="2"/>
        <v>1770</v>
      </c>
      <c r="U15" s="148" t="s">
        <v>67</v>
      </c>
      <c r="V15" s="153">
        <f>67.5*49</f>
        <v>3307.5</v>
      </c>
    </row>
    <row r="16" spans="2:22" s="34" customFormat="1" ht="15.5" x14ac:dyDescent="0.35">
      <c r="B16" s="35" t="s">
        <v>111</v>
      </c>
      <c r="C16" s="79">
        <v>3.3</v>
      </c>
      <c r="D16" s="79">
        <f>C16*1.01</f>
        <v>3.3329999999999997</v>
      </c>
      <c r="E16" s="79">
        <f t="shared" ref="E16:Q16" si="3">D16*1.01</f>
        <v>3.3663299999999996</v>
      </c>
      <c r="F16" s="79">
        <f t="shared" si="3"/>
        <v>3.3999932999999998</v>
      </c>
      <c r="G16" s="79">
        <f t="shared" si="3"/>
        <v>3.4339932329999998</v>
      </c>
      <c r="H16" s="79">
        <f t="shared" si="3"/>
        <v>3.4683331653299998</v>
      </c>
      <c r="I16" s="79">
        <f t="shared" si="3"/>
        <v>3.5030164969833</v>
      </c>
      <c r="J16" s="79">
        <f t="shared" si="3"/>
        <v>3.5380466619531332</v>
      </c>
      <c r="K16" s="79">
        <f t="shared" si="3"/>
        <v>3.5734271285726646</v>
      </c>
      <c r="L16" s="79">
        <f t="shared" si="3"/>
        <v>3.6091613998583911</v>
      </c>
      <c r="M16" s="79">
        <f t="shared" si="3"/>
        <v>3.645253013856975</v>
      </c>
      <c r="N16" s="79">
        <f t="shared" si="3"/>
        <v>3.6817055439955446</v>
      </c>
      <c r="O16" s="79">
        <f t="shared" si="3"/>
        <v>3.7185225994355</v>
      </c>
      <c r="P16" s="79">
        <f t="shared" si="3"/>
        <v>3.7557078254298553</v>
      </c>
      <c r="Q16" s="80">
        <f t="shared" si="3"/>
        <v>3.7932649036841539</v>
      </c>
      <c r="R16" s="81"/>
      <c r="U16" s="148" t="s">
        <v>64</v>
      </c>
      <c r="V16" s="154">
        <v>1</v>
      </c>
    </row>
    <row r="17" spans="2:22" s="34" customFormat="1" ht="16" thickBot="1" x14ac:dyDescent="0.4">
      <c r="B17" s="82" t="s">
        <v>21</v>
      </c>
      <c r="C17" s="83">
        <f>C15*C16</f>
        <v>5841</v>
      </c>
      <c r="D17" s="83">
        <f t="shared" ref="D17:Q17" si="4">D15*D16</f>
        <v>5899.41</v>
      </c>
      <c r="E17" s="83">
        <f t="shared" si="4"/>
        <v>5958.4040999999997</v>
      </c>
      <c r="F17" s="83">
        <f t="shared" si="4"/>
        <v>6017.9881409999998</v>
      </c>
      <c r="G17" s="83">
        <f t="shared" si="4"/>
        <v>6078.16802241</v>
      </c>
      <c r="H17" s="83">
        <f t="shared" si="4"/>
        <v>6138.9497026340996</v>
      </c>
      <c r="I17" s="83">
        <f t="shared" si="4"/>
        <v>6200.3391996604414</v>
      </c>
      <c r="J17" s="83">
        <f t="shared" si="4"/>
        <v>6262.3425916570459</v>
      </c>
      <c r="K17" s="83">
        <f t="shared" si="4"/>
        <v>6324.9660175736162</v>
      </c>
      <c r="L17" s="83">
        <f t="shared" si="4"/>
        <v>6388.2156777493519</v>
      </c>
      <c r="M17" s="83">
        <f t="shared" si="4"/>
        <v>6452.0978345268459</v>
      </c>
      <c r="N17" s="83">
        <f t="shared" si="4"/>
        <v>6516.6188128721142</v>
      </c>
      <c r="O17" s="83">
        <f t="shared" si="4"/>
        <v>6581.7850010008351</v>
      </c>
      <c r="P17" s="83">
        <f t="shared" si="4"/>
        <v>6647.6028510108436</v>
      </c>
      <c r="Q17" s="84">
        <f t="shared" si="4"/>
        <v>6714.0788795209528</v>
      </c>
      <c r="U17" s="148" t="s">
        <v>66</v>
      </c>
      <c r="V17" s="165">
        <v>0.03</v>
      </c>
    </row>
    <row r="18" spans="2:22" s="34" customFormat="1" ht="16" thickTop="1" x14ac:dyDescent="0.35">
      <c r="B18" s="45" t="s">
        <v>22</v>
      </c>
      <c r="C18" s="144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  <c r="U18" s="148"/>
      <c r="V18" s="164">
        <f>V15*((1+V17)^3)</f>
        <v>3614.1945525000001</v>
      </c>
    </row>
    <row r="19" spans="2:22" s="34" customFormat="1" ht="15.5" x14ac:dyDescent="0.35">
      <c r="B19" s="35" t="s">
        <v>41</v>
      </c>
      <c r="C19" s="74">
        <f>($V$22*((1.03^(C10-2012))))*$C$6</f>
        <v>2678.6336410898334</v>
      </c>
      <c r="D19" s="76">
        <f t="shared" ref="D19:Q19" si="5">($V$22*((1.03^(D10-2012))))*$C$6</f>
        <v>2758.9926503225283</v>
      </c>
      <c r="E19" s="76">
        <f t="shared" si="5"/>
        <v>2841.7624298322044</v>
      </c>
      <c r="F19" s="76">
        <f t="shared" si="5"/>
        <v>2927.0153027271699</v>
      </c>
      <c r="G19" s="76">
        <f t="shared" si="5"/>
        <v>3014.8257618089851</v>
      </c>
      <c r="H19" s="76">
        <f t="shared" si="5"/>
        <v>3105.2705346632547</v>
      </c>
      <c r="I19" s="76">
        <f t="shared" si="5"/>
        <v>3198.4286507031525</v>
      </c>
      <c r="J19" s="76">
        <f t="shared" si="5"/>
        <v>3294.381510224247</v>
      </c>
      <c r="K19" s="76">
        <f t="shared" si="5"/>
        <v>3393.2129555309743</v>
      </c>
      <c r="L19" s="76">
        <f t="shared" si="5"/>
        <v>3495.0093441969034</v>
      </c>
      <c r="M19" s="76">
        <f t="shared" si="5"/>
        <v>3599.8596245228109</v>
      </c>
      <c r="N19" s="76">
        <f t="shared" si="5"/>
        <v>3707.8554132584945</v>
      </c>
      <c r="O19" s="76">
        <f t="shared" si="5"/>
        <v>3819.0910756562494</v>
      </c>
      <c r="P19" s="76">
        <f t="shared" si="5"/>
        <v>3933.6638079259369</v>
      </c>
      <c r="Q19" s="77">
        <f t="shared" si="5"/>
        <v>4051.6737221637154</v>
      </c>
      <c r="U19" s="148"/>
      <c r="V19" s="149"/>
    </row>
    <row r="20" spans="2:22" s="34" customFormat="1" ht="15.5" x14ac:dyDescent="0.35">
      <c r="B20" s="35" t="s">
        <v>84</v>
      </c>
      <c r="C20" s="74">
        <f t="shared" ref="C20:Q20" si="6">((1.55*C11*((1.04)^(C10-2012))))*($C$3/85%)</f>
        <v>426.70588235294116</v>
      </c>
      <c r="D20" s="74">
        <f t="shared" si="6"/>
        <v>443.77411764705886</v>
      </c>
      <c r="E20" s="74">
        <f t="shared" si="6"/>
        <v>461.52508235294118</v>
      </c>
      <c r="F20" s="74">
        <f t="shared" si="6"/>
        <v>479.98608564705893</v>
      </c>
      <c r="G20" s="74">
        <f t="shared" si="6"/>
        <v>499.18552907294134</v>
      </c>
      <c r="H20" s="74">
        <f t="shared" si="6"/>
        <v>519.15295023585895</v>
      </c>
      <c r="I20" s="74">
        <f t="shared" si="6"/>
        <v>539.91906824529326</v>
      </c>
      <c r="J20" s="74">
        <f t="shared" si="6"/>
        <v>561.51583097510513</v>
      </c>
      <c r="K20" s="74">
        <f t="shared" si="6"/>
        <v>583.97646421410934</v>
      </c>
      <c r="L20" s="74">
        <f t="shared" si="6"/>
        <v>607.33552278267371</v>
      </c>
      <c r="M20" s="74">
        <f t="shared" si="6"/>
        <v>631.62894369398066</v>
      </c>
      <c r="N20" s="74">
        <f t="shared" si="6"/>
        <v>656.89410144173996</v>
      </c>
      <c r="O20" s="74">
        <f t="shared" si="6"/>
        <v>683.16986549940964</v>
      </c>
      <c r="P20" s="74">
        <f t="shared" si="6"/>
        <v>710.49666011938598</v>
      </c>
      <c r="Q20" s="75">
        <f t="shared" si="6"/>
        <v>738.91652652416133</v>
      </c>
      <c r="U20" s="150" t="s">
        <v>71</v>
      </c>
      <c r="V20" s="159">
        <f>AVERAGE(V18,V12)</f>
        <v>2312.4835137499999</v>
      </c>
    </row>
    <row r="21" spans="2:22" s="34" customFormat="1" ht="16" thickBot="1" x14ac:dyDescent="0.4">
      <c r="B21" s="82" t="s">
        <v>25</v>
      </c>
      <c r="C21" s="76">
        <f t="shared" ref="C21:Q21" si="7">SUM(C19:C20)</f>
        <v>3105.3395234427744</v>
      </c>
      <c r="D21" s="74">
        <f t="shared" si="7"/>
        <v>3202.7667679695874</v>
      </c>
      <c r="E21" s="76">
        <f t="shared" si="7"/>
        <v>3303.2875121851457</v>
      </c>
      <c r="F21" s="76">
        <f t="shared" si="7"/>
        <v>3407.001388374229</v>
      </c>
      <c r="G21" s="76">
        <f t="shared" si="7"/>
        <v>3514.0112908819265</v>
      </c>
      <c r="H21" s="76">
        <f t="shared" si="7"/>
        <v>3624.4234848991136</v>
      </c>
      <c r="I21" s="76">
        <f t="shared" si="7"/>
        <v>3738.3477189484456</v>
      </c>
      <c r="J21" s="76">
        <f t="shared" si="7"/>
        <v>3855.897341199352</v>
      </c>
      <c r="K21" s="76">
        <f t="shared" si="7"/>
        <v>3977.1894197450838</v>
      </c>
      <c r="L21" s="76">
        <f t="shared" si="7"/>
        <v>4102.3448669795771</v>
      </c>
      <c r="M21" s="76">
        <f t="shared" si="7"/>
        <v>4231.4885682167915</v>
      </c>
      <c r="N21" s="76">
        <f t="shared" si="7"/>
        <v>4364.7495147002346</v>
      </c>
      <c r="O21" s="76">
        <f t="shared" si="7"/>
        <v>4502.2609411556587</v>
      </c>
      <c r="P21" s="76">
        <f t="shared" si="7"/>
        <v>4644.1604680453229</v>
      </c>
      <c r="Q21" s="77">
        <f t="shared" si="7"/>
        <v>4790.5902486878767</v>
      </c>
      <c r="U21" s="162"/>
      <c r="V21" s="160"/>
    </row>
    <row r="22" spans="2:22" s="34" customFormat="1" ht="31.5" thickBot="1" x14ac:dyDescent="0.4">
      <c r="B22" s="85" t="s">
        <v>85</v>
      </c>
      <c r="C22" s="83">
        <f t="shared" ref="C22:Q22" si="8">C17-C21</f>
        <v>2735.6604765572256</v>
      </c>
      <c r="D22" s="83">
        <f t="shared" si="8"/>
        <v>2696.6432320304125</v>
      </c>
      <c r="E22" s="83">
        <f t="shared" si="8"/>
        <v>2655.116587814854</v>
      </c>
      <c r="F22" s="83">
        <f t="shared" si="8"/>
        <v>2610.9867526257708</v>
      </c>
      <c r="G22" s="83">
        <f t="shared" si="8"/>
        <v>2564.1567315280736</v>
      </c>
      <c r="H22" s="83">
        <f t="shared" si="8"/>
        <v>2514.5262177349859</v>
      </c>
      <c r="I22" s="83">
        <f t="shared" si="8"/>
        <v>2461.9914807119958</v>
      </c>
      <c r="J22" s="83">
        <f t="shared" si="8"/>
        <v>2406.4452504576939</v>
      </c>
      <c r="K22" s="83">
        <f t="shared" si="8"/>
        <v>2347.7765978285324</v>
      </c>
      <c r="L22" s="83">
        <f t="shared" si="8"/>
        <v>2285.8708107697748</v>
      </c>
      <c r="M22" s="83">
        <f t="shared" si="8"/>
        <v>2220.6092663100544</v>
      </c>
      <c r="N22" s="83">
        <f t="shared" si="8"/>
        <v>2151.8692981718796</v>
      </c>
      <c r="O22" s="83">
        <f t="shared" si="8"/>
        <v>2079.5240598451765</v>
      </c>
      <c r="P22" s="83">
        <f t="shared" si="8"/>
        <v>2003.4423829655207</v>
      </c>
      <c r="Q22" s="84">
        <f t="shared" si="8"/>
        <v>1923.4886308330761</v>
      </c>
      <c r="U22" s="163" t="s">
        <v>68</v>
      </c>
      <c r="V22" s="161">
        <f>V20*V5</f>
        <v>2600.6151855241101</v>
      </c>
    </row>
    <row r="23" spans="2:22" s="34" customFormat="1" ht="15.5" x14ac:dyDescent="0.35">
      <c r="B23" s="45" t="s">
        <v>27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  <c r="U23"/>
      <c r="V23"/>
    </row>
    <row r="24" spans="2:22" s="34" customFormat="1" ht="15.5" x14ac:dyDescent="0.35">
      <c r="B24" s="35" t="s">
        <v>28</v>
      </c>
      <c r="C24" s="74">
        <f>$C$5*(('Balance Sheet (Case Exhibit 6)'!F12+'Balance Sheet (Case Exhibit 6)'!G12)/2)</f>
        <v>1131.5999999999999</v>
      </c>
      <c r="D24" s="74">
        <f>$C$5*(('Balance Sheet (Case Exhibit 6)'!G12+'Balance Sheet (Case Exhibit 6)'!H12)/2)</f>
        <v>1033.2</v>
      </c>
      <c r="E24" s="74">
        <f>$C$5*(('Balance Sheet (Case Exhibit 6)'!H12+'Balance Sheet (Case Exhibit 6)'!I12)/2)</f>
        <v>903</v>
      </c>
      <c r="F24" s="74">
        <f>$C$5*(('Balance Sheet (Case Exhibit 6)'!I12+'Balance Sheet (Case Exhibit 6)'!J12)/2)</f>
        <v>774</v>
      </c>
      <c r="G24" s="74">
        <f>$C$5*(('Balance Sheet (Case Exhibit 6)'!J12+'Balance Sheet (Case Exhibit 6)'!K12)/2)</f>
        <v>645</v>
      </c>
      <c r="H24" s="74">
        <f>$C$5*(('Balance Sheet (Case Exhibit 6)'!K12+'Balance Sheet (Case Exhibit 6)'!L12)/2)</f>
        <v>516</v>
      </c>
      <c r="I24" s="74">
        <f>$C$5*(('Balance Sheet (Case Exhibit 6)'!L12+'Balance Sheet (Case Exhibit 6)'!M12)/2)</f>
        <v>387</v>
      </c>
      <c r="J24" s="74">
        <f>$C$5*(('Balance Sheet (Case Exhibit 6)'!M12+'Balance Sheet (Case Exhibit 6)'!N12)/2)</f>
        <v>258</v>
      </c>
      <c r="K24" s="74">
        <f>$C$5*(('Balance Sheet (Case Exhibit 6)'!N12+'Balance Sheet (Case Exhibit 6)'!O12)/2)</f>
        <v>129</v>
      </c>
      <c r="L24" s="74">
        <f>$C$5*(('Balance Sheet (Case Exhibit 6)'!O12+'Balance Sheet (Case Exhibit 6)'!P12)/2)</f>
        <v>32.4</v>
      </c>
      <c r="M24" s="76">
        <f>$C$5*(('Balance Sheet (Case Exhibit 6)'!P12+'Balance Sheet (Case Exhibit 6)'!Q12)/2)</f>
        <v>0</v>
      </c>
      <c r="N24" s="76">
        <f>$C$5*(('Balance Sheet (Case Exhibit 6)'!Q12+'Balance Sheet (Case Exhibit 6)'!R12)/2)</f>
        <v>0</v>
      </c>
      <c r="O24" s="76">
        <f>$C$5*(('Balance Sheet (Case Exhibit 6)'!R12+'Balance Sheet (Case Exhibit 6)'!S12)/2)</f>
        <v>0</v>
      </c>
      <c r="P24" s="76">
        <f>$C$5*(('Balance Sheet (Case Exhibit 6)'!S12+'Balance Sheet (Case Exhibit 6)'!T12)/2)</f>
        <v>0</v>
      </c>
      <c r="Q24" s="77">
        <f>$C$5*(('Balance Sheet (Case Exhibit 6)'!T12+'Balance Sheet (Case Exhibit 6)'!U12)/2)</f>
        <v>0</v>
      </c>
      <c r="U24"/>
      <c r="V24"/>
    </row>
    <row r="25" spans="2:22" s="34" customFormat="1" ht="15.5" x14ac:dyDescent="0.35">
      <c r="B25" s="35" t="s">
        <v>29</v>
      </c>
      <c r="C25" s="136">
        <f>$C$5*(('Balance Sheet (Case Exhibit 6)'!G13))</f>
        <v>111.6</v>
      </c>
      <c r="D25" s="136">
        <f>$C$5*(('Balance Sheet (Case Exhibit 6)'!G13+'Balance Sheet (Case Exhibit 6)'!H13)/2)</f>
        <v>112.2</v>
      </c>
      <c r="E25" s="136">
        <f>$C$5*(('Balance Sheet (Case Exhibit 6)'!H13+'Balance Sheet (Case Exhibit 6)'!I13)/2)</f>
        <v>114</v>
      </c>
      <c r="F25" s="136">
        <f>$C$5*(('Balance Sheet (Case Exhibit 6)'!I13+'Balance Sheet (Case Exhibit 6)'!J13)/2)</f>
        <v>116.39999999999999</v>
      </c>
      <c r="G25" s="136">
        <f>$C$5*(('Balance Sheet (Case Exhibit 6)'!J13+'Balance Sheet (Case Exhibit 6)'!K13)/2)</f>
        <v>118.19999999999999</v>
      </c>
      <c r="H25" s="136">
        <f>$C$5*(('Balance Sheet (Case Exhibit 6)'!K13+'Balance Sheet (Case Exhibit 6)'!L13)/2)</f>
        <v>120</v>
      </c>
      <c r="I25" s="136">
        <f>$C$5*(('Balance Sheet (Case Exhibit 6)'!L13+'Balance Sheet (Case Exhibit 6)'!M13)/2)</f>
        <v>122.39999999999999</v>
      </c>
      <c r="J25" s="136">
        <f>$C$5*(('Balance Sheet (Case Exhibit 6)'!M13+'Balance Sheet (Case Exhibit 6)'!N13)/2)</f>
        <v>124.8</v>
      </c>
      <c r="K25" s="136">
        <f>$C$5*(('Balance Sheet (Case Exhibit 6)'!N13+'Balance Sheet (Case Exhibit 6)'!O13)/2)</f>
        <v>127.19999999999999</v>
      </c>
      <c r="L25" s="136">
        <f>$C$5*(('Balance Sheet (Case Exhibit 6)'!O13+'Balance Sheet (Case Exhibit 6)'!P13)/2)</f>
        <v>129.6</v>
      </c>
      <c r="M25" s="136">
        <f>$C$5*(('Balance Sheet (Case Exhibit 6)'!P13+'Balance Sheet (Case Exhibit 6)'!Q13)/2)</f>
        <v>132</v>
      </c>
      <c r="N25" s="136">
        <f>$C$5*(('Balance Sheet (Case Exhibit 6)'!Q13+'Balance Sheet (Case Exhibit 6)'!R13)/2)</f>
        <v>134.4</v>
      </c>
      <c r="O25" s="136">
        <f>$C$5*(('Balance Sheet (Case Exhibit 6)'!R13+'Balance Sheet (Case Exhibit 6)'!S13)/2)</f>
        <v>137.4</v>
      </c>
      <c r="P25" s="136">
        <f>$C$5*(('Balance Sheet (Case Exhibit 6)'!S13+'Balance Sheet (Case Exhibit 6)'!T13)/2)</f>
        <v>140.4</v>
      </c>
      <c r="Q25" s="137">
        <f>$C$5*(('Balance Sheet (Case Exhibit 6)'!T13+'Balance Sheet (Case Exhibit 6)'!U13)/2)</f>
        <v>142.79999999999998</v>
      </c>
      <c r="U25"/>
      <c r="V25"/>
    </row>
    <row r="26" spans="2:22" s="34" customFormat="1" ht="15.5" x14ac:dyDescent="0.35">
      <c r="B26" s="35" t="s">
        <v>30</v>
      </c>
      <c r="C26" s="38">
        <v>680</v>
      </c>
      <c r="D26" s="38">
        <v>680</v>
      </c>
      <c r="E26" s="38">
        <v>680</v>
      </c>
      <c r="F26" s="38">
        <v>680</v>
      </c>
      <c r="G26" s="38">
        <v>680</v>
      </c>
      <c r="H26" s="38">
        <v>680</v>
      </c>
      <c r="I26" s="38">
        <v>680</v>
      </c>
      <c r="J26" s="38">
        <v>680</v>
      </c>
      <c r="K26" s="38">
        <v>680</v>
      </c>
      <c r="L26" s="38">
        <v>680</v>
      </c>
      <c r="M26" s="38">
        <v>680</v>
      </c>
      <c r="N26" s="38">
        <v>680</v>
      </c>
      <c r="O26" s="38">
        <v>680</v>
      </c>
      <c r="P26" s="38">
        <v>680</v>
      </c>
      <c r="Q26" s="39">
        <v>680</v>
      </c>
      <c r="U26"/>
      <c r="V26"/>
    </row>
    <row r="27" spans="2:22" s="34" customFormat="1" ht="15.5" x14ac:dyDescent="0.35">
      <c r="B27" s="52" t="s">
        <v>86</v>
      </c>
      <c r="C27" s="136">
        <f t="shared" ref="C27:Q27" si="9">C22-C24-C25-C26</f>
        <v>812.46047655722577</v>
      </c>
      <c r="D27" s="83">
        <f t="shared" si="9"/>
        <v>871.2432320304124</v>
      </c>
      <c r="E27" s="83">
        <f t="shared" si="9"/>
        <v>958.11658781485403</v>
      </c>
      <c r="F27" s="83">
        <f t="shared" si="9"/>
        <v>1040.5867526257707</v>
      </c>
      <c r="G27" s="83">
        <f t="shared" si="9"/>
        <v>1120.9567315280735</v>
      </c>
      <c r="H27" s="83">
        <f t="shared" si="9"/>
        <v>1198.5262177349859</v>
      </c>
      <c r="I27" s="83">
        <f t="shared" si="9"/>
        <v>1272.5914807119957</v>
      </c>
      <c r="J27" s="83">
        <f t="shared" si="9"/>
        <v>1343.6452504576939</v>
      </c>
      <c r="K27" s="83">
        <f t="shared" si="9"/>
        <v>1411.5765978285326</v>
      </c>
      <c r="L27" s="83">
        <f t="shared" si="9"/>
        <v>1443.8708107697748</v>
      </c>
      <c r="M27" s="83">
        <f t="shared" si="9"/>
        <v>1408.6092663100544</v>
      </c>
      <c r="N27" s="83">
        <f t="shared" si="9"/>
        <v>1337.4692981718795</v>
      </c>
      <c r="O27" s="83">
        <f t="shared" si="9"/>
        <v>1262.1240598451764</v>
      </c>
      <c r="P27" s="83">
        <f t="shared" si="9"/>
        <v>1183.0423829655206</v>
      </c>
      <c r="Q27" s="84">
        <f t="shared" si="9"/>
        <v>1100.6886308330761</v>
      </c>
      <c r="U27"/>
      <c r="V27"/>
    </row>
    <row r="28" spans="2:22" s="34" customFormat="1" ht="15.5" x14ac:dyDescent="0.35">
      <c r="B28" s="45" t="s">
        <v>32</v>
      </c>
      <c r="C28" s="4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  <c r="U28"/>
      <c r="V28"/>
    </row>
    <row r="29" spans="2:22" s="34" customFormat="1" ht="15.5" x14ac:dyDescent="0.35">
      <c r="B29" s="35" t="s">
        <v>33</v>
      </c>
      <c r="C29" s="38">
        <v>200</v>
      </c>
      <c r="D29" s="38">
        <v>210</v>
      </c>
      <c r="E29" s="38">
        <v>220</v>
      </c>
      <c r="F29" s="38">
        <v>240</v>
      </c>
      <c r="G29" s="38">
        <v>250</v>
      </c>
      <c r="H29" s="38">
        <v>260</v>
      </c>
      <c r="I29" s="38">
        <v>270</v>
      </c>
      <c r="J29" s="38">
        <v>280</v>
      </c>
      <c r="K29" s="38">
        <v>290</v>
      </c>
      <c r="L29" s="38">
        <v>300</v>
      </c>
      <c r="M29" s="38">
        <v>290</v>
      </c>
      <c r="N29" s="38">
        <v>280</v>
      </c>
      <c r="O29" s="38">
        <v>260</v>
      </c>
      <c r="P29" s="38">
        <v>250</v>
      </c>
      <c r="Q29" s="39">
        <v>230</v>
      </c>
      <c r="U29"/>
      <c r="V29"/>
    </row>
    <row r="30" spans="2:22" s="34" customFormat="1" ht="15.5" x14ac:dyDescent="0.35">
      <c r="B30" s="35" t="s">
        <v>34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-10</v>
      </c>
      <c r="K30" s="38">
        <v>-40</v>
      </c>
      <c r="L30" s="38">
        <v>-70</v>
      </c>
      <c r="M30" s="38">
        <v>-90</v>
      </c>
      <c r="N30" s="38">
        <v>-110</v>
      </c>
      <c r="O30" s="38">
        <v>-130</v>
      </c>
      <c r="P30" s="38">
        <v>-140</v>
      </c>
      <c r="Q30" s="39">
        <v>-150</v>
      </c>
      <c r="U30"/>
      <c r="V30"/>
    </row>
    <row r="31" spans="2:22" s="34" customFormat="1" ht="15.5" x14ac:dyDescent="0.35">
      <c r="B31" s="86" t="s">
        <v>87</v>
      </c>
      <c r="C31" s="136">
        <f t="shared" ref="C31:Q31" si="10">C27-C29-C30</f>
        <v>612.46047655722577</v>
      </c>
      <c r="D31" s="83">
        <f t="shared" si="10"/>
        <v>661.2432320304124</v>
      </c>
      <c r="E31" s="83">
        <f t="shared" si="10"/>
        <v>738.11658781485403</v>
      </c>
      <c r="F31" s="83">
        <f t="shared" si="10"/>
        <v>800.58675262577071</v>
      </c>
      <c r="G31" s="83">
        <f t="shared" si="10"/>
        <v>870.95673152807353</v>
      </c>
      <c r="H31" s="83">
        <f t="shared" si="10"/>
        <v>938.52621773498595</v>
      </c>
      <c r="I31" s="83">
        <f t="shared" si="10"/>
        <v>1002.5914807119957</v>
      </c>
      <c r="J31" s="83">
        <f t="shared" si="10"/>
        <v>1073.6452504576939</v>
      </c>
      <c r="K31" s="83">
        <f t="shared" si="10"/>
        <v>1161.5765978285326</v>
      </c>
      <c r="L31" s="83">
        <f t="shared" si="10"/>
        <v>1213.8708107697748</v>
      </c>
      <c r="M31" s="83">
        <f t="shared" si="10"/>
        <v>1208.6092663100544</v>
      </c>
      <c r="N31" s="83">
        <f t="shared" si="10"/>
        <v>1167.4692981718795</v>
      </c>
      <c r="O31" s="83">
        <f t="shared" si="10"/>
        <v>1132.1240598451764</v>
      </c>
      <c r="P31" s="83">
        <f t="shared" si="10"/>
        <v>1073.0423829655206</v>
      </c>
      <c r="Q31" s="84">
        <f t="shared" si="10"/>
        <v>1020.6886308330761</v>
      </c>
      <c r="U31"/>
      <c r="V31"/>
    </row>
    <row r="32" spans="2:22" s="34" customFormat="1" ht="15.5" x14ac:dyDescent="0.35">
      <c r="B32" s="86" t="s">
        <v>88</v>
      </c>
      <c r="C32" s="138">
        <f t="shared" ref="C32:Q32" si="11">C31+C26+C30</f>
        <v>1292.4604765572258</v>
      </c>
      <c r="D32" s="87">
        <f t="shared" si="11"/>
        <v>1341.2432320304124</v>
      </c>
      <c r="E32" s="87">
        <f t="shared" si="11"/>
        <v>1418.116587814854</v>
      </c>
      <c r="F32" s="87">
        <f t="shared" si="11"/>
        <v>1480.5867526257707</v>
      </c>
      <c r="G32" s="87">
        <f t="shared" si="11"/>
        <v>1550.9567315280735</v>
      </c>
      <c r="H32" s="87">
        <f t="shared" si="11"/>
        <v>1618.5262177349859</v>
      </c>
      <c r="I32" s="87">
        <f t="shared" si="11"/>
        <v>1682.5914807119957</v>
      </c>
      <c r="J32" s="87">
        <f t="shared" si="11"/>
        <v>1743.6452504576939</v>
      </c>
      <c r="K32" s="87">
        <f t="shared" si="11"/>
        <v>1801.5765978285326</v>
      </c>
      <c r="L32" s="87">
        <f t="shared" si="11"/>
        <v>1823.8708107697748</v>
      </c>
      <c r="M32" s="87">
        <f t="shared" si="11"/>
        <v>1798.6092663100544</v>
      </c>
      <c r="N32" s="87">
        <f t="shared" si="11"/>
        <v>1737.4692981718795</v>
      </c>
      <c r="O32" s="87">
        <f t="shared" si="11"/>
        <v>1682.1240598451764</v>
      </c>
      <c r="P32" s="87">
        <f t="shared" si="11"/>
        <v>1613.0423829655206</v>
      </c>
      <c r="Q32" s="88">
        <f t="shared" si="11"/>
        <v>1550.6886308330761</v>
      </c>
      <c r="U32"/>
      <c r="V32"/>
    </row>
    <row r="33" spans="2:22" s="34" customFormat="1" ht="15.5" x14ac:dyDescent="0.35">
      <c r="B33" s="86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U33"/>
      <c r="V33"/>
    </row>
    <row r="34" spans="2:22" s="34" customFormat="1" ht="15.5" x14ac:dyDescent="0.35">
      <c r="B34" s="86" t="s">
        <v>89</v>
      </c>
      <c r="C34" s="90">
        <f>-('Balance Sheet (Case Exhibit 6)'!G12-'Balance Sheet (Case Exhibit 6)'!F12)</f>
        <v>540</v>
      </c>
      <c r="D34" s="90">
        <f>-('Balance Sheet (Case Exhibit 6)'!H12-'Balance Sheet (Case Exhibit 6)'!G12)</f>
        <v>1100</v>
      </c>
      <c r="E34" s="90">
        <f>-('Balance Sheet (Case Exhibit 6)'!I12-'Balance Sheet (Case Exhibit 6)'!H12)</f>
        <v>1070</v>
      </c>
      <c r="F34" s="90">
        <f>-('Balance Sheet (Case Exhibit 6)'!J12-'Balance Sheet (Case Exhibit 6)'!I12)</f>
        <v>1080</v>
      </c>
      <c r="G34" s="90">
        <f>-('Balance Sheet (Case Exhibit 6)'!K12-'Balance Sheet (Case Exhibit 6)'!J12)</f>
        <v>1070</v>
      </c>
      <c r="H34" s="90">
        <f>-('Balance Sheet (Case Exhibit 6)'!L12-'Balance Sheet (Case Exhibit 6)'!K12)</f>
        <v>1080</v>
      </c>
      <c r="I34" s="90">
        <f>-('Balance Sheet (Case Exhibit 6)'!M12-'Balance Sheet (Case Exhibit 6)'!L12)</f>
        <v>1070</v>
      </c>
      <c r="J34" s="90">
        <f>-('Balance Sheet (Case Exhibit 6)'!N12-'Balance Sheet (Case Exhibit 6)'!M12)</f>
        <v>1080</v>
      </c>
      <c r="K34" s="90">
        <f>-('Balance Sheet (Case Exhibit 6)'!O12-'Balance Sheet (Case Exhibit 6)'!N12)</f>
        <v>1070</v>
      </c>
      <c r="L34" s="90">
        <f>-('Balance Sheet (Case Exhibit 6)'!P12-'Balance Sheet (Case Exhibit 6)'!O12)</f>
        <v>540</v>
      </c>
      <c r="M34" s="89"/>
      <c r="N34" s="89"/>
      <c r="O34" s="89"/>
      <c r="P34" s="89"/>
      <c r="Q34" s="91"/>
      <c r="U34"/>
      <c r="V34"/>
    </row>
    <row r="35" spans="2:22" s="34" customFormat="1" ht="15.5" x14ac:dyDescent="0.35">
      <c r="B35" s="86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89"/>
      <c r="N35" s="89"/>
      <c r="O35" s="89"/>
      <c r="P35" s="89"/>
      <c r="Q35" s="91"/>
      <c r="U35"/>
      <c r="V35"/>
    </row>
    <row r="36" spans="2:22" s="34" customFormat="1" ht="15.5" x14ac:dyDescent="0.35">
      <c r="B36" s="86" t="s">
        <v>43</v>
      </c>
      <c r="C36" s="92">
        <f>(C31+C24+C26)/(C24+C34)</f>
        <v>1.4501438601084147</v>
      </c>
      <c r="D36" s="92">
        <f t="shared" ref="D36:L36" si="12">(D31+D24+D26)/(D24+D34)</f>
        <v>1.1130898331288264</v>
      </c>
      <c r="E36" s="92">
        <f t="shared" si="12"/>
        <v>1.1764402371083902</v>
      </c>
      <c r="F36" s="92">
        <f t="shared" si="12"/>
        <v>1.216066209614763</v>
      </c>
      <c r="G36" s="92">
        <f t="shared" si="12"/>
        <v>1.2804412428735124</v>
      </c>
      <c r="H36" s="92">
        <f t="shared" si="12"/>
        <v>1.3374224421898409</v>
      </c>
      <c r="I36" s="92">
        <f t="shared" si="12"/>
        <v>1.4204471384433739</v>
      </c>
      <c r="J36" s="92">
        <f t="shared" si="12"/>
        <v>1.5034717865902048</v>
      </c>
      <c r="K36" s="92">
        <f t="shared" si="12"/>
        <v>1.6435167621589095</v>
      </c>
      <c r="L36" s="92">
        <f t="shared" si="12"/>
        <v>3.3652529887662035</v>
      </c>
      <c r="M36" s="93"/>
      <c r="N36" s="93"/>
      <c r="O36" s="93"/>
      <c r="P36" s="93"/>
      <c r="Q36" s="94"/>
      <c r="U36"/>
      <c r="V36"/>
    </row>
    <row r="37" spans="2:22" s="34" customFormat="1" ht="16" thickBot="1" x14ac:dyDescent="0.4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  <c r="U37"/>
      <c r="V37"/>
    </row>
    <row r="38" spans="2:22" s="34" customFormat="1" x14ac:dyDescent="0.35">
      <c r="U38"/>
      <c r="V38"/>
    </row>
    <row r="39" spans="2:22" s="34" customFormat="1" ht="15" thickBot="1" x14ac:dyDescent="0.4">
      <c r="U39"/>
      <c r="V39"/>
    </row>
    <row r="40" spans="2:22" s="34" customFormat="1" ht="16" thickBot="1" x14ac:dyDescent="0.4">
      <c r="B40" s="498" t="s">
        <v>44</v>
      </c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500"/>
      <c r="U40"/>
      <c r="V40"/>
    </row>
    <row r="41" spans="2:22" s="34" customFormat="1" ht="16" thickBot="1" x14ac:dyDescent="0.4">
      <c r="B41" s="95" t="s">
        <v>109</v>
      </c>
      <c r="C41" s="96">
        <v>2010</v>
      </c>
      <c r="D41" s="97">
        <v>2011</v>
      </c>
      <c r="E41" s="97">
        <v>2012</v>
      </c>
      <c r="F41" s="97">
        <v>2013</v>
      </c>
      <c r="G41" s="97">
        <v>2014</v>
      </c>
      <c r="H41" s="97">
        <v>2015</v>
      </c>
      <c r="I41" s="97">
        <v>2016</v>
      </c>
      <c r="J41" s="97">
        <v>2017</v>
      </c>
      <c r="K41" s="97">
        <v>2018</v>
      </c>
      <c r="L41" s="97">
        <v>2019</v>
      </c>
      <c r="M41" s="97">
        <v>2020</v>
      </c>
      <c r="N41" s="97">
        <v>2021</v>
      </c>
      <c r="O41" s="97">
        <v>2022</v>
      </c>
      <c r="P41" s="97">
        <v>2023</v>
      </c>
      <c r="Q41" s="97">
        <v>2024</v>
      </c>
      <c r="R41" s="97">
        <v>2025</v>
      </c>
      <c r="S41" s="97">
        <v>2026</v>
      </c>
      <c r="T41" s="98">
        <v>2027</v>
      </c>
      <c r="U41"/>
      <c r="V41"/>
    </row>
    <row r="42" spans="2:22" s="34" customFormat="1" ht="15.5" x14ac:dyDescent="0.35">
      <c r="B42" s="99" t="s">
        <v>46</v>
      </c>
      <c r="C42" s="100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2"/>
      <c r="U42"/>
      <c r="V42"/>
    </row>
    <row r="43" spans="2:22" s="34" customFormat="1" ht="15.5" x14ac:dyDescent="0.35">
      <c r="B43" s="103" t="s">
        <v>47</v>
      </c>
      <c r="C43" s="104">
        <v>0</v>
      </c>
      <c r="D43" s="105">
        <v>0</v>
      </c>
      <c r="E43" s="105">
        <v>0</v>
      </c>
      <c r="F43" s="105">
        <f>'PLF @ 75%'!C31+'PLF @ 75%'!C24+'PLF @ 75%'!C25+'PLF @ 75%'!C26</f>
        <v>2535.6604765572256</v>
      </c>
      <c r="G43" s="105">
        <f>'PLF @ 75%'!D31+'PLF @ 75%'!D24+'PLF @ 75%'!D25+'PLF @ 75%'!D26</f>
        <v>2486.6432320304125</v>
      </c>
      <c r="H43" s="105">
        <f>'PLF @ 75%'!E31+'PLF @ 75%'!E24+'PLF @ 75%'!E25+'PLF @ 75%'!E26</f>
        <v>2435.116587814854</v>
      </c>
      <c r="I43" s="105">
        <f>'PLF @ 75%'!F31+'PLF @ 75%'!F24+'PLF @ 75%'!F25+'PLF @ 75%'!F26</f>
        <v>2370.9867526257708</v>
      </c>
      <c r="J43" s="105">
        <f>'PLF @ 75%'!G31+'PLF @ 75%'!G24+'PLF @ 75%'!G25+'PLF @ 75%'!G26</f>
        <v>2314.1567315280736</v>
      </c>
      <c r="K43" s="105">
        <f>'PLF @ 75%'!H31+'PLF @ 75%'!H24+'PLF @ 75%'!H25+'PLF @ 75%'!H26</f>
        <v>2254.5262177349859</v>
      </c>
      <c r="L43" s="105">
        <f>'PLF @ 75%'!I31+'PLF @ 75%'!I24+'PLF @ 75%'!I25+'PLF @ 75%'!I26</f>
        <v>2191.9914807119958</v>
      </c>
      <c r="M43" s="105">
        <f>'PLF @ 75%'!J31+'PLF @ 75%'!J24+'PLF @ 75%'!J25+'PLF @ 75%'!J26</f>
        <v>2136.4452504576939</v>
      </c>
      <c r="N43" s="105">
        <f>'PLF @ 75%'!K31+'PLF @ 75%'!K24+'PLF @ 75%'!K25+'PLF @ 75%'!K26</f>
        <v>2097.7765978285324</v>
      </c>
      <c r="O43" s="105">
        <f>'PLF @ 75%'!L31+'PLF @ 75%'!L24+'PLF @ 75%'!L25+'PLF @ 75%'!L26</f>
        <v>2055.8708107697748</v>
      </c>
      <c r="P43" s="105">
        <f>'PLF @ 75%'!M31+'PLF @ 75%'!M24+'PLF @ 75%'!M25+'PLF @ 75%'!M26</f>
        <v>2020.6092663100544</v>
      </c>
      <c r="Q43" s="105">
        <f>'PLF @ 75%'!N31+'PLF @ 75%'!N24+'PLF @ 75%'!N25+'PLF @ 75%'!N26</f>
        <v>1981.8692981718796</v>
      </c>
      <c r="R43" s="105">
        <f>'PLF @ 75%'!O31+'PLF @ 75%'!O24+'PLF @ 75%'!O25+'PLF @ 75%'!O26</f>
        <v>1949.5240598451765</v>
      </c>
      <c r="S43" s="105">
        <f>'PLF @ 75%'!P31+'PLF @ 75%'!P24+'PLF @ 75%'!P25+'PLF @ 75%'!P26</f>
        <v>1893.4423829655207</v>
      </c>
      <c r="T43" s="106">
        <f>'PLF @ 75%'!Q31+'PLF @ 75%'!Q24+'PLF @ 75%'!Q25+'PLF @ 75%'!Q26</f>
        <v>1843.4886308330761</v>
      </c>
      <c r="U43"/>
      <c r="V43"/>
    </row>
    <row r="44" spans="2:22" s="34" customFormat="1" ht="16" thickBot="1" x14ac:dyDescent="0.4">
      <c r="B44" s="107" t="s">
        <v>48</v>
      </c>
      <c r="C44" s="108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6">
        <f>0.05*'Balance Sheet (Case Exhibit 6)'!U24</f>
        <v>1238.5</v>
      </c>
      <c r="U44"/>
      <c r="V44"/>
    </row>
    <row r="45" spans="2:22" s="34" customFormat="1" ht="16" thickBot="1" x14ac:dyDescent="0.4">
      <c r="B45" s="95" t="s">
        <v>90</v>
      </c>
      <c r="C45" s="110">
        <f t="shared" ref="C45:T45" si="13">SUM(C43:C44)</f>
        <v>0</v>
      </c>
      <c r="D45" s="111">
        <f t="shared" si="13"/>
        <v>0</v>
      </c>
      <c r="E45" s="111">
        <f t="shared" si="13"/>
        <v>0</v>
      </c>
      <c r="F45" s="111">
        <f t="shared" si="13"/>
        <v>2535.6604765572256</v>
      </c>
      <c r="G45" s="111">
        <f t="shared" si="13"/>
        <v>2486.6432320304125</v>
      </c>
      <c r="H45" s="111">
        <f t="shared" si="13"/>
        <v>2435.116587814854</v>
      </c>
      <c r="I45" s="111">
        <f t="shared" si="13"/>
        <v>2370.9867526257708</v>
      </c>
      <c r="J45" s="111">
        <f t="shared" si="13"/>
        <v>2314.1567315280736</v>
      </c>
      <c r="K45" s="111">
        <f t="shared" si="13"/>
        <v>2254.5262177349859</v>
      </c>
      <c r="L45" s="111">
        <f t="shared" si="13"/>
        <v>2191.9914807119958</v>
      </c>
      <c r="M45" s="111">
        <f t="shared" si="13"/>
        <v>2136.4452504576939</v>
      </c>
      <c r="N45" s="111">
        <f t="shared" si="13"/>
        <v>2097.7765978285324</v>
      </c>
      <c r="O45" s="111">
        <f t="shared" si="13"/>
        <v>2055.8708107697748</v>
      </c>
      <c r="P45" s="111">
        <f t="shared" si="13"/>
        <v>2020.6092663100544</v>
      </c>
      <c r="Q45" s="111">
        <f t="shared" si="13"/>
        <v>1981.8692981718796</v>
      </c>
      <c r="R45" s="111">
        <f t="shared" si="13"/>
        <v>1949.5240598451765</v>
      </c>
      <c r="S45" s="111">
        <f t="shared" si="13"/>
        <v>1893.4423829655207</v>
      </c>
      <c r="T45" s="112">
        <f t="shared" si="13"/>
        <v>3081.9886308330761</v>
      </c>
      <c r="U45"/>
      <c r="V45"/>
    </row>
    <row r="46" spans="2:22" s="34" customFormat="1" ht="15.5" x14ac:dyDescent="0.35">
      <c r="B46" s="99" t="s">
        <v>50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2"/>
      <c r="U46"/>
      <c r="V46"/>
    </row>
    <row r="47" spans="2:22" s="34" customFormat="1" ht="15.5" x14ac:dyDescent="0.35">
      <c r="B47" s="103" t="s">
        <v>97</v>
      </c>
      <c r="C47" s="113">
        <f>'Balance Sheet (Case Exhibit 6)'!D24-'Balance Sheet (Case Exhibit 6)'!D22</f>
        <v>3460</v>
      </c>
      <c r="D47" s="114">
        <f>'Balance Sheet (Case Exhibit 6)'!E24-'Balance Sheet (Case Exhibit 6)'!E22-'Balance Sheet (Case Exhibit 6)'!D24</f>
        <v>5520</v>
      </c>
      <c r="E47" s="114">
        <f>'Balance Sheet (Case Exhibit 6)'!F24-'Balance Sheet (Case Exhibit 6)'!F22-'Balance Sheet (Case Exhibit 6)'!E24</f>
        <v>4570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/>
      <c r="V47"/>
    </row>
    <row r="48" spans="2:22" s="34" customFormat="1" ht="16" thickBot="1" x14ac:dyDescent="0.4">
      <c r="B48" s="107" t="s">
        <v>91</v>
      </c>
      <c r="C48" s="115">
        <v>0</v>
      </c>
      <c r="D48" s="116">
        <v>0</v>
      </c>
      <c r="E48" s="116">
        <v>0</v>
      </c>
      <c r="F48" s="117">
        <f>'Balance Sheet (Case Exhibit 6)'!G30</f>
        <v>310</v>
      </c>
      <c r="G48" s="117">
        <f>'Balance Sheet (Case Exhibit 6)'!H30</f>
        <v>0</v>
      </c>
      <c r="H48" s="116">
        <f>'Balance Sheet (Case Exhibit 6)'!I30</f>
        <v>10</v>
      </c>
      <c r="I48" s="116">
        <f>'Balance Sheet (Case Exhibit 6)'!J30</f>
        <v>0</v>
      </c>
      <c r="J48" s="116">
        <f>'Balance Sheet (Case Exhibit 6)'!K30</f>
        <v>10</v>
      </c>
      <c r="K48" s="116">
        <f>'Balance Sheet (Case Exhibit 6)'!L30</f>
        <v>10</v>
      </c>
      <c r="L48" s="116">
        <f>'Balance Sheet (Case Exhibit 6)'!M30</f>
        <v>0</v>
      </c>
      <c r="M48" s="116">
        <f>'Balance Sheet (Case Exhibit 6)'!N30</f>
        <v>10</v>
      </c>
      <c r="N48" s="116">
        <f>'Balance Sheet (Case Exhibit 6)'!O30</f>
        <v>10</v>
      </c>
      <c r="O48" s="116">
        <f>'Balance Sheet (Case Exhibit 6)'!P30</f>
        <v>0</v>
      </c>
      <c r="P48" s="116">
        <f>'Balance Sheet (Case Exhibit 6)'!Q30</f>
        <v>10</v>
      </c>
      <c r="Q48" s="116">
        <f>'Balance Sheet (Case Exhibit 6)'!R30</f>
        <v>10</v>
      </c>
      <c r="R48" s="116">
        <f>'Balance Sheet (Case Exhibit 6)'!S30</f>
        <v>0</v>
      </c>
      <c r="S48" s="116">
        <f>'Balance Sheet (Case Exhibit 6)'!T30</f>
        <v>10</v>
      </c>
      <c r="T48" s="118">
        <f>'Balance Sheet (Case Exhibit 6)'!U30</f>
        <v>10</v>
      </c>
      <c r="U48"/>
      <c r="V48"/>
    </row>
    <row r="49" spans="2:22" s="34" customFormat="1" ht="15.5" x14ac:dyDescent="0.35">
      <c r="B49" s="119" t="s">
        <v>53</v>
      </c>
      <c r="C49" s="120">
        <f t="shared" ref="C49:T49" si="14">C47+C48</f>
        <v>3460</v>
      </c>
      <c r="D49" s="121">
        <f t="shared" si="14"/>
        <v>5520</v>
      </c>
      <c r="E49" s="121">
        <f t="shared" si="14"/>
        <v>4570</v>
      </c>
      <c r="F49" s="121">
        <f t="shared" si="14"/>
        <v>310</v>
      </c>
      <c r="G49" s="121">
        <f t="shared" si="14"/>
        <v>0</v>
      </c>
      <c r="H49" s="121">
        <f t="shared" si="14"/>
        <v>10</v>
      </c>
      <c r="I49" s="121">
        <f t="shared" si="14"/>
        <v>0</v>
      </c>
      <c r="J49" s="121">
        <f t="shared" si="14"/>
        <v>10</v>
      </c>
      <c r="K49" s="121">
        <f t="shared" si="14"/>
        <v>10</v>
      </c>
      <c r="L49" s="121">
        <f t="shared" si="14"/>
        <v>0</v>
      </c>
      <c r="M49" s="121">
        <f t="shared" si="14"/>
        <v>10</v>
      </c>
      <c r="N49" s="121">
        <f t="shared" si="14"/>
        <v>10</v>
      </c>
      <c r="O49" s="121">
        <f t="shared" si="14"/>
        <v>0</v>
      </c>
      <c r="P49" s="121">
        <f t="shared" si="14"/>
        <v>10</v>
      </c>
      <c r="Q49" s="121">
        <f t="shared" si="14"/>
        <v>10</v>
      </c>
      <c r="R49" s="121">
        <f t="shared" si="14"/>
        <v>0</v>
      </c>
      <c r="S49" s="121">
        <f t="shared" si="14"/>
        <v>10</v>
      </c>
      <c r="T49" s="122">
        <f t="shared" si="14"/>
        <v>10</v>
      </c>
      <c r="U49"/>
      <c r="V49"/>
    </row>
    <row r="50" spans="2:22" s="34" customFormat="1" ht="16" thickBot="1" x14ac:dyDescent="0.4">
      <c r="B50" s="123" t="s">
        <v>93</v>
      </c>
      <c r="C50" s="124">
        <f t="shared" ref="C50:T50" si="15">C45-C49</f>
        <v>-3460</v>
      </c>
      <c r="D50" s="125">
        <f t="shared" si="15"/>
        <v>-5520</v>
      </c>
      <c r="E50" s="125">
        <f t="shared" si="15"/>
        <v>-4570</v>
      </c>
      <c r="F50" s="125">
        <f t="shared" si="15"/>
        <v>2225.6604765572256</v>
      </c>
      <c r="G50" s="125">
        <f t="shared" si="15"/>
        <v>2486.6432320304125</v>
      </c>
      <c r="H50" s="125">
        <f t="shared" si="15"/>
        <v>2425.116587814854</v>
      </c>
      <c r="I50" s="125">
        <f t="shared" si="15"/>
        <v>2370.9867526257708</v>
      </c>
      <c r="J50" s="125">
        <f t="shared" si="15"/>
        <v>2304.1567315280736</v>
      </c>
      <c r="K50" s="125">
        <f t="shared" si="15"/>
        <v>2244.5262177349859</v>
      </c>
      <c r="L50" s="125">
        <f t="shared" si="15"/>
        <v>2191.9914807119958</v>
      </c>
      <c r="M50" s="125">
        <f t="shared" si="15"/>
        <v>2126.4452504576939</v>
      </c>
      <c r="N50" s="125">
        <f t="shared" si="15"/>
        <v>2087.7765978285324</v>
      </c>
      <c r="O50" s="125">
        <f t="shared" si="15"/>
        <v>2055.8708107697748</v>
      </c>
      <c r="P50" s="125">
        <f t="shared" si="15"/>
        <v>2010.6092663100544</v>
      </c>
      <c r="Q50" s="125">
        <f t="shared" si="15"/>
        <v>1971.8692981718796</v>
      </c>
      <c r="R50" s="125">
        <f t="shared" si="15"/>
        <v>1949.5240598451765</v>
      </c>
      <c r="S50" s="125">
        <f t="shared" si="15"/>
        <v>1883.4423829655207</v>
      </c>
      <c r="T50" s="126">
        <f t="shared" si="15"/>
        <v>3071.9886308330761</v>
      </c>
      <c r="U50"/>
      <c r="V50"/>
    </row>
    <row r="51" spans="2:22" s="34" customFormat="1" ht="16" thickBot="1" x14ac:dyDescent="0.4">
      <c r="B51" s="127" t="s">
        <v>94</v>
      </c>
      <c r="C51" s="128">
        <f>IRR(C50:T50)</f>
        <v>0.12321818350514713</v>
      </c>
      <c r="D51" s="129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1"/>
      <c r="U51"/>
      <c r="V51"/>
    </row>
    <row r="52" spans="2:22" s="34" customFormat="1" ht="15" thickBot="1" x14ac:dyDescent="0.4">
      <c r="U52"/>
      <c r="V52"/>
    </row>
    <row r="53" spans="2:22" s="34" customFormat="1" ht="16" thickBot="1" x14ac:dyDescent="0.4">
      <c r="B53" s="501" t="s">
        <v>44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2"/>
      <c r="N53" s="502"/>
      <c r="O53" s="503"/>
      <c r="U53"/>
      <c r="V53"/>
    </row>
    <row r="54" spans="2:22" s="34" customFormat="1" ht="16" thickBot="1" x14ac:dyDescent="0.4">
      <c r="B54" s="95" t="s">
        <v>109</v>
      </c>
      <c r="C54" s="132">
        <v>2010</v>
      </c>
      <c r="D54" s="97">
        <v>2011</v>
      </c>
      <c r="E54" s="97">
        <v>2012</v>
      </c>
      <c r="F54" s="97">
        <v>2013</v>
      </c>
      <c r="G54" s="97">
        <v>2014</v>
      </c>
      <c r="H54" s="97">
        <v>2015</v>
      </c>
      <c r="I54" s="97">
        <v>2016</v>
      </c>
      <c r="J54" s="97">
        <v>2017</v>
      </c>
      <c r="K54" s="97">
        <v>2018</v>
      </c>
      <c r="L54" s="97">
        <v>2019</v>
      </c>
      <c r="M54" s="97">
        <v>2020</v>
      </c>
      <c r="N54" s="97">
        <v>2021</v>
      </c>
      <c r="O54" s="98">
        <v>2022</v>
      </c>
      <c r="U54"/>
      <c r="V54"/>
    </row>
    <row r="55" spans="2:22" s="34" customFormat="1" ht="15.5" x14ac:dyDescent="0.35">
      <c r="B55" s="99" t="s">
        <v>46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2"/>
      <c r="U55"/>
      <c r="V55"/>
    </row>
    <row r="56" spans="2:22" s="34" customFormat="1" ht="15.5" x14ac:dyDescent="0.35">
      <c r="B56" s="103" t="s">
        <v>47</v>
      </c>
      <c r="C56" s="104">
        <f>C43</f>
        <v>0</v>
      </c>
      <c r="D56" s="105">
        <f t="shared" ref="D56:O56" si="16">D43</f>
        <v>0</v>
      </c>
      <c r="E56" s="105">
        <f t="shared" si="16"/>
        <v>0</v>
      </c>
      <c r="F56" s="105">
        <f t="shared" si="16"/>
        <v>2535.6604765572256</v>
      </c>
      <c r="G56" s="105">
        <f t="shared" si="16"/>
        <v>2486.6432320304125</v>
      </c>
      <c r="H56" s="105">
        <f t="shared" si="16"/>
        <v>2435.116587814854</v>
      </c>
      <c r="I56" s="105">
        <f t="shared" si="16"/>
        <v>2370.9867526257708</v>
      </c>
      <c r="J56" s="105">
        <f t="shared" si="16"/>
        <v>2314.1567315280736</v>
      </c>
      <c r="K56" s="105">
        <f t="shared" si="16"/>
        <v>2254.5262177349859</v>
      </c>
      <c r="L56" s="105">
        <f t="shared" si="16"/>
        <v>2191.9914807119958</v>
      </c>
      <c r="M56" s="105">
        <f t="shared" si="16"/>
        <v>2136.4452504576939</v>
      </c>
      <c r="N56" s="105">
        <f t="shared" si="16"/>
        <v>2097.7765978285324</v>
      </c>
      <c r="O56" s="106">
        <f t="shared" si="16"/>
        <v>2055.8708107697748</v>
      </c>
      <c r="U56"/>
      <c r="V56"/>
    </row>
    <row r="57" spans="2:22" s="34" customFormat="1" ht="16" thickBot="1" x14ac:dyDescent="0.4">
      <c r="B57" s="107" t="s">
        <v>48</v>
      </c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33">
        <f>0.05*'Balance Sheet (Case Exhibit 6)'!P24</f>
        <v>884</v>
      </c>
      <c r="U57"/>
      <c r="V57"/>
    </row>
    <row r="58" spans="2:22" s="34" customFormat="1" ht="16" thickBot="1" x14ac:dyDescent="0.4">
      <c r="B58" s="95" t="s">
        <v>90</v>
      </c>
      <c r="C58" s="110">
        <f t="shared" ref="C58:O58" si="17">SUM(C56:C57)</f>
        <v>0</v>
      </c>
      <c r="D58" s="111">
        <f t="shared" si="17"/>
        <v>0</v>
      </c>
      <c r="E58" s="111">
        <f t="shared" si="17"/>
        <v>0</v>
      </c>
      <c r="F58" s="111">
        <f t="shared" si="17"/>
        <v>2535.6604765572256</v>
      </c>
      <c r="G58" s="111">
        <f t="shared" si="17"/>
        <v>2486.6432320304125</v>
      </c>
      <c r="H58" s="111">
        <f t="shared" si="17"/>
        <v>2435.116587814854</v>
      </c>
      <c r="I58" s="111">
        <f t="shared" si="17"/>
        <v>2370.9867526257708</v>
      </c>
      <c r="J58" s="111">
        <f t="shared" si="17"/>
        <v>2314.1567315280736</v>
      </c>
      <c r="K58" s="111">
        <f t="shared" si="17"/>
        <v>2254.5262177349859</v>
      </c>
      <c r="L58" s="111">
        <f t="shared" si="17"/>
        <v>2191.9914807119958</v>
      </c>
      <c r="M58" s="111">
        <f t="shared" si="17"/>
        <v>2136.4452504576939</v>
      </c>
      <c r="N58" s="111">
        <f t="shared" si="17"/>
        <v>2097.7765978285324</v>
      </c>
      <c r="O58" s="112">
        <f t="shared" si="17"/>
        <v>2939.8708107697748</v>
      </c>
      <c r="U58"/>
      <c r="V58"/>
    </row>
    <row r="59" spans="2:22" s="34" customFormat="1" ht="15.5" x14ac:dyDescent="0.35">
      <c r="B59" s="99" t="s">
        <v>50</v>
      </c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2"/>
      <c r="U59"/>
      <c r="V59"/>
    </row>
    <row r="60" spans="2:22" s="34" customFormat="1" ht="15.5" x14ac:dyDescent="0.35">
      <c r="B60" s="103" t="s">
        <v>101</v>
      </c>
      <c r="C60" s="113">
        <f>C47</f>
        <v>3460</v>
      </c>
      <c r="D60" s="114">
        <f t="shared" ref="D60:O60" si="18">D47</f>
        <v>5520</v>
      </c>
      <c r="E60" s="114">
        <f t="shared" si="18"/>
        <v>4570</v>
      </c>
      <c r="F60" s="8">
        <f t="shared" si="18"/>
        <v>0</v>
      </c>
      <c r="G60" s="8">
        <f t="shared" si="18"/>
        <v>0</v>
      </c>
      <c r="H60" s="8">
        <f t="shared" si="18"/>
        <v>0</v>
      </c>
      <c r="I60" s="8">
        <f t="shared" si="18"/>
        <v>0</v>
      </c>
      <c r="J60" s="8">
        <f t="shared" si="18"/>
        <v>0</v>
      </c>
      <c r="K60" s="8">
        <f t="shared" si="18"/>
        <v>0</v>
      </c>
      <c r="L60" s="8">
        <f t="shared" si="18"/>
        <v>0</v>
      </c>
      <c r="M60" s="8">
        <f t="shared" si="18"/>
        <v>0</v>
      </c>
      <c r="N60" s="8">
        <f t="shared" si="18"/>
        <v>0</v>
      </c>
      <c r="O60" s="9">
        <f t="shared" si="18"/>
        <v>0</v>
      </c>
      <c r="U60"/>
      <c r="V60"/>
    </row>
    <row r="61" spans="2:22" s="34" customFormat="1" ht="16" thickBot="1" x14ac:dyDescent="0.4">
      <c r="B61" s="107" t="s">
        <v>92</v>
      </c>
      <c r="C61" s="115">
        <f t="shared" ref="C61:O61" si="19">C48</f>
        <v>0</v>
      </c>
      <c r="D61" s="116">
        <f t="shared" si="19"/>
        <v>0</v>
      </c>
      <c r="E61" s="116">
        <f t="shared" si="19"/>
        <v>0</v>
      </c>
      <c r="F61" s="117">
        <f t="shared" si="19"/>
        <v>310</v>
      </c>
      <c r="G61" s="117">
        <f t="shared" si="19"/>
        <v>0</v>
      </c>
      <c r="H61" s="116">
        <f t="shared" si="19"/>
        <v>10</v>
      </c>
      <c r="I61" s="116">
        <f t="shared" si="19"/>
        <v>0</v>
      </c>
      <c r="J61" s="116">
        <f t="shared" si="19"/>
        <v>10</v>
      </c>
      <c r="K61" s="116">
        <f t="shared" si="19"/>
        <v>10</v>
      </c>
      <c r="L61" s="116">
        <f t="shared" si="19"/>
        <v>0</v>
      </c>
      <c r="M61" s="116">
        <f t="shared" si="19"/>
        <v>10</v>
      </c>
      <c r="N61" s="116">
        <f t="shared" si="19"/>
        <v>10</v>
      </c>
      <c r="O61" s="118">
        <f t="shared" si="19"/>
        <v>0</v>
      </c>
      <c r="U61"/>
      <c r="V61"/>
    </row>
    <row r="62" spans="2:22" s="34" customFormat="1" ht="15.5" x14ac:dyDescent="0.35">
      <c r="B62" s="119" t="s">
        <v>53</v>
      </c>
      <c r="C62" s="120">
        <f t="shared" ref="C62:O62" si="20">C60+C61</f>
        <v>3460</v>
      </c>
      <c r="D62" s="121">
        <f t="shared" si="20"/>
        <v>5520</v>
      </c>
      <c r="E62" s="121">
        <f t="shared" si="20"/>
        <v>4570</v>
      </c>
      <c r="F62" s="121">
        <f t="shared" si="20"/>
        <v>310</v>
      </c>
      <c r="G62" s="121">
        <f t="shared" si="20"/>
        <v>0</v>
      </c>
      <c r="H62" s="121">
        <f t="shared" si="20"/>
        <v>10</v>
      </c>
      <c r="I62" s="121">
        <f t="shared" si="20"/>
        <v>0</v>
      </c>
      <c r="J62" s="121">
        <f t="shared" si="20"/>
        <v>10</v>
      </c>
      <c r="K62" s="121">
        <f t="shared" si="20"/>
        <v>10</v>
      </c>
      <c r="L62" s="121">
        <f t="shared" si="20"/>
        <v>0</v>
      </c>
      <c r="M62" s="121">
        <f t="shared" si="20"/>
        <v>10</v>
      </c>
      <c r="N62" s="121">
        <f t="shared" si="20"/>
        <v>10</v>
      </c>
      <c r="O62" s="122">
        <f t="shared" si="20"/>
        <v>0</v>
      </c>
      <c r="U62"/>
      <c r="V62"/>
    </row>
    <row r="63" spans="2:22" s="34" customFormat="1" ht="16" thickBot="1" x14ac:dyDescent="0.4">
      <c r="B63" s="123" t="s">
        <v>93</v>
      </c>
      <c r="C63" s="124">
        <f t="shared" ref="C63:O63" si="21">C58-C62</f>
        <v>-3460</v>
      </c>
      <c r="D63" s="125">
        <f t="shared" si="21"/>
        <v>-5520</v>
      </c>
      <c r="E63" s="125">
        <f t="shared" si="21"/>
        <v>-4570</v>
      </c>
      <c r="F63" s="125">
        <f t="shared" si="21"/>
        <v>2225.6604765572256</v>
      </c>
      <c r="G63" s="125">
        <f t="shared" si="21"/>
        <v>2486.6432320304125</v>
      </c>
      <c r="H63" s="125">
        <f t="shared" si="21"/>
        <v>2425.116587814854</v>
      </c>
      <c r="I63" s="125">
        <f t="shared" si="21"/>
        <v>2370.9867526257708</v>
      </c>
      <c r="J63" s="125">
        <f t="shared" si="21"/>
        <v>2304.1567315280736</v>
      </c>
      <c r="K63" s="125">
        <f t="shared" si="21"/>
        <v>2244.5262177349859</v>
      </c>
      <c r="L63" s="125">
        <f t="shared" si="21"/>
        <v>2191.9914807119958</v>
      </c>
      <c r="M63" s="125">
        <f t="shared" si="21"/>
        <v>2126.4452504576939</v>
      </c>
      <c r="N63" s="125">
        <f t="shared" si="21"/>
        <v>2087.7765978285324</v>
      </c>
      <c r="O63" s="126">
        <f t="shared" si="21"/>
        <v>2939.8708107697748</v>
      </c>
      <c r="U63"/>
      <c r="V63"/>
    </row>
    <row r="64" spans="2:22" s="34" customFormat="1" ht="16" thickBot="1" x14ac:dyDescent="0.4">
      <c r="B64" s="127" t="s">
        <v>95</v>
      </c>
      <c r="C64" s="128">
        <f>IRR(C63:O63)</f>
        <v>9.3762060537879499E-2</v>
      </c>
      <c r="D64" s="129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1"/>
      <c r="U64"/>
      <c r="V64"/>
    </row>
    <row r="65" spans="3:22" s="34" customFormat="1" x14ac:dyDescent="0.35"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U65"/>
      <c r="V65"/>
    </row>
    <row r="66" spans="3:22" s="34" customFormat="1" x14ac:dyDescent="0.35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U66"/>
      <c r="V66"/>
    </row>
    <row r="67" spans="3:22" s="34" customFormat="1" x14ac:dyDescent="0.3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U67"/>
      <c r="V67"/>
    </row>
    <row r="68" spans="3:22" s="34" customFormat="1" x14ac:dyDescent="0.35">
      <c r="U68"/>
      <c r="V68"/>
    </row>
    <row r="69" spans="3:22" s="34" customFormat="1" x14ac:dyDescent="0.35">
      <c r="U69"/>
      <c r="V69"/>
    </row>
    <row r="70" spans="3:22" s="34" customFormat="1" x14ac:dyDescent="0.35">
      <c r="U70"/>
      <c r="V70"/>
    </row>
    <row r="71" spans="3:22" s="34" customFormat="1" x14ac:dyDescent="0.35">
      <c r="U71"/>
      <c r="V71"/>
    </row>
    <row r="72" spans="3:22" s="34" customFormat="1" x14ac:dyDescent="0.35">
      <c r="U72"/>
      <c r="V72"/>
    </row>
    <row r="73" spans="3:22" s="34" customFormat="1" x14ac:dyDescent="0.35">
      <c r="U73"/>
      <c r="V73"/>
    </row>
    <row r="74" spans="3:22" s="34" customFormat="1" x14ac:dyDescent="0.35">
      <c r="U74"/>
      <c r="V74"/>
    </row>
    <row r="75" spans="3:22" s="34" customFormat="1" x14ac:dyDescent="0.35">
      <c r="U75"/>
      <c r="V75"/>
    </row>
    <row r="76" spans="3:22" s="34" customFormat="1" x14ac:dyDescent="0.35">
      <c r="U76"/>
      <c r="V76"/>
    </row>
    <row r="77" spans="3:22" s="34" customFormat="1" x14ac:dyDescent="0.35">
      <c r="U77"/>
      <c r="V77"/>
    </row>
    <row r="78" spans="3:22" s="34" customFormat="1" x14ac:dyDescent="0.35">
      <c r="U78"/>
      <c r="V78"/>
    </row>
    <row r="79" spans="3:22" s="34" customFormat="1" x14ac:dyDescent="0.35">
      <c r="U79"/>
      <c r="V79"/>
    </row>
    <row r="80" spans="3:22" s="34" customFormat="1" x14ac:dyDescent="0.35">
      <c r="U80"/>
      <c r="V80"/>
    </row>
    <row r="81" spans="21:22" s="34" customFormat="1" x14ac:dyDescent="0.35">
      <c r="U81"/>
      <c r="V81"/>
    </row>
    <row r="82" spans="21:22" s="34" customFormat="1" x14ac:dyDescent="0.35">
      <c r="U82"/>
      <c r="V82"/>
    </row>
    <row r="83" spans="21:22" s="34" customFormat="1" x14ac:dyDescent="0.35">
      <c r="U83"/>
      <c r="V83"/>
    </row>
    <row r="84" spans="21:22" s="34" customFormat="1" x14ac:dyDescent="0.35">
      <c r="U84"/>
      <c r="V84"/>
    </row>
    <row r="85" spans="21:22" s="34" customFormat="1" x14ac:dyDescent="0.35">
      <c r="U85"/>
      <c r="V85"/>
    </row>
    <row r="86" spans="21:22" s="34" customFormat="1" x14ac:dyDescent="0.35">
      <c r="U86"/>
      <c r="V86"/>
    </row>
    <row r="87" spans="21:22" s="34" customFormat="1" x14ac:dyDescent="0.35">
      <c r="U87"/>
      <c r="V87"/>
    </row>
    <row r="88" spans="21:22" s="34" customFormat="1" x14ac:dyDescent="0.35">
      <c r="U88"/>
      <c r="V88"/>
    </row>
    <row r="89" spans="21:22" s="34" customFormat="1" x14ac:dyDescent="0.35">
      <c r="U89"/>
      <c r="V89"/>
    </row>
    <row r="90" spans="21:22" s="34" customFormat="1" x14ac:dyDescent="0.35">
      <c r="U90"/>
      <c r="V90"/>
    </row>
    <row r="91" spans="21:22" s="34" customFormat="1" x14ac:dyDescent="0.35">
      <c r="U91"/>
      <c r="V91"/>
    </row>
    <row r="92" spans="21:22" s="34" customFormat="1" x14ac:dyDescent="0.35">
      <c r="U92"/>
      <c r="V92"/>
    </row>
    <row r="93" spans="21:22" s="34" customFormat="1" x14ac:dyDescent="0.35">
      <c r="U93"/>
      <c r="V93"/>
    </row>
    <row r="94" spans="21:22" s="34" customFormat="1" x14ac:dyDescent="0.35">
      <c r="U94"/>
      <c r="V94"/>
    </row>
    <row r="95" spans="21:22" s="34" customFormat="1" x14ac:dyDescent="0.35">
      <c r="U95"/>
      <c r="V95"/>
    </row>
    <row r="96" spans="21:22" s="34" customFormat="1" x14ac:dyDescent="0.35">
      <c r="U96"/>
      <c r="V96"/>
    </row>
    <row r="97" spans="21:22" s="34" customFormat="1" x14ac:dyDescent="0.35">
      <c r="U97"/>
      <c r="V97"/>
    </row>
    <row r="98" spans="21:22" s="34" customFormat="1" x14ac:dyDescent="0.35">
      <c r="U98"/>
      <c r="V98"/>
    </row>
    <row r="99" spans="21:22" s="34" customFormat="1" x14ac:dyDescent="0.35">
      <c r="U99"/>
      <c r="V99"/>
    </row>
    <row r="100" spans="21:22" s="34" customFormat="1" x14ac:dyDescent="0.35">
      <c r="U100"/>
      <c r="V100"/>
    </row>
    <row r="101" spans="21:22" s="34" customFormat="1" x14ac:dyDescent="0.35">
      <c r="U101"/>
      <c r="V101"/>
    </row>
    <row r="102" spans="21:22" s="34" customFormat="1" x14ac:dyDescent="0.35">
      <c r="U102"/>
      <c r="V102"/>
    </row>
  </sheetData>
  <mergeCells count="4">
    <mergeCell ref="B2:C2"/>
    <mergeCell ref="B9:Q9"/>
    <mergeCell ref="B40:T40"/>
    <mergeCell ref="B53:O53"/>
  </mergeCells>
  <pageMargins left="0.75" right="0.75" top="1" bottom="1" header="0.3" footer="0.3"/>
  <pageSetup paperSize="9" orientation="portrait" horizontalDpi="1200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102"/>
  <sheetViews>
    <sheetView showGridLines="0" topLeftCell="A19" workbookViewId="0">
      <selection activeCell="L19" sqref="L19"/>
    </sheetView>
  </sheetViews>
  <sheetFormatPr baseColWidth="10" defaultColWidth="8.81640625" defaultRowHeight="14.5" x14ac:dyDescent="0.35"/>
  <cols>
    <col min="2" max="2" width="39" bestFit="1" customWidth="1"/>
    <col min="3" max="3" width="7.81640625" customWidth="1"/>
    <col min="4" max="6" width="6.6328125" customWidth="1"/>
    <col min="7" max="8" width="7.1796875" customWidth="1"/>
    <col min="9" max="11" width="6.6328125" customWidth="1"/>
    <col min="12" max="12" width="7.26953125" customWidth="1"/>
    <col min="13" max="20" width="6.6328125" customWidth="1"/>
    <col min="22" max="22" width="12.453125" bestFit="1" customWidth="1"/>
  </cols>
  <sheetData>
    <row r="1" spans="2:18" ht="15" thickBot="1" x14ac:dyDescent="0.4"/>
    <row r="2" spans="2:18" ht="15" thickBot="1" x14ac:dyDescent="0.4">
      <c r="B2" s="496" t="s">
        <v>37</v>
      </c>
      <c r="C2" s="497"/>
      <c r="E2" s="57" t="s">
        <v>38</v>
      </c>
      <c r="F2" s="58"/>
      <c r="G2" s="167">
        <f>SUM(C31:L31,C24:L24,C26:L26)/SUM(C24:L24,C34:L34)</f>
        <v>1.5628475513034181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8" x14ac:dyDescent="0.35">
      <c r="B3" s="59" t="s">
        <v>16</v>
      </c>
      <c r="C3" s="60">
        <v>0.85</v>
      </c>
      <c r="E3" s="61" t="s">
        <v>58</v>
      </c>
      <c r="F3" s="139"/>
      <c r="G3" s="168">
        <f>C51</f>
        <v>0.14113294829120804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2:18" ht="15" thickBot="1" x14ac:dyDescent="0.4">
      <c r="B4" s="62" t="s">
        <v>39</v>
      </c>
      <c r="C4" s="63">
        <v>1</v>
      </c>
      <c r="E4" s="64" t="s">
        <v>59</v>
      </c>
      <c r="F4" s="140"/>
      <c r="G4" s="143">
        <f>C64</f>
        <v>0.11465692343063538</v>
      </c>
    </row>
    <row r="5" spans="2:18" x14ac:dyDescent="0.35">
      <c r="B5" s="62" t="s">
        <v>40</v>
      </c>
      <c r="C5" s="65">
        <v>0.12</v>
      </c>
    </row>
    <row r="6" spans="2:18" ht="15" thickBot="1" x14ac:dyDescent="0.4">
      <c r="B6" s="66" t="s">
        <v>41</v>
      </c>
      <c r="C6" s="67">
        <v>1.05</v>
      </c>
    </row>
    <row r="8" spans="2:18" ht="15" thickBot="1" x14ac:dyDescent="0.4"/>
    <row r="9" spans="2:18" ht="16" thickBot="1" x14ac:dyDescent="0.4">
      <c r="B9" s="491" t="s">
        <v>106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3"/>
    </row>
    <row r="10" spans="2:18" s="68" customFormat="1" ht="16" thickBot="1" x14ac:dyDescent="0.4">
      <c r="B10" s="30" t="s">
        <v>109</v>
      </c>
      <c r="C10" s="2">
        <v>2013</v>
      </c>
      <c r="D10" s="2">
        <v>2014</v>
      </c>
      <c r="E10" s="2">
        <v>2015</v>
      </c>
      <c r="F10" s="2">
        <v>2016</v>
      </c>
      <c r="G10" s="2">
        <v>2017</v>
      </c>
      <c r="H10" s="2">
        <v>2018</v>
      </c>
      <c r="I10" s="2">
        <v>2019</v>
      </c>
      <c r="J10" s="2">
        <v>2020</v>
      </c>
      <c r="K10" s="2">
        <v>2021</v>
      </c>
      <c r="L10" s="2">
        <v>2022</v>
      </c>
      <c r="M10" s="2">
        <v>2023</v>
      </c>
      <c r="N10" s="2">
        <v>2024</v>
      </c>
      <c r="O10" s="2">
        <v>2025</v>
      </c>
      <c r="P10" s="2">
        <v>2026</v>
      </c>
      <c r="Q10" s="3">
        <v>2027</v>
      </c>
    </row>
    <row r="11" spans="2:18" s="34" customFormat="1" ht="15.5" x14ac:dyDescent="0.35">
      <c r="B11" s="31" t="s">
        <v>15</v>
      </c>
      <c r="C11" s="69">
        <v>300</v>
      </c>
      <c r="D11" s="69">
        <v>300</v>
      </c>
      <c r="E11" s="69">
        <v>300</v>
      </c>
      <c r="F11" s="69">
        <v>300</v>
      </c>
      <c r="G11" s="69">
        <v>300</v>
      </c>
      <c r="H11" s="69">
        <v>300</v>
      </c>
      <c r="I11" s="69">
        <v>300</v>
      </c>
      <c r="J11" s="69">
        <v>300</v>
      </c>
      <c r="K11" s="69">
        <v>300</v>
      </c>
      <c r="L11" s="69">
        <v>300</v>
      </c>
      <c r="M11" s="69">
        <v>300</v>
      </c>
      <c r="N11" s="69">
        <v>300</v>
      </c>
      <c r="O11" s="69">
        <v>300</v>
      </c>
      <c r="P11" s="69">
        <v>300</v>
      </c>
      <c r="Q11" s="70">
        <v>300</v>
      </c>
      <c r="R11" s="71"/>
    </row>
    <row r="12" spans="2:18" s="34" customFormat="1" ht="15.5" x14ac:dyDescent="0.35">
      <c r="B12" s="35" t="s">
        <v>16</v>
      </c>
      <c r="C12" s="72">
        <f>$C$3</f>
        <v>0.85</v>
      </c>
      <c r="D12" s="72">
        <f t="shared" ref="D12:Q12" si="0">$C$3</f>
        <v>0.85</v>
      </c>
      <c r="E12" s="72">
        <f t="shared" si="0"/>
        <v>0.85</v>
      </c>
      <c r="F12" s="72">
        <f t="shared" si="0"/>
        <v>0.85</v>
      </c>
      <c r="G12" s="72">
        <f t="shared" si="0"/>
        <v>0.85</v>
      </c>
      <c r="H12" s="72">
        <f t="shared" si="0"/>
        <v>0.85</v>
      </c>
      <c r="I12" s="72">
        <f t="shared" si="0"/>
        <v>0.85</v>
      </c>
      <c r="J12" s="72">
        <f t="shared" si="0"/>
        <v>0.85</v>
      </c>
      <c r="K12" s="72">
        <f t="shared" si="0"/>
        <v>0.85</v>
      </c>
      <c r="L12" s="72">
        <f t="shared" si="0"/>
        <v>0.85</v>
      </c>
      <c r="M12" s="72">
        <f t="shared" si="0"/>
        <v>0.85</v>
      </c>
      <c r="N12" s="72">
        <f t="shared" si="0"/>
        <v>0.85</v>
      </c>
      <c r="O12" s="72">
        <f t="shared" si="0"/>
        <v>0.85</v>
      </c>
      <c r="P12" s="72">
        <f t="shared" si="0"/>
        <v>0.85</v>
      </c>
      <c r="Q12" s="73">
        <f t="shared" si="0"/>
        <v>0.85</v>
      </c>
      <c r="R12" s="71"/>
    </row>
    <row r="13" spans="2:18" s="34" customFormat="1" ht="15.5" x14ac:dyDescent="0.35">
      <c r="B13" s="35" t="s">
        <v>80</v>
      </c>
      <c r="C13" s="74">
        <f t="shared" ref="C13:Q13" si="1">C11*1000*24*365*C12/1000000</f>
        <v>2233.8000000000002</v>
      </c>
      <c r="D13" s="74">
        <f t="shared" si="1"/>
        <v>2233.8000000000002</v>
      </c>
      <c r="E13" s="74">
        <f t="shared" si="1"/>
        <v>2233.8000000000002</v>
      </c>
      <c r="F13" s="74">
        <f t="shared" si="1"/>
        <v>2233.8000000000002</v>
      </c>
      <c r="G13" s="74">
        <f t="shared" si="1"/>
        <v>2233.8000000000002</v>
      </c>
      <c r="H13" s="74">
        <f t="shared" si="1"/>
        <v>2233.8000000000002</v>
      </c>
      <c r="I13" s="74">
        <f t="shared" si="1"/>
        <v>2233.8000000000002</v>
      </c>
      <c r="J13" s="74">
        <f t="shared" si="1"/>
        <v>2233.8000000000002</v>
      </c>
      <c r="K13" s="74">
        <f t="shared" si="1"/>
        <v>2233.8000000000002</v>
      </c>
      <c r="L13" s="74">
        <f t="shared" si="1"/>
        <v>2233.8000000000002</v>
      </c>
      <c r="M13" s="74">
        <f t="shared" si="1"/>
        <v>2233.8000000000002</v>
      </c>
      <c r="N13" s="74">
        <f t="shared" si="1"/>
        <v>2233.8000000000002</v>
      </c>
      <c r="O13" s="74">
        <f t="shared" si="1"/>
        <v>2233.8000000000002</v>
      </c>
      <c r="P13" s="74">
        <f t="shared" si="1"/>
        <v>2233.8000000000002</v>
      </c>
      <c r="Q13" s="75">
        <f t="shared" si="1"/>
        <v>2233.8000000000002</v>
      </c>
      <c r="R13" s="71"/>
    </row>
    <row r="14" spans="2:18" s="34" customFormat="1" ht="15.5" x14ac:dyDescent="0.35">
      <c r="B14" s="35" t="s">
        <v>81</v>
      </c>
      <c r="C14" s="76">
        <v>201</v>
      </c>
      <c r="D14" s="76">
        <v>201</v>
      </c>
      <c r="E14" s="76">
        <v>201</v>
      </c>
      <c r="F14" s="76">
        <v>201</v>
      </c>
      <c r="G14" s="76">
        <v>201</v>
      </c>
      <c r="H14" s="76">
        <v>201</v>
      </c>
      <c r="I14" s="76">
        <v>201</v>
      </c>
      <c r="J14" s="76">
        <v>201</v>
      </c>
      <c r="K14" s="76">
        <v>201</v>
      </c>
      <c r="L14" s="76">
        <v>201</v>
      </c>
      <c r="M14" s="76">
        <v>201</v>
      </c>
      <c r="N14" s="76">
        <v>201</v>
      </c>
      <c r="O14" s="76">
        <v>201</v>
      </c>
      <c r="P14" s="76">
        <v>201</v>
      </c>
      <c r="Q14" s="77">
        <v>201</v>
      </c>
      <c r="R14" s="71"/>
    </row>
    <row r="15" spans="2:18" s="34" customFormat="1" ht="15.5" x14ac:dyDescent="0.35">
      <c r="B15" s="78" t="s">
        <v>82</v>
      </c>
      <c r="C15" s="74">
        <f t="shared" ref="C15:Q15" si="2">C13-C14</f>
        <v>2032.8000000000002</v>
      </c>
      <c r="D15" s="74">
        <f t="shared" si="2"/>
        <v>2032.8000000000002</v>
      </c>
      <c r="E15" s="74">
        <f t="shared" si="2"/>
        <v>2032.8000000000002</v>
      </c>
      <c r="F15" s="74">
        <f t="shared" si="2"/>
        <v>2032.8000000000002</v>
      </c>
      <c r="G15" s="74">
        <f t="shared" si="2"/>
        <v>2032.8000000000002</v>
      </c>
      <c r="H15" s="74">
        <f t="shared" si="2"/>
        <v>2032.8000000000002</v>
      </c>
      <c r="I15" s="74">
        <f t="shared" si="2"/>
        <v>2032.8000000000002</v>
      </c>
      <c r="J15" s="74">
        <f t="shared" si="2"/>
        <v>2032.8000000000002</v>
      </c>
      <c r="K15" s="74">
        <f t="shared" si="2"/>
        <v>2032.8000000000002</v>
      </c>
      <c r="L15" s="74">
        <f t="shared" si="2"/>
        <v>2032.8000000000002</v>
      </c>
      <c r="M15" s="74">
        <f t="shared" si="2"/>
        <v>2032.8000000000002</v>
      </c>
      <c r="N15" s="74">
        <f t="shared" si="2"/>
        <v>2032.8000000000002</v>
      </c>
      <c r="O15" s="74">
        <f t="shared" si="2"/>
        <v>2032.8000000000002</v>
      </c>
      <c r="P15" s="74">
        <f t="shared" si="2"/>
        <v>2032.8000000000002</v>
      </c>
      <c r="Q15" s="75">
        <f t="shared" si="2"/>
        <v>2032.8000000000002</v>
      </c>
    </row>
    <row r="16" spans="2:18" s="34" customFormat="1" ht="15.5" x14ac:dyDescent="0.35">
      <c r="B16" s="35" t="s">
        <v>111</v>
      </c>
      <c r="C16" s="79">
        <v>3.3</v>
      </c>
      <c r="D16" s="79">
        <f>C16*1.01</f>
        <v>3.3329999999999997</v>
      </c>
      <c r="E16" s="79">
        <f t="shared" ref="E16:Q16" si="3">D16*1.01</f>
        <v>3.3663299999999996</v>
      </c>
      <c r="F16" s="79">
        <f t="shared" si="3"/>
        <v>3.3999932999999998</v>
      </c>
      <c r="G16" s="79">
        <f t="shared" si="3"/>
        <v>3.4339932329999998</v>
      </c>
      <c r="H16" s="79">
        <f t="shared" si="3"/>
        <v>3.4683331653299998</v>
      </c>
      <c r="I16" s="79">
        <f t="shared" si="3"/>
        <v>3.5030164969833</v>
      </c>
      <c r="J16" s="79">
        <f t="shared" si="3"/>
        <v>3.5380466619531332</v>
      </c>
      <c r="K16" s="79">
        <f t="shared" si="3"/>
        <v>3.5734271285726646</v>
      </c>
      <c r="L16" s="79">
        <f t="shared" si="3"/>
        <v>3.6091613998583911</v>
      </c>
      <c r="M16" s="79">
        <f t="shared" si="3"/>
        <v>3.645253013856975</v>
      </c>
      <c r="N16" s="79">
        <f t="shared" si="3"/>
        <v>3.6817055439955446</v>
      </c>
      <c r="O16" s="79">
        <f t="shared" si="3"/>
        <v>3.7185225994355</v>
      </c>
      <c r="P16" s="79">
        <f t="shared" si="3"/>
        <v>3.7557078254298553</v>
      </c>
      <c r="Q16" s="80">
        <f t="shared" si="3"/>
        <v>3.7932649036841539</v>
      </c>
      <c r="R16" s="81"/>
    </row>
    <row r="17" spans="2:22" s="34" customFormat="1" ht="15.5" x14ac:dyDescent="0.35">
      <c r="B17" s="82" t="s">
        <v>21</v>
      </c>
      <c r="C17" s="83">
        <f>C15*C16</f>
        <v>6708.2400000000007</v>
      </c>
      <c r="D17" s="83">
        <f t="shared" ref="D17:Q17" si="4">D15*D16</f>
        <v>6775.3224</v>
      </c>
      <c r="E17" s="83">
        <f t="shared" si="4"/>
        <v>6843.0756240000001</v>
      </c>
      <c r="F17" s="83">
        <f t="shared" si="4"/>
        <v>6911.50638024</v>
      </c>
      <c r="G17" s="83">
        <f t="shared" si="4"/>
        <v>6980.6214440424001</v>
      </c>
      <c r="H17" s="83">
        <f t="shared" si="4"/>
        <v>7050.427658482824</v>
      </c>
      <c r="I17" s="83">
        <f t="shared" si="4"/>
        <v>7120.9319350676524</v>
      </c>
      <c r="J17" s="83">
        <f t="shared" si="4"/>
        <v>7192.1412544183295</v>
      </c>
      <c r="K17" s="83">
        <f t="shared" si="4"/>
        <v>7264.0626669625135</v>
      </c>
      <c r="L17" s="83">
        <f t="shared" si="4"/>
        <v>7336.7032936321384</v>
      </c>
      <c r="M17" s="83">
        <f t="shared" si="4"/>
        <v>7410.0703265684597</v>
      </c>
      <c r="N17" s="83">
        <f t="shared" si="4"/>
        <v>7484.1710298341441</v>
      </c>
      <c r="O17" s="83">
        <f t="shared" si="4"/>
        <v>7559.0127401324853</v>
      </c>
      <c r="P17" s="83">
        <f t="shared" si="4"/>
        <v>7634.6028675338102</v>
      </c>
      <c r="Q17" s="84">
        <f t="shared" si="4"/>
        <v>7710.9488962091491</v>
      </c>
    </row>
    <row r="18" spans="2:22" s="34" customFormat="1" ht="15.5" x14ac:dyDescent="0.35">
      <c r="B18" s="45" t="s">
        <v>22</v>
      </c>
      <c r="C18" s="144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</row>
    <row r="19" spans="2:22" s="34" customFormat="1" ht="15.5" x14ac:dyDescent="0.35">
      <c r="B19" s="35" t="s">
        <v>41</v>
      </c>
      <c r="C19" s="74">
        <f>('Operating Data'!$C$23*((1.03^(C10-2012))))*$C$6</f>
        <v>3187.5740328969014</v>
      </c>
      <c r="D19" s="76">
        <f>('Operating Data'!$C$23*((1.03^(D10-2012))))*$C$6</f>
        <v>3283.201253883808</v>
      </c>
      <c r="E19" s="76">
        <f>('Operating Data'!$C$23*((1.03^(E10-2012))))*$C$6</f>
        <v>3381.6972915003225</v>
      </c>
      <c r="F19" s="76">
        <f>('Operating Data'!$C$23*((1.03^(F10-2012))))*$C$6</f>
        <v>3483.1482102453319</v>
      </c>
      <c r="G19" s="76">
        <f>('Operating Data'!$C$23*((1.03^(G10-2012))))*$C$6</f>
        <v>3587.6426565526917</v>
      </c>
      <c r="H19" s="76">
        <f>('Operating Data'!$C$23*((1.03^(H10-2012))))*$C$6</f>
        <v>3695.2719362492726</v>
      </c>
      <c r="I19" s="76">
        <f>('Operating Data'!$C$23*((1.03^(I10-2012))))*$C$6</f>
        <v>3806.1300943367514</v>
      </c>
      <c r="J19" s="76">
        <f>('Operating Data'!$C$23*((1.03^(J10-2012))))*$C$6</f>
        <v>3920.3139971668534</v>
      </c>
      <c r="K19" s="76">
        <f>('Operating Data'!$C$23*((1.03^(K10-2012))))*$C$6</f>
        <v>4037.923417081859</v>
      </c>
      <c r="L19" s="76">
        <f>('Operating Data'!$C$23*((1.03^(L10-2012))))*$C$6</f>
        <v>4159.0611195943147</v>
      </c>
      <c r="M19" s="76">
        <f>('Operating Data'!$C$23*((1.03^(M10-2012))))*$C$6</f>
        <v>4283.8329531821446</v>
      </c>
      <c r="N19" s="76">
        <f>('Operating Data'!$C$23*((1.03^(N10-2012))))*$C$6</f>
        <v>4412.3479417776089</v>
      </c>
      <c r="O19" s="76">
        <f>('Operating Data'!$C$23*((1.03^(O10-2012))))*$C$6</f>
        <v>4544.7183800309358</v>
      </c>
      <c r="P19" s="76">
        <f>('Operating Data'!$C$23*((1.03^(P10-2012))))*$C$6</f>
        <v>4681.0599314318652</v>
      </c>
      <c r="Q19" s="77">
        <f>('Operating Data'!$C$23*((1.03^(Q10-2012))))*$C$6</f>
        <v>4821.4917293748204</v>
      </c>
    </row>
    <row r="20" spans="2:22" s="34" customFormat="1" ht="15.5" x14ac:dyDescent="0.35">
      <c r="B20" s="35" t="s">
        <v>84</v>
      </c>
      <c r="C20" s="74">
        <f t="shared" ref="C20:Q20" si="5">((1.55*C11*((1.04)^(C10-2012))))*($C$3/85%)</f>
        <v>483.6</v>
      </c>
      <c r="D20" s="74">
        <f t="shared" si="5"/>
        <v>502.94400000000007</v>
      </c>
      <c r="E20" s="74">
        <f t="shared" si="5"/>
        <v>523.06176000000005</v>
      </c>
      <c r="F20" s="74">
        <f t="shared" si="5"/>
        <v>543.98423040000011</v>
      </c>
      <c r="G20" s="74">
        <f t="shared" si="5"/>
        <v>565.74359961600021</v>
      </c>
      <c r="H20" s="74">
        <f t="shared" si="5"/>
        <v>588.37334360064017</v>
      </c>
      <c r="I20" s="74">
        <f t="shared" si="5"/>
        <v>611.90827734466575</v>
      </c>
      <c r="J20" s="74">
        <f t="shared" si="5"/>
        <v>636.38460843845246</v>
      </c>
      <c r="K20" s="74">
        <f t="shared" si="5"/>
        <v>661.83999277599059</v>
      </c>
      <c r="L20" s="74">
        <f t="shared" si="5"/>
        <v>688.31359248703018</v>
      </c>
      <c r="M20" s="74">
        <f t="shared" si="5"/>
        <v>715.84613618651144</v>
      </c>
      <c r="N20" s="74">
        <f t="shared" si="5"/>
        <v>744.47998163397199</v>
      </c>
      <c r="O20" s="74">
        <f t="shared" si="5"/>
        <v>774.25918089933089</v>
      </c>
      <c r="P20" s="74">
        <f t="shared" si="5"/>
        <v>805.22954813530419</v>
      </c>
      <c r="Q20" s="75">
        <f t="shared" si="5"/>
        <v>837.43873006071624</v>
      </c>
    </row>
    <row r="21" spans="2:22" s="34" customFormat="1" ht="15.5" x14ac:dyDescent="0.35">
      <c r="B21" s="82" t="s">
        <v>25</v>
      </c>
      <c r="C21" s="76">
        <f t="shared" ref="C21:Q21" si="6">SUM(C19:C20)</f>
        <v>3671.1740328969013</v>
      </c>
      <c r="D21" s="74">
        <f t="shared" si="6"/>
        <v>3786.145253883808</v>
      </c>
      <c r="E21" s="76">
        <f t="shared" si="6"/>
        <v>3904.7590515003226</v>
      </c>
      <c r="F21" s="76">
        <f t="shared" si="6"/>
        <v>4027.1324406453323</v>
      </c>
      <c r="G21" s="76">
        <f t="shared" si="6"/>
        <v>4153.3862561686919</v>
      </c>
      <c r="H21" s="76">
        <f t="shared" si="6"/>
        <v>4283.6452798499131</v>
      </c>
      <c r="I21" s="76">
        <f t="shared" si="6"/>
        <v>4418.0383716814176</v>
      </c>
      <c r="J21" s="76">
        <f t="shared" si="6"/>
        <v>4556.6986056053056</v>
      </c>
      <c r="K21" s="76">
        <f t="shared" si="6"/>
        <v>4699.7634098578492</v>
      </c>
      <c r="L21" s="76">
        <f t="shared" si="6"/>
        <v>4847.374712081345</v>
      </c>
      <c r="M21" s="76">
        <f t="shared" si="6"/>
        <v>4999.6790893686557</v>
      </c>
      <c r="N21" s="76">
        <f t="shared" si="6"/>
        <v>5156.8279234115807</v>
      </c>
      <c r="O21" s="76">
        <f t="shared" si="6"/>
        <v>5318.9775609302669</v>
      </c>
      <c r="P21" s="76">
        <f t="shared" si="6"/>
        <v>5486.2894795671691</v>
      </c>
      <c r="Q21" s="77">
        <f t="shared" si="6"/>
        <v>5658.9304594355362</v>
      </c>
      <c r="V21" s="145"/>
    </row>
    <row r="22" spans="2:22" s="34" customFormat="1" ht="31" x14ac:dyDescent="0.35">
      <c r="B22" s="85" t="s">
        <v>85</v>
      </c>
      <c r="C22" s="83">
        <f t="shared" ref="C22:Q22" si="7">C17-C21</f>
        <v>3037.0659671030994</v>
      </c>
      <c r="D22" s="83">
        <f t="shared" si="7"/>
        <v>2989.177146116192</v>
      </c>
      <c r="E22" s="83">
        <f t="shared" si="7"/>
        <v>2938.3165724996775</v>
      </c>
      <c r="F22" s="83">
        <f t="shared" si="7"/>
        <v>2884.3739395946677</v>
      </c>
      <c r="G22" s="83">
        <f t="shared" si="7"/>
        <v>2827.2351878737081</v>
      </c>
      <c r="H22" s="83">
        <f t="shared" si="7"/>
        <v>2766.7823786329109</v>
      </c>
      <c r="I22" s="83">
        <f t="shared" si="7"/>
        <v>2702.8935633862347</v>
      </c>
      <c r="J22" s="83">
        <f t="shared" si="7"/>
        <v>2635.4426488130239</v>
      </c>
      <c r="K22" s="83">
        <f t="shared" si="7"/>
        <v>2564.2992571046643</v>
      </c>
      <c r="L22" s="83">
        <f t="shared" si="7"/>
        <v>2489.3285815507934</v>
      </c>
      <c r="M22" s="83">
        <f t="shared" si="7"/>
        <v>2410.391237199804</v>
      </c>
      <c r="N22" s="83">
        <f t="shared" si="7"/>
        <v>2327.3431064225633</v>
      </c>
      <c r="O22" s="83">
        <f t="shared" si="7"/>
        <v>2240.0351792022184</v>
      </c>
      <c r="P22" s="83">
        <f t="shared" si="7"/>
        <v>2148.3133879666411</v>
      </c>
      <c r="Q22" s="84">
        <f t="shared" si="7"/>
        <v>2052.0184367736128</v>
      </c>
    </row>
    <row r="23" spans="2:22" s="34" customFormat="1" ht="15.5" x14ac:dyDescent="0.35">
      <c r="B23" s="45" t="s">
        <v>27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</row>
    <row r="24" spans="2:22" s="34" customFormat="1" ht="15.5" x14ac:dyDescent="0.35">
      <c r="B24" s="35" t="s">
        <v>28</v>
      </c>
      <c r="C24" s="74">
        <f>$C$5*(('Balance Sheet (Case Exhibit 6)'!F12+'Balance Sheet (Case Exhibit 6)'!G12)/2)</f>
        <v>1131.5999999999999</v>
      </c>
      <c r="D24" s="74">
        <f>$C$5*(('Balance Sheet (Case Exhibit 6)'!G12+'Balance Sheet (Case Exhibit 6)'!H12)/2)</f>
        <v>1033.2</v>
      </c>
      <c r="E24" s="74">
        <f>$C$5*(('Balance Sheet (Case Exhibit 6)'!H12+'Balance Sheet (Case Exhibit 6)'!I12)/2)</f>
        <v>903</v>
      </c>
      <c r="F24" s="74">
        <f>$C$5*(('Balance Sheet (Case Exhibit 6)'!I12+'Balance Sheet (Case Exhibit 6)'!J12)/2)</f>
        <v>774</v>
      </c>
      <c r="G24" s="74">
        <f>$C$5*(('Balance Sheet (Case Exhibit 6)'!J12+'Balance Sheet (Case Exhibit 6)'!K12)/2)</f>
        <v>645</v>
      </c>
      <c r="H24" s="74">
        <f>$C$5*(('Balance Sheet (Case Exhibit 6)'!K12+'Balance Sheet (Case Exhibit 6)'!L12)/2)</f>
        <v>516</v>
      </c>
      <c r="I24" s="74">
        <f>$C$5*(('Balance Sheet (Case Exhibit 6)'!L12+'Balance Sheet (Case Exhibit 6)'!M12)/2)</f>
        <v>387</v>
      </c>
      <c r="J24" s="74">
        <f>$C$5*(('Balance Sheet (Case Exhibit 6)'!M12+'Balance Sheet (Case Exhibit 6)'!N12)/2)</f>
        <v>258</v>
      </c>
      <c r="K24" s="74">
        <f>$C$5*(('Balance Sheet (Case Exhibit 6)'!N12+'Balance Sheet (Case Exhibit 6)'!O12)/2)</f>
        <v>129</v>
      </c>
      <c r="L24" s="74">
        <f>$C$5*(('Balance Sheet (Case Exhibit 6)'!O12+'Balance Sheet (Case Exhibit 6)'!P12)/2)</f>
        <v>32.4</v>
      </c>
      <c r="M24" s="76">
        <f>$C$5*(('Balance Sheet (Case Exhibit 6)'!P12+'Balance Sheet (Case Exhibit 6)'!Q12)/2)</f>
        <v>0</v>
      </c>
      <c r="N24" s="76">
        <f>$C$5*(('Balance Sheet (Case Exhibit 6)'!Q12+'Balance Sheet (Case Exhibit 6)'!R12)/2)</f>
        <v>0</v>
      </c>
      <c r="O24" s="76">
        <f>$C$5*(('Balance Sheet (Case Exhibit 6)'!R12+'Balance Sheet (Case Exhibit 6)'!S12)/2)</f>
        <v>0</v>
      </c>
      <c r="P24" s="76">
        <f>$C$5*(('Balance Sheet (Case Exhibit 6)'!S12+'Balance Sheet (Case Exhibit 6)'!T12)/2)</f>
        <v>0</v>
      </c>
      <c r="Q24" s="77">
        <f>$C$5*(('Balance Sheet (Case Exhibit 6)'!T12+'Balance Sheet (Case Exhibit 6)'!U12)/2)</f>
        <v>0</v>
      </c>
    </row>
    <row r="25" spans="2:22" s="34" customFormat="1" ht="15.5" x14ac:dyDescent="0.35">
      <c r="B25" s="35" t="s">
        <v>29</v>
      </c>
      <c r="C25" s="136">
        <f>$C$5*(('Balance Sheet (Case Exhibit 6)'!G13))</f>
        <v>111.6</v>
      </c>
      <c r="D25" s="136">
        <f>$C$5*(('Balance Sheet (Case Exhibit 6)'!G13+'Balance Sheet (Case Exhibit 6)'!H13)/2)</f>
        <v>112.2</v>
      </c>
      <c r="E25" s="136">
        <f>$C$5*(('Balance Sheet (Case Exhibit 6)'!H13+'Balance Sheet (Case Exhibit 6)'!I13)/2)</f>
        <v>114</v>
      </c>
      <c r="F25" s="136">
        <f>$C$5*(('Balance Sheet (Case Exhibit 6)'!I13+'Balance Sheet (Case Exhibit 6)'!J13)/2)</f>
        <v>116.39999999999999</v>
      </c>
      <c r="G25" s="136">
        <f>$C$5*(('Balance Sheet (Case Exhibit 6)'!J13+'Balance Sheet (Case Exhibit 6)'!K13)/2)</f>
        <v>118.19999999999999</v>
      </c>
      <c r="H25" s="136">
        <f>$C$5*(('Balance Sheet (Case Exhibit 6)'!K13+'Balance Sheet (Case Exhibit 6)'!L13)/2)</f>
        <v>120</v>
      </c>
      <c r="I25" s="136">
        <f>$C$5*(('Balance Sheet (Case Exhibit 6)'!L13+'Balance Sheet (Case Exhibit 6)'!M13)/2)</f>
        <v>122.39999999999999</v>
      </c>
      <c r="J25" s="136">
        <f>$C$5*(('Balance Sheet (Case Exhibit 6)'!M13+'Balance Sheet (Case Exhibit 6)'!N13)/2)</f>
        <v>124.8</v>
      </c>
      <c r="K25" s="136">
        <f>$C$5*(('Balance Sheet (Case Exhibit 6)'!N13+'Balance Sheet (Case Exhibit 6)'!O13)/2)</f>
        <v>127.19999999999999</v>
      </c>
      <c r="L25" s="136">
        <f>$C$5*(('Balance Sheet (Case Exhibit 6)'!O13+'Balance Sheet (Case Exhibit 6)'!P13)/2)</f>
        <v>129.6</v>
      </c>
      <c r="M25" s="136">
        <f>$C$5*(('Balance Sheet (Case Exhibit 6)'!P13+'Balance Sheet (Case Exhibit 6)'!Q13)/2)</f>
        <v>132</v>
      </c>
      <c r="N25" s="136">
        <f>$C$5*(('Balance Sheet (Case Exhibit 6)'!Q13+'Balance Sheet (Case Exhibit 6)'!R13)/2)</f>
        <v>134.4</v>
      </c>
      <c r="O25" s="136">
        <f>$C$5*(('Balance Sheet (Case Exhibit 6)'!R13+'Balance Sheet (Case Exhibit 6)'!S13)/2)</f>
        <v>137.4</v>
      </c>
      <c r="P25" s="136">
        <f>$C$5*(('Balance Sheet (Case Exhibit 6)'!S13+'Balance Sheet (Case Exhibit 6)'!T13)/2)</f>
        <v>140.4</v>
      </c>
      <c r="Q25" s="137">
        <f>$C$5*(('Balance Sheet (Case Exhibit 6)'!T13+'Balance Sheet (Case Exhibit 6)'!U13)/2)</f>
        <v>142.79999999999998</v>
      </c>
    </row>
    <row r="26" spans="2:22" s="34" customFormat="1" ht="15.5" x14ac:dyDescent="0.35">
      <c r="B26" s="35" t="s">
        <v>30</v>
      </c>
      <c r="C26" s="38">
        <v>680</v>
      </c>
      <c r="D26" s="38">
        <v>680</v>
      </c>
      <c r="E26" s="38">
        <v>680</v>
      </c>
      <c r="F26" s="38">
        <v>680</v>
      </c>
      <c r="G26" s="38">
        <v>680</v>
      </c>
      <c r="H26" s="38">
        <v>680</v>
      </c>
      <c r="I26" s="38">
        <v>680</v>
      </c>
      <c r="J26" s="38">
        <v>680</v>
      </c>
      <c r="K26" s="38">
        <v>680</v>
      </c>
      <c r="L26" s="38">
        <v>680</v>
      </c>
      <c r="M26" s="38">
        <v>680</v>
      </c>
      <c r="N26" s="38">
        <v>680</v>
      </c>
      <c r="O26" s="38">
        <v>680</v>
      </c>
      <c r="P26" s="38">
        <v>680</v>
      </c>
      <c r="Q26" s="39">
        <v>680</v>
      </c>
    </row>
    <row r="27" spans="2:22" s="34" customFormat="1" ht="15.5" x14ac:dyDescent="0.35">
      <c r="B27" s="52" t="s">
        <v>86</v>
      </c>
      <c r="C27" s="136">
        <f t="shared" ref="C27:Q27" si="8">C22-C24-C25-C26</f>
        <v>1113.8659671030996</v>
      </c>
      <c r="D27" s="83">
        <f t="shared" si="8"/>
        <v>1163.7771461161919</v>
      </c>
      <c r="E27" s="83">
        <f t="shared" si="8"/>
        <v>1241.3165724996775</v>
      </c>
      <c r="F27" s="83">
        <f t="shared" si="8"/>
        <v>1313.9739395946676</v>
      </c>
      <c r="G27" s="83">
        <f t="shared" si="8"/>
        <v>1384.0351878737083</v>
      </c>
      <c r="H27" s="83">
        <f t="shared" si="8"/>
        <v>1450.7823786329109</v>
      </c>
      <c r="I27" s="83">
        <f t="shared" si="8"/>
        <v>1513.4935633862347</v>
      </c>
      <c r="J27" s="83">
        <f t="shared" si="8"/>
        <v>1572.6426488130237</v>
      </c>
      <c r="K27" s="83">
        <f t="shared" si="8"/>
        <v>1628.0992571046645</v>
      </c>
      <c r="L27" s="83">
        <f t="shared" si="8"/>
        <v>1647.3285815507934</v>
      </c>
      <c r="M27" s="83">
        <f t="shared" si="8"/>
        <v>1598.391237199804</v>
      </c>
      <c r="N27" s="83">
        <f t="shared" si="8"/>
        <v>1512.9431064225632</v>
      </c>
      <c r="O27" s="83">
        <f t="shared" si="8"/>
        <v>1422.6351792022183</v>
      </c>
      <c r="P27" s="83">
        <f t="shared" si="8"/>
        <v>1327.913387966641</v>
      </c>
      <c r="Q27" s="84">
        <f t="shared" si="8"/>
        <v>1229.2184367736129</v>
      </c>
    </row>
    <row r="28" spans="2:22" s="34" customFormat="1" ht="15.5" x14ac:dyDescent="0.35">
      <c r="B28" s="45" t="s">
        <v>32</v>
      </c>
      <c r="C28" s="4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</row>
    <row r="29" spans="2:22" s="34" customFormat="1" ht="15.5" x14ac:dyDescent="0.35">
      <c r="B29" s="35" t="s">
        <v>33</v>
      </c>
      <c r="C29" s="38">
        <v>200</v>
      </c>
      <c r="D29" s="38">
        <v>210</v>
      </c>
      <c r="E29" s="38">
        <v>220</v>
      </c>
      <c r="F29" s="38">
        <v>240</v>
      </c>
      <c r="G29" s="38">
        <v>250</v>
      </c>
      <c r="H29" s="38">
        <v>260</v>
      </c>
      <c r="I29" s="38">
        <v>270</v>
      </c>
      <c r="J29" s="38">
        <v>280</v>
      </c>
      <c r="K29" s="38">
        <v>290</v>
      </c>
      <c r="L29" s="38">
        <v>300</v>
      </c>
      <c r="M29" s="38">
        <v>290</v>
      </c>
      <c r="N29" s="38">
        <v>280</v>
      </c>
      <c r="O29" s="38">
        <v>260</v>
      </c>
      <c r="P29" s="38">
        <v>250</v>
      </c>
      <c r="Q29" s="39">
        <v>230</v>
      </c>
    </row>
    <row r="30" spans="2:22" s="34" customFormat="1" ht="15.5" x14ac:dyDescent="0.35">
      <c r="B30" s="35" t="s">
        <v>34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-10</v>
      </c>
      <c r="K30" s="38">
        <v>-40</v>
      </c>
      <c r="L30" s="38">
        <v>-70</v>
      </c>
      <c r="M30" s="38">
        <v>-90</v>
      </c>
      <c r="N30" s="38">
        <v>-110</v>
      </c>
      <c r="O30" s="38">
        <v>-130</v>
      </c>
      <c r="P30" s="38">
        <v>-140</v>
      </c>
      <c r="Q30" s="39">
        <v>-150</v>
      </c>
    </row>
    <row r="31" spans="2:22" s="34" customFormat="1" ht="15.5" x14ac:dyDescent="0.35">
      <c r="B31" s="86" t="s">
        <v>87</v>
      </c>
      <c r="C31" s="136">
        <f t="shared" ref="C31:Q31" si="9">C27-C29-C30</f>
        <v>913.86596710309959</v>
      </c>
      <c r="D31" s="83">
        <f t="shared" si="9"/>
        <v>953.77714611619194</v>
      </c>
      <c r="E31" s="83">
        <f t="shared" si="9"/>
        <v>1021.3165724996775</v>
      </c>
      <c r="F31" s="83">
        <f t="shared" si="9"/>
        <v>1073.9739395946676</v>
      </c>
      <c r="G31" s="83">
        <f t="shared" si="9"/>
        <v>1134.0351878737083</v>
      </c>
      <c r="H31" s="83">
        <f t="shared" si="9"/>
        <v>1190.7823786329109</v>
      </c>
      <c r="I31" s="83">
        <f t="shared" si="9"/>
        <v>1243.4935633862347</v>
      </c>
      <c r="J31" s="83">
        <f t="shared" si="9"/>
        <v>1302.6426488130237</v>
      </c>
      <c r="K31" s="83">
        <f t="shared" si="9"/>
        <v>1378.0992571046645</v>
      </c>
      <c r="L31" s="83">
        <f t="shared" si="9"/>
        <v>1417.3285815507934</v>
      </c>
      <c r="M31" s="83">
        <f t="shared" si="9"/>
        <v>1398.391237199804</v>
      </c>
      <c r="N31" s="83">
        <f t="shared" si="9"/>
        <v>1342.9431064225632</v>
      </c>
      <c r="O31" s="83">
        <f t="shared" si="9"/>
        <v>1292.6351792022183</v>
      </c>
      <c r="P31" s="83">
        <f t="shared" si="9"/>
        <v>1217.913387966641</v>
      </c>
      <c r="Q31" s="84">
        <f t="shared" si="9"/>
        <v>1149.2184367736129</v>
      </c>
    </row>
    <row r="32" spans="2:22" s="34" customFormat="1" ht="15.5" x14ac:dyDescent="0.35">
      <c r="B32" s="86" t="s">
        <v>88</v>
      </c>
      <c r="C32" s="138">
        <f t="shared" ref="C32:Q32" si="10">C31+C26+C30</f>
        <v>1593.8659671030996</v>
      </c>
      <c r="D32" s="87">
        <f t="shared" si="10"/>
        <v>1633.7771461161919</v>
      </c>
      <c r="E32" s="87">
        <f t="shared" si="10"/>
        <v>1701.3165724996775</v>
      </c>
      <c r="F32" s="87">
        <f t="shared" si="10"/>
        <v>1753.9739395946676</v>
      </c>
      <c r="G32" s="87">
        <f t="shared" si="10"/>
        <v>1814.0351878737083</v>
      </c>
      <c r="H32" s="87">
        <f t="shared" si="10"/>
        <v>1870.7823786329109</v>
      </c>
      <c r="I32" s="87">
        <f t="shared" si="10"/>
        <v>1923.4935633862347</v>
      </c>
      <c r="J32" s="87">
        <f t="shared" si="10"/>
        <v>1972.6426488130237</v>
      </c>
      <c r="K32" s="87">
        <f t="shared" si="10"/>
        <v>2018.0992571046645</v>
      </c>
      <c r="L32" s="87">
        <f t="shared" si="10"/>
        <v>2027.3285815507934</v>
      </c>
      <c r="M32" s="87">
        <f t="shared" si="10"/>
        <v>1988.391237199804</v>
      </c>
      <c r="N32" s="87">
        <f t="shared" si="10"/>
        <v>1912.9431064225632</v>
      </c>
      <c r="O32" s="87">
        <f t="shared" si="10"/>
        <v>1842.6351792022183</v>
      </c>
      <c r="P32" s="87">
        <f t="shared" si="10"/>
        <v>1757.913387966641</v>
      </c>
      <c r="Q32" s="88">
        <f t="shared" si="10"/>
        <v>1679.2184367736129</v>
      </c>
    </row>
    <row r="33" spans="2:20" s="34" customFormat="1" ht="15.5" x14ac:dyDescent="0.35">
      <c r="B33" s="86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2:20" s="34" customFormat="1" ht="15.5" x14ac:dyDescent="0.35">
      <c r="B34" s="86" t="s">
        <v>89</v>
      </c>
      <c r="C34" s="90">
        <f>-('Balance Sheet (Case Exhibit 6)'!G12-'Balance Sheet (Case Exhibit 6)'!F12)</f>
        <v>540</v>
      </c>
      <c r="D34" s="90">
        <f>-('Balance Sheet (Case Exhibit 6)'!H12-'Balance Sheet (Case Exhibit 6)'!G12)</f>
        <v>1100</v>
      </c>
      <c r="E34" s="90">
        <f>-('Balance Sheet (Case Exhibit 6)'!I12-'Balance Sheet (Case Exhibit 6)'!H12)</f>
        <v>1070</v>
      </c>
      <c r="F34" s="90">
        <f>-('Balance Sheet (Case Exhibit 6)'!J12-'Balance Sheet (Case Exhibit 6)'!I12)</f>
        <v>1080</v>
      </c>
      <c r="G34" s="90">
        <f>-('Balance Sheet (Case Exhibit 6)'!K12-'Balance Sheet (Case Exhibit 6)'!J12)</f>
        <v>1070</v>
      </c>
      <c r="H34" s="90">
        <f>-('Balance Sheet (Case Exhibit 6)'!L12-'Balance Sheet (Case Exhibit 6)'!K12)</f>
        <v>1080</v>
      </c>
      <c r="I34" s="90">
        <f>-('Balance Sheet (Case Exhibit 6)'!M12-'Balance Sheet (Case Exhibit 6)'!L12)</f>
        <v>1070</v>
      </c>
      <c r="J34" s="90">
        <f>-('Balance Sheet (Case Exhibit 6)'!N12-'Balance Sheet (Case Exhibit 6)'!M12)</f>
        <v>1080</v>
      </c>
      <c r="K34" s="90">
        <f>-('Balance Sheet (Case Exhibit 6)'!O12-'Balance Sheet (Case Exhibit 6)'!N12)</f>
        <v>1070</v>
      </c>
      <c r="L34" s="90">
        <f>-('Balance Sheet (Case Exhibit 6)'!P12-'Balance Sheet (Case Exhibit 6)'!O12)</f>
        <v>540</v>
      </c>
      <c r="M34" s="89"/>
      <c r="N34" s="89"/>
      <c r="O34" s="89"/>
      <c r="P34" s="89"/>
      <c r="Q34" s="91"/>
    </row>
    <row r="35" spans="2:20" s="34" customFormat="1" ht="15.5" x14ac:dyDescent="0.35">
      <c r="B35" s="86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89"/>
      <c r="N35" s="89"/>
      <c r="O35" s="89"/>
      <c r="P35" s="89"/>
      <c r="Q35" s="91"/>
    </row>
    <row r="36" spans="2:20" s="34" customFormat="1" ht="15.5" x14ac:dyDescent="0.35">
      <c r="B36" s="86" t="s">
        <v>43</v>
      </c>
      <c r="C36" s="92">
        <f>(C31+C24+C26)/(C24+C34)</f>
        <v>1.6304534380851279</v>
      </c>
      <c r="D36" s="92">
        <f t="shared" ref="D36:L36" si="11">(D31+D24+D26)/(D24+D34)</f>
        <v>1.2502236762217289</v>
      </c>
      <c r="E36" s="92">
        <f t="shared" si="11"/>
        <v>1.3199779891027255</v>
      </c>
      <c r="F36" s="92">
        <f t="shared" si="11"/>
        <v>1.3635242392635747</v>
      </c>
      <c r="G36" s="92">
        <f t="shared" si="11"/>
        <v>1.4338397596931243</v>
      </c>
      <c r="H36" s="92">
        <f t="shared" si="11"/>
        <v>1.4954776808476886</v>
      </c>
      <c r="I36" s="92">
        <f t="shared" si="11"/>
        <v>1.5857883070598728</v>
      </c>
      <c r="J36" s="92">
        <f t="shared" si="11"/>
        <v>1.6746208137616021</v>
      </c>
      <c r="K36" s="92">
        <f t="shared" si="11"/>
        <v>1.8241027999204875</v>
      </c>
      <c r="L36" s="92">
        <f t="shared" si="11"/>
        <v>3.720699828006278</v>
      </c>
      <c r="M36" s="93"/>
      <c r="N36" s="93"/>
      <c r="O36" s="93"/>
      <c r="P36" s="93"/>
      <c r="Q36" s="94"/>
    </row>
    <row r="37" spans="2:20" s="34" customFormat="1" ht="16" thickBot="1" x14ac:dyDescent="0.4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</row>
    <row r="38" spans="2:20" s="34" customFormat="1" x14ac:dyDescent="0.35"/>
    <row r="39" spans="2:20" s="34" customFormat="1" ht="15" thickBot="1" x14ac:dyDescent="0.4"/>
    <row r="40" spans="2:20" s="34" customFormat="1" ht="16" thickBot="1" x14ac:dyDescent="0.4">
      <c r="B40" s="498" t="s">
        <v>44</v>
      </c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500"/>
    </row>
    <row r="41" spans="2:20" s="34" customFormat="1" ht="16" thickBot="1" x14ac:dyDescent="0.4">
      <c r="B41" s="95" t="s">
        <v>109</v>
      </c>
      <c r="C41" s="96">
        <v>2010</v>
      </c>
      <c r="D41" s="97">
        <v>2011</v>
      </c>
      <c r="E41" s="97">
        <v>2012</v>
      </c>
      <c r="F41" s="97">
        <v>2013</v>
      </c>
      <c r="G41" s="97">
        <v>2014</v>
      </c>
      <c r="H41" s="97">
        <v>2015</v>
      </c>
      <c r="I41" s="97">
        <v>2016</v>
      </c>
      <c r="J41" s="97">
        <v>2017</v>
      </c>
      <c r="K41" s="97">
        <v>2018</v>
      </c>
      <c r="L41" s="97">
        <v>2019</v>
      </c>
      <c r="M41" s="97">
        <v>2020</v>
      </c>
      <c r="N41" s="97">
        <v>2021</v>
      </c>
      <c r="O41" s="97">
        <v>2022</v>
      </c>
      <c r="P41" s="97">
        <v>2023</v>
      </c>
      <c r="Q41" s="97">
        <v>2024</v>
      </c>
      <c r="R41" s="97">
        <v>2025</v>
      </c>
      <c r="S41" s="97">
        <v>2026</v>
      </c>
      <c r="T41" s="98">
        <v>2027</v>
      </c>
    </row>
    <row r="42" spans="2:20" s="34" customFormat="1" ht="15.5" x14ac:dyDescent="0.35">
      <c r="B42" s="99" t="s">
        <v>46</v>
      </c>
      <c r="C42" s="100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2"/>
    </row>
    <row r="43" spans="2:20" s="34" customFormat="1" ht="15.5" x14ac:dyDescent="0.35">
      <c r="B43" s="103" t="s">
        <v>47</v>
      </c>
      <c r="C43" s="104">
        <v>0</v>
      </c>
      <c r="D43" s="105">
        <v>0</v>
      </c>
      <c r="E43" s="105">
        <v>0</v>
      </c>
      <c r="F43" s="105">
        <f>'Sensitivity-Fuel Cost Up 5%'!C31+'Sensitivity-Fuel Cost Up 5%'!C24+'Sensitivity-Fuel Cost Up 5%'!C25+'Sensitivity-Fuel Cost Up 5%'!C26</f>
        <v>2837.0659671030994</v>
      </c>
      <c r="G43" s="105">
        <f>'Sensitivity-Fuel Cost Up 5%'!D31+'Sensitivity-Fuel Cost Up 5%'!D24+'Sensitivity-Fuel Cost Up 5%'!D25+'Sensitivity-Fuel Cost Up 5%'!D26</f>
        <v>2779.177146116192</v>
      </c>
      <c r="H43" s="105">
        <f>'Sensitivity-Fuel Cost Up 5%'!E31+'Sensitivity-Fuel Cost Up 5%'!E24+'Sensitivity-Fuel Cost Up 5%'!E25+'Sensitivity-Fuel Cost Up 5%'!E26</f>
        <v>2718.3165724996775</v>
      </c>
      <c r="I43" s="105">
        <f>'Sensitivity-Fuel Cost Up 5%'!F31+'Sensitivity-Fuel Cost Up 5%'!F24+'Sensitivity-Fuel Cost Up 5%'!F25+'Sensitivity-Fuel Cost Up 5%'!F26</f>
        <v>2644.3739395946677</v>
      </c>
      <c r="J43" s="105">
        <f>'Sensitivity-Fuel Cost Up 5%'!G31+'Sensitivity-Fuel Cost Up 5%'!G24+'Sensitivity-Fuel Cost Up 5%'!G25+'Sensitivity-Fuel Cost Up 5%'!G26</f>
        <v>2577.2351878737081</v>
      </c>
      <c r="K43" s="105">
        <f>'Sensitivity-Fuel Cost Up 5%'!H31+'Sensitivity-Fuel Cost Up 5%'!H24+'Sensitivity-Fuel Cost Up 5%'!H25+'Sensitivity-Fuel Cost Up 5%'!H26</f>
        <v>2506.7823786329109</v>
      </c>
      <c r="L43" s="105">
        <f>'Sensitivity-Fuel Cost Up 5%'!I31+'Sensitivity-Fuel Cost Up 5%'!I24+'Sensitivity-Fuel Cost Up 5%'!I25+'Sensitivity-Fuel Cost Up 5%'!I26</f>
        <v>2432.8935633862347</v>
      </c>
      <c r="M43" s="105">
        <f>'Sensitivity-Fuel Cost Up 5%'!J31+'Sensitivity-Fuel Cost Up 5%'!J24+'Sensitivity-Fuel Cost Up 5%'!J25+'Sensitivity-Fuel Cost Up 5%'!J26</f>
        <v>2365.4426488130239</v>
      </c>
      <c r="N43" s="105">
        <f>'Sensitivity-Fuel Cost Up 5%'!K31+'Sensitivity-Fuel Cost Up 5%'!K24+'Sensitivity-Fuel Cost Up 5%'!K25+'Sensitivity-Fuel Cost Up 5%'!K26</f>
        <v>2314.2992571046643</v>
      </c>
      <c r="O43" s="105">
        <f>'Sensitivity-Fuel Cost Up 5%'!L31+'Sensitivity-Fuel Cost Up 5%'!L24+'Sensitivity-Fuel Cost Up 5%'!L25+'Sensitivity-Fuel Cost Up 5%'!L26</f>
        <v>2259.3285815507934</v>
      </c>
      <c r="P43" s="105">
        <f>'Sensitivity-Fuel Cost Up 5%'!M31+'Sensitivity-Fuel Cost Up 5%'!M24+'Sensitivity-Fuel Cost Up 5%'!M25+'Sensitivity-Fuel Cost Up 5%'!M26</f>
        <v>2210.391237199804</v>
      </c>
      <c r="Q43" s="105">
        <f>'Sensitivity-Fuel Cost Up 5%'!N31+'Sensitivity-Fuel Cost Up 5%'!N24+'Sensitivity-Fuel Cost Up 5%'!N25+'Sensitivity-Fuel Cost Up 5%'!N26</f>
        <v>2157.3431064225633</v>
      </c>
      <c r="R43" s="105">
        <f>'Sensitivity-Fuel Cost Up 5%'!O31+'Sensitivity-Fuel Cost Up 5%'!O24+'Sensitivity-Fuel Cost Up 5%'!O25+'Sensitivity-Fuel Cost Up 5%'!O26</f>
        <v>2110.0351792022184</v>
      </c>
      <c r="S43" s="105">
        <f>'Sensitivity-Fuel Cost Up 5%'!P31+'Sensitivity-Fuel Cost Up 5%'!P24+'Sensitivity-Fuel Cost Up 5%'!P25+'Sensitivity-Fuel Cost Up 5%'!P26</f>
        <v>2038.3133879666411</v>
      </c>
      <c r="T43" s="106">
        <f>'Sensitivity-Fuel Cost Up 5%'!Q31+'Sensitivity-Fuel Cost Up 5%'!Q24+'Sensitivity-Fuel Cost Up 5%'!Q25+'Sensitivity-Fuel Cost Up 5%'!Q26</f>
        <v>1972.0184367736128</v>
      </c>
    </row>
    <row r="44" spans="2:20" s="34" customFormat="1" ht="16" thickBot="1" x14ac:dyDescent="0.4">
      <c r="B44" s="107" t="s">
        <v>48</v>
      </c>
      <c r="C44" s="108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6">
        <f>0.05*'Balance Sheet (Case Exhibit 6)'!U24</f>
        <v>1238.5</v>
      </c>
    </row>
    <row r="45" spans="2:20" s="34" customFormat="1" ht="16" thickBot="1" x14ac:dyDescent="0.4">
      <c r="B45" s="95" t="s">
        <v>90</v>
      </c>
      <c r="C45" s="110">
        <f t="shared" ref="C45:T45" si="12">SUM(C43:C44)</f>
        <v>0</v>
      </c>
      <c r="D45" s="111">
        <f t="shared" si="12"/>
        <v>0</v>
      </c>
      <c r="E45" s="111">
        <f t="shared" si="12"/>
        <v>0</v>
      </c>
      <c r="F45" s="111">
        <f t="shared" si="12"/>
        <v>2837.0659671030994</v>
      </c>
      <c r="G45" s="111">
        <f t="shared" si="12"/>
        <v>2779.177146116192</v>
      </c>
      <c r="H45" s="111">
        <f t="shared" si="12"/>
        <v>2718.3165724996775</v>
      </c>
      <c r="I45" s="111">
        <f t="shared" si="12"/>
        <v>2644.3739395946677</v>
      </c>
      <c r="J45" s="111">
        <f t="shared" si="12"/>
        <v>2577.2351878737081</v>
      </c>
      <c r="K45" s="111">
        <f t="shared" si="12"/>
        <v>2506.7823786329109</v>
      </c>
      <c r="L45" s="111">
        <f t="shared" si="12"/>
        <v>2432.8935633862347</v>
      </c>
      <c r="M45" s="111">
        <f t="shared" si="12"/>
        <v>2365.4426488130239</v>
      </c>
      <c r="N45" s="111">
        <f t="shared" si="12"/>
        <v>2314.2992571046643</v>
      </c>
      <c r="O45" s="111">
        <f t="shared" si="12"/>
        <v>2259.3285815507934</v>
      </c>
      <c r="P45" s="111">
        <f t="shared" si="12"/>
        <v>2210.391237199804</v>
      </c>
      <c r="Q45" s="111">
        <f t="shared" si="12"/>
        <v>2157.3431064225633</v>
      </c>
      <c r="R45" s="111">
        <f t="shared" si="12"/>
        <v>2110.0351792022184</v>
      </c>
      <c r="S45" s="111">
        <f t="shared" si="12"/>
        <v>2038.3133879666411</v>
      </c>
      <c r="T45" s="112">
        <f t="shared" si="12"/>
        <v>3210.5184367736128</v>
      </c>
    </row>
    <row r="46" spans="2:20" s="34" customFormat="1" ht="15.5" x14ac:dyDescent="0.35">
      <c r="B46" s="99" t="s">
        <v>50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2"/>
    </row>
    <row r="47" spans="2:20" s="34" customFormat="1" ht="15.5" x14ac:dyDescent="0.35">
      <c r="B47" s="103" t="s">
        <v>97</v>
      </c>
      <c r="C47" s="113">
        <f>'Balance Sheet (Case Exhibit 6)'!D24-'Balance Sheet (Case Exhibit 6)'!D22</f>
        <v>3460</v>
      </c>
      <c r="D47" s="114">
        <f>'Balance Sheet (Case Exhibit 6)'!E24-'Balance Sheet (Case Exhibit 6)'!E22-'Balance Sheet (Case Exhibit 6)'!D24</f>
        <v>5520</v>
      </c>
      <c r="E47" s="114">
        <f>'Balance Sheet (Case Exhibit 6)'!F24-'Balance Sheet (Case Exhibit 6)'!F22-'Balance Sheet (Case Exhibit 6)'!E24</f>
        <v>4570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</row>
    <row r="48" spans="2:20" s="34" customFormat="1" ht="16" thickBot="1" x14ac:dyDescent="0.4">
      <c r="B48" s="107" t="s">
        <v>91</v>
      </c>
      <c r="C48" s="115">
        <v>0</v>
      </c>
      <c r="D48" s="116">
        <v>0</v>
      </c>
      <c r="E48" s="116">
        <v>0</v>
      </c>
      <c r="F48" s="117">
        <f>'Balance Sheet (Case Exhibit 6)'!G30</f>
        <v>310</v>
      </c>
      <c r="G48" s="117">
        <f>'Balance Sheet (Case Exhibit 6)'!H30</f>
        <v>0</v>
      </c>
      <c r="H48" s="116">
        <f>'Balance Sheet (Case Exhibit 6)'!I30</f>
        <v>10</v>
      </c>
      <c r="I48" s="116">
        <f>'Balance Sheet (Case Exhibit 6)'!J30</f>
        <v>0</v>
      </c>
      <c r="J48" s="116">
        <f>'Balance Sheet (Case Exhibit 6)'!K30</f>
        <v>10</v>
      </c>
      <c r="K48" s="116">
        <f>'Balance Sheet (Case Exhibit 6)'!L30</f>
        <v>10</v>
      </c>
      <c r="L48" s="116">
        <f>'Balance Sheet (Case Exhibit 6)'!M30</f>
        <v>0</v>
      </c>
      <c r="M48" s="116">
        <f>'Balance Sheet (Case Exhibit 6)'!N30</f>
        <v>10</v>
      </c>
      <c r="N48" s="116">
        <f>'Balance Sheet (Case Exhibit 6)'!O30</f>
        <v>10</v>
      </c>
      <c r="O48" s="116">
        <f>'Balance Sheet (Case Exhibit 6)'!P30</f>
        <v>0</v>
      </c>
      <c r="P48" s="116">
        <f>'Balance Sheet (Case Exhibit 6)'!Q30</f>
        <v>10</v>
      </c>
      <c r="Q48" s="116">
        <f>'Balance Sheet (Case Exhibit 6)'!R30</f>
        <v>10</v>
      </c>
      <c r="R48" s="116">
        <f>'Balance Sheet (Case Exhibit 6)'!S30</f>
        <v>0</v>
      </c>
      <c r="S48" s="116">
        <f>'Balance Sheet (Case Exhibit 6)'!T30</f>
        <v>10</v>
      </c>
      <c r="T48" s="118">
        <f>'Balance Sheet (Case Exhibit 6)'!U30</f>
        <v>10</v>
      </c>
    </row>
    <row r="49" spans="2:20" s="34" customFormat="1" ht="15.5" x14ac:dyDescent="0.35">
      <c r="B49" s="119" t="s">
        <v>53</v>
      </c>
      <c r="C49" s="120">
        <f t="shared" ref="C49:T49" si="13">C47+C48</f>
        <v>3460</v>
      </c>
      <c r="D49" s="121">
        <f t="shared" si="13"/>
        <v>5520</v>
      </c>
      <c r="E49" s="121">
        <f t="shared" si="13"/>
        <v>4570</v>
      </c>
      <c r="F49" s="121">
        <f t="shared" si="13"/>
        <v>310</v>
      </c>
      <c r="G49" s="121">
        <f t="shared" si="13"/>
        <v>0</v>
      </c>
      <c r="H49" s="121">
        <f t="shared" si="13"/>
        <v>10</v>
      </c>
      <c r="I49" s="121">
        <f t="shared" si="13"/>
        <v>0</v>
      </c>
      <c r="J49" s="121">
        <f t="shared" si="13"/>
        <v>10</v>
      </c>
      <c r="K49" s="121">
        <f t="shared" si="13"/>
        <v>10</v>
      </c>
      <c r="L49" s="121">
        <f t="shared" si="13"/>
        <v>0</v>
      </c>
      <c r="M49" s="121">
        <f t="shared" si="13"/>
        <v>10</v>
      </c>
      <c r="N49" s="121">
        <f t="shared" si="13"/>
        <v>10</v>
      </c>
      <c r="O49" s="121">
        <f t="shared" si="13"/>
        <v>0</v>
      </c>
      <c r="P49" s="121">
        <f t="shared" si="13"/>
        <v>10</v>
      </c>
      <c r="Q49" s="121">
        <f t="shared" si="13"/>
        <v>10</v>
      </c>
      <c r="R49" s="121">
        <f t="shared" si="13"/>
        <v>0</v>
      </c>
      <c r="S49" s="121">
        <f t="shared" si="13"/>
        <v>10</v>
      </c>
      <c r="T49" s="122">
        <f t="shared" si="13"/>
        <v>10</v>
      </c>
    </row>
    <row r="50" spans="2:20" s="34" customFormat="1" ht="16" thickBot="1" x14ac:dyDescent="0.4">
      <c r="B50" s="123" t="s">
        <v>93</v>
      </c>
      <c r="C50" s="124">
        <f t="shared" ref="C50:T50" si="14">C45-C49</f>
        <v>-3460</v>
      </c>
      <c r="D50" s="125">
        <f t="shared" si="14"/>
        <v>-5520</v>
      </c>
      <c r="E50" s="125">
        <f t="shared" si="14"/>
        <v>-4570</v>
      </c>
      <c r="F50" s="125">
        <f t="shared" si="14"/>
        <v>2527.0659671030994</v>
      </c>
      <c r="G50" s="125">
        <f t="shared" si="14"/>
        <v>2779.177146116192</v>
      </c>
      <c r="H50" s="125">
        <f t="shared" si="14"/>
        <v>2708.3165724996775</v>
      </c>
      <c r="I50" s="125">
        <f t="shared" si="14"/>
        <v>2644.3739395946677</v>
      </c>
      <c r="J50" s="125">
        <f t="shared" si="14"/>
        <v>2567.2351878737081</v>
      </c>
      <c r="K50" s="125">
        <f t="shared" si="14"/>
        <v>2496.7823786329109</v>
      </c>
      <c r="L50" s="125">
        <f t="shared" si="14"/>
        <v>2432.8935633862347</v>
      </c>
      <c r="M50" s="125">
        <f t="shared" si="14"/>
        <v>2355.4426488130239</v>
      </c>
      <c r="N50" s="125">
        <f t="shared" si="14"/>
        <v>2304.2992571046643</v>
      </c>
      <c r="O50" s="125">
        <f t="shared" si="14"/>
        <v>2259.3285815507934</v>
      </c>
      <c r="P50" s="125">
        <f t="shared" si="14"/>
        <v>2200.391237199804</v>
      </c>
      <c r="Q50" s="125">
        <f t="shared" si="14"/>
        <v>2147.3431064225633</v>
      </c>
      <c r="R50" s="125">
        <f t="shared" si="14"/>
        <v>2110.0351792022184</v>
      </c>
      <c r="S50" s="125">
        <f t="shared" si="14"/>
        <v>2028.3133879666411</v>
      </c>
      <c r="T50" s="126">
        <f t="shared" si="14"/>
        <v>3200.5184367736128</v>
      </c>
    </row>
    <row r="51" spans="2:20" s="34" customFormat="1" ht="16" thickBot="1" x14ac:dyDescent="0.4">
      <c r="B51" s="127" t="s">
        <v>94</v>
      </c>
      <c r="C51" s="128">
        <f>IRR(C50:T50)</f>
        <v>0.14113294829120804</v>
      </c>
      <c r="D51" s="129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1"/>
    </row>
    <row r="52" spans="2:20" s="34" customFormat="1" ht="15" thickBot="1" x14ac:dyDescent="0.4"/>
    <row r="53" spans="2:20" s="34" customFormat="1" ht="16" thickBot="1" x14ac:dyDescent="0.4">
      <c r="B53" s="501" t="s">
        <v>44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2"/>
      <c r="N53" s="502"/>
      <c r="O53" s="503"/>
    </row>
    <row r="54" spans="2:20" s="34" customFormat="1" ht="16" thickBot="1" x14ac:dyDescent="0.4">
      <c r="B54" s="95" t="s">
        <v>109</v>
      </c>
      <c r="C54" s="132">
        <v>2010</v>
      </c>
      <c r="D54" s="97">
        <v>2011</v>
      </c>
      <c r="E54" s="97">
        <v>2012</v>
      </c>
      <c r="F54" s="97">
        <v>2013</v>
      </c>
      <c r="G54" s="97">
        <v>2014</v>
      </c>
      <c r="H54" s="97">
        <v>2015</v>
      </c>
      <c r="I54" s="97">
        <v>2016</v>
      </c>
      <c r="J54" s="97">
        <v>2017</v>
      </c>
      <c r="K54" s="97">
        <v>2018</v>
      </c>
      <c r="L54" s="97">
        <v>2019</v>
      </c>
      <c r="M54" s="97">
        <v>2020</v>
      </c>
      <c r="N54" s="97">
        <v>2021</v>
      </c>
      <c r="O54" s="98">
        <v>2022</v>
      </c>
    </row>
    <row r="55" spans="2:20" s="34" customFormat="1" ht="15.5" x14ac:dyDescent="0.35">
      <c r="B55" s="99" t="s">
        <v>46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2"/>
    </row>
    <row r="56" spans="2:20" s="34" customFormat="1" ht="15.5" x14ac:dyDescent="0.35">
      <c r="B56" s="103" t="s">
        <v>47</v>
      </c>
      <c r="C56" s="104">
        <f>C43</f>
        <v>0</v>
      </c>
      <c r="D56" s="105">
        <f t="shared" ref="D56:O56" si="15">D43</f>
        <v>0</v>
      </c>
      <c r="E56" s="105">
        <f t="shared" si="15"/>
        <v>0</v>
      </c>
      <c r="F56" s="105">
        <f t="shared" si="15"/>
        <v>2837.0659671030994</v>
      </c>
      <c r="G56" s="105">
        <f t="shared" si="15"/>
        <v>2779.177146116192</v>
      </c>
      <c r="H56" s="105">
        <f t="shared" si="15"/>
        <v>2718.3165724996775</v>
      </c>
      <c r="I56" s="105">
        <f t="shared" si="15"/>
        <v>2644.3739395946677</v>
      </c>
      <c r="J56" s="105">
        <f t="shared" si="15"/>
        <v>2577.2351878737081</v>
      </c>
      <c r="K56" s="105">
        <f t="shared" si="15"/>
        <v>2506.7823786329109</v>
      </c>
      <c r="L56" s="105">
        <f t="shared" si="15"/>
        <v>2432.8935633862347</v>
      </c>
      <c r="M56" s="105">
        <f t="shared" si="15"/>
        <v>2365.4426488130239</v>
      </c>
      <c r="N56" s="105">
        <f t="shared" si="15"/>
        <v>2314.2992571046643</v>
      </c>
      <c r="O56" s="106">
        <f t="shared" si="15"/>
        <v>2259.3285815507934</v>
      </c>
    </row>
    <row r="57" spans="2:20" s="34" customFormat="1" ht="16" thickBot="1" x14ac:dyDescent="0.4">
      <c r="B57" s="107" t="s">
        <v>48</v>
      </c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33">
        <f>0.05*'Balance Sheet (Case Exhibit 6)'!P24</f>
        <v>884</v>
      </c>
    </row>
    <row r="58" spans="2:20" s="34" customFormat="1" ht="16" thickBot="1" x14ac:dyDescent="0.4">
      <c r="B58" s="95" t="s">
        <v>90</v>
      </c>
      <c r="C58" s="110">
        <f t="shared" ref="C58:O58" si="16">SUM(C56:C57)</f>
        <v>0</v>
      </c>
      <c r="D58" s="111">
        <f t="shared" si="16"/>
        <v>0</v>
      </c>
      <c r="E58" s="111">
        <f t="shared" si="16"/>
        <v>0</v>
      </c>
      <c r="F58" s="111">
        <f t="shared" si="16"/>
        <v>2837.0659671030994</v>
      </c>
      <c r="G58" s="111">
        <f t="shared" si="16"/>
        <v>2779.177146116192</v>
      </c>
      <c r="H58" s="111">
        <f t="shared" si="16"/>
        <v>2718.3165724996775</v>
      </c>
      <c r="I58" s="111">
        <f t="shared" si="16"/>
        <v>2644.3739395946677</v>
      </c>
      <c r="J58" s="111">
        <f t="shared" si="16"/>
        <v>2577.2351878737081</v>
      </c>
      <c r="K58" s="111">
        <f t="shared" si="16"/>
        <v>2506.7823786329109</v>
      </c>
      <c r="L58" s="111">
        <f t="shared" si="16"/>
        <v>2432.8935633862347</v>
      </c>
      <c r="M58" s="111">
        <f t="shared" si="16"/>
        <v>2365.4426488130239</v>
      </c>
      <c r="N58" s="111">
        <f t="shared" si="16"/>
        <v>2314.2992571046643</v>
      </c>
      <c r="O58" s="112">
        <f t="shared" si="16"/>
        <v>3143.3285815507934</v>
      </c>
    </row>
    <row r="59" spans="2:20" s="34" customFormat="1" ht="15.5" x14ac:dyDescent="0.35">
      <c r="B59" s="99" t="s">
        <v>50</v>
      </c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2"/>
    </row>
    <row r="60" spans="2:20" s="34" customFormat="1" ht="15.5" x14ac:dyDescent="0.35">
      <c r="B60" s="103" t="s">
        <v>103</v>
      </c>
      <c r="C60" s="113">
        <f>C47</f>
        <v>3460</v>
      </c>
      <c r="D60" s="114">
        <f t="shared" ref="D60:O60" si="17">D47</f>
        <v>5520</v>
      </c>
      <c r="E60" s="114">
        <f t="shared" si="17"/>
        <v>4570</v>
      </c>
      <c r="F60" s="8">
        <f t="shared" si="17"/>
        <v>0</v>
      </c>
      <c r="G60" s="8">
        <f t="shared" si="17"/>
        <v>0</v>
      </c>
      <c r="H60" s="8">
        <f t="shared" si="17"/>
        <v>0</v>
      </c>
      <c r="I60" s="8">
        <f t="shared" si="17"/>
        <v>0</v>
      </c>
      <c r="J60" s="8">
        <f t="shared" si="17"/>
        <v>0</v>
      </c>
      <c r="K60" s="8">
        <f t="shared" si="17"/>
        <v>0</v>
      </c>
      <c r="L60" s="8">
        <f t="shared" si="17"/>
        <v>0</v>
      </c>
      <c r="M60" s="8">
        <f t="shared" si="17"/>
        <v>0</v>
      </c>
      <c r="N60" s="8">
        <f t="shared" si="17"/>
        <v>0</v>
      </c>
      <c r="O60" s="9">
        <f t="shared" si="17"/>
        <v>0</v>
      </c>
    </row>
    <row r="61" spans="2:20" s="34" customFormat="1" ht="16" thickBot="1" x14ac:dyDescent="0.4">
      <c r="B61" s="107" t="s">
        <v>92</v>
      </c>
      <c r="C61" s="115">
        <f t="shared" ref="C61:O61" si="18">C48</f>
        <v>0</v>
      </c>
      <c r="D61" s="116">
        <f t="shared" si="18"/>
        <v>0</v>
      </c>
      <c r="E61" s="116">
        <f t="shared" si="18"/>
        <v>0</v>
      </c>
      <c r="F61" s="117">
        <f t="shared" si="18"/>
        <v>310</v>
      </c>
      <c r="G61" s="117">
        <f t="shared" si="18"/>
        <v>0</v>
      </c>
      <c r="H61" s="116">
        <f t="shared" si="18"/>
        <v>10</v>
      </c>
      <c r="I61" s="116">
        <f t="shared" si="18"/>
        <v>0</v>
      </c>
      <c r="J61" s="116">
        <f t="shared" si="18"/>
        <v>10</v>
      </c>
      <c r="K61" s="116">
        <f t="shared" si="18"/>
        <v>10</v>
      </c>
      <c r="L61" s="116">
        <f t="shared" si="18"/>
        <v>0</v>
      </c>
      <c r="M61" s="116">
        <f t="shared" si="18"/>
        <v>10</v>
      </c>
      <c r="N61" s="116">
        <f t="shared" si="18"/>
        <v>10</v>
      </c>
      <c r="O61" s="118">
        <f t="shared" si="18"/>
        <v>0</v>
      </c>
    </row>
    <row r="62" spans="2:20" s="34" customFormat="1" ht="15.5" x14ac:dyDescent="0.35">
      <c r="B62" s="119" t="s">
        <v>53</v>
      </c>
      <c r="C62" s="120">
        <f t="shared" ref="C62:O62" si="19">C60+C61</f>
        <v>3460</v>
      </c>
      <c r="D62" s="121">
        <f t="shared" si="19"/>
        <v>5520</v>
      </c>
      <c r="E62" s="121">
        <f t="shared" si="19"/>
        <v>4570</v>
      </c>
      <c r="F62" s="121">
        <f t="shared" si="19"/>
        <v>310</v>
      </c>
      <c r="G62" s="121">
        <f t="shared" si="19"/>
        <v>0</v>
      </c>
      <c r="H62" s="121">
        <f t="shared" si="19"/>
        <v>10</v>
      </c>
      <c r="I62" s="121">
        <f t="shared" si="19"/>
        <v>0</v>
      </c>
      <c r="J62" s="121">
        <f t="shared" si="19"/>
        <v>10</v>
      </c>
      <c r="K62" s="121">
        <f t="shared" si="19"/>
        <v>10</v>
      </c>
      <c r="L62" s="121">
        <f t="shared" si="19"/>
        <v>0</v>
      </c>
      <c r="M62" s="121">
        <f t="shared" si="19"/>
        <v>10</v>
      </c>
      <c r="N62" s="121">
        <f t="shared" si="19"/>
        <v>10</v>
      </c>
      <c r="O62" s="122">
        <f t="shared" si="19"/>
        <v>0</v>
      </c>
    </row>
    <row r="63" spans="2:20" s="34" customFormat="1" ht="16" thickBot="1" x14ac:dyDescent="0.4">
      <c r="B63" s="123" t="s">
        <v>93</v>
      </c>
      <c r="C63" s="124">
        <f t="shared" ref="C63:O63" si="20">C58-C62</f>
        <v>-3460</v>
      </c>
      <c r="D63" s="125">
        <f t="shared" si="20"/>
        <v>-5520</v>
      </c>
      <c r="E63" s="125">
        <f t="shared" si="20"/>
        <v>-4570</v>
      </c>
      <c r="F63" s="125">
        <f t="shared" si="20"/>
        <v>2527.0659671030994</v>
      </c>
      <c r="G63" s="125">
        <f t="shared" si="20"/>
        <v>2779.177146116192</v>
      </c>
      <c r="H63" s="125">
        <f t="shared" si="20"/>
        <v>2708.3165724996775</v>
      </c>
      <c r="I63" s="125">
        <f t="shared" si="20"/>
        <v>2644.3739395946677</v>
      </c>
      <c r="J63" s="125">
        <f t="shared" si="20"/>
        <v>2567.2351878737081</v>
      </c>
      <c r="K63" s="125">
        <f t="shared" si="20"/>
        <v>2496.7823786329109</v>
      </c>
      <c r="L63" s="125">
        <f t="shared" si="20"/>
        <v>2432.8935633862347</v>
      </c>
      <c r="M63" s="125">
        <f t="shared" si="20"/>
        <v>2355.4426488130239</v>
      </c>
      <c r="N63" s="125">
        <f t="shared" si="20"/>
        <v>2304.2992571046643</v>
      </c>
      <c r="O63" s="126">
        <f t="shared" si="20"/>
        <v>3143.3285815507934</v>
      </c>
    </row>
    <row r="64" spans="2:20" s="34" customFormat="1" ht="16" thickBot="1" x14ac:dyDescent="0.4">
      <c r="B64" s="127" t="s">
        <v>95</v>
      </c>
      <c r="C64" s="128">
        <f>IRR(C63:O63)</f>
        <v>0.11465692343063538</v>
      </c>
      <c r="D64" s="129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1"/>
    </row>
    <row r="65" spans="3:15" s="34" customFormat="1" x14ac:dyDescent="0.35"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</row>
    <row r="66" spans="3:15" s="34" customFormat="1" x14ac:dyDescent="0.35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</row>
    <row r="67" spans="3:15" s="34" customFormat="1" x14ac:dyDescent="0.3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</row>
    <row r="68" spans="3:15" s="34" customFormat="1" x14ac:dyDescent="0.35"/>
    <row r="69" spans="3:15" s="34" customFormat="1" x14ac:dyDescent="0.35"/>
    <row r="70" spans="3:15" s="34" customFormat="1" x14ac:dyDescent="0.35"/>
    <row r="71" spans="3:15" s="34" customFormat="1" x14ac:dyDescent="0.35"/>
    <row r="72" spans="3:15" s="34" customFormat="1" x14ac:dyDescent="0.35"/>
    <row r="73" spans="3:15" s="34" customFormat="1" x14ac:dyDescent="0.35"/>
    <row r="74" spans="3:15" s="34" customFormat="1" x14ac:dyDescent="0.35"/>
    <row r="75" spans="3:15" s="34" customFormat="1" x14ac:dyDescent="0.35"/>
    <row r="76" spans="3:15" s="34" customFormat="1" x14ac:dyDescent="0.35"/>
    <row r="77" spans="3:15" s="34" customFormat="1" x14ac:dyDescent="0.35"/>
    <row r="78" spans="3:15" s="34" customFormat="1" x14ac:dyDescent="0.35"/>
    <row r="79" spans="3:15" s="34" customFormat="1" x14ac:dyDescent="0.35"/>
    <row r="80" spans="3:15" s="34" customFormat="1" x14ac:dyDescent="0.35"/>
    <row r="81" s="34" customFormat="1" x14ac:dyDescent="0.35"/>
    <row r="82" s="34" customFormat="1" x14ac:dyDescent="0.35"/>
    <row r="83" s="34" customFormat="1" x14ac:dyDescent="0.35"/>
    <row r="84" s="34" customFormat="1" x14ac:dyDescent="0.35"/>
    <row r="85" s="34" customFormat="1" x14ac:dyDescent="0.35"/>
    <row r="86" s="34" customFormat="1" x14ac:dyDescent="0.35"/>
    <row r="87" s="34" customFormat="1" x14ac:dyDescent="0.35"/>
    <row r="88" s="34" customFormat="1" x14ac:dyDescent="0.35"/>
    <row r="89" s="34" customFormat="1" x14ac:dyDescent="0.35"/>
    <row r="90" s="34" customFormat="1" x14ac:dyDescent="0.35"/>
    <row r="91" s="34" customFormat="1" x14ac:dyDescent="0.35"/>
    <row r="92" s="34" customFormat="1" x14ac:dyDescent="0.35"/>
    <row r="93" s="34" customFormat="1" x14ac:dyDescent="0.35"/>
    <row r="94" s="34" customFormat="1" x14ac:dyDescent="0.35"/>
    <row r="95" s="34" customFormat="1" x14ac:dyDescent="0.35"/>
    <row r="96" s="34" customFormat="1" x14ac:dyDescent="0.35"/>
    <row r="97" s="34" customFormat="1" x14ac:dyDescent="0.35"/>
    <row r="98" s="34" customFormat="1" x14ac:dyDescent="0.35"/>
    <row r="99" s="34" customFormat="1" x14ac:dyDescent="0.35"/>
    <row r="100" s="34" customFormat="1" x14ac:dyDescent="0.35"/>
    <row r="101" s="34" customFormat="1" x14ac:dyDescent="0.35"/>
    <row r="102" s="34" customFormat="1" x14ac:dyDescent="0.35"/>
  </sheetData>
  <mergeCells count="4">
    <mergeCell ref="B2:C2"/>
    <mergeCell ref="B9:Q9"/>
    <mergeCell ref="B40:T40"/>
    <mergeCell ref="B53:O53"/>
  </mergeCells>
  <pageMargins left="0.75" right="0.75" top="1" bottom="1" header="0.3" footer="0.3"/>
  <pageSetup paperSize="9" orientation="portrait" horizontalDpi="1200" verticalDpi="12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102"/>
  <sheetViews>
    <sheetView showGridLines="0" workbookViewId="0"/>
  </sheetViews>
  <sheetFormatPr baseColWidth="10" defaultColWidth="8.81640625" defaultRowHeight="14.5" x14ac:dyDescent="0.35"/>
  <cols>
    <col min="2" max="2" width="39" bestFit="1" customWidth="1"/>
    <col min="3" max="3" width="7.81640625" customWidth="1"/>
    <col min="4" max="6" width="6.6328125" customWidth="1"/>
    <col min="7" max="8" width="7.1796875" customWidth="1"/>
    <col min="9" max="11" width="6.6328125" customWidth="1"/>
    <col min="12" max="12" width="7.26953125" customWidth="1"/>
    <col min="13" max="20" width="6.6328125" customWidth="1"/>
    <col min="22" max="22" width="12.453125" bestFit="1" customWidth="1"/>
  </cols>
  <sheetData>
    <row r="1" spans="2:18" ht="15" thickBot="1" x14ac:dyDescent="0.4"/>
    <row r="2" spans="2:18" ht="15" thickBot="1" x14ac:dyDescent="0.4">
      <c r="B2" s="496" t="s">
        <v>37</v>
      </c>
      <c r="C2" s="497"/>
      <c r="E2" s="57" t="s">
        <v>38</v>
      </c>
      <c r="F2" s="58"/>
      <c r="G2" s="141">
        <f>SUM(C31:L31,C24:L24,C26:L26)/SUM(C24:L24,C34:L34)</f>
        <v>1.3885334147301731</v>
      </c>
    </row>
    <row r="3" spans="2:18" x14ac:dyDescent="0.35">
      <c r="B3" s="59" t="s">
        <v>16</v>
      </c>
      <c r="C3" s="60">
        <v>0.85</v>
      </c>
      <c r="E3" s="61" t="s">
        <v>58</v>
      </c>
      <c r="F3" s="139"/>
      <c r="G3" s="142">
        <f>C51</f>
        <v>0.12133026933973445</v>
      </c>
    </row>
    <row r="4" spans="2:18" ht="15" thickBot="1" x14ac:dyDescent="0.4">
      <c r="B4" s="62" t="s">
        <v>39</v>
      </c>
      <c r="C4" s="63">
        <v>1</v>
      </c>
      <c r="E4" s="64" t="s">
        <v>59</v>
      </c>
      <c r="F4" s="140"/>
      <c r="G4" s="143">
        <f>C64</f>
        <v>9.35648162281566E-2</v>
      </c>
    </row>
    <row r="5" spans="2:18" x14ac:dyDescent="0.35">
      <c r="B5" s="62" t="s">
        <v>40</v>
      </c>
      <c r="C5" s="65">
        <v>0.12</v>
      </c>
    </row>
    <row r="6" spans="2:18" ht="15" thickBot="1" x14ac:dyDescent="0.4">
      <c r="B6" s="66" t="s">
        <v>41</v>
      </c>
      <c r="C6" s="67">
        <v>1.1000000000000001</v>
      </c>
    </row>
    <row r="8" spans="2:18" ht="15" thickBot="1" x14ac:dyDescent="0.4"/>
    <row r="9" spans="2:18" ht="16" thickBot="1" x14ac:dyDescent="0.4">
      <c r="B9" s="491" t="s">
        <v>0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3"/>
    </row>
    <row r="10" spans="2:18" s="68" customFormat="1" ht="16" thickBot="1" x14ac:dyDescent="0.4">
      <c r="B10" s="30" t="s">
        <v>14</v>
      </c>
      <c r="C10" s="2">
        <v>2013</v>
      </c>
      <c r="D10" s="2">
        <v>2014</v>
      </c>
      <c r="E10" s="2">
        <v>2015</v>
      </c>
      <c r="F10" s="2">
        <v>2016</v>
      </c>
      <c r="G10" s="2">
        <v>2017</v>
      </c>
      <c r="H10" s="2">
        <v>2018</v>
      </c>
      <c r="I10" s="2">
        <v>2019</v>
      </c>
      <c r="J10" s="2">
        <v>2020</v>
      </c>
      <c r="K10" s="2">
        <v>2021</v>
      </c>
      <c r="L10" s="2">
        <v>2022</v>
      </c>
      <c r="M10" s="2">
        <v>2023</v>
      </c>
      <c r="N10" s="2">
        <v>2024</v>
      </c>
      <c r="O10" s="2">
        <v>2025</v>
      </c>
      <c r="P10" s="2">
        <v>2026</v>
      </c>
      <c r="Q10" s="3">
        <v>2027</v>
      </c>
    </row>
    <row r="11" spans="2:18" s="34" customFormat="1" ht="15.5" x14ac:dyDescent="0.35">
      <c r="B11" s="31" t="s">
        <v>15</v>
      </c>
      <c r="C11" s="69">
        <v>300</v>
      </c>
      <c r="D11" s="69">
        <v>300</v>
      </c>
      <c r="E11" s="69">
        <v>300</v>
      </c>
      <c r="F11" s="69">
        <v>300</v>
      </c>
      <c r="G11" s="69">
        <v>300</v>
      </c>
      <c r="H11" s="69">
        <v>300</v>
      </c>
      <c r="I11" s="69">
        <v>300</v>
      </c>
      <c r="J11" s="69">
        <v>300</v>
      </c>
      <c r="K11" s="69">
        <v>300</v>
      </c>
      <c r="L11" s="69">
        <v>300</v>
      </c>
      <c r="M11" s="69">
        <v>300</v>
      </c>
      <c r="N11" s="69">
        <v>300</v>
      </c>
      <c r="O11" s="69">
        <v>300</v>
      </c>
      <c r="P11" s="69">
        <v>300</v>
      </c>
      <c r="Q11" s="70">
        <v>300</v>
      </c>
      <c r="R11" s="71"/>
    </row>
    <row r="12" spans="2:18" s="34" customFormat="1" ht="15.5" x14ac:dyDescent="0.35">
      <c r="B12" s="35" t="s">
        <v>16</v>
      </c>
      <c r="C12" s="72">
        <f>$C$3</f>
        <v>0.85</v>
      </c>
      <c r="D12" s="72">
        <f t="shared" ref="D12:Q12" si="0">$C$3</f>
        <v>0.85</v>
      </c>
      <c r="E12" s="72">
        <f t="shared" si="0"/>
        <v>0.85</v>
      </c>
      <c r="F12" s="72">
        <f t="shared" si="0"/>
        <v>0.85</v>
      </c>
      <c r="G12" s="72">
        <f t="shared" si="0"/>
        <v>0.85</v>
      </c>
      <c r="H12" s="72">
        <f t="shared" si="0"/>
        <v>0.85</v>
      </c>
      <c r="I12" s="72">
        <f t="shared" si="0"/>
        <v>0.85</v>
      </c>
      <c r="J12" s="72">
        <f t="shared" si="0"/>
        <v>0.85</v>
      </c>
      <c r="K12" s="72">
        <f t="shared" si="0"/>
        <v>0.85</v>
      </c>
      <c r="L12" s="72">
        <f t="shared" si="0"/>
        <v>0.85</v>
      </c>
      <c r="M12" s="72">
        <f t="shared" si="0"/>
        <v>0.85</v>
      </c>
      <c r="N12" s="72">
        <f t="shared" si="0"/>
        <v>0.85</v>
      </c>
      <c r="O12" s="72">
        <f t="shared" si="0"/>
        <v>0.85</v>
      </c>
      <c r="P12" s="72">
        <f t="shared" si="0"/>
        <v>0.85</v>
      </c>
      <c r="Q12" s="73">
        <f t="shared" si="0"/>
        <v>0.85</v>
      </c>
      <c r="R12" s="71"/>
    </row>
    <row r="13" spans="2:18" s="34" customFormat="1" ht="15.5" x14ac:dyDescent="0.35">
      <c r="B13" s="35" t="s">
        <v>17</v>
      </c>
      <c r="C13" s="74">
        <f t="shared" ref="C13:Q13" si="1">C11*1000*24*365*C12/1000000</f>
        <v>2233.8000000000002</v>
      </c>
      <c r="D13" s="74">
        <f t="shared" si="1"/>
        <v>2233.8000000000002</v>
      </c>
      <c r="E13" s="74">
        <f t="shared" si="1"/>
        <v>2233.8000000000002</v>
      </c>
      <c r="F13" s="74">
        <f t="shared" si="1"/>
        <v>2233.8000000000002</v>
      </c>
      <c r="G13" s="74">
        <f t="shared" si="1"/>
        <v>2233.8000000000002</v>
      </c>
      <c r="H13" s="74">
        <f t="shared" si="1"/>
        <v>2233.8000000000002</v>
      </c>
      <c r="I13" s="74">
        <f t="shared" si="1"/>
        <v>2233.8000000000002</v>
      </c>
      <c r="J13" s="74">
        <f t="shared" si="1"/>
        <v>2233.8000000000002</v>
      </c>
      <c r="K13" s="74">
        <f t="shared" si="1"/>
        <v>2233.8000000000002</v>
      </c>
      <c r="L13" s="74">
        <f t="shared" si="1"/>
        <v>2233.8000000000002</v>
      </c>
      <c r="M13" s="74">
        <f t="shared" si="1"/>
        <v>2233.8000000000002</v>
      </c>
      <c r="N13" s="74">
        <f t="shared" si="1"/>
        <v>2233.8000000000002</v>
      </c>
      <c r="O13" s="74">
        <f t="shared" si="1"/>
        <v>2233.8000000000002</v>
      </c>
      <c r="P13" s="74">
        <f t="shared" si="1"/>
        <v>2233.8000000000002</v>
      </c>
      <c r="Q13" s="75">
        <f t="shared" si="1"/>
        <v>2233.8000000000002</v>
      </c>
      <c r="R13" s="71"/>
    </row>
    <row r="14" spans="2:18" s="34" customFormat="1" ht="15.5" x14ac:dyDescent="0.35">
      <c r="B14" s="35" t="s">
        <v>18</v>
      </c>
      <c r="C14" s="76">
        <v>201</v>
      </c>
      <c r="D14" s="76">
        <v>201</v>
      </c>
      <c r="E14" s="76">
        <v>201</v>
      </c>
      <c r="F14" s="76">
        <v>201</v>
      </c>
      <c r="G14" s="76">
        <v>201</v>
      </c>
      <c r="H14" s="76">
        <v>201</v>
      </c>
      <c r="I14" s="76">
        <v>201</v>
      </c>
      <c r="J14" s="76">
        <v>201</v>
      </c>
      <c r="K14" s="76">
        <v>201</v>
      </c>
      <c r="L14" s="76">
        <v>201</v>
      </c>
      <c r="M14" s="76">
        <v>201</v>
      </c>
      <c r="N14" s="76">
        <v>201</v>
      </c>
      <c r="O14" s="76">
        <v>201</v>
      </c>
      <c r="P14" s="76">
        <v>201</v>
      </c>
      <c r="Q14" s="77">
        <v>201</v>
      </c>
      <c r="R14" s="71"/>
    </row>
    <row r="15" spans="2:18" s="34" customFormat="1" ht="15.5" x14ac:dyDescent="0.35">
      <c r="B15" s="78" t="s">
        <v>19</v>
      </c>
      <c r="C15" s="74">
        <f t="shared" ref="C15:Q15" si="2">C13-C14</f>
        <v>2032.8000000000002</v>
      </c>
      <c r="D15" s="74">
        <f t="shared" si="2"/>
        <v>2032.8000000000002</v>
      </c>
      <c r="E15" s="74">
        <f t="shared" si="2"/>
        <v>2032.8000000000002</v>
      </c>
      <c r="F15" s="74">
        <f t="shared" si="2"/>
        <v>2032.8000000000002</v>
      </c>
      <c r="G15" s="74">
        <f t="shared" si="2"/>
        <v>2032.8000000000002</v>
      </c>
      <c r="H15" s="74">
        <f t="shared" si="2"/>
        <v>2032.8000000000002</v>
      </c>
      <c r="I15" s="74">
        <f t="shared" si="2"/>
        <v>2032.8000000000002</v>
      </c>
      <c r="J15" s="74">
        <f t="shared" si="2"/>
        <v>2032.8000000000002</v>
      </c>
      <c r="K15" s="74">
        <f t="shared" si="2"/>
        <v>2032.8000000000002</v>
      </c>
      <c r="L15" s="74">
        <f t="shared" si="2"/>
        <v>2032.8000000000002</v>
      </c>
      <c r="M15" s="74">
        <f t="shared" si="2"/>
        <v>2032.8000000000002</v>
      </c>
      <c r="N15" s="74">
        <f t="shared" si="2"/>
        <v>2032.8000000000002</v>
      </c>
      <c r="O15" s="74">
        <f t="shared" si="2"/>
        <v>2032.8000000000002</v>
      </c>
      <c r="P15" s="74">
        <f t="shared" si="2"/>
        <v>2032.8000000000002</v>
      </c>
      <c r="Q15" s="75">
        <f t="shared" si="2"/>
        <v>2032.8000000000002</v>
      </c>
    </row>
    <row r="16" spans="2:18" s="34" customFormat="1" ht="15.5" x14ac:dyDescent="0.35">
      <c r="B16" s="35" t="s">
        <v>20</v>
      </c>
      <c r="C16" s="79">
        <v>3.25</v>
      </c>
      <c r="D16" s="79">
        <f>C16*1.01</f>
        <v>3.2825000000000002</v>
      </c>
      <c r="E16" s="79">
        <f t="shared" ref="E16:Q16" si="3">D16*1.01</f>
        <v>3.3153250000000001</v>
      </c>
      <c r="F16" s="79">
        <f t="shared" si="3"/>
        <v>3.3484782500000003</v>
      </c>
      <c r="G16" s="79">
        <f t="shared" si="3"/>
        <v>3.3819630325000003</v>
      </c>
      <c r="H16" s="79">
        <f t="shared" si="3"/>
        <v>3.4157826628250003</v>
      </c>
      <c r="I16" s="79">
        <f t="shared" si="3"/>
        <v>3.4499404894532502</v>
      </c>
      <c r="J16" s="79">
        <f t="shared" si="3"/>
        <v>3.4844398943477826</v>
      </c>
      <c r="K16" s="79">
        <f t="shared" si="3"/>
        <v>3.5192842932912605</v>
      </c>
      <c r="L16" s="79">
        <f t="shared" si="3"/>
        <v>3.5544771362241732</v>
      </c>
      <c r="M16" s="79">
        <f t="shared" si="3"/>
        <v>3.590021907586415</v>
      </c>
      <c r="N16" s="79">
        <f t="shared" si="3"/>
        <v>3.6259221266622794</v>
      </c>
      <c r="O16" s="79">
        <f t="shared" si="3"/>
        <v>3.662181347928902</v>
      </c>
      <c r="P16" s="79">
        <f t="shared" si="3"/>
        <v>3.6988031614081911</v>
      </c>
      <c r="Q16" s="80">
        <f t="shared" si="3"/>
        <v>3.7357911930222731</v>
      </c>
      <c r="R16" s="81"/>
    </row>
    <row r="17" spans="2:22" s="34" customFormat="1" ht="15.5" x14ac:dyDescent="0.35">
      <c r="B17" s="82" t="s">
        <v>21</v>
      </c>
      <c r="C17" s="83">
        <f>C15*C16</f>
        <v>6606.6</v>
      </c>
      <c r="D17" s="83">
        <f t="shared" ref="D17:Q17" si="4">D15*D16</f>
        <v>6672.6660000000011</v>
      </c>
      <c r="E17" s="83">
        <f t="shared" si="4"/>
        <v>6739.3926600000004</v>
      </c>
      <c r="F17" s="83">
        <f t="shared" si="4"/>
        <v>6806.7865866000011</v>
      </c>
      <c r="G17" s="83">
        <f t="shared" si="4"/>
        <v>6874.854452466001</v>
      </c>
      <c r="H17" s="83">
        <f t="shared" si="4"/>
        <v>6943.6029969906613</v>
      </c>
      <c r="I17" s="83">
        <f t="shared" si="4"/>
        <v>7013.0390269605678</v>
      </c>
      <c r="J17" s="83">
        <f t="shared" si="4"/>
        <v>7083.1694172301732</v>
      </c>
      <c r="K17" s="83">
        <f t="shared" si="4"/>
        <v>7154.0011114024746</v>
      </c>
      <c r="L17" s="83">
        <f t="shared" si="4"/>
        <v>7225.5411225164999</v>
      </c>
      <c r="M17" s="83">
        <f t="shared" si="4"/>
        <v>7297.7965337416654</v>
      </c>
      <c r="N17" s="83">
        <f t="shared" si="4"/>
        <v>7370.7744990790825</v>
      </c>
      <c r="O17" s="83">
        <f t="shared" si="4"/>
        <v>7444.4822440698726</v>
      </c>
      <c r="P17" s="83">
        <f t="shared" si="4"/>
        <v>7518.9270665105714</v>
      </c>
      <c r="Q17" s="84">
        <f t="shared" si="4"/>
        <v>7594.1163371756775</v>
      </c>
    </row>
    <row r="18" spans="2:22" s="34" customFormat="1" ht="15.5" x14ac:dyDescent="0.35">
      <c r="B18" s="45" t="s">
        <v>22</v>
      </c>
      <c r="C18" s="144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</row>
    <row r="19" spans="2:22" s="34" customFormat="1" ht="15.5" x14ac:dyDescent="0.35">
      <c r="B19" s="35" t="s">
        <v>23</v>
      </c>
      <c r="C19" s="74">
        <f>('Operating Data'!$C$23*((1.03^(C10-2012))))*$C$6</f>
        <v>3339.363272558659</v>
      </c>
      <c r="D19" s="76">
        <f>('Operating Data'!$C$23*((1.03^(D10-2012))))*$C$6</f>
        <v>3439.544170735418</v>
      </c>
      <c r="E19" s="76">
        <f>('Operating Data'!$C$23*((1.03^(E10-2012))))*$C$6</f>
        <v>3542.7304958574809</v>
      </c>
      <c r="F19" s="76">
        <f>('Operating Data'!$C$23*((1.03^(F10-2012))))*$C$6</f>
        <v>3649.0124107332053</v>
      </c>
      <c r="G19" s="76">
        <f>('Operating Data'!$C$23*((1.03^(G10-2012))))*$C$6</f>
        <v>3758.4827830552013</v>
      </c>
      <c r="H19" s="76">
        <f>('Operating Data'!$C$23*((1.03^(H10-2012))))*$C$6</f>
        <v>3871.2372665468574</v>
      </c>
      <c r="I19" s="76">
        <f>('Operating Data'!$C$23*((1.03^(I10-2012))))*$C$6</f>
        <v>3987.3743845432637</v>
      </c>
      <c r="J19" s="76">
        <f>('Operating Data'!$C$23*((1.03^(J10-2012))))*$C$6</f>
        <v>4106.9956160795609</v>
      </c>
      <c r="K19" s="76">
        <f>('Operating Data'!$C$23*((1.03^(K10-2012))))*$C$6</f>
        <v>4230.2054845619477</v>
      </c>
      <c r="L19" s="76">
        <f>('Operating Data'!$C$23*((1.03^(L10-2012))))*$C$6</f>
        <v>4357.1116490988061</v>
      </c>
      <c r="M19" s="76">
        <f>('Operating Data'!$C$23*((1.03^(M10-2012))))*$C$6</f>
        <v>4487.8249985717703</v>
      </c>
      <c r="N19" s="76">
        <f>('Operating Data'!$C$23*((1.03^(N10-2012))))*$C$6</f>
        <v>4622.4597485289232</v>
      </c>
      <c r="O19" s="76">
        <f>('Operating Data'!$C$23*((1.03^(O10-2012))))*$C$6</f>
        <v>4761.1335409847907</v>
      </c>
      <c r="P19" s="76">
        <f>('Operating Data'!$C$23*((1.03^(P10-2012))))*$C$6</f>
        <v>4903.9675472143344</v>
      </c>
      <c r="Q19" s="77">
        <f>('Operating Data'!$C$23*((1.03^(Q10-2012))))*$C$6</f>
        <v>5051.0865736307642</v>
      </c>
    </row>
    <row r="20" spans="2:22" s="34" customFormat="1" ht="15.5" x14ac:dyDescent="0.35">
      <c r="B20" s="35" t="s">
        <v>24</v>
      </c>
      <c r="C20" s="74">
        <f>((1.55*C11*((1.04)^(C10-2012)))-10)*($C$3/85%)</f>
        <v>473.6</v>
      </c>
      <c r="D20" s="74">
        <f t="shared" ref="D20:Q20" si="5">((1.55*D11*((1.04)^(D10-2012)))-10)*($C$3/85%)</f>
        <v>492.94400000000007</v>
      </c>
      <c r="E20" s="74">
        <f t="shared" si="5"/>
        <v>513.06176000000005</v>
      </c>
      <c r="F20" s="74">
        <f t="shared" si="5"/>
        <v>533.98423040000011</v>
      </c>
      <c r="G20" s="74">
        <f t="shared" si="5"/>
        <v>555.74359961600021</v>
      </c>
      <c r="H20" s="74">
        <f t="shared" si="5"/>
        <v>578.37334360064017</v>
      </c>
      <c r="I20" s="74">
        <f t="shared" si="5"/>
        <v>601.90827734466575</v>
      </c>
      <c r="J20" s="74">
        <f t="shared" si="5"/>
        <v>626.38460843845246</v>
      </c>
      <c r="K20" s="74">
        <f t="shared" si="5"/>
        <v>651.83999277599059</v>
      </c>
      <c r="L20" s="74">
        <f t="shared" si="5"/>
        <v>678.31359248703018</v>
      </c>
      <c r="M20" s="74">
        <f t="shared" si="5"/>
        <v>705.84613618651144</v>
      </c>
      <c r="N20" s="74">
        <f t="shared" si="5"/>
        <v>734.47998163397199</v>
      </c>
      <c r="O20" s="74">
        <f t="shared" si="5"/>
        <v>764.25918089933089</v>
      </c>
      <c r="P20" s="74">
        <f t="shared" si="5"/>
        <v>795.22954813530419</v>
      </c>
      <c r="Q20" s="75">
        <f t="shared" si="5"/>
        <v>827.43873006071624</v>
      </c>
    </row>
    <row r="21" spans="2:22" s="34" customFormat="1" ht="15.5" x14ac:dyDescent="0.35">
      <c r="B21" s="82" t="s">
        <v>25</v>
      </c>
      <c r="C21" s="76">
        <f t="shared" ref="C21:Q21" si="6">SUM(C19:C20)</f>
        <v>3812.9632725586589</v>
      </c>
      <c r="D21" s="74">
        <f t="shared" si="6"/>
        <v>3932.488170735418</v>
      </c>
      <c r="E21" s="76">
        <f t="shared" si="6"/>
        <v>4055.792255857481</v>
      </c>
      <c r="F21" s="76">
        <f t="shared" si="6"/>
        <v>4182.9966411332052</v>
      </c>
      <c r="G21" s="76">
        <f t="shared" si="6"/>
        <v>4314.2263826712015</v>
      </c>
      <c r="H21" s="76">
        <f t="shared" si="6"/>
        <v>4449.6106101474979</v>
      </c>
      <c r="I21" s="76">
        <f t="shared" si="6"/>
        <v>4589.2826618879299</v>
      </c>
      <c r="J21" s="76">
        <f t="shared" si="6"/>
        <v>4733.3802245180132</v>
      </c>
      <c r="K21" s="76">
        <f t="shared" si="6"/>
        <v>4882.0454773379388</v>
      </c>
      <c r="L21" s="76">
        <f t="shared" si="6"/>
        <v>5035.4252415858364</v>
      </c>
      <c r="M21" s="76">
        <f t="shared" si="6"/>
        <v>5193.6711347582814</v>
      </c>
      <c r="N21" s="76">
        <f t="shared" si="6"/>
        <v>5356.9397301628951</v>
      </c>
      <c r="O21" s="76">
        <f t="shared" si="6"/>
        <v>5525.3927218841218</v>
      </c>
      <c r="P21" s="76">
        <f t="shared" si="6"/>
        <v>5699.1970953496384</v>
      </c>
      <c r="Q21" s="77">
        <f t="shared" si="6"/>
        <v>5878.5253036914801</v>
      </c>
      <c r="V21" s="145"/>
    </row>
    <row r="22" spans="2:22" s="34" customFormat="1" ht="15.5" x14ac:dyDescent="0.35">
      <c r="B22" s="85" t="s">
        <v>26</v>
      </c>
      <c r="C22" s="83">
        <f t="shared" ref="C22:Q22" si="7">C17-C21</f>
        <v>2793.6367274413415</v>
      </c>
      <c r="D22" s="83">
        <f t="shared" si="7"/>
        <v>2740.1778292645831</v>
      </c>
      <c r="E22" s="83">
        <f t="shared" si="7"/>
        <v>2683.6004041425194</v>
      </c>
      <c r="F22" s="83">
        <f t="shared" si="7"/>
        <v>2623.7899454667959</v>
      </c>
      <c r="G22" s="83">
        <f t="shared" si="7"/>
        <v>2560.6280697947996</v>
      </c>
      <c r="H22" s="83">
        <f t="shared" si="7"/>
        <v>2493.9923868431633</v>
      </c>
      <c r="I22" s="83">
        <f t="shared" si="7"/>
        <v>2423.7563650726379</v>
      </c>
      <c r="J22" s="83">
        <f t="shared" si="7"/>
        <v>2349.78919271216</v>
      </c>
      <c r="K22" s="83">
        <f t="shared" si="7"/>
        <v>2271.9556340645358</v>
      </c>
      <c r="L22" s="83">
        <f t="shared" si="7"/>
        <v>2190.1158809306635</v>
      </c>
      <c r="M22" s="83">
        <f t="shared" si="7"/>
        <v>2104.125398983384</v>
      </c>
      <c r="N22" s="83">
        <f t="shared" si="7"/>
        <v>2013.8347689161874</v>
      </c>
      <c r="O22" s="83">
        <f t="shared" si="7"/>
        <v>1919.0895221857509</v>
      </c>
      <c r="P22" s="83">
        <f t="shared" si="7"/>
        <v>1819.729971160933</v>
      </c>
      <c r="Q22" s="84">
        <f t="shared" si="7"/>
        <v>1715.5910334841974</v>
      </c>
    </row>
    <row r="23" spans="2:22" s="34" customFormat="1" ht="15.5" x14ac:dyDescent="0.35">
      <c r="B23" s="45" t="s">
        <v>27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</row>
    <row r="24" spans="2:22" s="34" customFormat="1" ht="15.5" x14ac:dyDescent="0.35">
      <c r="B24" s="35" t="s">
        <v>28</v>
      </c>
      <c r="C24" s="74">
        <f>$C$5*(('Balance Sheet (Case Exhibit 6)'!F12+'Balance Sheet (Case Exhibit 6)'!G12)/2)</f>
        <v>1131.5999999999999</v>
      </c>
      <c r="D24" s="74">
        <f>$C$5*(('Balance Sheet (Case Exhibit 6)'!G12+'Balance Sheet (Case Exhibit 6)'!H12)/2)</f>
        <v>1033.2</v>
      </c>
      <c r="E24" s="74">
        <f>$C$5*(('Balance Sheet (Case Exhibit 6)'!H12+'Balance Sheet (Case Exhibit 6)'!I12)/2)</f>
        <v>903</v>
      </c>
      <c r="F24" s="74">
        <f>$C$5*(('Balance Sheet (Case Exhibit 6)'!I12+'Balance Sheet (Case Exhibit 6)'!J12)/2)</f>
        <v>774</v>
      </c>
      <c r="G24" s="74">
        <f>$C$5*(('Balance Sheet (Case Exhibit 6)'!J12+'Balance Sheet (Case Exhibit 6)'!K12)/2)</f>
        <v>645</v>
      </c>
      <c r="H24" s="74">
        <f>$C$5*(('Balance Sheet (Case Exhibit 6)'!K12+'Balance Sheet (Case Exhibit 6)'!L12)/2)</f>
        <v>516</v>
      </c>
      <c r="I24" s="74">
        <f>$C$5*(('Balance Sheet (Case Exhibit 6)'!L12+'Balance Sheet (Case Exhibit 6)'!M12)/2)</f>
        <v>387</v>
      </c>
      <c r="J24" s="74">
        <f>$C$5*(('Balance Sheet (Case Exhibit 6)'!M12+'Balance Sheet (Case Exhibit 6)'!N12)/2)</f>
        <v>258</v>
      </c>
      <c r="K24" s="74">
        <f>$C$5*(('Balance Sheet (Case Exhibit 6)'!N12+'Balance Sheet (Case Exhibit 6)'!O12)/2)</f>
        <v>129</v>
      </c>
      <c r="L24" s="74">
        <f>$C$5*(('Balance Sheet (Case Exhibit 6)'!O12+'Balance Sheet (Case Exhibit 6)'!P12)/2)</f>
        <v>32.4</v>
      </c>
      <c r="M24" s="76">
        <f>$C$5*(('Balance Sheet (Case Exhibit 6)'!P12+'Balance Sheet (Case Exhibit 6)'!Q12)/2)</f>
        <v>0</v>
      </c>
      <c r="N24" s="76">
        <f>$C$5*(('Balance Sheet (Case Exhibit 6)'!Q12+'Balance Sheet (Case Exhibit 6)'!R12)/2)</f>
        <v>0</v>
      </c>
      <c r="O24" s="76">
        <f>$C$5*(('Balance Sheet (Case Exhibit 6)'!R12+'Balance Sheet (Case Exhibit 6)'!S12)/2)</f>
        <v>0</v>
      </c>
      <c r="P24" s="76">
        <f>$C$5*(('Balance Sheet (Case Exhibit 6)'!S12+'Balance Sheet (Case Exhibit 6)'!T12)/2)</f>
        <v>0</v>
      </c>
      <c r="Q24" s="77">
        <f>$C$5*(('Balance Sheet (Case Exhibit 6)'!T12+'Balance Sheet (Case Exhibit 6)'!U12)/2)</f>
        <v>0</v>
      </c>
    </row>
    <row r="25" spans="2:22" s="34" customFormat="1" ht="15.5" x14ac:dyDescent="0.35">
      <c r="B25" s="35" t="s">
        <v>29</v>
      </c>
      <c r="C25" s="136">
        <f>$C$5*(('Balance Sheet (Case Exhibit 6)'!G13))</f>
        <v>111.6</v>
      </c>
      <c r="D25" s="136">
        <f>$C$5*(('Balance Sheet (Case Exhibit 6)'!G13+'Balance Sheet (Case Exhibit 6)'!H13)/2)</f>
        <v>112.2</v>
      </c>
      <c r="E25" s="136">
        <f>$C$5*(('Balance Sheet (Case Exhibit 6)'!H13+'Balance Sheet (Case Exhibit 6)'!I13)/2)</f>
        <v>114</v>
      </c>
      <c r="F25" s="136">
        <f>$C$5*(('Balance Sheet (Case Exhibit 6)'!I13+'Balance Sheet (Case Exhibit 6)'!J13)/2)</f>
        <v>116.39999999999999</v>
      </c>
      <c r="G25" s="136">
        <f>$C$5*(('Balance Sheet (Case Exhibit 6)'!J13+'Balance Sheet (Case Exhibit 6)'!K13)/2)</f>
        <v>118.19999999999999</v>
      </c>
      <c r="H25" s="136">
        <f>$C$5*(('Balance Sheet (Case Exhibit 6)'!K13+'Balance Sheet (Case Exhibit 6)'!L13)/2)</f>
        <v>120</v>
      </c>
      <c r="I25" s="136">
        <f>$C$5*(('Balance Sheet (Case Exhibit 6)'!L13+'Balance Sheet (Case Exhibit 6)'!M13)/2)</f>
        <v>122.39999999999999</v>
      </c>
      <c r="J25" s="136">
        <f>$C$5*(('Balance Sheet (Case Exhibit 6)'!M13+'Balance Sheet (Case Exhibit 6)'!N13)/2)</f>
        <v>124.8</v>
      </c>
      <c r="K25" s="136">
        <f>$C$5*(('Balance Sheet (Case Exhibit 6)'!N13+'Balance Sheet (Case Exhibit 6)'!O13)/2)</f>
        <v>127.19999999999999</v>
      </c>
      <c r="L25" s="136">
        <f>$C$5*(('Balance Sheet (Case Exhibit 6)'!O13+'Balance Sheet (Case Exhibit 6)'!P13)/2)</f>
        <v>129.6</v>
      </c>
      <c r="M25" s="136">
        <f>$C$5*(('Balance Sheet (Case Exhibit 6)'!P13+'Balance Sheet (Case Exhibit 6)'!Q13)/2)</f>
        <v>132</v>
      </c>
      <c r="N25" s="136">
        <f>$C$5*(('Balance Sheet (Case Exhibit 6)'!Q13+'Balance Sheet (Case Exhibit 6)'!R13)/2)</f>
        <v>134.4</v>
      </c>
      <c r="O25" s="136">
        <f>$C$5*(('Balance Sheet (Case Exhibit 6)'!R13+'Balance Sheet (Case Exhibit 6)'!S13)/2)</f>
        <v>137.4</v>
      </c>
      <c r="P25" s="136">
        <f>$C$5*(('Balance Sheet (Case Exhibit 6)'!S13+'Balance Sheet (Case Exhibit 6)'!T13)/2)</f>
        <v>140.4</v>
      </c>
      <c r="Q25" s="137">
        <f>$C$5*(('Balance Sheet (Case Exhibit 6)'!T13+'Balance Sheet (Case Exhibit 6)'!U13)/2)</f>
        <v>142.79999999999998</v>
      </c>
    </row>
    <row r="26" spans="2:22" s="34" customFormat="1" ht="15.5" x14ac:dyDescent="0.35">
      <c r="B26" s="35" t="s">
        <v>30</v>
      </c>
      <c r="C26" s="38">
        <v>680</v>
      </c>
      <c r="D26" s="38">
        <v>680</v>
      </c>
      <c r="E26" s="38">
        <v>680</v>
      </c>
      <c r="F26" s="38">
        <v>680</v>
      </c>
      <c r="G26" s="38">
        <v>680</v>
      </c>
      <c r="H26" s="38">
        <v>680</v>
      </c>
      <c r="I26" s="38">
        <v>680</v>
      </c>
      <c r="J26" s="38">
        <v>680</v>
      </c>
      <c r="K26" s="38">
        <v>680</v>
      </c>
      <c r="L26" s="38">
        <v>680</v>
      </c>
      <c r="M26" s="38">
        <v>680</v>
      </c>
      <c r="N26" s="38">
        <v>680</v>
      </c>
      <c r="O26" s="38">
        <v>680</v>
      </c>
      <c r="P26" s="38">
        <v>680</v>
      </c>
      <c r="Q26" s="39">
        <v>680</v>
      </c>
    </row>
    <row r="27" spans="2:22" s="34" customFormat="1" ht="15.5" x14ac:dyDescent="0.35">
      <c r="B27" s="52" t="s">
        <v>31</v>
      </c>
      <c r="C27" s="136">
        <f t="shared" ref="C27:Q27" si="8">C22-C24-C25-C26</f>
        <v>870.43672744134165</v>
      </c>
      <c r="D27" s="83">
        <f t="shared" si="8"/>
        <v>914.77782926458303</v>
      </c>
      <c r="E27" s="83">
        <f t="shared" si="8"/>
        <v>986.60040414251944</v>
      </c>
      <c r="F27" s="83">
        <f t="shared" si="8"/>
        <v>1053.3899454667958</v>
      </c>
      <c r="G27" s="83">
        <f t="shared" si="8"/>
        <v>1117.4280697947995</v>
      </c>
      <c r="H27" s="83">
        <f t="shared" si="8"/>
        <v>1177.9923868431633</v>
      </c>
      <c r="I27" s="83">
        <f t="shared" si="8"/>
        <v>1234.3563650726378</v>
      </c>
      <c r="J27" s="83">
        <f t="shared" si="8"/>
        <v>1286.98919271216</v>
      </c>
      <c r="K27" s="83">
        <f t="shared" si="8"/>
        <v>1335.7556340645358</v>
      </c>
      <c r="L27" s="83">
        <f t="shared" si="8"/>
        <v>1348.1158809306635</v>
      </c>
      <c r="M27" s="83">
        <f t="shared" si="8"/>
        <v>1292.125398983384</v>
      </c>
      <c r="N27" s="83">
        <f t="shared" si="8"/>
        <v>1199.4347689161873</v>
      </c>
      <c r="O27" s="83">
        <f t="shared" si="8"/>
        <v>1101.6895221857508</v>
      </c>
      <c r="P27" s="83">
        <f t="shared" si="8"/>
        <v>999.32997116093293</v>
      </c>
      <c r="Q27" s="84">
        <f t="shared" si="8"/>
        <v>892.79103348419744</v>
      </c>
    </row>
    <row r="28" spans="2:22" s="34" customFormat="1" ht="15.5" x14ac:dyDescent="0.35">
      <c r="B28" s="45" t="s">
        <v>32</v>
      </c>
      <c r="C28" s="4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</row>
    <row r="29" spans="2:22" s="34" customFormat="1" ht="15.5" x14ac:dyDescent="0.35">
      <c r="B29" s="35" t="s">
        <v>33</v>
      </c>
      <c r="C29" s="38">
        <v>200</v>
      </c>
      <c r="D29" s="38">
        <v>210</v>
      </c>
      <c r="E29" s="38">
        <v>220</v>
      </c>
      <c r="F29" s="38">
        <v>240</v>
      </c>
      <c r="G29" s="38">
        <v>250</v>
      </c>
      <c r="H29" s="38">
        <v>260</v>
      </c>
      <c r="I29" s="38">
        <v>270</v>
      </c>
      <c r="J29" s="38">
        <v>280</v>
      </c>
      <c r="K29" s="38">
        <v>290</v>
      </c>
      <c r="L29" s="38">
        <v>300</v>
      </c>
      <c r="M29" s="38">
        <v>290</v>
      </c>
      <c r="N29" s="38">
        <v>280</v>
      </c>
      <c r="O29" s="38">
        <v>260</v>
      </c>
      <c r="P29" s="38">
        <v>250</v>
      </c>
      <c r="Q29" s="39">
        <v>230</v>
      </c>
    </row>
    <row r="30" spans="2:22" s="34" customFormat="1" ht="15.5" x14ac:dyDescent="0.35">
      <c r="B30" s="35" t="s">
        <v>34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-10</v>
      </c>
      <c r="K30" s="38">
        <v>-40</v>
      </c>
      <c r="L30" s="38">
        <v>-70</v>
      </c>
      <c r="M30" s="38">
        <v>-90</v>
      </c>
      <c r="N30" s="38">
        <v>-110</v>
      </c>
      <c r="O30" s="38">
        <v>-130</v>
      </c>
      <c r="P30" s="38">
        <v>-140</v>
      </c>
      <c r="Q30" s="39">
        <v>-150</v>
      </c>
    </row>
    <row r="31" spans="2:22" s="34" customFormat="1" ht="15.5" x14ac:dyDescent="0.35">
      <c r="B31" s="86" t="s">
        <v>35</v>
      </c>
      <c r="C31" s="136">
        <f t="shared" ref="C31:Q31" si="9">C27-C29-C30</f>
        <v>670.43672744134165</v>
      </c>
      <c r="D31" s="83">
        <f t="shared" si="9"/>
        <v>704.77782926458303</v>
      </c>
      <c r="E31" s="83">
        <f t="shared" si="9"/>
        <v>766.60040414251944</v>
      </c>
      <c r="F31" s="83">
        <f t="shared" si="9"/>
        <v>813.38994546679578</v>
      </c>
      <c r="G31" s="83">
        <f t="shared" si="9"/>
        <v>867.42806979479951</v>
      </c>
      <c r="H31" s="83">
        <f t="shared" si="9"/>
        <v>917.99238684316333</v>
      </c>
      <c r="I31" s="83">
        <f t="shared" si="9"/>
        <v>964.3563650726378</v>
      </c>
      <c r="J31" s="83">
        <f t="shared" si="9"/>
        <v>1016.98919271216</v>
      </c>
      <c r="K31" s="83">
        <f t="shared" si="9"/>
        <v>1085.7556340645358</v>
      </c>
      <c r="L31" s="83">
        <f t="shared" si="9"/>
        <v>1118.1158809306635</v>
      </c>
      <c r="M31" s="83">
        <f t="shared" si="9"/>
        <v>1092.125398983384</v>
      </c>
      <c r="N31" s="83">
        <f t="shared" si="9"/>
        <v>1029.4347689161873</v>
      </c>
      <c r="O31" s="83">
        <f t="shared" si="9"/>
        <v>971.68952218575077</v>
      </c>
      <c r="P31" s="83">
        <f t="shared" si="9"/>
        <v>889.32997116093293</v>
      </c>
      <c r="Q31" s="84">
        <f t="shared" si="9"/>
        <v>812.79103348419744</v>
      </c>
    </row>
    <row r="32" spans="2:22" s="34" customFormat="1" ht="15.5" x14ac:dyDescent="0.35">
      <c r="B32" s="86" t="s">
        <v>36</v>
      </c>
      <c r="C32" s="138">
        <f t="shared" ref="C32:Q32" si="10">C31+C26+C30</f>
        <v>1350.4367274413416</v>
      </c>
      <c r="D32" s="87">
        <f t="shared" si="10"/>
        <v>1384.777829264583</v>
      </c>
      <c r="E32" s="87">
        <f t="shared" si="10"/>
        <v>1446.6004041425194</v>
      </c>
      <c r="F32" s="87">
        <f t="shared" si="10"/>
        <v>1493.3899454667958</v>
      </c>
      <c r="G32" s="87">
        <f t="shared" si="10"/>
        <v>1547.4280697947995</v>
      </c>
      <c r="H32" s="87">
        <f t="shared" si="10"/>
        <v>1597.9923868431633</v>
      </c>
      <c r="I32" s="87">
        <f t="shared" si="10"/>
        <v>1644.3563650726378</v>
      </c>
      <c r="J32" s="87">
        <f t="shared" si="10"/>
        <v>1686.98919271216</v>
      </c>
      <c r="K32" s="87">
        <f t="shared" si="10"/>
        <v>1725.7556340645358</v>
      </c>
      <c r="L32" s="87">
        <f t="shared" si="10"/>
        <v>1728.1158809306635</v>
      </c>
      <c r="M32" s="87">
        <f t="shared" si="10"/>
        <v>1682.125398983384</v>
      </c>
      <c r="N32" s="87">
        <f t="shared" si="10"/>
        <v>1599.4347689161873</v>
      </c>
      <c r="O32" s="87">
        <f t="shared" si="10"/>
        <v>1521.6895221857508</v>
      </c>
      <c r="P32" s="87">
        <f t="shared" si="10"/>
        <v>1429.3299711609329</v>
      </c>
      <c r="Q32" s="88">
        <f t="shared" si="10"/>
        <v>1342.7910334841974</v>
      </c>
    </row>
    <row r="33" spans="2:20" s="34" customFormat="1" ht="15.5" x14ac:dyDescent="0.35">
      <c r="B33" s="86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2:20" s="34" customFormat="1" ht="15.5" x14ac:dyDescent="0.35">
      <c r="B34" s="86" t="s">
        <v>42</v>
      </c>
      <c r="C34" s="90">
        <f>-('Balance Sheet (Case Exhibit 6)'!G12-'Balance Sheet (Case Exhibit 6)'!F12)</f>
        <v>540</v>
      </c>
      <c r="D34" s="90">
        <f>-('Balance Sheet (Case Exhibit 6)'!H12-'Balance Sheet (Case Exhibit 6)'!G12)</f>
        <v>1100</v>
      </c>
      <c r="E34" s="90">
        <f>-('Balance Sheet (Case Exhibit 6)'!I12-'Balance Sheet (Case Exhibit 6)'!H12)</f>
        <v>1070</v>
      </c>
      <c r="F34" s="90">
        <f>-('Balance Sheet (Case Exhibit 6)'!J12-'Balance Sheet (Case Exhibit 6)'!I12)</f>
        <v>1080</v>
      </c>
      <c r="G34" s="90">
        <f>-('Balance Sheet (Case Exhibit 6)'!K12-'Balance Sheet (Case Exhibit 6)'!J12)</f>
        <v>1070</v>
      </c>
      <c r="H34" s="90">
        <f>-('Balance Sheet (Case Exhibit 6)'!L12-'Balance Sheet (Case Exhibit 6)'!K12)</f>
        <v>1080</v>
      </c>
      <c r="I34" s="90">
        <f>-('Balance Sheet (Case Exhibit 6)'!M12-'Balance Sheet (Case Exhibit 6)'!L12)</f>
        <v>1070</v>
      </c>
      <c r="J34" s="90">
        <f>-('Balance Sheet (Case Exhibit 6)'!N12-'Balance Sheet (Case Exhibit 6)'!M12)</f>
        <v>1080</v>
      </c>
      <c r="K34" s="90">
        <f>-('Balance Sheet (Case Exhibit 6)'!O12-'Balance Sheet (Case Exhibit 6)'!N12)</f>
        <v>1070</v>
      </c>
      <c r="L34" s="90">
        <f>-('Balance Sheet (Case Exhibit 6)'!P12-'Balance Sheet (Case Exhibit 6)'!O12)</f>
        <v>540</v>
      </c>
      <c r="M34" s="89"/>
      <c r="N34" s="89"/>
      <c r="O34" s="89"/>
      <c r="P34" s="89"/>
      <c r="Q34" s="91"/>
    </row>
    <row r="35" spans="2:20" s="34" customFormat="1" ht="15.5" x14ac:dyDescent="0.35">
      <c r="B35" s="86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89"/>
      <c r="N35" s="89"/>
      <c r="O35" s="89"/>
      <c r="P35" s="89"/>
      <c r="Q35" s="91"/>
    </row>
    <row r="36" spans="2:20" s="34" customFormat="1" ht="15.5" x14ac:dyDescent="0.35">
      <c r="B36" s="86" t="s">
        <v>43</v>
      </c>
      <c r="C36" s="92">
        <f>(C31+C24+C26)/(C24+C34)</f>
        <v>1.484826948696663</v>
      </c>
      <c r="D36" s="92">
        <f t="shared" ref="D36:L36" si="11">(D31+D24+D26)/(D24+D34)</f>
        <v>1.1334979510897167</v>
      </c>
      <c r="E36" s="92">
        <f t="shared" si="11"/>
        <v>1.1908770421401518</v>
      </c>
      <c r="F36" s="92">
        <f t="shared" si="11"/>
        <v>1.222971923121249</v>
      </c>
      <c r="G36" s="92">
        <f t="shared" si="11"/>
        <v>1.2783837141660639</v>
      </c>
      <c r="H36" s="92">
        <f t="shared" si="11"/>
        <v>1.324556633360378</v>
      </c>
      <c r="I36" s="92">
        <f t="shared" si="11"/>
        <v>1.3942047804204789</v>
      </c>
      <c r="J36" s="92">
        <f t="shared" si="11"/>
        <v>1.461127946720598</v>
      </c>
      <c r="K36" s="92">
        <f t="shared" si="11"/>
        <v>1.5802799283273861</v>
      </c>
      <c r="L36" s="92">
        <f t="shared" si="11"/>
        <v>3.1979662490053524</v>
      </c>
      <c r="M36" s="93"/>
      <c r="N36" s="93"/>
      <c r="O36" s="93"/>
      <c r="P36" s="93"/>
      <c r="Q36" s="94"/>
    </row>
    <row r="37" spans="2:20" s="34" customFormat="1" ht="16" thickBot="1" x14ac:dyDescent="0.4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</row>
    <row r="38" spans="2:20" s="34" customFormat="1" x14ac:dyDescent="0.35"/>
    <row r="39" spans="2:20" s="34" customFormat="1" ht="15" thickBot="1" x14ac:dyDescent="0.4"/>
    <row r="40" spans="2:20" s="34" customFormat="1" ht="16" thickBot="1" x14ac:dyDescent="0.4">
      <c r="B40" s="498" t="s">
        <v>44</v>
      </c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500"/>
    </row>
    <row r="41" spans="2:20" s="34" customFormat="1" ht="16" thickBot="1" x14ac:dyDescent="0.4">
      <c r="B41" s="95" t="s">
        <v>45</v>
      </c>
      <c r="C41" s="96">
        <v>2010</v>
      </c>
      <c r="D41" s="97">
        <v>2011</v>
      </c>
      <c r="E41" s="97">
        <v>2012</v>
      </c>
      <c r="F41" s="97">
        <v>2013</v>
      </c>
      <c r="G41" s="97">
        <v>2014</v>
      </c>
      <c r="H41" s="97">
        <v>2015</v>
      </c>
      <c r="I41" s="97">
        <v>2016</v>
      </c>
      <c r="J41" s="97">
        <v>2017</v>
      </c>
      <c r="K41" s="97">
        <v>2018</v>
      </c>
      <c r="L41" s="97">
        <v>2019</v>
      </c>
      <c r="M41" s="97">
        <v>2020</v>
      </c>
      <c r="N41" s="97">
        <v>2021</v>
      </c>
      <c r="O41" s="97">
        <v>2022</v>
      </c>
      <c r="P41" s="97">
        <v>2023</v>
      </c>
      <c r="Q41" s="97">
        <v>2024</v>
      </c>
      <c r="R41" s="97">
        <v>2025</v>
      </c>
      <c r="S41" s="97">
        <v>2026</v>
      </c>
      <c r="T41" s="98">
        <v>2027</v>
      </c>
    </row>
    <row r="42" spans="2:20" s="34" customFormat="1" ht="15.5" x14ac:dyDescent="0.35">
      <c r="B42" s="99" t="s">
        <v>46</v>
      </c>
      <c r="C42" s="100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2"/>
    </row>
    <row r="43" spans="2:20" s="34" customFormat="1" ht="15.5" x14ac:dyDescent="0.35">
      <c r="B43" s="103" t="s">
        <v>47</v>
      </c>
      <c r="C43" s="104">
        <v>0</v>
      </c>
      <c r="D43" s="105">
        <v>0</v>
      </c>
      <c r="E43" s="105">
        <v>0</v>
      </c>
      <c r="F43" s="105">
        <f>'Sensitivity-Fuel Cost Up 10%'!C31+'Sensitivity-Fuel Cost Up 10%'!C24+'Sensitivity-Fuel Cost Up 10%'!C25+'Sensitivity-Fuel Cost Up 10%'!C26</f>
        <v>2593.6367274413415</v>
      </c>
      <c r="G43" s="105">
        <f>'Sensitivity-Fuel Cost Up 10%'!D31+'Sensitivity-Fuel Cost Up 10%'!D24+'Sensitivity-Fuel Cost Up 10%'!D25+'Sensitivity-Fuel Cost Up 10%'!D26</f>
        <v>2530.1778292645831</v>
      </c>
      <c r="H43" s="105">
        <f>'Sensitivity-Fuel Cost Up 10%'!E31+'Sensitivity-Fuel Cost Up 10%'!E24+'Sensitivity-Fuel Cost Up 10%'!E25+'Sensitivity-Fuel Cost Up 10%'!E26</f>
        <v>2463.6004041425194</v>
      </c>
      <c r="I43" s="105">
        <f>'Sensitivity-Fuel Cost Up 10%'!F31+'Sensitivity-Fuel Cost Up 10%'!F24+'Sensitivity-Fuel Cost Up 10%'!F25+'Sensitivity-Fuel Cost Up 10%'!F26</f>
        <v>2383.7899454667959</v>
      </c>
      <c r="J43" s="105">
        <f>'Sensitivity-Fuel Cost Up 10%'!G31+'Sensitivity-Fuel Cost Up 10%'!G24+'Sensitivity-Fuel Cost Up 10%'!G25+'Sensitivity-Fuel Cost Up 10%'!G26</f>
        <v>2310.6280697947996</v>
      </c>
      <c r="K43" s="105">
        <f>'Sensitivity-Fuel Cost Up 10%'!H31+'Sensitivity-Fuel Cost Up 10%'!H24+'Sensitivity-Fuel Cost Up 10%'!H25+'Sensitivity-Fuel Cost Up 10%'!H26</f>
        <v>2233.9923868431633</v>
      </c>
      <c r="L43" s="105">
        <f>'Sensitivity-Fuel Cost Up 10%'!I31+'Sensitivity-Fuel Cost Up 10%'!I24+'Sensitivity-Fuel Cost Up 10%'!I25+'Sensitivity-Fuel Cost Up 10%'!I26</f>
        <v>2153.7563650726379</v>
      </c>
      <c r="M43" s="105">
        <f>'Sensitivity-Fuel Cost Up 10%'!J31+'Sensitivity-Fuel Cost Up 10%'!J24+'Sensitivity-Fuel Cost Up 10%'!J25+'Sensitivity-Fuel Cost Up 10%'!J26</f>
        <v>2079.78919271216</v>
      </c>
      <c r="N43" s="105">
        <f>'Sensitivity-Fuel Cost Up 10%'!K31+'Sensitivity-Fuel Cost Up 10%'!K24+'Sensitivity-Fuel Cost Up 10%'!K25+'Sensitivity-Fuel Cost Up 10%'!K26</f>
        <v>2021.9556340645358</v>
      </c>
      <c r="O43" s="105">
        <f>'Sensitivity-Fuel Cost Up 10%'!L31+'Sensitivity-Fuel Cost Up 10%'!L24+'Sensitivity-Fuel Cost Up 10%'!L25+'Sensitivity-Fuel Cost Up 10%'!L26</f>
        <v>1960.1158809306635</v>
      </c>
      <c r="P43" s="105">
        <f>'Sensitivity-Fuel Cost Up 10%'!M31+'Sensitivity-Fuel Cost Up 10%'!M24+'Sensitivity-Fuel Cost Up 10%'!M25+'Sensitivity-Fuel Cost Up 10%'!M26</f>
        <v>1904.125398983384</v>
      </c>
      <c r="Q43" s="105">
        <f>'Sensitivity-Fuel Cost Up 10%'!N31+'Sensitivity-Fuel Cost Up 10%'!N24+'Sensitivity-Fuel Cost Up 10%'!N25+'Sensitivity-Fuel Cost Up 10%'!N26</f>
        <v>1843.8347689161874</v>
      </c>
      <c r="R43" s="105">
        <f>'Sensitivity-Fuel Cost Up 10%'!O31+'Sensitivity-Fuel Cost Up 10%'!O24+'Sensitivity-Fuel Cost Up 10%'!O25+'Sensitivity-Fuel Cost Up 10%'!O26</f>
        <v>1789.0895221857509</v>
      </c>
      <c r="S43" s="105">
        <f>'Sensitivity-Fuel Cost Up 10%'!P31+'Sensitivity-Fuel Cost Up 10%'!P24+'Sensitivity-Fuel Cost Up 10%'!P25+'Sensitivity-Fuel Cost Up 10%'!P26</f>
        <v>1709.729971160933</v>
      </c>
      <c r="T43" s="106">
        <f>'Sensitivity-Fuel Cost Up 10%'!Q31+'Sensitivity-Fuel Cost Up 10%'!Q24+'Sensitivity-Fuel Cost Up 10%'!Q25+'Sensitivity-Fuel Cost Up 10%'!Q26</f>
        <v>1635.5910334841974</v>
      </c>
    </row>
    <row r="44" spans="2:20" s="34" customFormat="1" ht="16" thickBot="1" x14ac:dyDescent="0.4">
      <c r="B44" s="107" t="s">
        <v>48</v>
      </c>
      <c r="C44" s="108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6">
        <f>0.05*'Balance Sheet (Case Exhibit 6)'!U24</f>
        <v>1238.5</v>
      </c>
    </row>
    <row r="45" spans="2:20" s="34" customFormat="1" ht="16" thickBot="1" x14ac:dyDescent="0.4">
      <c r="B45" s="95" t="s">
        <v>49</v>
      </c>
      <c r="C45" s="110">
        <f t="shared" ref="C45:T45" si="12">SUM(C43:C44)</f>
        <v>0</v>
      </c>
      <c r="D45" s="111">
        <f t="shared" si="12"/>
        <v>0</v>
      </c>
      <c r="E45" s="111">
        <f t="shared" si="12"/>
        <v>0</v>
      </c>
      <c r="F45" s="111">
        <f t="shared" si="12"/>
        <v>2593.6367274413415</v>
      </c>
      <c r="G45" s="111">
        <f t="shared" si="12"/>
        <v>2530.1778292645831</v>
      </c>
      <c r="H45" s="111">
        <f t="shared" si="12"/>
        <v>2463.6004041425194</v>
      </c>
      <c r="I45" s="111">
        <f t="shared" si="12"/>
        <v>2383.7899454667959</v>
      </c>
      <c r="J45" s="111">
        <f t="shared" si="12"/>
        <v>2310.6280697947996</v>
      </c>
      <c r="K45" s="111">
        <f t="shared" si="12"/>
        <v>2233.9923868431633</v>
      </c>
      <c r="L45" s="111">
        <f t="shared" si="12"/>
        <v>2153.7563650726379</v>
      </c>
      <c r="M45" s="111">
        <f t="shared" si="12"/>
        <v>2079.78919271216</v>
      </c>
      <c r="N45" s="111">
        <f t="shared" si="12"/>
        <v>2021.9556340645358</v>
      </c>
      <c r="O45" s="111">
        <f t="shared" si="12"/>
        <v>1960.1158809306635</v>
      </c>
      <c r="P45" s="111">
        <f t="shared" si="12"/>
        <v>1904.125398983384</v>
      </c>
      <c r="Q45" s="111">
        <f t="shared" si="12"/>
        <v>1843.8347689161874</v>
      </c>
      <c r="R45" s="111">
        <f t="shared" si="12"/>
        <v>1789.0895221857509</v>
      </c>
      <c r="S45" s="111">
        <f t="shared" si="12"/>
        <v>1709.729971160933</v>
      </c>
      <c r="T45" s="112">
        <f t="shared" si="12"/>
        <v>2874.0910334841974</v>
      </c>
    </row>
    <row r="46" spans="2:20" s="34" customFormat="1" ht="15.5" x14ac:dyDescent="0.35">
      <c r="B46" s="99" t="s">
        <v>50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2"/>
    </row>
    <row r="47" spans="2:20" s="34" customFormat="1" ht="15.5" x14ac:dyDescent="0.35">
      <c r="B47" s="103" t="s">
        <v>72</v>
      </c>
      <c r="C47" s="113">
        <f>'Balance Sheet (Case Exhibit 6)'!D24-'Balance Sheet (Case Exhibit 6)'!D22</f>
        <v>3460</v>
      </c>
      <c r="D47" s="114">
        <f>'Balance Sheet (Case Exhibit 6)'!E24-'Balance Sheet (Case Exhibit 6)'!E22-'Balance Sheet (Case Exhibit 6)'!D24</f>
        <v>5520</v>
      </c>
      <c r="E47" s="114">
        <f>'Balance Sheet (Case Exhibit 6)'!F24-'Balance Sheet (Case Exhibit 6)'!F22-'Balance Sheet (Case Exhibit 6)'!E24</f>
        <v>4570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</row>
    <row r="48" spans="2:20" s="34" customFormat="1" ht="16" thickBot="1" x14ac:dyDescent="0.4">
      <c r="B48" s="107" t="s">
        <v>73</v>
      </c>
      <c r="C48" s="115">
        <v>0</v>
      </c>
      <c r="D48" s="116">
        <v>0</v>
      </c>
      <c r="E48" s="116">
        <v>0</v>
      </c>
      <c r="F48" s="117">
        <f>'Balance Sheet (Case Exhibit 6)'!G30</f>
        <v>310</v>
      </c>
      <c r="G48" s="117">
        <f>'Balance Sheet (Case Exhibit 6)'!H30</f>
        <v>0</v>
      </c>
      <c r="H48" s="116">
        <f>'Balance Sheet (Case Exhibit 6)'!I30</f>
        <v>10</v>
      </c>
      <c r="I48" s="116">
        <f>'Balance Sheet (Case Exhibit 6)'!J30</f>
        <v>0</v>
      </c>
      <c r="J48" s="116">
        <f>'Balance Sheet (Case Exhibit 6)'!K30</f>
        <v>10</v>
      </c>
      <c r="K48" s="116">
        <f>'Balance Sheet (Case Exhibit 6)'!L30</f>
        <v>10</v>
      </c>
      <c r="L48" s="116">
        <f>'Balance Sheet (Case Exhibit 6)'!M30</f>
        <v>0</v>
      </c>
      <c r="M48" s="116">
        <f>'Balance Sheet (Case Exhibit 6)'!N30</f>
        <v>10</v>
      </c>
      <c r="N48" s="116">
        <f>'Balance Sheet (Case Exhibit 6)'!O30</f>
        <v>10</v>
      </c>
      <c r="O48" s="116">
        <f>'Balance Sheet (Case Exhibit 6)'!P30</f>
        <v>0</v>
      </c>
      <c r="P48" s="116">
        <f>'Balance Sheet (Case Exhibit 6)'!Q30</f>
        <v>10</v>
      </c>
      <c r="Q48" s="116">
        <f>'Balance Sheet (Case Exhibit 6)'!R30</f>
        <v>10</v>
      </c>
      <c r="R48" s="116">
        <f>'Balance Sheet (Case Exhibit 6)'!S30</f>
        <v>0</v>
      </c>
      <c r="S48" s="116">
        <f>'Balance Sheet (Case Exhibit 6)'!T30</f>
        <v>10</v>
      </c>
      <c r="T48" s="118">
        <f>'Balance Sheet (Case Exhibit 6)'!U30</f>
        <v>10</v>
      </c>
    </row>
    <row r="49" spans="2:20" s="34" customFormat="1" ht="15.5" x14ac:dyDescent="0.35">
      <c r="B49" s="119" t="s">
        <v>53</v>
      </c>
      <c r="C49" s="120">
        <f t="shared" ref="C49:T49" si="13">C47+C48</f>
        <v>3460</v>
      </c>
      <c r="D49" s="121">
        <f t="shared" si="13"/>
        <v>5520</v>
      </c>
      <c r="E49" s="121">
        <f t="shared" si="13"/>
        <v>4570</v>
      </c>
      <c r="F49" s="121">
        <f t="shared" si="13"/>
        <v>310</v>
      </c>
      <c r="G49" s="121">
        <f t="shared" si="13"/>
        <v>0</v>
      </c>
      <c r="H49" s="121">
        <f t="shared" si="13"/>
        <v>10</v>
      </c>
      <c r="I49" s="121">
        <f t="shared" si="13"/>
        <v>0</v>
      </c>
      <c r="J49" s="121">
        <f t="shared" si="13"/>
        <v>10</v>
      </c>
      <c r="K49" s="121">
        <f t="shared" si="13"/>
        <v>10</v>
      </c>
      <c r="L49" s="121">
        <f t="shared" si="13"/>
        <v>0</v>
      </c>
      <c r="M49" s="121">
        <f t="shared" si="13"/>
        <v>10</v>
      </c>
      <c r="N49" s="121">
        <f t="shared" si="13"/>
        <v>10</v>
      </c>
      <c r="O49" s="121">
        <f t="shared" si="13"/>
        <v>0</v>
      </c>
      <c r="P49" s="121">
        <f t="shared" si="13"/>
        <v>10</v>
      </c>
      <c r="Q49" s="121">
        <f t="shared" si="13"/>
        <v>10</v>
      </c>
      <c r="R49" s="121">
        <f t="shared" si="13"/>
        <v>0</v>
      </c>
      <c r="S49" s="121">
        <f t="shared" si="13"/>
        <v>10</v>
      </c>
      <c r="T49" s="122">
        <f t="shared" si="13"/>
        <v>10</v>
      </c>
    </row>
    <row r="50" spans="2:20" s="34" customFormat="1" ht="16" thickBot="1" x14ac:dyDescent="0.4">
      <c r="B50" s="123" t="s">
        <v>54</v>
      </c>
      <c r="C50" s="124">
        <f t="shared" ref="C50:T50" si="14">C45-C49</f>
        <v>-3460</v>
      </c>
      <c r="D50" s="125">
        <f t="shared" si="14"/>
        <v>-5520</v>
      </c>
      <c r="E50" s="125">
        <f t="shared" si="14"/>
        <v>-4570</v>
      </c>
      <c r="F50" s="125">
        <f t="shared" si="14"/>
        <v>2283.6367274413415</v>
      </c>
      <c r="G50" s="125">
        <f t="shared" si="14"/>
        <v>2530.1778292645831</v>
      </c>
      <c r="H50" s="125">
        <f t="shared" si="14"/>
        <v>2453.6004041425194</v>
      </c>
      <c r="I50" s="125">
        <f t="shared" si="14"/>
        <v>2383.7899454667959</v>
      </c>
      <c r="J50" s="125">
        <f t="shared" si="14"/>
        <v>2300.6280697947996</v>
      </c>
      <c r="K50" s="125">
        <f t="shared" si="14"/>
        <v>2223.9923868431633</v>
      </c>
      <c r="L50" s="125">
        <f t="shared" si="14"/>
        <v>2153.7563650726379</v>
      </c>
      <c r="M50" s="125">
        <f t="shared" si="14"/>
        <v>2069.78919271216</v>
      </c>
      <c r="N50" s="125">
        <f t="shared" si="14"/>
        <v>2011.9556340645358</v>
      </c>
      <c r="O50" s="125">
        <f t="shared" si="14"/>
        <v>1960.1158809306635</v>
      </c>
      <c r="P50" s="125">
        <f t="shared" si="14"/>
        <v>1894.125398983384</v>
      </c>
      <c r="Q50" s="125">
        <f t="shared" si="14"/>
        <v>1833.8347689161874</v>
      </c>
      <c r="R50" s="125">
        <f t="shared" si="14"/>
        <v>1789.0895221857509</v>
      </c>
      <c r="S50" s="125">
        <f t="shared" si="14"/>
        <v>1699.729971160933</v>
      </c>
      <c r="T50" s="126">
        <f t="shared" si="14"/>
        <v>2864.0910334841974</v>
      </c>
    </row>
    <row r="51" spans="2:20" s="34" customFormat="1" ht="16" thickBot="1" x14ac:dyDescent="0.4">
      <c r="B51" s="127" t="s">
        <v>55</v>
      </c>
      <c r="C51" s="128">
        <f>IRR(C50:T50)</f>
        <v>0.12133026933973445</v>
      </c>
      <c r="D51" s="129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1"/>
    </row>
    <row r="52" spans="2:20" s="34" customFormat="1" ht="15" thickBot="1" x14ac:dyDescent="0.4"/>
    <row r="53" spans="2:20" s="34" customFormat="1" ht="16" thickBot="1" x14ac:dyDescent="0.4">
      <c r="B53" s="501" t="s">
        <v>44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2"/>
      <c r="N53" s="502"/>
      <c r="O53" s="503"/>
    </row>
    <row r="54" spans="2:20" s="34" customFormat="1" ht="16" thickBot="1" x14ac:dyDescent="0.4">
      <c r="B54" s="95" t="s">
        <v>45</v>
      </c>
      <c r="C54" s="132">
        <v>2010</v>
      </c>
      <c r="D54" s="97">
        <v>2011</v>
      </c>
      <c r="E54" s="97">
        <v>2012</v>
      </c>
      <c r="F54" s="97">
        <v>2013</v>
      </c>
      <c r="G54" s="97">
        <v>2014</v>
      </c>
      <c r="H54" s="97">
        <v>2015</v>
      </c>
      <c r="I54" s="97">
        <v>2016</v>
      </c>
      <c r="J54" s="97">
        <v>2017</v>
      </c>
      <c r="K54" s="97">
        <v>2018</v>
      </c>
      <c r="L54" s="97">
        <v>2019</v>
      </c>
      <c r="M54" s="97">
        <v>2020</v>
      </c>
      <c r="N54" s="97">
        <v>2021</v>
      </c>
      <c r="O54" s="98">
        <v>2022</v>
      </c>
    </row>
    <row r="55" spans="2:20" s="34" customFormat="1" ht="15.5" x14ac:dyDescent="0.35">
      <c r="B55" s="99" t="s">
        <v>46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2"/>
    </row>
    <row r="56" spans="2:20" s="34" customFormat="1" ht="15.5" x14ac:dyDescent="0.35">
      <c r="B56" s="103" t="s">
        <v>47</v>
      </c>
      <c r="C56" s="104">
        <f>C43</f>
        <v>0</v>
      </c>
      <c r="D56" s="105">
        <f t="shared" ref="D56:O56" si="15">D43</f>
        <v>0</v>
      </c>
      <c r="E56" s="105">
        <f t="shared" si="15"/>
        <v>0</v>
      </c>
      <c r="F56" s="105">
        <f t="shared" si="15"/>
        <v>2593.6367274413415</v>
      </c>
      <c r="G56" s="105">
        <f t="shared" si="15"/>
        <v>2530.1778292645831</v>
      </c>
      <c r="H56" s="105">
        <f t="shared" si="15"/>
        <v>2463.6004041425194</v>
      </c>
      <c r="I56" s="105">
        <f t="shared" si="15"/>
        <v>2383.7899454667959</v>
      </c>
      <c r="J56" s="105">
        <f t="shared" si="15"/>
        <v>2310.6280697947996</v>
      </c>
      <c r="K56" s="105">
        <f t="shared" si="15"/>
        <v>2233.9923868431633</v>
      </c>
      <c r="L56" s="105">
        <f t="shared" si="15"/>
        <v>2153.7563650726379</v>
      </c>
      <c r="M56" s="105">
        <f t="shared" si="15"/>
        <v>2079.78919271216</v>
      </c>
      <c r="N56" s="105">
        <f t="shared" si="15"/>
        <v>2021.9556340645358</v>
      </c>
      <c r="O56" s="106">
        <f t="shared" si="15"/>
        <v>1960.1158809306635</v>
      </c>
    </row>
    <row r="57" spans="2:20" s="34" customFormat="1" ht="16" thickBot="1" x14ac:dyDescent="0.4">
      <c r="B57" s="107" t="s">
        <v>48</v>
      </c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33">
        <f>0.05*'Balance Sheet (Case Exhibit 6)'!P24</f>
        <v>884</v>
      </c>
    </row>
    <row r="58" spans="2:20" s="34" customFormat="1" ht="16" thickBot="1" x14ac:dyDescent="0.4">
      <c r="B58" s="95" t="s">
        <v>49</v>
      </c>
      <c r="C58" s="110">
        <f t="shared" ref="C58:O58" si="16">SUM(C56:C57)</f>
        <v>0</v>
      </c>
      <c r="D58" s="111">
        <f t="shared" si="16"/>
        <v>0</v>
      </c>
      <c r="E58" s="111">
        <f t="shared" si="16"/>
        <v>0</v>
      </c>
      <c r="F58" s="111">
        <f t="shared" si="16"/>
        <v>2593.6367274413415</v>
      </c>
      <c r="G58" s="111">
        <f t="shared" si="16"/>
        <v>2530.1778292645831</v>
      </c>
      <c r="H58" s="111">
        <f t="shared" si="16"/>
        <v>2463.6004041425194</v>
      </c>
      <c r="I58" s="111">
        <f t="shared" si="16"/>
        <v>2383.7899454667959</v>
      </c>
      <c r="J58" s="111">
        <f t="shared" si="16"/>
        <v>2310.6280697947996</v>
      </c>
      <c r="K58" s="111">
        <f t="shared" si="16"/>
        <v>2233.9923868431633</v>
      </c>
      <c r="L58" s="111">
        <f t="shared" si="16"/>
        <v>2153.7563650726379</v>
      </c>
      <c r="M58" s="111">
        <f t="shared" si="16"/>
        <v>2079.78919271216</v>
      </c>
      <c r="N58" s="111">
        <f t="shared" si="16"/>
        <v>2021.9556340645358</v>
      </c>
      <c r="O58" s="112">
        <f t="shared" si="16"/>
        <v>2844.1158809306635</v>
      </c>
    </row>
    <row r="59" spans="2:20" s="34" customFormat="1" ht="15.5" x14ac:dyDescent="0.35">
      <c r="B59" s="99" t="s">
        <v>50</v>
      </c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2"/>
    </row>
    <row r="60" spans="2:20" s="34" customFormat="1" ht="15.5" x14ac:dyDescent="0.35">
      <c r="B60" s="103" t="s">
        <v>51</v>
      </c>
      <c r="C60" s="113">
        <f>C47</f>
        <v>3460</v>
      </c>
      <c r="D60" s="114">
        <f t="shared" ref="D60:O60" si="17">D47</f>
        <v>5520</v>
      </c>
      <c r="E60" s="114">
        <f t="shared" si="17"/>
        <v>4570</v>
      </c>
      <c r="F60" s="8">
        <f t="shared" si="17"/>
        <v>0</v>
      </c>
      <c r="G60" s="8">
        <f t="shared" si="17"/>
        <v>0</v>
      </c>
      <c r="H60" s="8">
        <f t="shared" si="17"/>
        <v>0</v>
      </c>
      <c r="I60" s="8">
        <f t="shared" si="17"/>
        <v>0</v>
      </c>
      <c r="J60" s="8">
        <f t="shared" si="17"/>
        <v>0</v>
      </c>
      <c r="K60" s="8">
        <f t="shared" si="17"/>
        <v>0</v>
      </c>
      <c r="L60" s="8">
        <f t="shared" si="17"/>
        <v>0</v>
      </c>
      <c r="M60" s="8">
        <f t="shared" si="17"/>
        <v>0</v>
      </c>
      <c r="N60" s="8">
        <f t="shared" si="17"/>
        <v>0</v>
      </c>
      <c r="O60" s="9">
        <f t="shared" si="17"/>
        <v>0</v>
      </c>
    </row>
    <row r="61" spans="2:20" s="34" customFormat="1" ht="16" thickBot="1" x14ac:dyDescent="0.4">
      <c r="B61" s="107" t="s">
        <v>52</v>
      </c>
      <c r="C61" s="115">
        <f t="shared" ref="C61:O61" si="18">C48</f>
        <v>0</v>
      </c>
      <c r="D61" s="116">
        <f t="shared" si="18"/>
        <v>0</v>
      </c>
      <c r="E61" s="116">
        <f t="shared" si="18"/>
        <v>0</v>
      </c>
      <c r="F61" s="117">
        <f t="shared" si="18"/>
        <v>310</v>
      </c>
      <c r="G61" s="117">
        <f t="shared" si="18"/>
        <v>0</v>
      </c>
      <c r="H61" s="116">
        <f t="shared" si="18"/>
        <v>10</v>
      </c>
      <c r="I61" s="116">
        <f t="shared" si="18"/>
        <v>0</v>
      </c>
      <c r="J61" s="116">
        <f t="shared" si="18"/>
        <v>10</v>
      </c>
      <c r="K61" s="116">
        <f t="shared" si="18"/>
        <v>10</v>
      </c>
      <c r="L61" s="116">
        <f t="shared" si="18"/>
        <v>0</v>
      </c>
      <c r="M61" s="116">
        <f t="shared" si="18"/>
        <v>10</v>
      </c>
      <c r="N61" s="116">
        <f t="shared" si="18"/>
        <v>10</v>
      </c>
      <c r="O61" s="118">
        <f t="shared" si="18"/>
        <v>0</v>
      </c>
    </row>
    <row r="62" spans="2:20" s="34" customFormat="1" ht="15.5" x14ac:dyDescent="0.35">
      <c r="B62" s="119" t="s">
        <v>53</v>
      </c>
      <c r="C62" s="120">
        <f t="shared" ref="C62:O62" si="19">C60+C61</f>
        <v>3460</v>
      </c>
      <c r="D62" s="121">
        <f t="shared" si="19"/>
        <v>5520</v>
      </c>
      <c r="E62" s="121">
        <f t="shared" si="19"/>
        <v>4570</v>
      </c>
      <c r="F62" s="121">
        <f t="shared" si="19"/>
        <v>310</v>
      </c>
      <c r="G62" s="121">
        <f t="shared" si="19"/>
        <v>0</v>
      </c>
      <c r="H62" s="121">
        <f t="shared" si="19"/>
        <v>10</v>
      </c>
      <c r="I62" s="121">
        <f t="shared" si="19"/>
        <v>0</v>
      </c>
      <c r="J62" s="121">
        <f t="shared" si="19"/>
        <v>10</v>
      </c>
      <c r="K62" s="121">
        <f t="shared" si="19"/>
        <v>10</v>
      </c>
      <c r="L62" s="121">
        <f t="shared" si="19"/>
        <v>0</v>
      </c>
      <c r="M62" s="121">
        <f t="shared" si="19"/>
        <v>10</v>
      </c>
      <c r="N62" s="121">
        <f t="shared" si="19"/>
        <v>10</v>
      </c>
      <c r="O62" s="122">
        <f t="shared" si="19"/>
        <v>0</v>
      </c>
    </row>
    <row r="63" spans="2:20" s="34" customFormat="1" ht="16" thickBot="1" x14ac:dyDescent="0.4">
      <c r="B63" s="123" t="s">
        <v>54</v>
      </c>
      <c r="C63" s="124">
        <f t="shared" ref="C63:O63" si="20">C58-C62</f>
        <v>-3460</v>
      </c>
      <c r="D63" s="125">
        <f t="shared" si="20"/>
        <v>-5520</v>
      </c>
      <c r="E63" s="125">
        <f t="shared" si="20"/>
        <v>-4570</v>
      </c>
      <c r="F63" s="125">
        <f t="shared" si="20"/>
        <v>2283.6367274413415</v>
      </c>
      <c r="G63" s="125">
        <f t="shared" si="20"/>
        <v>2530.1778292645831</v>
      </c>
      <c r="H63" s="125">
        <f t="shared" si="20"/>
        <v>2453.6004041425194</v>
      </c>
      <c r="I63" s="125">
        <f t="shared" si="20"/>
        <v>2383.7899454667959</v>
      </c>
      <c r="J63" s="125">
        <f t="shared" si="20"/>
        <v>2300.6280697947996</v>
      </c>
      <c r="K63" s="125">
        <f t="shared" si="20"/>
        <v>2223.9923868431633</v>
      </c>
      <c r="L63" s="125">
        <f t="shared" si="20"/>
        <v>2153.7563650726379</v>
      </c>
      <c r="M63" s="125">
        <f t="shared" si="20"/>
        <v>2069.78919271216</v>
      </c>
      <c r="N63" s="125">
        <f t="shared" si="20"/>
        <v>2011.9556340645358</v>
      </c>
      <c r="O63" s="126">
        <f t="shared" si="20"/>
        <v>2844.1158809306635</v>
      </c>
    </row>
    <row r="64" spans="2:20" s="34" customFormat="1" ht="16" thickBot="1" x14ac:dyDescent="0.4">
      <c r="B64" s="127" t="s">
        <v>56</v>
      </c>
      <c r="C64" s="128">
        <f>IRR(C63:O63)</f>
        <v>9.35648162281566E-2</v>
      </c>
      <c r="D64" s="129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1"/>
    </row>
    <row r="65" spans="3:15" s="34" customFormat="1" x14ac:dyDescent="0.35"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</row>
    <row r="66" spans="3:15" s="34" customFormat="1" x14ac:dyDescent="0.35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</row>
    <row r="67" spans="3:15" s="34" customFormat="1" x14ac:dyDescent="0.3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</row>
    <row r="68" spans="3:15" s="34" customFormat="1" x14ac:dyDescent="0.35"/>
    <row r="69" spans="3:15" s="34" customFormat="1" x14ac:dyDescent="0.35"/>
    <row r="70" spans="3:15" s="34" customFormat="1" x14ac:dyDescent="0.35"/>
    <row r="71" spans="3:15" s="34" customFormat="1" x14ac:dyDescent="0.35"/>
    <row r="72" spans="3:15" s="34" customFormat="1" x14ac:dyDescent="0.35"/>
    <row r="73" spans="3:15" s="34" customFormat="1" x14ac:dyDescent="0.35"/>
    <row r="74" spans="3:15" s="34" customFormat="1" x14ac:dyDescent="0.35"/>
    <row r="75" spans="3:15" s="34" customFormat="1" x14ac:dyDescent="0.35"/>
    <row r="76" spans="3:15" s="34" customFormat="1" x14ac:dyDescent="0.35"/>
    <row r="77" spans="3:15" s="34" customFormat="1" x14ac:dyDescent="0.35"/>
    <row r="78" spans="3:15" s="34" customFormat="1" x14ac:dyDescent="0.35"/>
    <row r="79" spans="3:15" s="34" customFormat="1" x14ac:dyDescent="0.35"/>
    <row r="80" spans="3:15" s="34" customFormat="1" x14ac:dyDescent="0.35"/>
    <row r="81" s="34" customFormat="1" x14ac:dyDescent="0.35"/>
    <row r="82" s="34" customFormat="1" x14ac:dyDescent="0.35"/>
    <row r="83" s="34" customFormat="1" x14ac:dyDescent="0.35"/>
    <row r="84" s="34" customFormat="1" x14ac:dyDescent="0.35"/>
    <row r="85" s="34" customFormat="1" x14ac:dyDescent="0.35"/>
    <row r="86" s="34" customFormat="1" x14ac:dyDescent="0.35"/>
    <row r="87" s="34" customFormat="1" x14ac:dyDescent="0.35"/>
    <row r="88" s="34" customFormat="1" x14ac:dyDescent="0.35"/>
    <row r="89" s="34" customFormat="1" x14ac:dyDescent="0.35"/>
    <row r="90" s="34" customFormat="1" x14ac:dyDescent="0.35"/>
    <row r="91" s="34" customFormat="1" x14ac:dyDescent="0.35"/>
    <row r="92" s="34" customFormat="1" x14ac:dyDescent="0.35"/>
    <row r="93" s="34" customFormat="1" x14ac:dyDescent="0.35"/>
    <row r="94" s="34" customFormat="1" x14ac:dyDescent="0.35"/>
    <row r="95" s="34" customFormat="1" x14ac:dyDescent="0.35"/>
    <row r="96" s="34" customFormat="1" x14ac:dyDescent="0.35"/>
    <row r="97" s="34" customFormat="1" x14ac:dyDescent="0.35"/>
    <row r="98" s="34" customFormat="1" x14ac:dyDescent="0.35"/>
    <row r="99" s="34" customFormat="1" x14ac:dyDescent="0.35"/>
    <row r="100" s="34" customFormat="1" x14ac:dyDescent="0.35"/>
    <row r="101" s="34" customFormat="1" x14ac:dyDescent="0.35"/>
    <row r="102" s="34" customFormat="1" x14ac:dyDescent="0.35"/>
  </sheetData>
  <mergeCells count="4">
    <mergeCell ref="B2:C2"/>
    <mergeCell ref="B9:Q9"/>
    <mergeCell ref="B40:T40"/>
    <mergeCell ref="B53:O53"/>
  </mergeCells>
  <pageMargins left="0.75" right="0.75" top="1" bottom="1" header="0.3" footer="0.3"/>
  <pageSetup paperSize="9" orientation="portrait" horizontalDpi="1200" verticalDpi="12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102"/>
  <sheetViews>
    <sheetView showGridLines="0" topLeftCell="A19" workbookViewId="0">
      <selection activeCell="I5" sqref="I5"/>
    </sheetView>
  </sheetViews>
  <sheetFormatPr baseColWidth="10" defaultColWidth="8.81640625" defaultRowHeight="14.5" x14ac:dyDescent="0.35"/>
  <cols>
    <col min="2" max="2" width="39" bestFit="1" customWidth="1"/>
    <col min="3" max="3" width="7.81640625" customWidth="1"/>
    <col min="4" max="6" width="6.6328125" customWidth="1"/>
    <col min="7" max="8" width="7.1796875" customWidth="1"/>
    <col min="9" max="11" width="6.6328125" customWidth="1"/>
    <col min="12" max="12" width="7.26953125" customWidth="1"/>
    <col min="13" max="20" width="6.6328125" customWidth="1"/>
    <col min="22" max="22" width="12.453125" bestFit="1" customWidth="1"/>
  </cols>
  <sheetData>
    <row r="1" spans="2:18" ht="15" thickBot="1" x14ac:dyDescent="0.4"/>
    <row r="2" spans="2:18" ht="15" thickBot="1" x14ac:dyDescent="0.4">
      <c r="B2" s="496" t="s">
        <v>37</v>
      </c>
      <c r="C2" s="497"/>
      <c r="E2" s="57" t="s">
        <v>38</v>
      </c>
      <c r="F2" s="58"/>
      <c r="G2" s="167">
        <f>SUM(C31:L31,C24:L24,C26:L26)/SUM(C24:L24,C34:L34)</f>
        <v>1.450650047611268</v>
      </c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2:18" x14ac:dyDescent="0.35">
      <c r="B3" s="59" t="s">
        <v>16</v>
      </c>
      <c r="C3" s="60">
        <v>0.85</v>
      </c>
      <c r="E3" s="61" t="s">
        <v>58</v>
      </c>
      <c r="F3" s="139"/>
      <c r="G3" s="142">
        <f>C51</f>
        <v>0.12852465102941535</v>
      </c>
    </row>
    <row r="4" spans="2:18" ht="15" thickBot="1" x14ac:dyDescent="0.4">
      <c r="B4" s="62" t="s">
        <v>39</v>
      </c>
      <c r="C4" s="63">
        <v>1</v>
      </c>
      <c r="E4" s="64" t="s">
        <v>59</v>
      </c>
      <c r="F4" s="140"/>
      <c r="G4" s="143">
        <f>C64</f>
        <v>0.10132822913241935</v>
      </c>
    </row>
    <row r="5" spans="2:18" x14ac:dyDescent="0.35">
      <c r="B5" s="62" t="s">
        <v>40</v>
      </c>
      <c r="C5" s="65">
        <v>0.12</v>
      </c>
    </row>
    <row r="6" spans="2:18" ht="15" thickBot="1" x14ac:dyDescent="0.4">
      <c r="B6" s="66" t="s">
        <v>41</v>
      </c>
      <c r="C6" s="67">
        <v>1.1000000000000001</v>
      </c>
    </row>
    <row r="8" spans="2:18" ht="15" thickBot="1" x14ac:dyDescent="0.4"/>
    <row r="9" spans="2:18" ht="16" thickBot="1" x14ac:dyDescent="0.4">
      <c r="B9" s="491" t="s">
        <v>106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3"/>
    </row>
    <row r="10" spans="2:18" s="68" customFormat="1" ht="16" thickBot="1" x14ac:dyDescent="0.4">
      <c r="B10" s="30" t="s">
        <v>109</v>
      </c>
      <c r="C10" s="2">
        <v>2013</v>
      </c>
      <c r="D10" s="2">
        <v>2014</v>
      </c>
      <c r="E10" s="2">
        <v>2015</v>
      </c>
      <c r="F10" s="2">
        <v>2016</v>
      </c>
      <c r="G10" s="2">
        <v>2017</v>
      </c>
      <c r="H10" s="2">
        <v>2018</v>
      </c>
      <c r="I10" s="2">
        <v>2019</v>
      </c>
      <c r="J10" s="2">
        <v>2020</v>
      </c>
      <c r="K10" s="2">
        <v>2021</v>
      </c>
      <c r="L10" s="2">
        <v>2022</v>
      </c>
      <c r="M10" s="2">
        <v>2023</v>
      </c>
      <c r="N10" s="2">
        <v>2024</v>
      </c>
      <c r="O10" s="2">
        <v>2025</v>
      </c>
      <c r="P10" s="2">
        <v>2026</v>
      </c>
      <c r="Q10" s="3">
        <v>2027</v>
      </c>
    </row>
    <row r="11" spans="2:18" s="34" customFormat="1" ht="15.5" x14ac:dyDescent="0.35">
      <c r="B11" s="31" t="s">
        <v>15</v>
      </c>
      <c r="C11" s="69">
        <v>300</v>
      </c>
      <c r="D11" s="69">
        <v>300</v>
      </c>
      <c r="E11" s="69">
        <v>300</v>
      </c>
      <c r="F11" s="69">
        <v>300</v>
      </c>
      <c r="G11" s="69">
        <v>300</v>
      </c>
      <c r="H11" s="69">
        <v>300</v>
      </c>
      <c r="I11" s="69">
        <v>300</v>
      </c>
      <c r="J11" s="69">
        <v>300</v>
      </c>
      <c r="K11" s="69">
        <v>300</v>
      </c>
      <c r="L11" s="69">
        <v>300</v>
      </c>
      <c r="M11" s="69">
        <v>300</v>
      </c>
      <c r="N11" s="69">
        <v>300</v>
      </c>
      <c r="O11" s="69">
        <v>300</v>
      </c>
      <c r="P11" s="69">
        <v>300</v>
      </c>
      <c r="Q11" s="70">
        <v>300</v>
      </c>
      <c r="R11" s="71"/>
    </row>
    <row r="12" spans="2:18" s="34" customFormat="1" ht="15.5" x14ac:dyDescent="0.35">
      <c r="B12" s="35" t="s">
        <v>16</v>
      </c>
      <c r="C12" s="72">
        <f>$C$3</f>
        <v>0.85</v>
      </c>
      <c r="D12" s="72">
        <f t="shared" ref="D12:Q12" si="0">$C$3</f>
        <v>0.85</v>
      </c>
      <c r="E12" s="72">
        <f t="shared" si="0"/>
        <v>0.85</v>
      </c>
      <c r="F12" s="72">
        <f t="shared" si="0"/>
        <v>0.85</v>
      </c>
      <c r="G12" s="72">
        <f t="shared" si="0"/>
        <v>0.85</v>
      </c>
      <c r="H12" s="72">
        <f t="shared" si="0"/>
        <v>0.85</v>
      </c>
      <c r="I12" s="72">
        <f t="shared" si="0"/>
        <v>0.85</v>
      </c>
      <c r="J12" s="72">
        <f t="shared" si="0"/>
        <v>0.85</v>
      </c>
      <c r="K12" s="72">
        <f t="shared" si="0"/>
        <v>0.85</v>
      </c>
      <c r="L12" s="72">
        <f t="shared" si="0"/>
        <v>0.85</v>
      </c>
      <c r="M12" s="72">
        <f t="shared" si="0"/>
        <v>0.85</v>
      </c>
      <c r="N12" s="72">
        <f t="shared" si="0"/>
        <v>0.85</v>
      </c>
      <c r="O12" s="72">
        <f t="shared" si="0"/>
        <v>0.85</v>
      </c>
      <c r="P12" s="72">
        <f t="shared" si="0"/>
        <v>0.85</v>
      </c>
      <c r="Q12" s="73">
        <f t="shared" si="0"/>
        <v>0.85</v>
      </c>
      <c r="R12" s="71"/>
    </row>
    <row r="13" spans="2:18" s="34" customFormat="1" ht="15.5" x14ac:dyDescent="0.35">
      <c r="B13" s="35" t="s">
        <v>80</v>
      </c>
      <c r="C13" s="74">
        <f t="shared" ref="C13:Q13" si="1">C11*1000*24*365*C12/1000000</f>
        <v>2233.8000000000002</v>
      </c>
      <c r="D13" s="74">
        <f t="shared" si="1"/>
        <v>2233.8000000000002</v>
      </c>
      <c r="E13" s="74">
        <f t="shared" si="1"/>
        <v>2233.8000000000002</v>
      </c>
      <c r="F13" s="74">
        <f t="shared" si="1"/>
        <v>2233.8000000000002</v>
      </c>
      <c r="G13" s="74">
        <f t="shared" si="1"/>
        <v>2233.8000000000002</v>
      </c>
      <c r="H13" s="74">
        <f t="shared" si="1"/>
        <v>2233.8000000000002</v>
      </c>
      <c r="I13" s="74">
        <f t="shared" si="1"/>
        <v>2233.8000000000002</v>
      </c>
      <c r="J13" s="74">
        <f t="shared" si="1"/>
        <v>2233.8000000000002</v>
      </c>
      <c r="K13" s="74">
        <f t="shared" si="1"/>
        <v>2233.8000000000002</v>
      </c>
      <c r="L13" s="74">
        <f t="shared" si="1"/>
        <v>2233.8000000000002</v>
      </c>
      <c r="M13" s="74">
        <f t="shared" si="1"/>
        <v>2233.8000000000002</v>
      </c>
      <c r="N13" s="74">
        <f t="shared" si="1"/>
        <v>2233.8000000000002</v>
      </c>
      <c r="O13" s="74">
        <f t="shared" si="1"/>
        <v>2233.8000000000002</v>
      </c>
      <c r="P13" s="74">
        <f t="shared" si="1"/>
        <v>2233.8000000000002</v>
      </c>
      <c r="Q13" s="75">
        <f t="shared" si="1"/>
        <v>2233.8000000000002</v>
      </c>
      <c r="R13" s="71"/>
    </row>
    <row r="14" spans="2:18" s="34" customFormat="1" ht="15.5" x14ac:dyDescent="0.35">
      <c r="B14" s="35" t="s">
        <v>81</v>
      </c>
      <c r="C14" s="76">
        <v>201</v>
      </c>
      <c r="D14" s="76">
        <v>201</v>
      </c>
      <c r="E14" s="76">
        <v>201</v>
      </c>
      <c r="F14" s="76">
        <v>201</v>
      </c>
      <c r="G14" s="76">
        <v>201</v>
      </c>
      <c r="H14" s="76">
        <v>201</v>
      </c>
      <c r="I14" s="76">
        <v>201</v>
      </c>
      <c r="J14" s="76">
        <v>201</v>
      </c>
      <c r="K14" s="76">
        <v>201</v>
      </c>
      <c r="L14" s="76">
        <v>201</v>
      </c>
      <c r="M14" s="76">
        <v>201</v>
      </c>
      <c r="N14" s="76">
        <v>201</v>
      </c>
      <c r="O14" s="76">
        <v>201</v>
      </c>
      <c r="P14" s="76">
        <v>201</v>
      </c>
      <c r="Q14" s="77">
        <v>201</v>
      </c>
      <c r="R14" s="71"/>
    </row>
    <row r="15" spans="2:18" s="34" customFormat="1" ht="15.5" x14ac:dyDescent="0.35">
      <c r="B15" s="78" t="s">
        <v>104</v>
      </c>
      <c r="C15" s="74">
        <f t="shared" ref="C15:Q15" si="2">C13-C14</f>
        <v>2032.8000000000002</v>
      </c>
      <c r="D15" s="74">
        <f t="shared" si="2"/>
        <v>2032.8000000000002</v>
      </c>
      <c r="E15" s="74">
        <f t="shared" si="2"/>
        <v>2032.8000000000002</v>
      </c>
      <c r="F15" s="74">
        <f t="shared" si="2"/>
        <v>2032.8000000000002</v>
      </c>
      <c r="G15" s="74">
        <f t="shared" si="2"/>
        <v>2032.8000000000002</v>
      </c>
      <c r="H15" s="74">
        <f t="shared" si="2"/>
        <v>2032.8000000000002</v>
      </c>
      <c r="I15" s="74">
        <f t="shared" si="2"/>
        <v>2032.8000000000002</v>
      </c>
      <c r="J15" s="74">
        <f t="shared" si="2"/>
        <v>2032.8000000000002</v>
      </c>
      <c r="K15" s="74">
        <f t="shared" si="2"/>
        <v>2032.8000000000002</v>
      </c>
      <c r="L15" s="74">
        <f t="shared" si="2"/>
        <v>2032.8000000000002</v>
      </c>
      <c r="M15" s="74">
        <f t="shared" si="2"/>
        <v>2032.8000000000002</v>
      </c>
      <c r="N15" s="74">
        <f t="shared" si="2"/>
        <v>2032.8000000000002</v>
      </c>
      <c r="O15" s="74">
        <f t="shared" si="2"/>
        <v>2032.8000000000002</v>
      </c>
      <c r="P15" s="74">
        <f t="shared" si="2"/>
        <v>2032.8000000000002</v>
      </c>
      <c r="Q15" s="75">
        <f t="shared" si="2"/>
        <v>2032.8000000000002</v>
      </c>
    </row>
    <row r="16" spans="2:18" s="34" customFormat="1" ht="15.5" x14ac:dyDescent="0.35">
      <c r="B16" s="35" t="s">
        <v>111</v>
      </c>
      <c r="C16" s="79">
        <v>3.3</v>
      </c>
      <c r="D16" s="79">
        <f>C16*1.01</f>
        <v>3.3329999999999997</v>
      </c>
      <c r="E16" s="79">
        <f t="shared" ref="E16:Q16" si="3">D16*1.01</f>
        <v>3.3663299999999996</v>
      </c>
      <c r="F16" s="79">
        <f t="shared" si="3"/>
        <v>3.3999932999999998</v>
      </c>
      <c r="G16" s="79">
        <f t="shared" si="3"/>
        <v>3.4339932329999998</v>
      </c>
      <c r="H16" s="79">
        <f t="shared" si="3"/>
        <v>3.4683331653299998</v>
      </c>
      <c r="I16" s="79">
        <f t="shared" si="3"/>
        <v>3.5030164969833</v>
      </c>
      <c r="J16" s="79">
        <f t="shared" si="3"/>
        <v>3.5380466619531332</v>
      </c>
      <c r="K16" s="79">
        <f t="shared" si="3"/>
        <v>3.5734271285726646</v>
      </c>
      <c r="L16" s="79">
        <f t="shared" si="3"/>
        <v>3.6091613998583911</v>
      </c>
      <c r="M16" s="79">
        <f t="shared" si="3"/>
        <v>3.645253013856975</v>
      </c>
      <c r="N16" s="79">
        <f t="shared" si="3"/>
        <v>3.6817055439955446</v>
      </c>
      <c r="O16" s="79">
        <f t="shared" si="3"/>
        <v>3.7185225994355</v>
      </c>
      <c r="P16" s="79">
        <f t="shared" si="3"/>
        <v>3.7557078254298553</v>
      </c>
      <c r="Q16" s="80">
        <f t="shared" si="3"/>
        <v>3.7932649036841539</v>
      </c>
      <c r="R16" s="81"/>
    </row>
    <row r="17" spans="2:22" s="34" customFormat="1" ht="15.5" x14ac:dyDescent="0.35">
      <c r="B17" s="82" t="s">
        <v>21</v>
      </c>
      <c r="C17" s="83">
        <f>C15*C16</f>
        <v>6708.2400000000007</v>
      </c>
      <c r="D17" s="83">
        <f t="shared" ref="D17:Q17" si="4">D15*D16</f>
        <v>6775.3224</v>
      </c>
      <c r="E17" s="83">
        <f t="shared" si="4"/>
        <v>6843.0756240000001</v>
      </c>
      <c r="F17" s="83">
        <f t="shared" si="4"/>
        <v>6911.50638024</v>
      </c>
      <c r="G17" s="83">
        <f t="shared" si="4"/>
        <v>6980.6214440424001</v>
      </c>
      <c r="H17" s="83">
        <f t="shared" si="4"/>
        <v>7050.427658482824</v>
      </c>
      <c r="I17" s="83">
        <f t="shared" si="4"/>
        <v>7120.9319350676524</v>
      </c>
      <c r="J17" s="83">
        <f t="shared" si="4"/>
        <v>7192.1412544183295</v>
      </c>
      <c r="K17" s="83">
        <f t="shared" si="4"/>
        <v>7264.0626669625135</v>
      </c>
      <c r="L17" s="83">
        <f t="shared" si="4"/>
        <v>7336.7032936321384</v>
      </c>
      <c r="M17" s="83">
        <f t="shared" si="4"/>
        <v>7410.0703265684597</v>
      </c>
      <c r="N17" s="83">
        <f t="shared" si="4"/>
        <v>7484.1710298341441</v>
      </c>
      <c r="O17" s="83">
        <f t="shared" si="4"/>
        <v>7559.0127401324853</v>
      </c>
      <c r="P17" s="83">
        <f t="shared" si="4"/>
        <v>7634.6028675338102</v>
      </c>
      <c r="Q17" s="84">
        <f t="shared" si="4"/>
        <v>7710.9488962091491</v>
      </c>
    </row>
    <row r="18" spans="2:22" s="34" customFormat="1" ht="15.5" x14ac:dyDescent="0.35">
      <c r="B18" s="45" t="s">
        <v>22</v>
      </c>
      <c r="C18" s="144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</row>
    <row r="19" spans="2:22" s="34" customFormat="1" ht="15.5" x14ac:dyDescent="0.35">
      <c r="B19" s="35" t="s">
        <v>41</v>
      </c>
      <c r="C19" s="74">
        <f>('Operating Data'!$C$23*((1.03^(C10-2012))))*$C$6</f>
        <v>3339.363272558659</v>
      </c>
      <c r="D19" s="76">
        <f>('Operating Data'!$C$23*((1.03^(D10-2012))))*$C$6</f>
        <v>3439.544170735418</v>
      </c>
      <c r="E19" s="76">
        <f>('Operating Data'!$C$23*((1.03^(E10-2012))))*$C$6</f>
        <v>3542.7304958574809</v>
      </c>
      <c r="F19" s="76">
        <f>('Operating Data'!$C$23*((1.03^(F10-2012))))*$C$6</f>
        <v>3649.0124107332053</v>
      </c>
      <c r="G19" s="76">
        <f>('Operating Data'!$C$23*((1.03^(G10-2012))))*$C$6</f>
        <v>3758.4827830552013</v>
      </c>
      <c r="H19" s="76">
        <f>('Operating Data'!$C$23*((1.03^(H10-2012))))*$C$6</f>
        <v>3871.2372665468574</v>
      </c>
      <c r="I19" s="76">
        <f>('Operating Data'!$C$23*((1.03^(I10-2012))))*$C$6</f>
        <v>3987.3743845432637</v>
      </c>
      <c r="J19" s="76">
        <f>('Operating Data'!$C$23*((1.03^(J10-2012))))*$C$6</f>
        <v>4106.9956160795609</v>
      </c>
      <c r="K19" s="76">
        <f>('Operating Data'!$C$23*((1.03^(K10-2012))))*$C$6</f>
        <v>4230.2054845619477</v>
      </c>
      <c r="L19" s="76">
        <f>('Operating Data'!$C$23*((1.03^(L10-2012))))*$C$6</f>
        <v>4357.1116490988061</v>
      </c>
      <c r="M19" s="76">
        <f>('Operating Data'!$C$23*((1.03^(M10-2012))))*$C$6</f>
        <v>4487.8249985717703</v>
      </c>
      <c r="N19" s="76">
        <f>('Operating Data'!$C$23*((1.03^(N10-2012))))*$C$6</f>
        <v>4622.4597485289232</v>
      </c>
      <c r="O19" s="76">
        <f>('Operating Data'!$C$23*((1.03^(O10-2012))))*$C$6</f>
        <v>4761.1335409847907</v>
      </c>
      <c r="P19" s="76">
        <f>('Operating Data'!$C$23*((1.03^(P10-2012))))*$C$6</f>
        <v>4903.9675472143344</v>
      </c>
      <c r="Q19" s="77">
        <f>('Operating Data'!$C$23*((1.03^(Q10-2012))))*$C$6</f>
        <v>5051.0865736307642</v>
      </c>
    </row>
    <row r="20" spans="2:22" s="34" customFormat="1" ht="15.5" x14ac:dyDescent="0.35">
      <c r="B20" s="35" t="s">
        <v>84</v>
      </c>
      <c r="C20" s="74">
        <f t="shared" ref="C20:Q20" si="5">((1.55*C11*((1.04)^(C10-2012))))*($C$3/85%)</f>
        <v>483.6</v>
      </c>
      <c r="D20" s="74">
        <f t="shared" si="5"/>
        <v>502.94400000000007</v>
      </c>
      <c r="E20" s="74">
        <f t="shared" si="5"/>
        <v>523.06176000000005</v>
      </c>
      <c r="F20" s="74">
        <f t="shared" si="5"/>
        <v>543.98423040000011</v>
      </c>
      <c r="G20" s="74">
        <f t="shared" si="5"/>
        <v>565.74359961600021</v>
      </c>
      <c r="H20" s="74">
        <f t="shared" si="5"/>
        <v>588.37334360064017</v>
      </c>
      <c r="I20" s="74">
        <f t="shared" si="5"/>
        <v>611.90827734466575</v>
      </c>
      <c r="J20" s="74">
        <f t="shared" si="5"/>
        <v>636.38460843845246</v>
      </c>
      <c r="K20" s="74">
        <f t="shared" si="5"/>
        <v>661.83999277599059</v>
      </c>
      <c r="L20" s="74">
        <f t="shared" si="5"/>
        <v>688.31359248703018</v>
      </c>
      <c r="M20" s="74">
        <f t="shared" si="5"/>
        <v>715.84613618651144</v>
      </c>
      <c r="N20" s="74">
        <f t="shared" si="5"/>
        <v>744.47998163397199</v>
      </c>
      <c r="O20" s="74">
        <f t="shared" si="5"/>
        <v>774.25918089933089</v>
      </c>
      <c r="P20" s="74">
        <f t="shared" si="5"/>
        <v>805.22954813530419</v>
      </c>
      <c r="Q20" s="75">
        <f t="shared" si="5"/>
        <v>837.43873006071624</v>
      </c>
    </row>
    <row r="21" spans="2:22" s="34" customFormat="1" ht="15.5" x14ac:dyDescent="0.35">
      <c r="B21" s="82" t="s">
        <v>25</v>
      </c>
      <c r="C21" s="76">
        <f t="shared" ref="C21:Q21" si="6">SUM(C19:C20)</f>
        <v>3822.9632725586589</v>
      </c>
      <c r="D21" s="74">
        <f t="shared" si="6"/>
        <v>3942.488170735418</v>
      </c>
      <c r="E21" s="76">
        <f t="shared" si="6"/>
        <v>4065.792255857481</v>
      </c>
      <c r="F21" s="76">
        <f t="shared" si="6"/>
        <v>4192.9966411332052</v>
      </c>
      <c r="G21" s="76">
        <f t="shared" si="6"/>
        <v>4324.2263826712015</v>
      </c>
      <c r="H21" s="76">
        <f t="shared" si="6"/>
        <v>4459.6106101474979</v>
      </c>
      <c r="I21" s="76">
        <f t="shared" si="6"/>
        <v>4599.2826618879299</v>
      </c>
      <c r="J21" s="76">
        <f t="shared" si="6"/>
        <v>4743.3802245180132</v>
      </c>
      <c r="K21" s="76">
        <f t="shared" si="6"/>
        <v>4892.0454773379388</v>
      </c>
      <c r="L21" s="76">
        <f t="shared" si="6"/>
        <v>5045.4252415858364</v>
      </c>
      <c r="M21" s="76">
        <f t="shared" si="6"/>
        <v>5203.6711347582814</v>
      </c>
      <c r="N21" s="76">
        <f t="shared" si="6"/>
        <v>5366.9397301628951</v>
      </c>
      <c r="O21" s="76">
        <f t="shared" si="6"/>
        <v>5535.3927218841218</v>
      </c>
      <c r="P21" s="76">
        <f t="shared" si="6"/>
        <v>5709.1970953496384</v>
      </c>
      <c r="Q21" s="77">
        <f t="shared" si="6"/>
        <v>5888.5253036914801</v>
      </c>
      <c r="V21" s="145"/>
    </row>
    <row r="22" spans="2:22" s="34" customFormat="1" ht="31" x14ac:dyDescent="0.35">
      <c r="B22" s="85" t="s">
        <v>85</v>
      </c>
      <c r="C22" s="83">
        <f t="shared" ref="C22:Q22" si="7">C17-C21</f>
        <v>2885.2767274413418</v>
      </c>
      <c r="D22" s="83">
        <f t="shared" si="7"/>
        <v>2832.8342292645821</v>
      </c>
      <c r="E22" s="83">
        <f t="shared" si="7"/>
        <v>2777.2833681425191</v>
      </c>
      <c r="F22" s="83">
        <f t="shared" si="7"/>
        <v>2718.5097391067948</v>
      </c>
      <c r="G22" s="83">
        <f t="shared" si="7"/>
        <v>2656.3950613711986</v>
      </c>
      <c r="H22" s="83">
        <f t="shared" si="7"/>
        <v>2590.817048335326</v>
      </c>
      <c r="I22" s="83">
        <f t="shared" si="7"/>
        <v>2521.6492731797225</v>
      </c>
      <c r="J22" s="83">
        <f t="shared" si="7"/>
        <v>2448.7610299003163</v>
      </c>
      <c r="K22" s="83">
        <f t="shared" si="7"/>
        <v>2372.0171896245747</v>
      </c>
      <c r="L22" s="83">
        <f t="shared" si="7"/>
        <v>2291.278052046302</v>
      </c>
      <c r="M22" s="83">
        <f t="shared" si="7"/>
        <v>2206.3991918101783</v>
      </c>
      <c r="N22" s="83">
        <f t="shared" si="7"/>
        <v>2117.231299671249</v>
      </c>
      <c r="O22" s="83">
        <f t="shared" si="7"/>
        <v>2023.6200182483635</v>
      </c>
      <c r="P22" s="83">
        <f t="shared" si="7"/>
        <v>1925.4057721841718</v>
      </c>
      <c r="Q22" s="84">
        <f t="shared" si="7"/>
        <v>1822.423592517669</v>
      </c>
    </row>
    <row r="23" spans="2:22" s="34" customFormat="1" ht="15.5" x14ac:dyDescent="0.35">
      <c r="B23" s="45" t="s">
        <v>27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</row>
    <row r="24" spans="2:22" s="34" customFormat="1" ht="15.5" x14ac:dyDescent="0.35">
      <c r="B24" s="35" t="s">
        <v>28</v>
      </c>
      <c r="C24" s="74">
        <f>$C$5*(('Balance Sheet (Case Exhibit 6)'!F12+'Balance Sheet (Case Exhibit 6)'!G12)/2)</f>
        <v>1131.5999999999999</v>
      </c>
      <c r="D24" s="74">
        <f>$C$5*(('Balance Sheet (Case Exhibit 6)'!G12+'Balance Sheet (Case Exhibit 6)'!H12)/2)</f>
        <v>1033.2</v>
      </c>
      <c r="E24" s="74">
        <f>$C$5*(('Balance Sheet (Case Exhibit 6)'!H12+'Balance Sheet (Case Exhibit 6)'!I12)/2)</f>
        <v>903</v>
      </c>
      <c r="F24" s="74">
        <f>$C$5*(('Balance Sheet (Case Exhibit 6)'!I12+'Balance Sheet (Case Exhibit 6)'!J12)/2)</f>
        <v>774</v>
      </c>
      <c r="G24" s="74">
        <f>$C$5*(('Balance Sheet (Case Exhibit 6)'!J12+'Balance Sheet (Case Exhibit 6)'!K12)/2)</f>
        <v>645</v>
      </c>
      <c r="H24" s="74">
        <f>$C$5*(('Balance Sheet (Case Exhibit 6)'!K12+'Balance Sheet (Case Exhibit 6)'!L12)/2)</f>
        <v>516</v>
      </c>
      <c r="I24" s="74">
        <f>$C$5*(('Balance Sheet (Case Exhibit 6)'!L12+'Balance Sheet (Case Exhibit 6)'!M12)/2)</f>
        <v>387</v>
      </c>
      <c r="J24" s="74">
        <f>$C$5*(('Balance Sheet (Case Exhibit 6)'!M12+'Balance Sheet (Case Exhibit 6)'!N12)/2)</f>
        <v>258</v>
      </c>
      <c r="K24" s="74">
        <f>$C$5*(('Balance Sheet (Case Exhibit 6)'!N12+'Balance Sheet (Case Exhibit 6)'!O12)/2)</f>
        <v>129</v>
      </c>
      <c r="L24" s="74">
        <f>$C$5*(('Balance Sheet (Case Exhibit 6)'!O12+'Balance Sheet (Case Exhibit 6)'!P12)/2)</f>
        <v>32.4</v>
      </c>
      <c r="M24" s="76">
        <f>$C$5*(('Balance Sheet (Case Exhibit 6)'!P12+'Balance Sheet (Case Exhibit 6)'!Q12)/2)</f>
        <v>0</v>
      </c>
      <c r="N24" s="76">
        <f>$C$5*(('Balance Sheet (Case Exhibit 6)'!Q12+'Balance Sheet (Case Exhibit 6)'!R12)/2)</f>
        <v>0</v>
      </c>
      <c r="O24" s="76">
        <f>$C$5*(('Balance Sheet (Case Exhibit 6)'!R12+'Balance Sheet (Case Exhibit 6)'!S12)/2)</f>
        <v>0</v>
      </c>
      <c r="P24" s="76">
        <f>$C$5*(('Balance Sheet (Case Exhibit 6)'!S12+'Balance Sheet (Case Exhibit 6)'!T12)/2)</f>
        <v>0</v>
      </c>
      <c r="Q24" s="77">
        <f>$C$5*(('Balance Sheet (Case Exhibit 6)'!T12+'Balance Sheet (Case Exhibit 6)'!U12)/2)</f>
        <v>0</v>
      </c>
    </row>
    <row r="25" spans="2:22" s="34" customFormat="1" ht="15.5" x14ac:dyDescent="0.35">
      <c r="B25" s="35" t="s">
        <v>29</v>
      </c>
      <c r="C25" s="136">
        <f>$C$5*(('Balance Sheet (Case Exhibit 6)'!G13))</f>
        <v>111.6</v>
      </c>
      <c r="D25" s="136">
        <f>$C$5*(('Balance Sheet (Case Exhibit 6)'!G13+'Balance Sheet (Case Exhibit 6)'!H13)/2)</f>
        <v>112.2</v>
      </c>
      <c r="E25" s="136">
        <f>$C$5*(('Balance Sheet (Case Exhibit 6)'!H13+'Balance Sheet (Case Exhibit 6)'!I13)/2)</f>
        <v>114</v>
      </c>
      <c r="F25" s="136">
        <f>$C$5*(('Balance Sheet (Case Exhibit 6)'!I13+'Balance Sheet (Case Exhibit 6)'!J13)/2)</f>
        <v>116.39999999999999</v>
      </c>
      <c r="G25" s="136">
        <f>$C$5*(('Balance Sheet (Case Exhibit 6)'!J13+'Balance Sheet (Case Exhibit 6)'!K13)/2)</f>
        <v>118.19999999999999</v>
      </c>
      <c r="H25" s="136">
        <f>$C$5*(('Balance Sheet (Case Exhibit 6)'!K13+'Balance Sheet (Case Exhibit 6)'!L13)/2)</f>
        <v>120</v>
      </c>
      <c r="I25" s="136">
        <f>$C$5*(('Balance Sheet (Case Exhibit 6)'!L13+'Balance Sheet (Case Exhibit 6)'!M13)/2)</f>
        <v>122.39999999999999</v>
      </c>
      <c r="J25" s="136">
        <f>$C$5*(('Balance Sheet (Case Exhibit 6)'!M13+'Balance Sheet (Case Exhibit 6)'!N13)/2)</f>
        <v>124.8</v>
      </c>
      <c r="K25" s="136">
        <f>$C$5*(('Balance Sheet (Case Exhibit 6)'!N13+'Balance Sheet (Case Exhibit 6)'!O13)/2)</f>
        <v>127.19999999999999</v>
      </c>
      <c r="L25" s="136">
        <f>$C$5*(('Balance Sheet (Case Exhibit 6)'!O13+'Balance Sheet (Case Exhibit 6)'!P13)/2)</f>
        <v>129.6</v>
      </c>
      <c r="M25" s="136">
        <f>$C$5*(('Balance Sheet (Case Exhibit 6)'!P13+'Balance Sheet (Case Exhibit 6)'!Q13)/2)</f>
        <v>132</v>
      </c>
      <c r="N25" s="136">
        <f>$C$5*(('Balance Sheet (Case Exhibit 6)'!Q13+'Balance Sheet (Case Exhibit 6)'!R13)/2)</f>
        <v>134.4</v>
      </c>
      <c r="O25" s="136">
        <f>$C$5*(('Balance Sheet (Case Exhibit 6)'!R13+'Balance Sheet (Case Exhibit 6)'!S13)/2)</f>
        <v>137.4</v>
      </c>
      <c r="P25" s="136">
        <f>$C$5*(('Balance Sheet (Case Exhibit 6)'!S13+'Balance Sheet (Case Exhibit 6)'!T13)/2)</f>
        <v>140.4</v>
      </c>
      <c r="Q25" s="137">
        <f>$C$5*(('Balance Sheet (Case Exhibit 6)'!T13+'Balance Sheet (Case Exhibit 6)'!U13)/2)</f>
        <v>142.79999999999998</v>
      </c>
    </row>
    <row r="26" spans="2:22" s="34" customFormat="1" ht="15.5" x14ac:dyDescent="0.35">
      <c r="B26" s="35" t="s">
        <v>30</v>
      </c>
      <c r="C26" s="38">
        <v>680</v>
      </c>
      <c r="D26" s="38">
        <v>680</v>
      </c>
      <c r="E26" s="38">
        <v>680</v>
      </c>
      <c r="F26" s="38">
        <v>680</v>
      </c>
      <c r="G26" s="38">
        <v>680</v>
      </c>
      <c r="H26" s="38">
        <v>680</v>
      </c>
      <c r="I26" s="38">
        <v>680</v>
      </c>
      <c r="J26" s="38">
        <v>680</v>
      </c>
      <c r="K26" s="38">
        <v>680</v>
      </c>
      <c r="L26" s="38">
        <v>680</v>
      </c>
      <c r="M26" s="38">
        <v>680</v>
      </c>
      <c r="N26" s="38">
        <v>680</v>
      </c>
      <c r="O26" s="38">
        <v>680</v>
      </c>
      <c r="P26" s="38">
        <v>680</v>
      </c>
      <c r="Q26" s="39">
        <v>680</v>
      </c>
    </row>
    <row r="27" spans="2:22" s="34" customFormat="1" ht="15.5" x14ac:dyDescent="0.35">
      <c r="B27" s="52" t="s">
        <v>86</v>
      </c>
      <c r="C27" s="136">
        <f t="shared" ref="C27:Q27" si="8">C22-C24-C25-C26</f>
        <v>962.07672744134197</v>
      </c>
      <c r="D27" s="83">
        <f t="shared" si="8"/>
        <v>1007.434229264582</v>
      </c>
      <c r="E27" s="83">
        <f t="shared" si="8"/>
        <v>1080.2833681425191</v>
      </c>
      <c r="F27" s="83">
        <f t="shared" si="8"/>
        <v>1148.1097391067947</v>
      </c>
      <c r="G27" s="83">
        <f t="shared" si="8"/>
        <v>1213.1950613711986</v>
      </c>
      <c r="H27" s="83">
        <f t="shared" si="8"/>
        <v>1274.817048335326</v>
      </c>
      <c r="I27" s="83">
        <f t="shared" si="8"/>
        <v>1332.2492731797224</v>
      </c>
      <c r="J27" s="83">
        <f t="shared" si="8"/>
        <v>1385.9610299003161</v>
      </c>
      <c r="K27" s="83">
        <f t="shared" si="8"/>
        <v>1435.8171896245749</v>
      </c>
      <c r="L27" s="83">
        <f t="shared" si="8"/>
        <v>1449.278052046302</v>
      </c>
      <c r="M27" s="83">
        <f t="shared" si="8"/>
        <v>1394.3991918101783</v>
      </c>
      <c r="N27" s="83">
        <f t="shared" si="8"/>
        <v>1302.8312996712489</v>
      </c>
      <c r="O27" s="83">
        <f t="shared" si="8"/>
        <v>1206.2200182483634</v>
      </c>
      <c r="P27" s="83">
        <f t="shared" si="8"/>
        <v>1105.0057721841717</v>
      </c>
      <c r="Q27" s="84">
        <f t="shared" si="8"/>
        <v>999.62359251766907</v>
      </c>
    </row>
    <row r="28" spans="2:22" s="34" customFormat="1" ht="15.5" x14ac:dyDescent="0.35">
      <c r="B28" s="45" t="s">
        <v>32</v>
      </c>
      <c r="C28" s="4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</row>
    <row r="29" spans="2:22" s="34" customFormat="1" ht="15.5" x14ac:dyDescent="0.35">
      <c r="B29" s="35" t="s">
        <v>33</v>
      </c>
      <c r="C29" s="38">
        <v>200</v>
      </c>
      <c r="D29" s="38">
        <v>210</v>
      </c>
      <c r="E29" s="38">
        <v>220</v>
      </c>
      <c r="F29" s="38">
        <v>240</v>
      </c>
      <c r="G29" s="38">
        <v>250</v>
      </c>
      <c r="H29" s="38">
        <v>260</v>
      </c>
      <c r="I29" s="38">
        <v>270</v>
      </c>
      <c r="J29" s="38">
        <v>280</v>
      </c>
      <c r="K29" s="38">
        <v>290</v>
      </c>
      <c r="L29" s="38">
        <v>300</v>
      </c>
      <c r="M29" s="38">
        <v>290</v>
      </c>
      <c r="N29" s="38">
        <v>280</v>
      </c>
      <c r="O29" s="38">
        <v>260</v>
      </c>
      <c r="P29" s="38">
        <v>250</v>
      </c>
      <c r="Q29" s="39">
        <v>230</v>
      </c>
    </row>
    <row r="30" spans="2:22" s="34" customFormat="1" ht="15.5" x14ac:dyDescent="0.35">
      <c r="B30" s="35" t="s">
        <v>34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-10</v>
      </c>
      <c r="K30" s="38">
        <v>-40</v>
      </c>
      <c r="L30" s="38">
        <v>-70</v>
      </c>
      <c r="M30" s="38">
        <v>-90</v>
      </c>
      <c r="N30" s="38">
        <v>-110</v>
      </c>
      <c r="O30" s="38">
        <v>-130</v>
      </c>
      <c r="P30" s="38">
        <v>-140</v>
      </c>
      <c r="Q30" s="39">
        <v>-150</v>
      </c>
    </row>
    <row r="31" spans="2:22" s="34" customFormat="1" ht="15.5" x14ac:dyDescent="0.35">
      <c r="B31" s="86" t="s">
        <v>87</v>
      </c>
      <c r="C31" s="136">
        <f t="shared" ref="C31:Q31" si="9">C27-C29-C30</f>
        <v>762.07672744134197</v>
      </c>
      <c r="D31" s="83">
        <f t="shared" si="9"/>
        <v>797.43422926458197</v>
      </c>
      <c r="E31" s="83">
        <f t="shared" si="9"/>
        <v>860.28336814251907</v>
      </c>
      <c r="F31" s="83">
        <f t="shared" si="9"/>
        <v>908.10973910679468</v>
      </c>
      <c r="G31" s="83">
        <f t="shared" si="9"/>
        <v>963.19506137119856</v>
      </c>
      <c r="H31" s="83">
        <f t="shared" si="9"/>
        <v>1014.817048335326</v>
      </c>
      <c r="I31" s="83">
        <f t="shared" si="9"/>
        <v>1062.2492731797224</v>
      </c>
      <c r="J31" s="83">
        <f t="shared" si="9"/>
        <v>1115.9610299003161</v>
      </c>
      <c r="K31" s="83">
        <f t="shared" si="9"/>
        <v>1185.8171896245749</v>
      </c>
      <c r="L31" s="83">
        <f t="shared" si="9"/>
        <v>1219.278052046302</v>
      </c>
      <c r="M31" s="83">
        <f t="shared" si="9"/>
        <v>1194.3991918101783</v>
      </c>
      <c r="N31" s="83">
        <f t="shared" si="9"/>
        <v>1132.8312996712489</v>
      </c>
      <c r="O31" s="83">
        <f t="shared" si="9"/>
        <v>1076.2200182483634</v>
      </c>
      <c r="P31" s="83">
        <f t="shared" si="9"/>
        <v>995.00577218417175</v>
      </c>
      <c r="Q31" s="84">
        <f t="shared" si="9"/>
        <v>919.62359251766907</v>
      </c>
    </row>
    <row r="32" spans="2:22" s="34" customFormat="1" ht="15.5" x14ac:dyDescent="0.35">
      <c r="B32" s="86" t="s">
        <v>88</v>
      </c>
      <c r="C32" s="138">
        <f t="shared" ref="C32:Q32" si="10">C31+C26+C30</f>
        <v>1442.076727441342</v>
      </c>
      <c r="D32" s="87">
        <f t="shared" si="10"/>
        <v>1477.434229264582</v>
      </c>
      <c r="E32" s="87">
        <f t="shared" si="10"/>
        <v>1540.2833681425191</v>
      </c>
      <c r="F32" s="87">
        <f t="shared" si="10"/>
        <v>1588.1097391067947</v>
      </c>
      <c r="G32" s="87">
        <f t="shared" si="10"/>
        <v>1643.1950613711986</v>
      </c>
      <c r="H32" s="87">
        <f t="shared" si="10"/>
        <v>1694.817048335326</v>
      </c>
      <c r="I32" s="87">
        <f t="shared" si="10"/>
        <v>1742.2492731797224</v>
      </c>
      <c r="J32" s="87">
        <f t="shared" si="10"/>
        <v>1785.9610299003161</v>
      </c>
      <c r="K32" s="87">
        <f t="shared" si="10"/>
        <v>1825.8171896245749</v>
      </c>
      <c r="L32" s="87">
        <f t="shared" si="10"/>
        <v>1829.278052046302</v>
      </c>
      <c r="M32" s="87">
        <f t="shared" si="10"/>
        <v>1784.3991918101783</v>
      </c>
      <c r="N32" s="87">
        <f t="shared" si="10"/>
        <v>1702.8312996712489</v>
      </c>
      <c r="O32" s="87">
        <f t="shared" si="10"/>
        <v>1626.2200182483634</v>
      </c>
      <c r="P32" s="87">
        <f t="shared" si="10"/>
        <v>1535.0057721841717</v>
      </c>
      <c r="Q32" s="88">
        <f t="shared" si="10"/>
        <v>1449.6235925176691</v>
      </c>
    </row>
    <row r="33" spans="2:20" s="34" customFormat="1" ht="15.5" x14ac:dyDescent="0.35">
      <c r="B33" s="86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2:20" s="34" customFormat="1" ht="15.5" x14ac:dyDescent="0.35">
      <c r="B34" s="86" t="s">
        <v>89</v>
      </c>
      <c r="C34" s="90">
        <f>-('Balance Sheet (Case Exhibit 6)'!G12-'Balance Sheet (Case Exhibit 6)'!F12)</f>
        <v>540</v>
      </c>
      <c r="D34" s="90">
        <f>-('Balance Sheet (Case Exhibit 6)'!H12-'Balance Sheet (Case Exhibit 6)'!G12)</f>
        <v>1100</v>
      </c>
      <c r="E34" s="90">
        <f>-('Balance Sheet (Case Exhibit 6)'!I12-'Balance Sheet (Case Exhibit 6)'!H12)</f>
        <v>1070</v>
      </c>
      <c r="F34" s="90">
        <f>-('Balance Sheet (Case Exhibit 6)'!J12-'Balance Sheet (Case Exhibit 6)'!I12)</f>
        <v>1080</v>
      </c>
      <c r="G34" s="90">
        <f>-('Balance Sheet (Case Exhibit 6)'!K12-'Balance Sheet (Case Exhibit 6)'!J12)</f>
        <v>1070</v>
      </c>
      <c r="H34" s="90">
        <f>-('Balance Sheet (Case Exhibit 6)'!L12-'Balance Sheet (Case Exhibit 6)'!K12)</f>
        <v>1080</v>
      </c>
      <c r="I34" s="90">
        <f>-('Balance Sheet (Case Exhibit 6)'!M12-'Balance Sheet (Case Exhibit 6)'!L12)</f>
        <v>1070</v>
      </c>
      <c r="J34" s="90">
        <f>-('Balance Sheet (Case Exhibit 6)'!N12-'Balance Sheet (Case Exhibit 6)'!M12)</f>
        <v>1080</v>
      </c>
      <c r="K34" s="90">
        <f>-('Balance Sheet (Case Exhibit 6)'!O12-'Balance Sheet (Case Exhibit 6)'!N12)</f>
        <v>1070</v>
      </c>
      <c r="L34" s="90">
        <f>-('Balance Sheet (Case Exhibit 6)'!P12-'Balance Sheet (Case Exhibit 6)'!O12)</f>
        <v>540</v>
      </c>
      <c r="M34" s="89"/>
      <c r="N34" s="89"/>
      <c r="O34" s="89"/>
      <c r="P34" s="89"/>
      <c r="Q34" s="91"/>
    </row>
    <row r="35" spans="2:20" s="34" customFormat="1" ht="15.5" x14ac:dyDescent="0.35">
      <c r="B35" s="86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89"/>
      <c r="N35" s="89"/>
      <c r="O35" s="89"/>
      <c r="P35" s="89"/>
      <c r="Q35" s="91"/>
    </row>
    <row r="36" spans="2:20" s="34" customFormat="1" ht="15.5" x14ac:dyDescent="0.35">
      <c r="B36" s="86" t="s">
        <v>43</v>
      </c>
      <c r="C36" s="92">
        <f>(C31+C24+C26)/(C24+C34)</f>
        <v>1.5396486763827124</v>
      </c>
      <c r="D36" s="92">
        <f t="shared" ref="D36:L36" si="11">(D31+D24+D26)/(D24+D34)</f>
        <v>1.1769333533023545</v>
      </c>
      <c r="E36" s="92">
        <f t="shared" si="11"/>
        <v>1.2383595378319914</v>
      </c>
      <c r="F36" s="92">
        <f t="shared" si="11"/>
        <v>1.2740613479540424</v>
      </c>
      <c r="G36" s="92">
        <f t="shared" si="11"/>
        <v>1.334224525580874</v>
      </c>
      <c r="H36" s="92">
        <f t="shared" si="11"/>
        <v>1.3852237144958184</v>
      </c>
      <c r="I36" s="92">
        <f t="shared" si="11"/>
        <v>1.4613927750032412</v>
      </c>
      <c r="J36" s="92">
        <f t="shared" si="11"/>
        <v>1.5350979296713871</v>
      </c>
      <c r="K36" s="92">
        <f t="shared" si="11"/>
        <v>1.663734103106401</v>
      </c>
      <c r="L36" s="92">
        <f t="shared" si="11"/>
        <v>3.3746996017580404</v>
      </c>
      <c r="M36" s="93"/>
      <c r="N36" s="93"/>
      <c r="O36" s="93"/>
      <c r="P36" s="93"/>
      <c r="Q36" s="94"/>
    </row>
    <row r="37" spans="2:20" s="34" customFormat="1" ht="16" thickBot="1" x14ac:dyDescent="0.4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</row>
    <row r="38" spans="2:20" s="34" customFormat="1" x14ac:dyDescent="0.35"/>
    <row r="39" spans="2:20" s="34" customFormat="1" ht="15" thickBot="1" x14ac:dyDescent="0.4"/>
    <row r="40" spans="2:20" s="34" customFormat="1" ht="16" thickBot="1" x14ac:dyDescent="0.4">
      <c r="B40" s="498" t="s">
        <v>44</v>
      </c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500"/>
    </row>
    <row r="41" spans="2:20" s="34" customFormat="1" ht="16" thickBot="1" x14ac:dyDescent="0.4">
      <c r="B41" s="95" t="s">
        <v>109</v>
      </c>
      <c r="C41" s="96">
        <v>2010</v>
      </c>
      <c r="D41" s="97">
        <v>2011</v>
      </c>
      <c r="E41" s="97">
        <v>2012</v>
      </c>
      <c r="F41" s="97">
        <v>2013</v>
      </c>
      <c r="G41" s="97">
        <v>2014</v>
      </c>
      <c r="H41" s="97">
        <v>2015</v>
      </c>
      <c r="I41" s="97">
        <v>2016</v>
      </c>
      <c r="J41" s="97">
        <v>2017</v>
      </c>
      <c r="K41" s="97">
        <v>2018</v>
      </c>
      <c r="L41" s="97">
        <v>2019</v>
      </c>
      <c r="M41" s="97">
        <v>2020</v>
      </c>
      <c r="N41" s="97">
        <v>2021</v>
      </c>
      <c r="O41" s="97">
        <v>2022</v>
      </c>
      <c r="P41" s="97">
        <v>2023</v>
      </c>
      <c r="Q41" s="97">
        <v>2024</v>
      </c>
      <c r="R41" s="97">
        <v>2025</v>
      </c>
      <c r="S41" s="97">
        <v>2026</v>
      </c>
      <c r="T41" s="98">
        <v>2027</v>
      </c>
    </row>
    <row r="42" spans="2:20" s="34" customFormat="1" ht="15.5" x14ac:dyDescent="0.35">
      <c r="B42" s="99" t="s">
        <v>46</v>
      </c>
      <c r="C42" s="100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2"/>
    </row>
    <row r="43" spans="2:20" s="34" customFormat="1" ht="15.5" x14ac:dyDescent="0.35">
      <c r="B43" s="103" t="s">
        <v>47</v>
      </c>
      <c r="C43" s="104">
        <v>0</v>
      </c>
      <c r="D43" s="105">
        <v>0</v>
      </c>
      <c r="E43" s="105">
        <v>0</v>
      </c>
      <c r="F43" s="105">
        <f>'Fuel Cost Up 10%'!C31+'Fuel Cost Up 10%'!C24+'Fuel Cost Up 10%'!C25+'Fuel Cost Up 10%'!C26</f>
        <v>2685.2767274413418</v>
      </c>
      <c r="G43" s="105">
        <f>'Fuel Cost Up 10%'!D31+'Fuel Cost Up 10%'!D24+'Fuel Cost Up 10%'!D25+'Fuel Cost Up 10%'!D26</f>
        <v>2622.8342292645821</v>
      </c>
      <c r="H43" s="105">
        <f>'Fuel Cost Up 10%'!E31+'Fuel Cost Up 10%'!E24+'Fuel Cost Up 10%'!E25+'Fuel Cost Up 10%'!E26</f>
        <v>2557.2833681425191</v>
      </c>
      <c r="I43" s="105">
        <f>'Fuel Cost Up 10%'!F31+'Fuel Cost Up 10%'!F24+'Fuel Cost Up 10%'!F25+'Fuel Cost Up 10%'!F26</f>
        <v>2478.5097391067948</v>
      </c>
      <c r="J43" s="105">
        <f>'Fuel Cost Up 10%'!G31+'Fuel Cost Up 10%'!G24+'Fuel Cost Up 10%'!G25+'Fuel Cost Up 10%'!G26</f>
        <v>2406.3950613711986</v>
      </c>
      <c r="K43" s="105">
        <f>'Fuel Cost Up 10%'!H31+'Fuel Cost Up 10%'!H24+'Fuel Cost Up 10%'!H25+'Fuel Cost Up 10%'!H26</f>
        <v>2330.817048335326</v>
      </c>
      <c r="L43" s="105">
        <f>'Fuel Cost Up 10%'!I31+'Fuel Cost Up 10%'!I24+'Fuel Cost Up 10%'!I25+'Fuel Cost Up 10%'!I26</f>
        <v>2251.6492731797225</v>
      </c>
      <c r="M43" s="105">
        <f>'Fuel Cost Up 10%'!J31+'Fuel Cost Up 10%'!J24+'Fuel Cost Up 10%'!J25+'Fuel Cost Up 10%'!J26</f>
        <v>2178.7610299003163</v>
      </c>
      <c r="N43" s="105">
        <f>'Fuel Cost Up 10%'!K31+'Fuel Cost Up 10%'!K24+'Fuel Cost Up 10%'!K25+'Fuel Cost Up 10%'!K26</f>
        <v>2122.0171896245747</v>
      </c>
      <c r="O43" s="105">
        <f>'Fuel Cost Up 10%'!L31+'Fuel Cost Up 10%'!L24+'Fuel Cost Up 10%'!L25+'Fuel Cost Up 10%'!L26</f>
        <v>2061.278052046302</v>
      </c>
      <c r="P43" s="105">
        <f>'Fuel Cost Up 10%'!M31+'Fuel Cost Up 10%'!M24+'Fuel Cost Up 10%'!M25+'Fuel Cost Up 10%'!M26</f>
        <v>2006.3991918101783</v>
      </c>
      <c r="Q43" s="105">
        <f>'Fuel Cost Up 10%'!N31+'Fuel Cost Up 10%'!N24+'Fuel Cost Up 10%'!N25+'Fuel Cost Up 10%'!N26</f>
        <v>1947.231299671249</v>
      </c>
      <c r="R43" s="105">
        <f>'Fuel Cost Up 10%'!O31+'Fuel Cost Up 10%'!O24+'Fuel Cost Up 10%'!O25+'Fuel Cost Up 10%'!O26</f>
        <v>1893.6200182483635</v>
      </c>
      <c r="S43" s="105">
        <f>'Fuel Cost Up 10%'!P31+'Fuel Cost Up 10%'!P24+'Fuel Cost Up 10%'!P25+'Fuel Cost Up 10%'!P26</f>
        <v>1815.4057721841718</v>
      </c>
      <c r="T43" s="106">
        <f>'Fuel Cost Up 10%'!Q31+'Fuel Cost Up 10%'!Q24+'Fuel Cost Up 10%'!Q25+'Fuel Cost Up 10%'!Q26</f>
        <v>1742.423592517669</v>
      </c>
    </row>
    <row r="44" spans="2:20" s="34" customFormat="1" ht="16" thickBot="1" x14ac:dyDescent="0.4">
      <c r="B44" s="107" t="s">
        <v>48</v>
      </c>
      <c r="C44" s="108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6">
        <f>0.05*'Balance Sheet (Case Exhibit 6)'!U24</f>
        <v>1238.5</v>
      </c>
    </row>
    <row r="45" spans="2:20" s="34" customFormat="1" ht="16" thickBot="1" x14ac:dyDescent="0.4">
      <c r="B45" s="95" t="s">
        <v>90</v>
      </c>
      <c r="C45" s="110">
        <f t="shared" ref="C45:T45" si="12">SUM(C43:C44)</f>
        <v>0</v>
      </c>
      <c r="D45" s="111">
        <f t="shared" si="12"/>
        <v>0</v>
      </c>
      <c r="E45" s="111">
        <f t="shared" si="12"/>
        <v>0</v>
      </c>
      <c r="F45" s="111">
        <f t="shared" si="12"/>
        <v>2685.2767274413418</v>
      </c>
      <c r="G45" s="111">
        <f t="shared" si="12"/>
        <v>2622.8342292645821</v>
      </c>
      <c r="H45" s="111">
        <f t="shared" si="12"/>
        <v>2557.2833681425191</v>
      </c>
      <c r="I45" s="111">
        <f t="shared" si="12"/>
        <v>2478.5097391067948</v>
      </c>
      <c r="J45" s="111">
        <f t="shared" si="12"/>
        <v>2406.3950613711986</v>
      </c>
      <c r="K45" s="111">
        <f t="shared" si="12"/>
        <v>2330.817048335326</v>
      </c>
      <c r="L45" s="111">
        <f t="shared" si="12"/>
        <v>2251.6492731797225</v>
      </c>
      <c r="M45" s="111">
        <f t="shared" si="12"/>
        <v>2178.7610299003163</v>
      </c>
      <c r="N45" s="111">
        <f t="shared" si="12"/>
        <v>2122.0171896245747</v>
      </c>
      <c r="O45" s="111">
        <f t="shared" si="12"/>
        <v>2061.278052046302</v>
      </c>
      <c r="P45" s="111">
        <f t="shared" si="12"/>
        <v>2006.3991918101783</v>
      </c>
      <c r="Q45" s="111">
        <f t="shared" si="12"/>
        <v>1947.231299671249</v>
      </c>
      <c r="R45" s="111">
        <f t="shared" si="12"/>
        <v>1893.6200182483635</v>
      </c>
      <c r="S45" s="111">
        <f t="shared" si="12"/>
        <v>1815.4057721841718</v>
      </c>
      <c r="T45" s="112">
        <f t="shared" si="12"/>
        <v>2980.923592517669</v>
      </c>
    </row>
    <row r="46" spans="2:20" s="34" customFormat="1" ht="15.5" x14ac:dyDescent="0.35">
      <c r="B46" s="99" t="s">
        <v>50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2"/>
    </row>
    <row r="47" spans="2:20" s="34" customFormat="1" ht="15.5" x14ac:dyDescent="0.35">
      <c r="B47" s="103" t="s">
        <v>97</v>
      </c>
      <c r="C47" s="113">
        <f>'Balance Sheet (Case Exhibit 6)'!D24-'Balance Sheet (Case Exhibit 6)'!D22</f>
        <v>3460</v>
      </c>
      <c r="D47" s="114">
        <f>'Balance Sheet (Case Exhibit 6)'!E24-'Balance Sheet (Case Exhibit 6)'!E22-'Balance Sheet (Case Exhibit 6)'!D24</f>
        <v>5520</v>
      </c>
      <c r="E47" s="114">
        <f>'Balance Sheet (Case Exhibit 6)'!F24-'Balance Sheet (Case Exhibit 6)'!F22-'Balance Sheet (Case Exhibit 6)'!E24</f>
        <v>4570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</row>
    <row r="48" spans="2:20" s="34" customFormat="1" ht="16" thickBot="1" x14ac:dyDescent="0.4">
      <c r="B48" s="107" t="s">
        <v>91</v>
      </c>
      <c r="C48" s="115">
        <v>0</v>
      </c>
      <c r="D48" s="116">
        <v>0</v>
      </c>
      <c r="E48" s="116">
        <v>0</v>
      </c>
      <c r="F48" s="117">
        <f>'Balance Sheet (Case Exhibit 6)'!G30</f>
        <v>310</v>
      </c>
      <c r="G48" s="117">
        <f>'Balance Sheet (Case Exhibit 6)'!H30</f>
        <v>0</v>
      </c>
      <c r="H48" s="116">
        <f>'Balance Sheet (Case Exhibit 6)'!I30</f>
        <v>10</v>
      </c>
      <c r="I48" s="116">
        <f>'Balance Sheet (Case Exhibit 6)'!J30</f>
        <v>0</v>
      </c>
      <c r="J48" s="116">
        <f>'Balance Sheet (Case Exhibit 6)'!K30</f>
        <v>10</v>
      </c>
      <c r="K48" s="116">
        <f>'Balance Sheet (Case Exhibit 6)'!L30</f>
        <v>10</v>
      </c>
      <c r="L48" s="116">
        <f>'Balance Sheet (Case Exhibit 6)'!M30</f>
        <v>0</v>
      </c>
      <c r="M48" s="116">
        <f>'Balance Sheet (Case Exhibit 6)'!N30</f>
        <v>10</v>
      </c>
      <c r="N48" s="116">
        <f>'Balance Sheet (Case Exhibit 6)'!O30</f>
        <v>10</v>
      </c>
      <c r="O48" s="116">
        <f>'Balance Sheet (Case Exhibit 6)'!P30</f>
        <v>0</v>
      </c>
      <c r="P48" s="116">
        <f>'Balance Sheet (Case Exhibit 6)'!Q30</f>
        <v>10</v>
      </c>
      <c r="Q48" s="116">
        <f>'Balance Sheet (Case Exhibit 6)'!R30</f>
        <v>10</v>
      </c>
      <c r="R48" s="116">
        <f>'Balance Sheet (Case Exhibit 6)'!S30</f>
        <v>0</v>
      </c>
      <c r="S48" s="116">
        <f>'Balance Sheet (Case Exhibit 6)'!T30</f>
        <v>10</v>
      </c>
      <c r="T48" s="118">
        <f>'Balance Sheet (Case Exhibit 6)'!U30</f>
        <v>10</v>
      </c>
    </row>
    <row r="49" spans="2:20" s="34" customFormat="1" ht="15.5" x14ac:dyDescent="0.35">
      <c r="B49" s="119" t="s">
        <v>53</v>
      </c>
      <c r="C49" s="120">
        <f t="shared" ref="C49:T49" si="13">C47+C48</f>
        <v>3460</v>
      </c>
      <c r="D49" s="121">
        <f t="shared" si="13"/>
        <v>5520</v>
      </c>
      <c r="E49" s="121">
        <f t="shared" si="13"/>
        <v>4570</v>
      </c>
      <c r="F49" s="121">
        <f t="shared" si="13"/>
        <v>310</v>
      </c>
      <c r="G49" s="121">
        <f t="shared" si="13"/>
        <v>0</v>
      </c>
      <c r="H49" s="121">
        <f t="shared" si="13"/>
        <v>10</v>
      </c>
      <c r="I49" s="121">
        <f t="shared" si="13"/>
        <v>0</v>
      </c>
      <c r="J49" s="121">
        <f t="shared" si="13"/>
        <v>10</v>
      </c>
      <c r="K49" s="121">
        <f t="shared" si="13"/>
        <v>10</v>
      </c>
      <c r="L49" s="121">
        <f t="shared" si="13"/>
        <v>0</v>
      </c>
      <c r="M49" s="121">
        <f t="shared" si="13"/>
        <v>10</v>
      </c>
      <c r="N49" s="121">
        <f t="shared" si="13"/>
        <v>10</v>
      </c>
      <c r="O49" s="121">
        <f t="shared" si="13"/>
        <v>0</v>
      </c>
      <c r="P49" s="121">
        <f t="shared" si="13"/>
        <v>10</v>
      </c>
      <c r="Q49" s="121">
        <f t="shared" si="13"/>
        <v>10</v>
      </c>
      <c r="R49" s="121">
        <f t="shared" si="13"/>
        <v>0</v>
      </c>
      <c r="S49" s="121">
        <f t="shared" si="13"/>
        <v>10</v>
      </c>
      <c r="T49" s="122">
        <f t="shared" si="13"/>
        <v>10</v>
      </c>
    </row>
    <row r="50" spans="2:20" s="34" customFormat="1" ht="16" thickBot="1" x14ac:dyDescent="0.4">
      <c r="B50" s="123" t="s">
        <v>93</v>
      </c>
      <c r="C50" s="124">
        <f t="shared" ref="C50:T50" si="14">C45-C49</f>
        <v>-3460</v>
      </c>
      <c r="D50" s="125">
        <f t="shared" si="14"/>
        <v>-5520</v>
      </c>
      <c r="E50" s="125">
        <f t="shared" si="14"/>
        <v>-4570</v>
      </c>
      <c r="F50" s="125">
        <f t="shared" si="14"/>
        <v>2375.2767274413418</v>
      </c>
      <c r="G50" s="125">
        <f t="shared" si="14"/>
        <v>2622.8342292645821</v>
      </c>
      <c r="H50" s="125">
        <f t="shared" si="14"/>
        <v>2547.2833681425191</v>
      </c>
      <c r="I50" s="125">
        <f t="shared" si="14"/>
        <v>2478.5097391067948</v>
      </c>
      <c r="J50" s="125">
        <f t="shared" si="14"/>
        <v>2396.3950613711986</v>
      </c>
      <c r="K50" s="125">
        <f t="shared" si="14"/>
        <v>2320.817048335326</v>
      </c>
      <c r="L50" s="125">
        <f t="shared" si="14"/>
        <v>2251.6492731797225</v>
      </c>
      <c r="M50" s="125">
        <f t="shared" si="14"/>
        <v>2168.7610299003163</v>
      </c>
      <c r="N50" s="125">
        <f t="shared" si="14"/>
        <v>2112.0171896245747</v>
      </c>
      <c r="O50" s="125">
        <f t="shared" si="14"/>
        <v>2061.278052046302</v>
      </c>
      <c r="P50" s="125">
        <f t="shared" si="14"/>
        <v>1996.3991918101783</v>
      </c>
      <c r="Q50" s="125">
        <f t="shared" si="14"/>
        <v>1937.231299671249</v>
      </c>
      <c r="R50" s="125">
        <f t="shared" si="14"/>
        <v>1893.6200182483635</v>
      </c>
      <c r="S50" s="125">
        <f t="shared" si="14"/>
        <v>1805.4057721841718</v>
      </c>
      <c r="T50" s="126">
        <f t="shared" si="14"/>
        <v>2970.923592517669</v>
      </c>
    </row>
    <row r="51" spans="2:20" s="34" customFormat="1" ht="16" thickBot="1" x14ac:dyDescent="0.4">
      <c r="B51" s="127" t="s">
        <v>94</v>
      </c>
      <c r="C51" s="128">
        <f>IRR(C50:T50)</f>
        <v>0.12852465102941535</v>
      </c>
      <c r="D51" s="129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1"/>
    </row>
    <row r="52" spans="2:20" s="34" customFormat="1" ht="15" thickBot="1" x14ac:dyDescent="0.4"/>
    <row r="53" spans="2:20" s="34" customFormat="1" ht="16" thickBot="1" x14ac:dyDescent="0.4">
      <c r="B53" s="501" t="s">
        <v>44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2"/>
      <c r="N53" s="502"/>
      <c r="O53" s="503"/>
    </row>
    <row r="54" spans="2:20" s="34" customFormat="1" ht="16" thickBot="1" x14ac:dyDescent="0.4">
      <c r="B54" s="95" t="s">
        <v>109</v>
      </c>
      <c r="C54" s="132">
        <v>2010</v>
      </c>
      <c r="D54" s="97">
        <v>2011</v>
      </c>
      <c r="E54" s="97">
        <v>2012</v>
      </c>
      <c r="F54" s="97">
        <v>2013</v>
      </c>
      <c r="G54" s="97">
        <v>2014</v>
      </c>
      <c r="H54" s="97">
        <v>2015</v>
      </c>
      <c r="I54" s="97">
        <v>2016</v>
      </c>
      <c r="J54" s="97">
        <v>2017</v>
      </c>
      <c r="K54" s="97">
        <v>2018</v>
      </c>
      <c r="L54" s="97">
        <v>2019</v>
      </c>
      <c r="M54" s="97">
        <v>2020</v>
      </c>
      <c r="N54" s="97">
        <v>2021</v>
      </c>
      <c r="O54" s="98">
        <v>2022</v>
      </c>
    </row>
    <row r="55" spans="2:20" s="34" customFormat="1" ht="15.5" x14ac:dyDescent="0.35">
      <c r="B55" s="99" t="s">
        <v>46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2"/>
    </row>
    <row r="56" spans="2:20" s="34" customFormat="1" ht="15.5" x14ac:dyDescent="0.35">
      <c r="B56" s="103" t="s">
        <v>47</v>
      </c>
      <c r="C56" s="104">
        <f>C43</f>
        <v>0</v>
      </c>
      <c r="D56" s="105">
        <f t="shared" ref="D56:O56" si="15">D43</f>
        <v>0</v>
      </c>
      <c r="E56" s="105">
        <f t="shared" si="15"/>
        <v>0</v>
      </c>
      <c r="F56" s="105">
        <f t="shared" si="15"/>
        <v>2685.2767274413418</v>
      </c>
      <c r="G56" s="105">
        <f t="shared" si="15"/>
        <v>2622.8342292645821</v>
      </c>
      <c r="H56" s="105">
        <f t="shared" si="15"/>
        <v>2557.2833681425191</v>
      </c>
      <c r="I56" s="105">
        <f t="shared" si="15"/>
        <v>2478.5097391067948</v>
      </c>
      <c r="J56" s="105">
        <f t="shared" si="15"/>
        <v>2406.3950613711986</v>
      </c>
      <c r="K56" s="105">
        <f t="shared" si="15"/>
        <v>2330.817048335326</v>
      </c>
      <c r="L56" s="105">
        <f t="shared" si="15"/>
        <v>2251.6492731797225</v>
      </c>
      <c r="M56" s="105">
        <f t="shared" si="15"/>
        <v>2178.7610299003163</v>
      </c>
      <c r="N56" s="105">
        <f t="shared" si="15"/>
        <v>2122.0171896245747</v>
      </c>
      <c r="O56" s="106">
        <f t="shared" si="15"/>
        <v>2061.278052046302</v>
      </c>
    </row>
    <row r="57" spans="2:20" s="34" customFormat="1" ht="16" thickBot="1" x14ac:dyDescent="0.4">
      <c r="B57" s="107" t="s">
        <v>48</v>
      </c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33">
        <f>0.05*'Balance Sheet (Case Exhibit 6)'!P24</f>
        <v>884</v>
      </c>
    </row>
    <row r="58" spans="2:20" s="34" customFormat="1" ht="16" thickBot="1" x14ac:dyDescent="0.4">
      <c r="B58" s="95" t="s">
        <v>90</v>
      </c>
      <c r="C58" s="110">
        <f t="shared" ref="C58:O58" si="16">SUM(C56:C57)</f>
        <v>0</v>
      </c>
      <c r="D58" s="111">
        <f t="shared" si="16"/>
        <v>0</v>
      </c>
      <c r="E58" s="111">
        <f t="shared" si="16"/>
        <v>0</v>
      </c>
      <c r="F58" s="111">
        <f t="shared" si="16"/>
        <v>2685.2767274413418</v>
      </c>
      <c r="G58" s="111">
        <f t="shared" si="16"/>
        <v>2622.8342292645821</v>
      </c>
      <c r="H58" s="111">
        <f t="shared" si="16"/>
        <v>2557.2833681425191</v>
      </c>
      <c r="I58" s="111">
        <f t="shared" si="16"/>
        <v>2478.5097391067948</v>
      </c>
      <c r="J58" s="111">
        <f t="shared" si="16"/>
        <v>2406.3950613711986</v>
      </c>
      <c r="K58" s="111">
        <f t="shared" si="16"/>
        <v>2330.817048335326</v>
      </c>
      <c r="L58" s="111">
        <f t="shared" si="16"/>
        <v>2251.6492731797225</v>
      </c>
      <c r="M58" s="111">
        <f t="shared" si="16"/>
        <v>2178.7610299003163</v>
      </c>
      <c r="N58" s="111">
        <f t="shared" si="16"/>
        <v>2122.0171896245747</v>
      </c>
      <c r="O58" s="112">
        <f t="shared" si="16"/>
        <v>2945.278052046302</v>
      </c>
    </row>
    <row r="59" spans="2:20" s="34" customFormat="1" ht="15.5" x14ac:dyDescent="0.35">
      <c r="B59" s="99" t="s">
        <v>50</v>
      </c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2"/>
    </row>
    <row r="60" spans="2:20" s="34" customFormat="1" ht="15.5" x14ac:dyDescent="0.35">
      <c r="B60" s="103" t="s">
        <v>103</v>
      </c>
      <c r="C60" s="113">
        <f>C47</f>
        <v>3460</v>
      </c>
      <c r="D60" s="114">
        <f t="shared" ref="D60:O60" si="17">D47</f>
        <v>5520</v>
      </c>
      <c r="E60" s="114">
        <f t="shared" si="17"/>
        <v>4570</v>
      </c>
      <c r="F60" s="8">
        <f t="shared" si="17"/>
        <v>0</v>
      </c>
      <c r="G60" s="8">
        <f t="shared" si="17"/>
        <v>0</v>
      </c>
      <c r="H60" s="8">
        <f t="shared" si="17"/>
        <v>0</v>
      </c>
      <c r="I60" s="8">
        <f t="shared" si="17"/>
        <v>0</v>
      </c>
      <c r="J60" s="8">
        <f t="shared" si="17"/>
        <v>0</v>
      </c>
      <c r="K60" s="8">
        <f t="shared" si="17"/>
        <v>0</v>
      </c>
      <c r="L60" s="8">
        <f t="shared" si="17"/>
        <v>0</v>
      </c>
      <c r="M60" s="8">
        <f t="shared" si="17"/>
        <v>0</v>
      </c>
      <c r="N60" s="8">
        <f t="shared" si="17"/>
        <v>0</v>
      </c>
      <c r="O60" s="9">
        <f t="shared" si="17"/>
        <v>0</v>
      </c>
    </row>
    <row r="61" spans="2:20" s="34" customFormat="1" ht="16" thickBot="1" x14ac:dyDescent="0.4">
      <c r="B61" s="107" t="s">
        <v>92</v>
      </c>
      <c r="C61" s="115">
        <f t="shared" ref="C61:O61" si="18">C48</f>
        <v>0</v>
      </c>
      <c r="D61" s="116">
        <f t="shared" si="18"/>
        <v>0</v>
      </c>
      <c r="E61" s="116">
        <f t="shared" si="18"/>
        <v>0</v>
      </c>
      <c r="F61" s="117">
        <f t="shared" si="18"/>
        <v>310</v>
      </c>
      <c r="G61" s="117">
        <f t="shared" si="18"/>
        <v>0</v>
      </c>
      <c r="H61" s="116">
        <f t="shared" si="18"/>
        <v>10</v>
      </c>
      <c r="I61" s="116">
        <f t="shared" si="18"/>
        <v>0</v>
      </c>
      <c r="J61" s="116">
        <f t="shared" si="18"/>
        <v>10</v>
      </c>
      <c r="K61" s="116">
        <f t="shared" si="18"/>
        <v>10</v>
      </c>
      <c r="L61" s="116">
        <f t="shared" si="18"/>
        <v>0</v>
      </c>
      <c r="M61" s="116">
        <f t="shared" si="18"/>
        <v>10</v>
      </c>
      <c r="N61" s="116">
        <f t="shared" si="18"/>
        <v>10</v>
      </c>
      <c r="O61" s="118">
        <f t="shared" si="18"/>
        <v>0</v>
      </c>
    </row>
    <row r="62" spans="2:20" s="34" customFormat="1" ht="15.5" x14ac:dyDescent="0.35">
      <c r="B62" s="119" t="s">
        <v>53</v>
      </c>
      <c r="C62" s="120">
        <f t="shared" ref="C62:O62" si="19">C60+C61</f>
        <v>3460</v>
      </c>
      <c r="D62" s="121">
        <f t="shared" si="19"/>
        <v>5520</v>
      </c>
      <c r="E62" s="121">
        <f t="shared" si="19"/>
        <v>4570</v>
      </c>
      <c r="F62" s="121">
        <f t="shared" si="19"/>
        <v>310</v>
      </c>
      <c r="G62" s="121">
        <f t="shared" si="19"/>
        <v>0</v>
      </c>
      <c r="H62" s="121">
        <f t="shared" si="19"/>
        <v>10</v>
      </c>
      <c r="I62" s="121">
        <f t="shared" si="19"/>
        <v>0</v>
      </c>
      <c r="J62" s="121">
        <f t="shared" si="19"/>
        <v>10</v>
      </c>
      <c r="K62" s="121">
        <f t="shared" si="19"/>
        <v>10</v>
      </c>
      <c r="L62" s="121">
        <f t="shared" si="19"/>
        <v>0</v>
      </c>
      <c r="M62" s="121">
        <f t="shared" si="19"/>
        <v>10</v>
      </c>
      <c r="N62" s="121">
        <f t="shared" si="19"/>
        <v>10</v>
      </c>
      <c r="O62" s="122">
        <f t="shared" si="19"/>
        <v>0</v>
      </c>
    </row>
    <row r="63" spans="2:20" s="34" customFormat="1" ht="16" thickBot="1" x14ac:dyDescent="0.4">
      <c r="B63" s="123" t="s">
        <v>93</v>
      </c>
      <c r="C63" s="124">
        <f t="shared" ref="C63:O63" si="20">C58-C62</f>
        <v>-3460</v>
      </c>
      <c r="D63" s="125">
        <f t="shared" si="20"/>
        <v>-5520</v>
      </c>
      <c r="E63" s="125">
        <f t="shared" si="20"/>
        <v>-4570</v>
      </c>
      <c r="F63" s="125">
        <f t="shared" si="20"/>
        <v>2375.2767274413418</v>
      </c>
      <c r="G63" s="125">
        <f t="shared" si="20"/>
        <v>2622.8342292645821</v>
      </c>
      <c r="H63" s="125">
        <f t="shared" si="20"/>
        <v>2547.2833681425191</v>
      </c>
      <c r="I63" s="125">
        <f t="shared" si="20"/>
        <v>2478.5097391067948</v>
      </c>
      <c r="J63" s="125">
        <f t="shared" si="20"/>
        <v>2396.3950613711986</v>
      </c>
      <c r="K63" s="125">
        <f t="shared" si="20"/>
        <v>2320.817048335326</v>
      </c>
      <c r="L63" s="125">
        <f t="shared" si="20"/>
        <v>2251.6492731797225</v>
      </c>
      <c r="M63" s="125">
        <f t="shared" si="20"/>
        <v>2168.7610299003163</v>
      </c>
      <c r="N63" s="125">
        <f t="shared" si="20"/>
        <v>2112.0171896245747</v>
      </c>
      <c r="O63" s="126">
        <f t="shared" si="20"/>
        <v>2945.278052046302</v>
      </c>
    </row>
    <row r="64" spans="2:20" s="34" customFormat="1" ht="16" thickBot="1" x14ac:dyDescent="0.4">
      <c r="B64" s="127" t="s">
        <v>95</v>
      </c>
      <c r="C64" s="128">
        <f>IRR(C63:O63)</f>
        <v>0.10132822913241935</v>
      </c>
      <c r="D64" s="129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1"/>
    </row>
    <row r="65" spans="3:15" s="34" customFormat="1" x14ac:dyDescent="0.35"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</row>
    <row r="66" spans="3:15" s="34" customFormat="1" x14ac:dyDescent="0.35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</row>
    <row r="67" spans="3:15" s="34" customFormat="1" x14ac:dyDescent="0.3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</row>
    <row r="68" spans="3:15" s="34" customFormat="1" x14ac:dyDescent="0.35"/>
    <row r="69" spans="3:15" s="34" customFormat="1" x14ac:dyDescent="0.35"/>
    <row r="70" spans="3:15" s="34" customFormat="1" x14ac:dyDescent="0.35"/>
    <row r="71" spans="3:15" s="34" customFormat="1" x14ac:dyDescent="0.35"/>
    <row r="72" spans="3:15" s="34" customFormat="1" x14ac:dyDescent="0.35"/>
    <row r="73" spans="3:15" s="34" customFormat="1" x14ac:dyDescent="0.35"/>
    <row r="74" spans="3:15" s="34" customFormat="1" x14ac:dyDescent="0.35"/>
    <row r="75" spans="3:15" s="34" customFormat="1" x14ac:dyDescent="0.35"/>
    <row r="76" spans="3:15" s="34" customFormat="1" x14ac:dyDescent="0.35"/>
    <row r="77" spans="3:15" s="34" customFormat="1" x14ac:dyDescent="0.35"/>
    <row r="78" spans="3:15" s="34" customFormat="1" x14ac:dyDescent="0.35"/>
    <row r="79" spans="3:15" s="34" customFormat="1" x14ac:dyDescent="0.35"/>
    <row r="80" spans="3:15" s="34" customFormat="1" x14ac:dyDescent="0.35"/>
    <row r="81" s="34" customFormat="1" x14ac:dyDescent="0.35"/>
    <row r="82" s="34" customFormat="1" x14ac:dyDescent="0.35"/>
    <row r="83" s="34" customFormat="1" x14ac:dyDescent="0.35"/>
    <row r="84" s="34" customFormat="1" x14ac:dyDescent="0.35"/>
    <row r="85" s="34" customFormat="1" x14ac:dyDescent="0.35"/>
    <row r="86" s="34" customFormat="1" x14ac:dyDescent="0.35"/>
    <row r="87" s="34" customFormat="1" x14ac:dyDescent="0.35"/>
    <row r="88" s="34" customFormat="1" x14ac:dyDescent="0.35"/>
    <row r="89" s="34" customFormat="1" x14ac:dyDescent="0.35"/>
    <row r="90" s="34" customFormat="1" x14ac:dyDescent="0.35"/>
    <row r="91" s="34" customFormat="1" x14ac:dyDescent="0.35"/>
    <row r="92" s="34" customFormat="1" x14ac:dyDescent="0.35"/>
    <row r="93" s="34" customFormat="1" x14ac:dyDescent="0.35"/>
    <row r="94" s="34" customFormat="1" x14ac:dyDescent="0.35"/>
    <row r="95" s="34" customFormat="1" x14ac:dyDescent="0.35"/>
    <row r="96" s="34" customFormat="1" x14ac:dyDescent="0.35"/>
    <row r="97" s="34" customFormat="1" x14ac:dyDescent="0.35"/>
    <row r="98" s="34" customFormat="1" x14ac:dyDescent="0.35"/>
    <row r="99" s="34" customFormat="1" x14ac:dyDescent="0.35"/>
    <row r="100" s="34" customFormat="1" x14ac:dyDescent="0.35"/>
    <row r="101" s="34" customFormat="1" x14ac:dyDescent="0.35"/>
    <row r="102" s="34" customFormat="1" x14ac:dyDescent="0.35"/>
  </sheetData>
  <mergeCells count="4">
    <mergeCell ref="B2:C2"/>
    <mergeCell ref="B9:Q9"/>
    <mergeCell ref="B40:T40"/>
    <mergeCell ref="B53:O53"/>
  </mergeCells>
  <pageMargins left="0.75" right="0.75" top="1" bottom="1" header="0.3" footer="0.3"/>
  <pageSetup paperSize="9" orientation="portrait" horizontalDpi="1200" verticalDpi="12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102"/>
  <sheetViews>
    <sheetView showGridLines="0" topLeftCell="A19" workbookViewId="0">
      <selection activeCell="Z29" sqref="Z29"/>
    </sheetView>
  </sheetViews>
  <sheetFormatPr baseColWidth="10" defaultColWidth="8.81640625" defaultRowHeight="14.5" x14ac:dyDescent="0.35"/>
  <cols>
    <col min="2" max="2" width="39" bestFit="1" customWidth="1"/>
    <col min="3" max="3" width="7.81640625" customWidth="1"/>
    <col min="4" max="6" width="6.6328125" customWidth="1"/>
    <col min="7" max="8" width="7.1796875" customWidth="1"/>
    <col min="9" max="11" width="6.6328125" customWidth="1"/>
    <col min="12" max="12" width="7.26953125" customWidth="1"/>
    <col min="13" max="20" width="6.6328125" customWidth="1"/>
    <col min="21" max="21" width="39.453125" bestFit="1" customWidth="1"/>
    <col min="22" max="22" width="5.453125" customWidth="1"/>
  </cols>
  <sheetData>
    <row r="1" spans="2:22" ht="15" thickBot="1" x14ac:dyDescent="0.4"/>
    <row r="2" spans="2:22" ht="16" thickBot="1" x14ac:dyDescent="0.4">
      <c r="B2" s="496" t="s">
        <v>37</v>
      </c>
      <c r="C2" s="497"/>
      <c r="E2" s="57" t="s">
        <v>38</v>
      </c>
      <c r="F2" s="58"/>
      <c r="G2" s="167">
        <f>SUM(C31:L31,C24:L24,C26:L26)/SUM(C24:L24,C34:L34)</f>
        <v>1.4309542962138386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U2" s="146" t="s">
        <v>63</v>
      </c>
      <c r="V2" s="147"/>
    </row>
    <row r="3" spans="2:22" x14ac:dyDescent="0.35">
      <c r="B3" s="59" t="s">
        <v>16</v>
      </c>
      <c r="C3" s="60">
        <v>0.8</v>
      </c>
      <c r="E3" s="61" t="s">
        <v>58</v>
      </c>
      <c r="F3" s="139"/>
      <c r="G3" s="168">
        <f>C51</f>
        <v>0.12662074510912147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U3" s="148" t="s">
        <v>60</v>
      </c>
      <c r="V3" s="149">
        <f>($C$13*2400/(5500*1000))/0.992</f>
        <v>0.92480938416422287</v>
      </c>
    </row>
    <row r="4" spans="2:22" ht="15" thickBot="1" x14ac:dyDescent="0.4">
      <c r="B4" s="62" t="s">
        <v>39</v>
      </c>
      <c r="C4" s="63">
        <v>1</v>
      </c>
      <c r="E4" s="64" t="s">
        <v>59</v>
      </c>
      <c r="F4" s="140"/>
      <c r="G4" s="143">
        <f>C64</f>
        <v>9.8357903148713621E-2</v>
      </c>
      <c r="U4" s="148" t="s">
        <v>61</v>
      </c>
      <c r="V4" s="149">
        <f>($C$13*2400/(3450*1000))/0.992</f>
        <v>1.4743338008415148</v>
      </c>
    </row>
    <row r="5" spans="2:22" x14ac:dyDescent="0.35">
      <c r="B5" s="62" t="s">
        <v>40</v>
      </c>
      <c r="C5" s="65">
        <v>0.12</v>
      </c>
      <c r="U5" s="150" t="s">
        <v>62</v>
      </c>
      <c r="V5" s="149">
        <f>AVERAGE(V3:V4)</f>
        <v>1.1995715925028687</v>
      </c>
    </row>
    <row r="6" spans="2:22" ht="15" thickBot="1" x14ac:dyDescent="0.4">
      <c r="B6" s="66" t="s">
        <v>41</v>
      </c>
      <c r="C6" s="67">
        <v>1.05</v>
      </c>
      <c r="U6" s="155"/>
      <c r="V6" s="156"/>
    </row>
    <row r="7" spans="2:22" x14ac:dyDescent="0.35">
      <c r="U7" s="157" t="s">
        <v>70</v>
      </c>
      <c r="V7" s="158"/>
    </row>
    <row r="8" spans="2:22" ht="15" thickBot="1" x14ac:dyDescent="0.4">
      <c r="U8" s="152" t="s">
        <v>60</v>
      </c>
      <c r="V8" s="151"/>
    </row>
    <row r="9" spans="2:22" ht="16" thickBot="1" x14ac:dyDescent="0.4">
      <c r="B9" s="491" t="s">
        <v>106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3"/>
      <c r="U9" s="148" t="s">
        <v>69</v>
      </c>
      <c r="V9" s="153">
        <f>(1150+700)/2</f>
        <v>925</v>
      </c>
    </row>
    <row r="10" spans="2:22" s="68" customFormat="1" ht="16" thickBot="1" x14ac:dyDescent="0.4">
      <c r="B10" s="30" t="s">
        <v>109</v>
      </c>
      <c r="C10" s="2">
        <v>2013</v>
      </c>
      <c r="D10" s="2">
        <v>2014</v>
      </c>
      <c r="E10" s="2">
        <v>2015</v>
      </c>
      <c r="F10" s="2">
        <v>2016</v>
      </c>
      <c r="G10" s="2">
        <v>2017</v>
      </c>
      <c r="H10" s="2">
        <v>2018</v>
      </c>
      <c r="I10" s="2">
        <v>2019</v>
      </c>
      <c r="J10" s="2">
        <v>2020</v>
      </c>
      <c r="K10" s="2">
        <v>2021</v>
      </c>
      <c r="L10" s="2">
        <v>2022</v>
      </c>
      <c r="M10" s="2">
        <v>2023</v>
      </c>
      <c r="N10" s="2">
        <v>2024</v>
      </c>
      <c r="O10" s="2">
        <v>2025</v>
      </c>
      <c r="P10" s="2">
        <v>2026</v>
      </c>
      <c r="Q10" s="3">
        <v>2027</v>
      </c>
      <c r="U10" s="148" t="s">
        <v>65</v>
      </c>
      <c r="V10" s="154">
        <v>1</v>
      </c>
    </row>
    <row r="11" spans="2:22" s="34" customFormat="1" ht="16" thickBot="1" x14ac:dyDescent="0.4">
      <c r="B11" s="31" t="s">
        <v>15</v>
      </c>
      <c r="C11" s="69">
        <v>300</v>
      </c>
      <c r="D11" s="69">
        <v>300</v>
      </c>
      <c r="E11" s="69">
        <v>300</v>
      </c>
      <c r="F11" s="69">
        <v>300</v>
      </c>
      <c r="G11" s="69">
        <v>300</v>
      </c>
      <c r="H11" s="69">
        <v>300</v>
      </c>
      <c r="I11" s="69">
        <v>300</v>
      </c>
      <c r="J11" s="69">
        <v>300</v>
      </c>
      <c r="K11" s="69">
        <v>300</v>
      </c>
      <c r="L11" s="69">
        <v>300</v>
      </c>
      <c r="M11" s="69">
        <v>300</v>
      </c>
      <c r="N11" s="69">
        <v>300</v>
      </c>
      <c r="O11" s="69">
        <v>300</v>
      </c>
      <c r="P11" s="69">
        <v>300</v>
      </c>
      <c r="Q11" s="70">
        <v>300</v>
      </c>
      <c r="R11" s="71"/>
      <c r="U11" s="148" t="s">
        <v>66</v>
      </c>
      <c r="V11" s="165">
        <v>0.03</v>
      </c>
    </row>
    <row r="12" spans="2:22" s="34" customFormat="1" ht="16" thickTop="1" x14ac:dyDescent="0.35">
      <c r="B12" s="35" t="s">
        <v>16</v>
      </c>
      <c r="C12" s="72">
        <f>$C$3</f>
        <v>0.8</v>
      </c>
      <c r="D12" s="72">
        <f t="shared" ref="D12:Q12" si="0">$C$3</f>
        <v>0.8</v>
      </c>
      <c r="E12" s="72">
        <f t="shared" si="0"/>
        <v>0.8</v>
      </c>
      <c r="F12" s="72">
        <f t="shared" si="0"/>
        <v>0.8</v>
      </c>
      <c r="G12" s="72">
        <f t="shared" si="0"/>
        <v>0.8</v>
      </c>
      <c r="H12" s="72">
        <f t="shared" si="0"/>
        <v>0.8</v>
      </c>
      <c r="I12" s="72">
        <f t="shared" si="0"/>
        <v>0.8</v>
      </c>
      <c r="J12" s="72">
        <f t="shared" si="0"/>
        <v>0.8</v>
      </c>
      <c r="K12" s="72">
        <f t="shared" si="0"/>
        <v>0.8</v>
      </c>
      <c r="L12" s="72">
        <f t="shared" si="0"/>
        <v>0.8</v>
      </c>
      <c r="M12" s="72">
        <f t="shared" si="0"/>
        <v>0.8</v>
      </c>
      <c r="N12" s="72">
        <f t="shared" si="0"/>
        <v>0.8</v>
      </c>
      <c r="O12" s="72">
        <f t="shared" si="0"/>
        <v>0.8</v>
      </c>
      <c r="P12" s="72">
        <f t="shared" si="0"/>
        <v>0.8</v>
      </c>
      <c r="Q12" s="73">
        <f t="shared" si="0"/>
        <v>0.8</v>
      </c>
      <c r="R12" s="71"/>
      <c r="U12" s="148"/>
      <c r="V12" s="164">
        <f>V9*((1+V11)^3)</f>
        <v>1010.772475</v>
      </c>
    </row>
    <row r="13" spans="2:22" s="34" customFormat="1" ht="15.5" x14ac:dyDescent="0.35">
      <c r="B13" s="35" t="s">
        <v>80</v>
      </c>
      <c r="C13" s="74">
        <f t="shared" ref="C13:Q13" si="1">C11*1000*24*365*C12/1000000</f>
        <v>2102.4</v>
      </c>
      <c r="D13" s="74">
        <f t="shared" si="1"/>
        <v>2102.4</v>
      </c>
      <c r="E13" s="74">
        <f t="shared" si="1"/>
        <v>2102.4</v>
      </c>
      <c r="F13" s="74">
        <f t="shared" si="1"/>
        <v>2102.4</v>
      </c>
      <c r="G13" s="74">
        <f t="shared" si="1"/>
        <v>2102.4</v>
      </c>
      <c r="H13" s="74">
        <f t="shared" si="1"/>
        <v>2102.4</v>
      </c>
      <c r="I13" s="74">
        <f t="shared" si="1"/>
        <v>2102.4</v>
      </c>
      <c r="J13" s="74">
        <f t="shared" si="1"/>
        <v>2102.4</v>
      </c>
      <c r="K13" s="74">
        <f t="shared" si="1"/>
        <v>2102.4</v>
      </c>
      <c r="L13" s="74">
        <f t="shared" si="1"/>
        <v>2102.4</v>
      </c>
      <c r="M13" s="74">
        <f t="shared" si="1"/>
        <v>2102.4</v>
      </c>
      <c r="N13" s="74">
        <f t="shared" si="1"/>
        <v>2102.4</v>
      </c>
      <c r="O13" s="74">
        <f t="shared" si="1"/>
        <v>2102.4</v>
      </c>
      <c r="P13" s="74">
        <f t="shared" si="1"/>
        <v>2102.4</v>
      </c>
      <c r="Q13" s="75">
        <f t="shared" si="1"/>
        <v>2102.4</v>
      </c>
      <c r="R13" s="71"/>
      <c r="U13" s="148"/>
      <c r="V13" s="149"/>
    </row>
    <row r="14" spans="2:22" s="34" customFormat="1" ht="15.5" x14ac:dyDescent="0.35">
      <c r="B14" s="35" t="s">
        <v>81</v>
      </c>
      <c r="C14" s="76">
        <v>201</v>
      </c>
      <c r="D14" s="76">
        <v>201</v>
      </c>
      <c r="E14" s="76">
        <v>201</v>
      </c>
      <c r="F14" s="76">
        <v>201</v>
      </c>
      <c r="G14" s="76">
        <v>201</v>
      </c>
      <c r="H14" s="76">
        <v>201</v>
      </c>
      <c r="I14" s="76">
        <v>201</v>
      </c>
      <c r="J14" s="76">
        <v>201</v>
      </c>
      <c r="K14" s="76">
        <v>201</v>
      </c>
      <c r="L14" s="76">
        <v>201</v>
      </c>
      <c r="M14" s="76">
        <v>201</v>
      </c>
      <c r="N14" s="76">
        <v>201</v>
      </c>
      <c r="O14" s="76">
        <v>201</v>
      </c>
      <c r="P14" s="76">
        <v>201</v>
      </c>
      <c r="Q14" s="77">
        <v>201</v>
      </c>
      <c r="R14" s="71"/>
      <c r="U14" s="152" t="s">
        <v>61</v>
      </c>
      <c r="V14" s="149"/>
    </row>
    <row r="15" spans="2:22" s="34" customFormat="1" ht="15.5" x14ac:dyDescent="0.35">
      <c r="B15" s="78" t="s">
        <v>104</v>
      </c>
      <c r="C15" s="74">
        <f t="shared" ref="C15:Q15" si="2">C13-C14</f>
        <v>1901.4</v>
      </c>
      <c r="D15" s="74">
        <f t="shared" si="2"/>
        <v>1901.4</v>
      </c>
      <c r="E15" s="74">
        <f t="shared" si="2"/>
        <v>1901.4</v>
      </c>
      <c r="F15" s="74">
        <f t="shared" si="2"/>
        <v>1901.4</v>
      </c>
      <c r="G15" s="74">
        <f t="shared" si="2"/>
        <v>1901.4</v>
      </c>
      <c r="H15" s="74">
        <f t="shared" si="2"/>
        <v>1901.4</v>
      </c>
      <c r="I15" s="74">
        <f t="shared" si="2"/>
        <v>1901.4</v>
      </c>
      <c r="J15" s="74">
        <f t="shared" si="2"/>
        <v>1901.4</v>
      </c>
      <c r="K15" s="74">
        <f t="shared" si="2"/>
        <v>1901.4</v>
      </c>
      <c r="L15" s="74">
        <f t="shared" si="2"/>
        <v>1901.4</v>
      </c>
      <c r="M15" s="74">
        <f t="shared" si="2"/>
        <v>1901.4</v>
      </c>
      <c r="N15" s="74">
        <f t="shared" si="2"/>
        <v>1901.4</v>
      </c>
      <c r="O15" s="74">
        <f t="shared" si="2"/>
        <v>1901.4</v>
      </c>
      <c r="P15" s="74">
        <f t="shared" si="2"/>
        <v>1901.4</v>
      </c>
      <c r="Q15" s="75">
        <f t="shared" si="2"/>
        <v>1901.4</v>
      </c>
      <c r="U15" s="148" t="s">
        <v>67</v>
      </c>
      <c r="V15" s="153">
        <f>67.5*49</f>
        <v>3307.5</v>
      </c>
    </row>
    <row r="16" spans="2:22" s="34" customFormat="1" ht="15.5" x14ac:dyDescent="0.35">
      <c r="B16" s="35" t="s">
        <v>111</v>
      </c>
      <c r="C16" s="79">
        <v>3.3</v>
      </c>
      <c r="D16" s="79">
        <f>C16*1.01</f>
        <v>3.3329999999999997</v>
      </c>
      <c r="E16" s="79">
        <f t="shared" ref="E16:Q16" si="3">D16*1.01</f>
        <v>3.3663299999999996</v>
      </c>
      <c r="F16" s="79">
        <f t="shared" si="3"/>
        <v>3.3999932999999998</v>
      </c>
      <c r="G16" s="79">
        <f t="shared" si="3"/>
        <v>3.4339932329999998</v>
      </c>
      <c r="H16" s="79">
        <f t="shared" si="3"/>
        <v>3.4683331653299998</v>
      </c>
      <c r="I16" s="79">
        <f t="shared" si="3"/>
        <v>3.5030164969833</v>
      </c>
      <c r="J16" s="79">
        <f t="shared" si="3"/>
        <v>3.5380466619531332</v>
      </c>
      <c r="K16" s="79">
        <f t="shared" si="3"/>
        <v>3.5734271285726646</v>
      </c>
      <c r="L16" s="79">
        <f t="shared" si="3"/>
        <v>3.6091613998583911</v>
      </c>
      <c r="M16" s="79">
        <f t="shared" si="3"/>
        <v>3.645253013856975</v>
      </c>
      <c r="N16" s="79">
        <f t="shared" si="3"/>
        <v>3.6817055439955446</v>
      </c>
      <c r="O16" s="79">
        <f t="shared" si="3"/>
        <v>3.7185225994355</v>
      </c>
      <c r="P16" s="79">
        <f t="shared" si="3"/>
        <v>3.7557078254298553</v>
      </c>
      <c r="Q16" s="80">
        <f t="shared" si="3"/>
        <v>3.7932649036841539</v>
      </c>
      <c r="R16" s="81"/>
      <c r="U16" s="148" t="s">
        <v>64</v>
      </c>
      <c r="V16" s="154">
        <v>1</v>
      </c>
    </row>
    <row r="17" spans="2:22" s="34" customFormat="1" ht="16" thickBot="1" x14ac:dyDescent="0.4">
      <c r="B17" s="82" t="s">
        <v>21</v>
      </c>
      <c r="C17" s="83">
        <f>C15*C16</f>
        <v>6274.62</v>
      </c>
      <c r="D17" s="83">
        <f t="shared" ref="D17:Q17" si="4">D15*D16</f>
        <v>6337.3661999999995</v>
      </c>
      <c r="E17" s="83">
        <f t="shared" si="4"/>
        <v>6400.7398619999994</v>
      </c>
      <c r="F17" s="83">
        <f t="shared" si="4"/>
        <v>6464.7472606199999</v>
      </c>
      <c r="G17" s="83">
        <f t="shared" si="4"/>
        <v>6529.3947332261996</v>
      </c>
      <c r="H17" s="83">
        <f t="shared" si="4"/>
        <v>6594.6886805584618</v>
      </c>
      <c r="I17" s="83">
        <f t="shared" si="4"/>
        <v>6660.6355673640473</v>
      </c>
      <c r="J17" s="83">
        <f t="shared" si="4"/>
        <v>6727.2419230376881</v>
      </c>
      <c r="K17" s="83">
        <f t="shared" si="4"/>
        <v>6794.5143422680649</v>
      </c>
      <c r="L17" s="83">
        <f t="shared" si="4"/>
        <v>6862.4594856907452</v>
      </c>
      <c r="M17" s="83">
        <f t="shared" si="4"/>
        <v>6931.0840805476528</v>
      </c>
      <c r="N17" s="83">
        <f t="shared" si="4"/>
        <v>7000.3949213531287</v>
      </c>
      <c r="O17" s="83">
        <f t="shared" si="4"/>
        <v>7070.3988705666598</v>
      </c>
      <c r="P17" s="83">
        <f t="shared" si="4"/>
        <v>7141.1028592723269</v>
      </c>
      <c r="Q17" s="84">
        <f t="shared" si="4"/>
        <v>7212.5138878650505</v>
      </c>
      <c r="U17" s="148" t="s">
        <v>66</v>
      </c>
      <c r="V17" s="165">
        <v>0.03</v>
      </c>
    </row>
    <row r="18" spans="2:22" s="34" customFormat="1" ht="16" thickTop="1" x14ac:dyDescent="0.35">
      <c r="B18" s="45" t="s">
        <v>22</v>
      </c>
      <c r="C18" s="144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  <c r="U18" s="148"/>
      <c r="V18" s="164">
        <f>V15*((1+V17)^3)</f>
        <v>3614.1945525000001</v>
      </c>
    </row>
    <row r="19" spans="2:22" s="34" customFormat="1" ht="15.5" x14ac:dyDescent="0.35">
      <c r="B19" s="35" t="s">
        <v>41</v>
      </c>
      <c r="C19" s="74">
        <f>($V$22*((1.03^(C10-2012))))*$C$6</f>
        <v>3000.0696780206126</v>
      </c>
      <c r="D19" s="76">
        <f t="shared" ref="D19:Q19" si="5">($V$22*((1.03^(D10-2012))))*$C$6</f>
        <v>3090.0717683612311</v>
      </c>
      <c r="E19" s="76">
        <f t="shared" si="5"/>
        <v>3182.7739214120684</v>
      </c>
      <c r="F19" s="76">
        <f t="shared" si="5"/>
        <v>3278.2571390544299</v>
      </c>
      <c r="G19" s="76">
        <f t="shared" si="5"/>
        <v>3376.6048532260629</v>
      </c>
      <c r="H19" s="76">
        <f t="shared" si="5"/>
        <v>3477.9029988228449</v>
      </c>
      <c r="I19" s="76">
        <f t="shared" si="5"/>
        <v>3582.2400887875301</v>
      </c>
      <c r="J19" s="76">
        <f t="shared" si="5"/>
        <v>3689.7072914511559</v>
      </c>
      <c r="K19" s="76">
        <f t="shared" si="5"/>
        <v>3800.3985101946905</v>
      </c>
      <c r="L19" s="76">
        <f t="shared" si="5"/>
        <v>3914.4104655005308</v>
      </c>
      <c r="M19" s="76">
        <f t="shared" si="5"/>
        <v>4031.8427794655472</v>
      </c>
      <c r="N19" s="76">
        <f t="shared" si="5"/>
        <v>4152.7980628495134</v>
      </c>
      <c r="O19" s="76">
        <f t="shared" si="5"/>
        <v>4277.3820047349982</v>
      </c>
      <c r="P19" s="76">
        <f t="shared" si="5"/>
        <v>4405.7034648770486</v>
      </c>
      <c r="Q19" s="77">
        <f t="shared" si="5"/>
        <v>4537.8745688233603</v>
      </c>
      <c r="U19" s="148"/>
      <c r="V19" s="149"/>
    </row>
    <row r="20" spans="2:22" s="34" customFormat="1" ht="15.5" x14ac:dyDescent="0.35">
      <c r="B20" s="35" t="s">
        <v>84</v>
      </c>
      <c r="C20" s="74">
        <f t="shared" ref="C20:Q20" si="6">((1.55*C11*((1.04)^(C10-2012))))*($C$3/85%)</f>
        <v>455.15294117647068</v>
      </c>
      <c r="D20" s="74">
        <f t="shared" si="6"/>
        <v>473.35905882352955</v>
      </c>
      <c r="E20" s="74">
        <f t="shared" si="6"/>
        <v>492.2934211764707</v>
      </c>
      <c r="F20" s="74">
        <f t="shared" si="6"/>
        <v>511.98515802352955</v>
      </c>
      <c r="G20" s="74">
        <f t="shared" si="6"/>
        <v>532.46456434447089</v>
      </c>
      <c r="H20" s="74">
        <f t="shared" si="6"/>
        <v>553.76314691824962</v>
      </c>
      <c r="I20" s="74">
        <f t="shared" si="6"/>
        <v>575.91367279497956</v>
      </c>
      <c r="J20" s="74">
        <f t="shared" si="6"/>
        <v>598.95021970677885</v>
      </c>
      <c r="K20" s="74">
        <f t="shared" si="6"/>
        <v>622.90822849505003</v>
      </c>
      <c r="L20" s="74">
        <f t="shared" si="6"/>
        <v>647.824557634852</v>
      </c>
      <c r="M20" s="74">
        <f t="shared" si="6"/>
        <v>673.73753994024617</v>
      </c>
      <c r="N20" s="74">
        <f t="shared" si="6"/>
        <v>700.68704153785609</v>
      </c>
      <c r="O20" s="74">
        <f t="shared" si="6"/>
        <v>728.71452319937032</v>
      </c>
      <c r="P20" s="74">
        <f t="shared" si="6"/>
        <v>757.8631041273452</v>
      </c>
      <c r="Q20" s="75">
        <f t="shared" si="6"/>
        <v>788.17762829243884</v>
      </c>
      <c r="U20" s="150" t="s">
        <v>71</v>
      </c>
      <c r="V20" s="159">
        <f>AVERAGE(V18,V12)</f>
        <v>2312.4835137499999</v>
      </c>
    </row>
    <row r="21" spans="2:22" s="34" customFormat="1" ht="16" thickBot="1" x14ac:dyDescent="0.4">
      <c r="B21" s="82" t="s">
        <v>25</v>
      </c>
      <c r="C21" s="76">
        <f t="shared" ref="C21:Q21" si="7">SUM(C19:C20)</f>
        <v>3455.2226191970831</v>
      </c>
      <c r="D21" s="74">
        <f t="shared" si="7"/>
        <v>3563.4308271847608</v>
      </c>
      <c r="E21" s="76">
        <f t="shared" si="7"/>
        <v>3675.0673425885388</v>
      </c>
      <c r="F21" s="76">
        <f t="shared" si="7"/>
        <v>3790.2422970779594</v>
      </c>
      <c r="G21" s="76">
        <f t="shared" si="7"/>
        <v>3909.0694175705339</v>
      </c>
      <c r="H21" s="76">
        <f t="shared" si="7"/>
        <v>4031.6661457410946</v>
      </c>
      <c r="I21" s="76">
        <f t="shared" si="7"/>
        <v>4158.15376158251</v>
      </c>
      <c r="J21" s="76">
        <f t="shared" si="7"/>
        <v>4288.657511157935</v>
      </c>
      <c r="K21" s="76">
        <f t="shared" si="7"/>
        <v>4423.3067386897401</v>
      </c>
      <c r="L21" s="76">
        <f t="shared" si="7"/>
        <v>4562.235023135383</v>
      </c>
      <c r="M21" s="76">
        <f t="shared" si="7"/>
        <v>4705.5803194057935</v>
      </c>
      <c r="N21" s="76">
        <f t="shared" si="7"/>
        <v>4853.4851043873696</v>
      </c>
      <c r="O21" s="76">
        <f t="shared" si="7"/>
        <v>5006.0965279343682</v>
      </c>
      <c r="P21" s="76">
        <f t="shared" si="7"/>
        <v>5163.5665690043934</v>
      </c>
      <c r="Q21" s="77">
        <f t="shared" si="7"/>
        <v>5326.0521971157996</v>
      </c>
      <c r="U21" s="162"/>
      <c r="V21" s="160"/>
    </row>
    <row r="22" spans="2:22" s="34" customFormat="1" ht="31.5" thickBot="1" x14ac:dyDescent="0.4">
      <c r="B22" s="85" t="s">
        <v>85</v>
      </c>
      <c r="C22" s="83">
        <f t="shared" ref="C22:Q22" si="8">C17-C21</f>
        <v>2819.3973808029168</v>
      </c>
      <c r="D22" s="83">
        <f t="shared" si="8"/>
        <v>2773.9353728152387</v>
      </c>
      <c r="E22" s="83">
        <f t="shared" si="8"/>
        <v>2725.6725194114606</v>
      </c>
      <c r="F22" s="83">
        <f t="shared" si="8"/>
        <v>2674.5049635420405</v>
      </c>
      <c r="G22" s="83">
        <f t="shared" si="8"/>
        <v>2620.3253156556657</v>
      </c>
      <c r="H22" s="83">
        <f t="shared" si="8"/>
        <v>2563.0225348173672</v>
      </c>
      <c r="I22" s="83">
        <f t="shared" si="8"/>
        <v>2502.4818057815373</v>
      </c>
      <c r="J22" s="83">
        <f t="shared" si="8"/>
        <v>2438.5844118797531</v>
      </c>
      <c r="K22" s="83">
        <f t="shared" si="8"/>
        <v>2371.2076035783248</v>
      </c>
      <c r="L22" s="83">
        <f t="shared" si="8"/>
        <v>2300.2244625553622</v>
      </c>
      <c r="M22" s="83">
        <f t="shared" si="8"/>
        <v>2225.5037611418593</v>
      </c>
      <c r="N22" s="83">
        <f t="shared" si="8"/>
        <v>2146.9098169657591</v>
      </c>
      <c r="O22" s="83">
        <f t="shared" si="8"/>
        <v>2064.3023426322916</v>
      </c>
      <c r="P22" s="83">
        <f t="shared" si="8"/>
        <v>1977.5362902679335</v>
      </c>
      <c r="Q22" s="84">
        <f t="shared" si="8"/>
        <v>1886.4616907492509</v>
      </c>
      <c r="U22" s="163" t="s">
        <v>68</v>
      </c>
      <c r="V22" s="161">
        <f>V20*V5</f>
        <v>2773.9895312257167</v>
      </c>
    </row>
    <row r="23" spans="2:22" s="34" customFormat="1" ht="15.5" x14ac:dyDescent="0.35">
      <c r="B23" s="45" t="s">
        <v>27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  <c r="U23"/>
      <c r="V23"/>
    </row>
    <row r="24" spans="2:22" s="34" customFormat="1" ht="15.5" x14ac:dyDescent="0.35">
      <c r="B24" s="35" t="s">
        <v>28</v>
      </c>
      <c r="C24" s="74">
        <f>$C$5*(('Balance Sheet (Case Exhibit 6)'!F12+'Balance Sheet (Case Exhibit 6)'!G12)/2)</f>
        <v>1131.5999999999999</v>
      </c>
      <c r="D24" s="74">
        <f>$C$5*(('Balance Sheet (Case Exhibit 6)'!G12+'Balance Sheet (Case Exhibit 6)'!H12)/2)</f>
        <v>1033.2</v>
      </c>
      <c r="E24" s="74">
        <f>$C$5*(('Balance Sheet (Case Exhibit 6)'!H12+'Balance Sheet (Case Exhibit 6)'!I12)/2)</f>
        <v>903</v>
      </c>
      <c r="F24" s="74">
        <f>$C$5*(('Balance Sheet (Case Exhibit 6)'!I12+'Balance Sheet (Case Exhibit 6)'!J12)/2)</f>
        <v>774</v>
      </c>
      <c r="G24" s="74">
        <f>$C$5*(('Balance Sheet (Case Exhibit 6)'!J12+'Balance Sheet (Case Exhibit 6)'!K12)/2)</f>
        <v>645</v>
      </c>
      <c r="H24" s="74">
        <f>$C$5*(('Balance Sheet (Case Exhibit 6)'!K12+'Balance Sheet (Case Exhibit 6)'!L12)/2)</f>
        <v>516</v>
      </c>
      <c r="I24" s="74">
        <f>$C$5*(('Balance Sheet (Case Exhibit 6)'!L12+'Balance Sheet (Case Exhibit 6)'!M12)/2)</f>
        <v>387</v>
      </c>
      <c r="J24" s="74">
        <f>$C$5*(('Balance Sheet (Case Exhibit 6)'!M12+'Balance Sheet (Case Exhibit 6)'!N12)/2)</f>
        <v>258</v>
      </c>
      <c r="K24" s="74">
        <f>$C$5*(('Balance Sheet (Case Exhibit 6)'!N12+'Balance Sheet (Case Exhibit 6)'!O12)/2)</f>
        <v>129</v>
      </c>
      <c r="L24" s="74">
        <f>$C$5*(('Balance Sheet (Case Exhibit 6)'!O12+'Balance Sheet (Case Exhibit 6)'!P12)/2)</f>
        <v>32.4</v>
      </c>
      <c r="M24" s="76">
        <f>$C$5*(('Balance Sheet (Case Exhibit 6)'!P12+'Balance Sheet (Case Exhibit 6)'!Q12)/2)</f>
        <v>0</v>
      </c>
      <c r="N24" s="76">
        <f>$C$5*(('Balance Sheet (Case Exhibit 6)'!Q12+'Balance Sheet (Case Exhibit 6)'!R12)/2)</f>
        <v>0</v>
      </c>
      <c r="O24" s="76">
        <f>$C$5*(('Balance Sheet (Case Exhibit 6)'!R12+'Balance Sheet (Case Exhibit 6)'!S12)/2)</f>
        <v>0</v>
      </c>
      <c r="P24" s="76">
        <f>$C$5*(('Balance Sheet (Case Exhibit 6)'!S12+'Balance Sheet (Case Exhibit 6)'!T12)/2)</f>
        <v>0</v>
      </c>
      <c r="Q24" s="77">
        <f>$C$5*(('Balance Sheet (Case Exhibit 6)'!T12+'Balance Sheet (Case Exhibit 6)'!U12)/2)</f>
        <v>0</v>
      </c>
      <c r="U24"/>
      <c r="V24"/>
    </row>
    <row r="25" spans="2:22" s="34" customFormat="1" ht="15.5" x14ac:dyDescent="0.35">
      <c r="B25" s="35" t="s">
        <v>29</v>
      </c>
      <c r="C25" s="136">
        <f>$C$5*(('Balance Sheet (Case Exhibit 6)'!G13))</f>
        <v>111.6</v>
      </c>
      <c r="D25" s="136">
        <f>$C$5*(('Balance Sheet (Case Exhibit 6)'!G13+'Balance Sheet (Case Exhibit 6)'!H13)/2)</f>
        <v>112.2</v>
      </c>
      <c r="E25" s="136">
        <f>$C$5*(('Balance Sheet (Case Exhibit 6)'!H13+'Balance Sheet (Case Exhibit 6)'!I13)/2)</f>
        <v>114</v>
      </c>
      <c r="F25" s="136">
        <f>$C$5*(('Balance Sheet (Case Exhibit 6)'!I13+'Balance Sheet (Case Exhibit 6)'!J13)/2)</f>
        <v>116.39999999999999</v>
      </c>
      <c r="G25" s="136">
        <f>$C$5*(('Balance Sheet (Case Exhibit 6)'!J13+'Balance Sheet (Case Exhibit 6)'!K13)/2)</f>
        <v>118.19999999999999</v>
      </c>
      <c r="H25" s="136">
        <f>$C$5*(('Balance Sheet (Case Exhibit 6)'!K13+'Balance Sheet (Case Exhibit 6)'!L13)/2)</f>
        <v>120</v>
      </c>
      <c r="I25" s="136">
        <f>$C$5*(('Balance Sheet (Case Exhibit 6)'!L13+'Balance Sheet (Case Exhibit 6)'!M13)/2)</f>
        <v>122.39999999999999</v>
      </c>
      <c r="J25" s="136">
        <f>$C$5*(('Balance Sheet (Case Exhibit 6)'!M13+'Balance Sheet (Case Exhibit 6)'!N13)/2)</f>
        <v>124.8</v>
      </c>
      <c r="K25" s="136">
        <f>$C$5*(('Balance Sheet (Case Exhibit 6)'!N13+'Balance Sheet (Case Exhibit 6)'!O13)/2)</f>
        <v>127.19999999999999</v>
      </c>
      <c r="L25" s="136">
        <f>$C$5*(('Balance Sheet (Case Exhibit 6)'!O13+'Balance Sheet (Case Exhibit 6)'!P13)/2)</f>
        <v>129.6</v>
      </c>
      <c r="M25" s="136">
        <f>$C$5*(('Balance Sheet (Case Exhibit 6)'!P13+'Balance Sheet (Case Exhibit 6)'!Q13)/2)</f>
        <v>132</v>
      </c>
      <c r="N25" s="136">
        <f>$C$5*(('Balance Sheet (Case Exhibit 6)'!Q13+'Balance Sheet (Case Exhibit 6)'!R13)/2)</f>
        <v>134.4</v>
      </c>
      <c r="O25" s="136">
        <f>$C$5*(('Balance Sheet (Case Exhibit 6)'!R13+'Balance Sheet (Case Exhibit 6)'!S13)/2)</f>
        <v>137.4</v>
      </c>
      <c r="P25" s="136">
        <f>$C$5*(('Balance Sheet (Case Exhibit 6)'!S13+'Balance Sheet (Case Exhibit 6)'!T13)/2)</f>
        <v>140.4</v>
      </c>
      <c r="Q25" s="137">
        <f>$C$5*(('Balance Sheet (Case Exhibit 6)'!T13+'Balance Sheet (Case Exhibit 6)'!U13)/2)</f>
        <v>142.79999999999998</v>
      </c>
      <c r="U25"/>
      <c r="V25"/>
    </row>
    <row r="26" spans="2:22" s="34" customFormat="1" ht="15.5" x14ac:dyDescent="0.35">
      <c r="B26" s="35" t="s">
        <v>30</v>
      </c>
      <c r="C26" s="38">
        <v>680</v>
      </c>
      <c r="D26" s="38">
        <v>680</v>
      </c>
      <c r="E26" s="38">
        <v>680</v>
      </c>
      <c r="F26" s="38">
        <v>680</v>
      </c>
      <c r="G26" s="38">
        <v>680</v>
      </c>
      <c r="H26" s="38">
        <v>680</v>
      </c>
      <c r="I26" s="38">
        <v>680</v>
      </c>
      <c r="J26" s="38">
        <v>680</v>
      </c>
      <c r="K26" s="38">
        <v>680</v>
      </c>
      <c r="L26" s="38">
        <v>680</v>
      </c>
      <c r="M26" s="38">
        <v>680</v>
      </c>
      <c r="N26" s="38">
        <v>680</v>
      </c>
      <c r="O26" s="38">
        <v>680</v>
      </c>
      <c r="P26" s="38">
        <v>680</v>
      </c>
      <c r="Q26" s="39">
        <v>680</v>
      </c>
      <c r="U26"/>
      <c r="V26"/>
    </row>
    <row r="27" spans="2:22" s="34" customFormat="1" ht="15.5" x14ac:dyDescent="0.35">
      <c r="B27" s="52" t="s">
        <v>86</v>
      </c>
      <c r="C27" s="136">
        <f t="shared" ref="C27:Q27" si="9">C22-C24-C25-C26</f>
        <v>896.197380802917</v>
      </c>
      <c r="D27" s="83">
        <f t="shared" si="9"/>
        <v>948.53537281523859</v>
      </c>
      <c r="E27" s="83">
        <f t="shared" si="9"/>
        <v>1028.6725194114606</v>
      </c>
      <c r="F27" s="83">
        <f t="shared" si="9"/>
        <v>1104.1049635420404</v>
      </c>
      <c r="G27" s="83">
        <f t="shared" si="9"/>
        <v>1177.1253156556656</v>
      </c>
      <c r="H27" s="83">
        <f t="shared" si="9"/>
        <v>1247.0225348173672</v>
      </c>
      <c r="I27" s="83">
        <f t="shared" si="9"/>
        <v>1313.0818057815372</v>
      </c>
      <c r="J27" s="83">
        <f t="shared" si="9"/>
        <v>1375.784411879753</v>
      </c>
      <c r="K27" s="83">
        <f t="shared" si="9"/>
        <v>1435.007603578325</v>
      </c>
      <c r="L27" s="83">
        <f t="shared" si="9"/>
        <v>1458.2244625553622</v>
      </c>
      <c r="M27" s="83">
        <f t="shared" si="9"/>
        <v>1413.5037611418593</v>
      </c>
      <c r="N27" s="83">
        <f t="shared" si="9"/>
        <v>1332.509816965759</v>
      </c>
      <c r="O27" s="83">
        <f t="shared" si="9"/>
        <v>1246.9023426322915</v>
      </c>
      <c r="P27" s="83">
        <f t="shared" si="9"/>
        <v>1157.1362902679334</v>
      </c>
      <c r="Q27" s="84">
        <f t="shared" si="9"/>
        <v>1063.661690749251</v>
      </c>
      <c r="U27"/>
      <c r="V27"/>
    </row>
    <row r="28" spans="2:22" s="34" customFormat="1" ht="15.5" x14ac:dyDescent="0.35">
      <c r="B28" s="45" t="s">
        <v>32</v>
      </c>
      <c r="C28" s="4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  <c r="U28"/>
      <c r="V28"/>
    </row>
    <row r="29" spans="2:22" s="34" customFormat="1" ht="15.5" x14ac:dyDescent="0.35">
      <c r="B29" s="35" t="s">
        <v>33</v>
      </c>
      <c r="C29" s="38">
        <v>200</v>
      </c>
      <c r="D29" s="38">
        <v>210</v>
      </c>
      <c r="E29" s="38">
        <v>220</v>
      </c>
      <c r="F29" s="38">
        <v>240</v>
      </c>
      <c r="G29" s="38">
        <v>250</v>
      </c>
      <c r="H29" s="38">
        <v>260</v>
      </c>
      <c r="I29" s="38">
        <v>270</v>
      </c>
      <c r="J29" s="38">
        <v>280</v>
      </c>
      <c r="K29" s="38">
        <v>290</v>
      </c>
      <c r="L29" s="38">
        <v>300</v>
      </c>
      <c r="M29" s="38">
        <v>290</v>
      </c>
      <c r="N29" s="38">
        <v>280</v>
      </c>
      <c r="O29" s="38">
        <v>260</v>
      </c>
      <c r="P29" s="38">
        <v>250</v>
      </c>
      <c r="Q29" s="39">
        <v>230</v>
      </c>
      <c r="U29"/>
      <c r="V29"/>
    </row>
    <row r="30" spans="2:22" s="34" customFormat="1" ht="15.5" x14ac:dyDescent="0.35">
      <c r="B30" s="35" t="s">
        <v>34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-10</v>
      </c>
      <c r="K30" s="38">
        <v>-40</v>
      </c>
      <c r="L30" s="38">
        <v>-70</v>
      </c>
      <c r="M30" s="38">
        <v>-90</v>
      </c>
      <c r="N30" s="38">
        <v>-110</v>
      </c>
      <c r="O30" s="38">
        <v>-130</v>
      </c>
      <c r="P30" s="38">
        <v>-140</v>
      </c>
      <c r="Q30" s="39">
        <v>-150</v>
      </c>
      <c r="U30"/>
      <c r="V30"/>
    </row>
    <row r="31" spans="2:22" s="34" customFormat="1" ht="15.5" x14ac:dyDescent="0.35">
      <c r="B31" s="86" t="s">
        <v>87</v>
      </c>
      <c r="C31" s="136">
        <f t="shared" ref="C31:Q31" si="10">C27-C29-C30</f>
        <v>696.197380802917</v>
      </c>
      <c r="D31" s="83">
        <f t="shared" si="10"/>
        <v>738.53537281523859</v>
      </c>
      <c r="E31" s="83">
        <f t="shared" si="10"/>
        <v>808.6725194114606</v>
      </c>
      <c r="F31" s="83">
        <f t="shared" si="10"/>
        <v>864.10496354204042</v>
      </c>
      <c r="G31" s="83">
        <f t="shared" si="10"/>
        <v>927.12531565566564</v>
      </c>
      <c r="H31" s="83">
        <f t="shared" si="10"/>
        <v>987.02253481736716</v>
      </c>
      <c r="I31" s="83">
        <f t="shared" si="10"/>
        <v>1043.0818057815372</v>
      </c>
      <c r="J31" s="83">
        <f t="shared" si="10"/>
        <v>1105.784411879753</v>
      </c>
      <c r="K31" s="83">
        <f t="shared" si="10"/>
        <v>1185.007603578325</v>
      </c>
      <c r="L31" s="83">
        <f t="shared" si="10"/>
        <v>1228.2244625553622</v>
      </c>
      <c r="M31" s="83">
        <f t="shared" si="10"/>
        <v>1213.5037611418593</v>
      </c>
      <c r="N31" s="83">
        <f t="shared" si="10"/>
        <v>1162.509816965759</v>
      </c>
      <c r="O31" s="83">
        <f t="shared" si="10"/>
        <v>1116.9023426322915</v>
      </c>
      <c r="P31" s="83">
        <f t="shared" si="10"/>
        <v>1047.1362902679334</v>
      </c>
      <c r="Q31" s="84">
        <f t="shared" si="10"/>
        <v>983.66169074925097</v>
      </c>
      <c r="U31"/>
      <c r="V31"/>
    </row>
    <row r="32" spans="2:22" s="34" customFormat="1" ht="15.5" x14ac:dyDescent="0.35">
      <c r="B32" s="86" t="s">
        <v>88</v>
      </c>
      <c r="C32" s="138">
        <f t="shared" ref="C32:Q32" si="11">C31+C26+C30</f>
        <v>1376.197380802917</v>
      </c>
      <c r="D32" s="87">
        <f t="shared" si="11"/>
        <v>1418.5353728152386</v>
      </c>
      <c r="E32" s="87">
        <f t="shared" si="11"/>
        <v>1488.6725194114606</v>
      </c>
      <c r="F32" s="87">
        <f t="shared" si="11"/>
        <v>1544.1049635420404</v>
      </c>
      <c r="G32" s="87">
        <f t="shared" si="11"/>
        <v>1607.1253156556656</v>
      </c>
      <c r="H32" s="87">
        <f t="shared" si="11"/>
        <v>1667.0225348173672</v>
      </c>
      <c r="I32" s="87">
        <f t="shared" si="11"/>
        <v>1723.0818057815372</v>
      </c>
      <c r="J32" s="87">
        <f t="shared" si="11"/>
        <v>1775.784411879753</v>
      </c>
      <c r="K32" s="87">
        <f t="shared" si="11"/>
        <v>1825.007603578325</v>
      </c>
      <c r="L32" s="87">
        <f t="shared" si="11"/>
        <v>1838.2244625553622</v>
      </c>
      <c r="M32" s="87">
        <f t="shared" si="11"/>
        <v>1803.5037611418593</v>
      </c>
      <c r="N32" s="87">
        <f t="shared" si="11"/>
        <v>1732.509816965759</v>
      </c>
      <c r="O32" s="87">
        <f t="shared" si="11"/>
        <v>1666.9023426322915</v>
      </c>
      <c r="P32" s="87">
        <f t="shared" si="11"/>
        <v>1587.1362902679334</v>
      </c>
      <c r="Q32" s="88">
        <f t="shared" si="11"/>
        <v>1513.661690749251</v>
      </c>
      <c r="U32"/>
      <c r="V32"/>
    </row>
    <row r="33" spans="2:22" s="34" customFormat="1" ht="15.5" x14ac:dyDescent="0.35">
      <c r="B33" s="86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U33"/>
      <c r="V33"/>
    </row>
    <row r="34" spans="2:22" s="34" customFormat="1" ht="15.5" x14ac:dyDescent="0.35">
      <c r="B34" s="86" t="s">
        <v>89</v>
      </c>
      <c r="C34" s="90">
        <f>-('Balance Sheet (Case Exhibit 6)'!G12-'Balance Sheet (Case Exhibit 6)'!F12)</f>
        <v>540</v>
      </c>
      <c r="D34" s="90">
        <f>-('Balance Sheet (Case Exhibit 6)'!H12-'Balance Sheet (Case Exhibit 6)'!G12)</f>
        <v>1100</v>
      </c>
      <c r="E34" s="90">
        <f>-('Balance Sheet (Case Exhibit 6)'!I12-'Balance Sheet (Case Exhibit 6)'!H12)</f>
        <v>1070</v>
      </c>
      <c r="F34" s="90">
        <f>-('Balance Sheet (Case Exhibit 6)'!J12-'Balance Sheet (Case Exhibit 6)'!I12)</f>
        <v>1080</v>
      </c>
      <c r="G34" s="90">
        <f>-('Balance Sheet (Case Exhibit 6)'!K12-'Balance Sheet (Case Exhibit 6)'!J12)</f>
        <v>1070</v>
      </c>
      <c r="H34" s="90">
        <f>-('Balance Sheet (Case Exhibit 6)'!L12-'Balance Sheet (Case Exhibit 6)'!K12)</f>
        <v>1080</v>
      </c>
      <c r="I34" s="90">
        <f>-('Balance Sheet (Case Exhibit 6)'!M12-'Balance Sheet (Case Exhibit 6)'!L12)</f>
        <v>1070</v>
      </c>
      <c r="J34" s="90">
        <f>-('Balance Sheet (Case Exhibit 6)'!N12-'Balance Sheet (Case Exhibit 6)'!M12)</f>
        <v>1080</v>
      </c>
      <c r="K34" s="90">
        <f>-('Balance Sheet (Case Exhibit 6)'!O12-'Balance Sheet (Case Exhibit 6)'!N12)</f>
        <v>1070</v>
      </c>
      <c r="L34" s="90">
        <f>-('Balance Sheet (Case Exhibit 6)'!P12-'Balance Sheet (Case Exhibit 6)'!O12)</f>
        <v>540</v>
      </c>
      <c r="M34" s="89"/>
      <c r="N34" s="89"/>
      <c r="O34" s="89"/>
      <c r="P34" s="89"/>
      <c r="Q34" s="91"/>
      <c r="U34"/>
      <c r="V34"/>
    </row>
    <row r="35" spans="2:22" s="34" customFormat="1" ht="15.5" x14ac:dyDescent="0.35">
      <c r="B35" s="86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89"/>
      <c r="N35" s="89"/>
      <c r="O35" s="89"/>
      <c r="P35" s="89"/>
      <c r="Q35" s="91"/>
      <c r="U35"/>
      <c r="V35"/>
    </row>
    <row r="36" spans="2:22" s="34" customFormat="1" ht="15.5" x14ac:dyDescent="0.35">
      <c r="B36" s="86" t="s">
        <v>43</v>
      </c>
      <c r="C36" s="92">
        <f>(C31+C24+C26)/(C24+C34)</f>
        <v>1.5002377248162939</v>
      </c>
      <c r="D36" s="92">
        <f t="shared" ref="D36:L36" si="12">(D31+D24+D26)/(D24+D34)</f>
        <v>1.1493227886814357</v>
      </c>
      <c r="E36" s="92">
        <f t="shared" si="12"/>
        <v>1.2122009728390575</v>
      </c>
      <c r="F36" s="92">
        <f t="shared" si="12"/>
        <v>1.2503263018026107</v>
      </c>
      <c r="G36" s="92">
        <f t="shared" si="12"/>
        <v>1.3131926038808548</v>
      </c>
      <c r="H36" s="92">
        <f t="shared" si="12"/>
        <v>1.3678086057752927</v>
      </c>
      <c r="I36" s="92">
        <f t="shared" si="12"/>
        <v>1.4482373409619336</v>
      </c>
      <c r="J36" s="92">
        <f t="shared" si="12"/>
        <v>1.5274920866066912</v>
      </c>
      <c r="K36" s="92">
        <f t="shared" si="12"/>
        <v>1.6630588853864261</v>
      </c>
      <c r="L36" s="92">
        <f t="shared" si="12"/>
        <v>3.3903292497473134</v>
      </c>
      <c r="M36" s="93"/>
      <c r="N36" s="93"/>
      <c r="O36" s="93"/>
      <c r="P36" s="93"/>
      <c r="Q36" s="94"/>
      <c r="U36"/>
      <c r="V36"/>
    </row>
    <row r="37" spans="2:22" s="34" customFormat="1" ht="16" thickBot="1" x14ac:dyDescent="0.4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  <c r="U37"/>
      <c r="V37"/>
    </row>
    <row r="38" spans="2:22" s="34" customFormat="1" x14ac:dyDescent="0.35">
      <c r="U38"/>
      <c r="V38"/>
    </row>
    <row r="39" spans="2:22" s="34" customFormat="1" ht="15" thickBot="1" x14ac:dyDescent="0.4">
      <c r="U39"/>
      <c r="V39"/>
    </row>
    <row r="40" spans="2:22" s="34" customFormat="1" ht="16" thickBot="1" x14ac:dyDescent="0.4">
      <c r="B40" s="498" t="s">
        <v>44</v>
      </c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500"/>
      <c r="U40"/>
      <c r="V40"/>
    </row>
    <row r="41" spans="2:22" s="34" customFormat="1" ht="16" thickBot="1" x14ac:dyDescent="0.4">
      <c r="B41" s="95" t="s">
        <v>109</v>
      </c>
      <c r="C41" s="96">
        <v>2010</v>
      </c>
      <c r="D41" s="97">
        <v>2011</v>
      </c>
      <c r="E41" s="97">
        <v>2012</v>
      </c>
      <c r="F41" s="97">
        <v>2013</v>
      </c>
      <c r="G41" s="97">
        <v>2014</v>
      </c>
      <c r="H41" s="97">
        <v>2015</v>
      </c>
      <c r="I41" s="97">
        <v>2016</v>
      </c>
      <c r="J41" s="97">
        <v>2017</v>
      </c>
      <c r="K41" s="97">
        <v>2018</v>
      </c>
      <c r="L41" s="97">
        <v>2019</v>
      </c>
      <c r="M41" s="97">
        <v>2020</v>
      </c>
      <c r="N41" s="97">
        <v>2021</v>
      </c>
      <c r="O41" s="97">
        <v>2022</v>
      </c>
      <c r="P41" s="97">
        <v>2023</v>
      </c>
      <c r="Q41" s="97">
        <v>2024</v>
      </c>
      <c r="R41" s="97">
        <v>2025</v>
      </c>
      <c r="S41" s="97">
        <v>2026</v>
      </c>
      <c r="T41" s="98">
        <v>2027</v>
      </c>
      <c r="U41"/>
      <c r="V41"/>
    </row>
    <row r="42" spans="2:22" s="34" customFormat="1" ht="15.5" x14ac:dyDescent="0.35">
      <c r="B42" s="99" t="s">
        <v>46</v>
      </c>
      <c r="C42" s="100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2"/>
      <c r="U42"/>
      <c r="V42"/>
    </row>
    <row r="43" spans="2:22" s="34" customFormat="1" ht="15.5" x14ac:dyDescent="0.35">
      <c r="B43" s="103" t="s">
        <v>47</v>
      </c>
      <c r="C43" s="104">
        <v>0</v>
      </c>
      <c r="D43" s="105">
        <v>0</v>
      </c>
      <c r="E43" s="105">
        <v>0</v>
      </c>
      <c r="F43" s="105">
        <f>'PLF @ 80% &amp; Fuel Up 5%'!C31+'PLF @ 80% &amp; Fuel Up 5%'!C24+'PLF @ 80% &amp; Fuel Up 5%'!C25+'PLF @ 80% &amp; Fuel Up 5%'!C26</f>
        <v>2619.3973808029168</v>
      </c>
      <c r="G43" s="105">
        <f>'PLF @ 80% &amp; Fuel Up 5%'!D31+'PLF @ 80% &amp; Fuel Up 5%'!D24+'PLF @ 80% &amp; Fuel Up 5%'!D25+'PLF @ 80% &amp; Fuel Up 5%'!D26</f>
        <v>2563.9353728152387</v>
      </c>
      <c r="H43" s="105">
        <f>'PLF @ 80% &amp; Fuel Up 5%'!E31+'PLF @ 80% &amp; Fuel Up 5%'!E24+'PLF @ 80% &amp; Fuel Up 5%'!E25+'PLF @ 80% &amp; Fuel Up 5%'!E26</f>
        <v>2505.6725194114606</v>
      </c>
      <c r="I43" s="105">
        <f>'PLF @ 80% &amp; Fuel Up 5%'!F31+'PLF @ 80% &amp; Fuel Up 5%'!F24+'PLF @ 80% &amp; Fuel Up 5%'!F25+'PLF @ 80% &amp; Fuel Up 5%'!F26</f>
        <v>2434.5049635420405</v>
      </c>
      <c r="J43" s="105">
        <f>'PLF @ 80% &amp; Fuel Up 5%'!G31+'PLF @ 80% &amp; Fuel Up 5%'!G24+'PLF @ 80% &amp; Fuel Up 5%'!G25+'PLF @ 80% &amp; Fuel Up 5%'!G26</f>
        <v>2370.3253156556657</v>
      </c>
      <c r="K43" s="105">
        <f>'PLF @ 80% &amp; Fuel Up 5%'!H31+'PLF @ 80% &amp; Fuel Up 5%'!H24+'PLF @ 80% &amp; Fuel Up 5%'!H25+'PLF @ 80% &amp; Fuel Up 5%'!H26</f>
        <v>2303.0225348173672</v>
      </c>
      <c r="L43" s="105">
        <f>'PLF @ 80% &amp; Fuel Up 5%'!I31+'PLF @ 80% &amp; Fuel Up 5%'!I24+'PLF @ 80% &amp; Fuel Up 5%'!I25+'PLF @ 80% &amp; Fuel Up 5%'!I26</f>
        <v>2232.4818057815373</v>
      </c>
      <c r="M43" s="105">
        <f>'PLF @ 80% &amp; Fuel Up 5%'!J31+'PLF @ 80% &amp; Fuel Up 5%'!J24+'PLF @ 80% &amp; Fuel Up 5%'!J25+'PLF @ 80% &amp; Fuel Up 5%'!J26</f>
        <v>2168.5844118797531</v>
      </c>
      <c r="N43" s="105">
        <f>'PLF @ 80% &amp; Fuel Up 5%'!K31+'PLF @ 80% &amp; Fuel Up 5%'!K24+'PLF @ 80% &amp; Fuel Up 5%'!K25+'PLF @ 80% &amp; Fuel Up 5%'!K26</f>
        <v>2121.2076035783248</v>
      </c>
      <c r="O43" s="105">
        <f>'PLF @ 80% &amp; Fuel Up 5%'!L31+'PLF @ 80% &amp; Fuel Up 5%'!L24+'PLF @ 80% &amp; Fuel Up 5%'!L25+'PLF @ 80% &amp; Fuel Up 5%'!L26</f>
        <v>2070.2244625553622</v>
      </c>
      <c r="P43" s="105">
        <f>'PLF @ 80% &amp; Fuel Up 5%'!M31+'PLF @ 80% &amp; Fuel Up 5%'!M24+'PLF @ 80% &amp; Fuel Up 5%'!M25+'PLF @ 80% &amp; Fuel Up 5%'!M26</f>
        <v>2025.5037611418593</v>
      </c>
      <c r="Q43" s="105">
        <f>'PLF @ 80% &amp; Fuel Up 5%'!N31+'PLF @ 80% &amp; Fuel Up 5%'!N24+'PLF @ 80% &amp; Fuel Up 5%'!N25+'PLF @ 80% &amp; Fuel Up 5%'!N26</f>
        <v>1976.9098169657591</v>
      </c>
      <c r="R43" s="105">
        <f>'PLF @ 80% &amp; Fuel Up 5%'!O31+'PLF @ 80% &amp; Fuel Up 5%'!O24+'PLF @ 80% &amp; Fuel Up 5%'!O25+'PLF @ 80% &amp; Fuel Up 5%'!O26</f>
        <v>1934.3023426322916</v>
      </c>
      <c r="S43" s="105">
        <f>'PLF @ 80% &amp; Fuel Up 5%'!P31+'PLF @ 80% &amp; Fuel Up 5%'!P24+'PLF @ 80% &amp; Fuel Up 5%'!P25+'PLF @ 80% &amp; Fuel Up 5%'!P26</f>
        <v>1867.5362902679335</v>
      </c>
      <c r="T43" s="106">
        <f>'PLF @ 80% &amp; Fuel Up 5%'!Q31+'PLF @ 80% &amp; Fuel Up 5%'!Q24+'PLF @ 80% &amp; Fuel Up 5%'!Q25+'PLF @ 80% &amp; Fuel Up 5%'!Q26</f>
        <v>1806.4616907492509</v>
      </c>
      <c r="U43"/>
      <c r="V43"/>
    </row>
    <row r="44" spans="2:22" s="34" customFormat="1" ht="16" thickBot="1" x14ac:dyDescent="0.4">
      <c r="B44" s="107" t="s">
        <v>48</v>
      </c>
      <c r="C44" s="108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6">
        <f>0.05*'Balance Sheet (Case Exhibit 6)'!U24</f>
        <v>1238.5</v>
      </c>
      <c r="U44"/>
      <c r="V44"/>
    </row>
    <row r="45" spans="2:22" s="34" customFormat="1" ht="16" thickBot="1" x14ac:dyDescent="0.4">
      <c r="B45" s="95" t="s">
        <v>90</v>
      </c>
      <c r="C45" s="110">
        <f t="shared" ref="C45:T45" si="13">SUM(C43:C44)</f>
        <v>0</v>
      </c>
      <c r="D45" s="111">
        <f t="shared" si="13"/>
        <v>0</v>
      </c>
      <c r="E45" s="111">
        <f t="shared" si="13"/>
        <v>0</v>
      </c>
      <c r="F45" s="111">
        <f t="shared" si="13"/>
        <v>2619.3973808029168</v>
      </c>
      <c r="G45" s="111">
        <f t="shared" si="13"/>
        <v>2563.9353728152387</v>
      </c>
      <c r="H45" s="111">
        <f t="shared" si="13"/>
        <v>2505.6725194114606</v>
      </c>
      <c r="I45" s="111">
        <f t="shared" si="13"/>
        <v>2434.5049635420405</v>
      </c>
      <c r="J45" s="111">
        <f t="shared" si="13"/>
        <v>2370.3253156556657</v>
      </c>
      <c r="K45" s="111">
        <f t="shared" si="13"/>
        <v>2303.0225348173672</v>
      </c>
      <c r="L45" s="111">
        <f t="shared" si="13"/>
        <v>2232.4818057815373</v>
      </c>
      <c r="M45" s="111">
        <f t="shared" si="13"/>
        <v>2168.5844118797531</v>
      </c>
      <c r="N45" s="111">
        <f t="shared" si="13"/>
        <v>2121.2076035783248</v>
      </c>
      <c r="O45" s="111">
        <f t="shared" si="13"/>
        <v>2070.2244625553622</v>
      </c>
      <c r="P45" s="111">
        <f t="shared" si="13"/>
        <v>2025.5037611418593</v>
      </c>
      <c r="Q45" s="111">
        <f t="shared" si="13"/>
        <v>1976.9098169657591</v>
      </c>
      <c r="R45" s="111">
        <f t="shared" si="13"/>
        <v>1934.3023426322916</v>
      </c>
      <c r="S45" s="111">
        <f t="shared" si="13"/>
        <v>1867.5362902679335</v>
      </c>
      <c r="T45" s="112">
        <f t="shared" si="13"/>
        <v>3044.9616907492509</v>
      </c>
      <c r="U45"/>
      <c r="V45"/>
    </row>
    <row r="46" spans="2:22" s="34" customFormat="1" ht="15.5" x14ac:dyDescent="0.35">
      <c r="B46" s="99" t="s">
        <v>50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2"/>
      <c r="U46"/>
      <c r="V46"/>
    </row>
    <row r="47" spans="2:22" s="34" customFormat="1" ht="15.5" x14ac:dyDescent="0.35">
      <c r="B47" s="103" t="s">
        <v>97</v>
      </c>
      <c r="C47" s="113">
        <f>'Balance Sheet (Case Exhibit 6)'!D24-'Balance Sheet (Case Exhibit 6)'!D22</f>
        <v>3460</v>
      </c>
      <c r="D47" s="114">
        <f>'Balance Sheet (Case Exhibit 6)'!E24-'Balance Sheet (Case Exhibit 6)'!E22-'Balance Sheet (Case Exhibit 6)'!D24</f>
        <v>5520</v>
      </c>
      <c r="E47" s="114">
        <f>'Balance Sheet (Case Exhibit 6)'!F24-'Balance Sheet (Case Exhibit 6)'!F22-'Balance Sheet (Case Exhibit 6)'!E24</f>
        <v>4570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/>
      <c r="V47"/>
    </row>
    <row r="48" spans="2:22" s="34" customFormat="1" ht="16" thickBot="1" x14ac:dyDescent="0.4">
      <c r="B48" s="107" t="s">
        <v>73</v>
      </c>
      <c r="C48" s="115">
        <v>0</v>
      </c>
      <c r="D48" s="116">
        <v>0</v>
      </c>
      <c r="E48" s="116">
        <v>0</v>
      </c>
      <c r="F48" s="117">
        <f>'Balance Sheet (Case Exhibit 6)'!G30</f>
        <v>310</v>
      </c>
      <c r="G48" s="117">
        <f>'Balance Sheet (Case Exhibit 6)'!H30</f>
        <v>0</v>
      </c>
      <c r="H48" s="116">
        <f>'Balance Sheet (Case Exhibit 6)'!I30</f>
        <v>10</v>
      </c>
      <c r="I48" s="116">
        <f>'Balance Sheet (Case Exhibit 6)'!J30</f>
        <v>0</v>
      </c>
      <c r="J48" s="116">
        <f>'Balance Sheet (Case Exhibit 6)'!K30</f>
        <v>10</v>
      </c>
      <c r="K48" s="116">
        <f>'Balance Sheet (Case Exhibit 6)'!L30</f>
        <v>10</v>
      </c>
      <c r="L48" s="116">
        <f>'Balance Sheet (Case Exhibit 6)'!M30</f>
        <v>0</v>
      </c>
      <c r="M48" s="116">
        <f>'Balance Sheet (Case Exhibit 6)'!N30</f>
        <v>10</v>
      </c>
      <c r="N48" s="116">
        <f>'Balance Sheet (Case Exhibit 6)'!O30</f>
        <v>10</v>
      </c>
      <c r="O48" s="116">
        <f>'Balance Sheet (Case Exhibit 6)'!P30</f>
        <v>0</v>
      </c>
      <c r="P48" s="116">
        <f>'Balance Sheet (Case Exhibit 6)'!Q30</f>
        <v>10</v>
      </c>
      <c r="Q48" s="116">
        <f>'Balance Sheet (Case Exhibit 6)'!R30</f>
        <v>10</v>
      </c>
      <c r="R48" s="116">
        <f>'Balance Sheet (Case Exhibit 6)'!S30</f>
        <v>0</v>
      </c>
      <c r="S48" s="116">
        <f>'Balance Sheet (Case Exhibit 6)'!T30</f>
        <v>10</v>
      </c>
      <c r="T48" s="118">
        <f>'Balance Sheet (Case Exhibit 6)'!U30</f>
        <v>10</v>
      </c>
      <c r="U48"/>
      <c r="V48"/>
    </row>
    <row r="49" spans="2:22" s="34" customFormat="1" ht="15.5" x14ac:dyDescent="0.35">
      <c r="B49" s="119" t="s">
        <v>53</v>
      </c>
      <c r="C49" s="120">
        <f t="shared" ref="C49:T49" si="14">C47+C48</f>
        <v>3460</v>
      </c>
      <c r="D49" s="121">
        <f t="shared" si="14"/>
        <v>5520</v>
      </c>
      <c r="E49" s="121">
        <f t="shared" si="14"/>
        <v>4570</v>
      </c>
      <c r="F49" s="121">
        <f t="shared" si="14"/>
        <v>310</v>
      </c>
      <c r="G49" s="121">
        <f t="shared" si="14"/>
        <v>0</v>
      </c>
      <c r="H49" s="121">
        <f t="shared" si="14"/>
        <v>10</v>
      </c>
      <c r="I49" s="121">
        <f t="shared" si="14"/>
        <v>0</v>
      </c>
      <c r="J49" s="121">
        <f t="shared" si="14"/>
        <v>10</v>
      </c>
      <c r="K49" s="121">
        <f t="shared" si="14"/>
        <v>10</v>
      </c>
      <c r="L49" s="121">
        <f t="shared" si="14"/>
        <v>0</v>
      </c>
      <c r="M49" s="121">
        <f t="shared" si="14"/>
        <v>10</v>
      </c>
      <c r="N49" s="121">
        <f t="shared" si="14"/>
        <v>10</v>
      </c>
      <c r="O49" s="121">
        <f t="shared" si="14"/>
        <v>0</v>
      </c>
      <c r="P49" s="121">
        <f t="shared" si="14"/>
        <v>10</v>
      </c>
      <c r="Q49" s="121">
        <f t="shared" si="14"/>
        <v>10</v>
      </c>
      <c r="R49" s="121">
        <f t="shared" si="14"/>
        <v>0</v>
      </c>
      <c r="S49" s="121">
        <f t="shared" si="14"/>
        <v>10</v>
      </c>
      <c r="T49" s="122">
        <f t="shared" si="14"/>
        <v>10</v>
      </c>
      <c r="U49"/>
      <c r="V49"/>
    </row>
    <row r="50" spans="2:22" s="34" customFormat="1" ht="16" thickBot="1" x14ac:dyDescent="0.4">
      <c r="B50" s="123" t="s">
        <v>93</v>
      </c>
      <c r="C50" s="124">
        <f t="shared" ref="C50:T50" si="15">C45-C49</f>
        <v>-3460</v>
      </c>
      <c r="D50" s="125">
        <f t="shared" si="15"/>
        <v>-5520</v>
      </c>
      <c r="E50" s="125">
        <f t="shared" si="15"/>
        <v>-4570</v>
      </c>
      <c r="F50" s="125">
        <f t="shared" si="15"/>
        <v>2309.3973808029168</v>
      </c>
      <c r="G50" s="125">
        <f t="shared" si="15"/>
        <v>2563.9353728152387</v>
      </c>
      <c r="H50" s="125">
        <f t="shared" si="15"/>
        <v>2495.6725194114606</v>
      </c>
      <c r="I50" s="125">
        <f t="shared" si="15"/>
        <v>2434.5049635420405</v>
      </c>
      <c r="J50" s="125">
        <f t="shared" si="15"/>
        <v>2360.3253156556657</v>
      </c>
      <c r="K50" s="125">
        <f t="shared" si="15"/>
        <v>2293.0225348173672</v>
      </c>
      <c r="L50" s="125">
        <f t="shared" si="15"/>
        <v>2232.4818057815373</v>
      </c>
      <c r="M50" s="125">
        <f t="shared" si="15"/>
        <v>2158.5844118797531</v>
      </c>
      <c r="N50" s="125">
        <f t="shared" si="15"/>
        <v>2111.2076035783248</v>
      </c>
      <c r="O50" s="125">
        <f t="shared" si="15"/>
        <v>2070.2244625553622</v>
      </c>
      <c r="P50" s="125">
        <f t="shared" si="15"/>
        <v>2015.5037611418593</v>
      </c>
      <c r="Q50" s="125">
        <f t="shared" si="15"/>
        <v>1966.9098169657591</v>
      </c>
      <c r="R50" s="125">
        <f t="shared" si="15"/>
        <v>1934.3023426322916</v>
      </c>
      <c r="S50" s="125">
        <f t="shared" si="15"/>
        <v>1857.5362902679335</v>
      </c>
      <c r="T50" s="126">
        <f t="shared" si="15"/>
        <v>3034.9616907492509</v>
      </c>
      <c r="U50"/>
      <c r="V50"/>
    </row>
    <row r="51" spans="2:22" s="34" customFormat="1" ht="16" thickBot="1" x14ac:dyDescent="0.4">
      <c r="B51" s="127" t="s">
        <v>94</v>
      </c>
      <c r="C51" s="128">
        <f>IRR(C50:T50)</f>
        <v>0.12662074510912147</v>
      </c>
      <c r="D51" s="129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1"/>
      <c r="U51"/>
      <c r="V51"/>
    </row>
    <row r="52" spans="2:22" s="34" customFormat="1" ht="15" thickBot="1" x14ac:dyDescent="0.4">
      <c r="U52"/>
      <c r="V52"/>
    </row>
    <row r="53" spans="2:22" s="34" customFormat="1" ht="16" thickBot="1" x14ac:dyDescent="0.4">
      <c r="B53" s="501" t="s">
        <v>44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2"/>
      <c r="N53" s="502"/>
      <c r="O53" s="503"/>
      <c r="U53"/>
      <c r="V53"/>
    </row>
    <row r="54" spans="2:22" s="34" customFormat="1" ht="16" thickBot="1" x14ac:dyDescent="0.4">
      <c r="B54" s="95" t="s">
        <v>109</v>
      </c>
      <c r="C54" s="132">
        <v>2010</v>
      </c>
      <c r="D54" s="97">
        <v>2011</v>
      </c>
      <c r="E54" s="97">
        <v>2012</v>
      </c>
      <c r="F54" s="97">
        <v>2013</v>
      </c>
      <c r="G54" s="97">
        <v>2014</v>
      </c>
      <c r="H54" s="97">
        <v>2015</v>
      </c>
      <c r="I54" s="97">
        <v>2016</v>
      </c>
      <c r="J54" s="97">
        <v>2017</v>
      </c>
      <c r="K54" s="97">
        <v>2018</v>
      </c>
      <c r="L54" s="97">
        <v>2019</v>
      </c>
      <c r="M54" s="97">
        <v>2020</v>
      </c>
      <c r="N54" s="97">
        <v>2021</v>
      </c>
      <c r="O54" s="98">
        <v>2022</v>
      </c>
      <c r="U54"/>
      <c r="V54"/>
    </row>
    <row r="55" spans="2:22" s="34" customFormat="1" ht="15.5" x14ac:dyDescent="0.35">
      <c r="B55" s="99" t="s">
        <v>46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2"/>
      <c r="U55"/>
      <c r="V55"/>
    </row>
    <row r="56" spans="2:22" s="34" customFormat="1" ht="15.5" x14ac:dyDescent="0.35">
      <c r="B56" s="103" t="s">
        <v>47</v>
      </c>
      <c r="C56" s="104">
        <f>C43</f>
        <v>0</v>
      </c>
      <c r="D56" s="105">
        <f t="shared" ref="D56:O56" si="16">D43</f>
        <v>0</v>
      </c>
      <c r="E56" s="105">
        <f t="shared" si="16"/>
        <v>0</v>
      </c>
      <c r="F56" s="105">
        <f t="shared" si="16"/>
        <v>2619.3973808029168</v>
      </c>
      <c r="G56" s="105">
        <f t="shared" si="16"/>
        <v>2563.9353728152387</v>
      </c>
      <c r="H56" s="105">
        <f t="shared" si="16"/>
        <v>2505.6725194114606</v>
      </c>
      <c r="I56" s="105">
        <f t="shared" si="16"/>
        <v>2434.5049635420405</v>
      </c>
      <c r="J56" s="105">
        <f t="shared" si="16"/>
        <v>2370.3253156556657</v>
      </c>
      <c r="K56" s="105">
        <f t="shared" si="16"/>
        <v>2303.0225348173672</v>
      </c>
      <c r="L56" s="105">
        <f t="shared" si="16"/>
        <v>2232.4818057815373</v>
      </c>
      <c r="M56" s="105">
        <f t="shared" si="16"/>
        <v>2168.5844118797531</v>
      </c>
      <c r="N56" s="105">
        <f t="shared" si="16"/>
        <v>2121.2076035783248</v>
      </c>
      <c r="O56" s="106">
        <f t="shared" si="16"/>
        <v>2070.2244625553622</v>
      </c>
      <c r="U56"/>
      <c r="V56"/>
    </row>
    <row r="57" spans="2:22" s="34" customFormat="1" ht="16" thickBot="1" x14ac:dyDescent="0.4">
      <c r="B57" s="107" t="s">
        <v>48</v>
      </c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33">
        <f>0.05*'Balance Sheet (Case Exhibit 6)'!P24</f>
        <v>884</v>
      </c>
      <c r="U57"/>
      <c r="V57"/>
    </row>
    <row r="58" spans="2:22" s="34" customFormat="1" ht="16" thickBot="1" x14ac:dyDescent="0.4">
      <c r="B58" s="95" t="s">
        <v>90</v>
      </c>
      <c r="C58" s="110">
        <f t="shared" ref="C58:O58" si="17">SUM(C56:C57)</f>
        <v>0</v>
      </c>
      <c r="D58" s="111">
        <f t="shared" si="17"/>
        <v>0</v>
      </c>
      <c r="E58" s="111">
        <f t="shared" si="17"/>
        <v>0</v>
      </c>
      <c r="F58" s="111">
        <f t="shared" si="17"/>
        <v>2619.3973808029168</v>
      </c>
      <c r="G58" s="111">
        <f t="shared" si="17"/>
        <v>2563.9353728152387</v>
      </c>
      <c r="H58" s="111">
        <f t="shared" si="17"/>
        <v>2505.6725194114606</v>
      </c>
      <c r="I58" s="111">
        <f t="shared" si="17"/>
        <v>2434.5049635420405</v>
      </c>
      <c r="J58" s="111">
        <f t="shared" si="17"/>
        <v>2370.3253156556657</v>
      </c>
      <c r="K58" s="111">
        <f t="shared" si="17"/>
        <v>2303.0225348173672</v>
      </c>
      <c r="L58" s="111">
        <f t="shared" si="17"/>
        <v>2232.4818057815373</v>
      </c>
      <c r="M58" s="111">
        <f t="shared" si="17"/>
        <v>2168.5844118797531</v>
      </c>
      <c r="N58" s="111">
        <f t="shared" si="17"/>
        <v>2121.2076035783248</v>
      </c>
      <c r="O58" s="112">
        <f t="shared" si="17"/>
        <v>2954.2244625553622</v>
      </c>
      <c r="U58"/>
      <c r="V58"/>
    </row>
    <row r="59" spans="2:22" s="34" customFormat="1" ht="15.5" x14ac:dyDescent="0.35">
      <c r="B59" s="99" t="s">
        <v>50</v>
      </c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2"/>
      <c r="U59"/>
      <c r="V59"/>
    </row>
    <row r="60" spans="2:22" s="34" customFormat="1" ht="15.5" x14ac:dyDescent="0.35">
      <c r="B60" s="103" t="s">
        <v>103</v>
      </c>
      <c r="C60" s="113">
        <f>C47</f>
        <v>3460</v>
      </c>
      <c r="D60" s="114">
        <f t="shared" ref="D60:O60" si="18">D47</f>
        <v>5520</v>
      </c>
      <c r="E60" s="114">
        <f t="shared" si="18"/>
        <v>4570</v>
      </c>
      <c r="F60" s="8">
        <f t="shared" si="18"/>
        <v>0</v>
      </c>
      <c r="G60" s="8">
        <f t="shared" si="18"/>
        <v>0</v>
      </c>
      <c r="H60" s="8">
        <f t="shared" si="18"/>
        <v>0</v>
      </c>
      <c r="I60" s="8">
        <f t="shared" si="18"/>
        <v>0</v>
      </c>
      <c r="J60" s="8">
        <f t="shared" si="18"/>
        <v>0</v>
      </c>
      <c r="K60" s="8">
        <f t="shared" si="18"/>
        <v>0</v>
      </c>
      <c r="L60" s="8">
        <f t="shared" si="18"/>
        <v>0</v>
      </c>
      <c r="M60" s="8">
        <f t="shared" si="18"/>
        <v>0</v>
      </c>
      <c r="N60" s="8">
        <f t="shared" si="18"/>
        <v>0</v>
      </c>
      <c r="O60" s="9">
        <f t="shared" si="18"/>
        <v>0</v>
      </c>
      <c r="U60"/>
      <c r="V60"/>
    </row>
    <row r="61" spans="2:22" s="34" customFormat="1" ht="16" thickBot="1" x14ac:dyDescent="0.4">
      <c r="B61" s="107" t="s">
        <v>92</v>
      </c>
      <c r="C61" s="115">
        <f t="shared" ref="C61:O61" si="19">C48</f>
        <v>0</v>
      </c>
      <c r="D61" s="116">
        <f t="shared" si="19"/>
        <v>0</v>
      </c>
      <c r="E61" s="116">
        <f t="shared" si="19"/>
        <v>0</v>
      </c>
      <c r="F61" s="117">
        <f t="shared" si="19"/>
        <v>310</v>
      </c>
      <c r="G61" s="117">
        <f t="shared" si="19"/>
        <v>0</v>
      </c>
      <c r="H61" s="116">
        <f t="shared" si="19"/>
        <v>10</v>
      </c>
      <c r="I61" s="116">
        <f t="shared" si="19"/>
        <v>0</v>
      </c>
      <c r="J61" s="116">
        <f t="shared" si="19"/>
        <v>10</v>
      </c>
      <c r="K61" s="116">
        <f t="shared" si="19"/>
        <v>10</v>
      </c>
      <c r="L61" s="116">
        <f t="shared" si="19"/>
        <v>0</v>
      </c>
      <c r="M61" s="116">
        <f t="shared" si="19"/>
        <v>10</v>
      </c>
      <c r="N61" s="116">
        <f t="shared" si="19"/>
        <v>10</v>
      </c>
      <c r="O61" s="118">
        <f t="shared" si="19"/>
        <v>0</v>
      </c>
      <c r="U61"/>
      <c r="V61"/>
    </row>
    <row r="62" spans="2:22" s="34" customFormat="1" ht="15.5" x14ac:dyDescent="0.35">
      <c r="B62" s="119" t="s">
        <v>53</v>
      </c>
      <c r="C62" s="120">
        <f t="shared" ref="C62:O62" si="20">C60+C61</f>
        <v>3460</v>
      </c>
      <c r="D62" s="121">
        <f t="shared" si="20"/>
        <v>5520</v>
      </c>
      <c r="E62" s="121">
        <f t="shared" si="20"/>
        <v>4570</v>
      </c>
      <c r="F62" s="121">
        <f t="shared" si="20"/>
        <v>310</v>
      </c>
      <c r="G62" s="121">
        <f t="shared" si="20"/>
        <v>0</v>
      </c>
      <c r="H62" s="121">
        <f t="shared" si="20"/>
        <v>10</v>
      </c>
      <c r="I62" s="121">
        <f t="shared" si="20"/>
        <v>0</v>
      </c>
      <c r="J62" s="121">
        <f t="shared" si="20"/>
        <v>10</v>
      </c>
      <c r="K62" s="121">
        <f t="shared" si="20"/>
        <v>10</v>
      </c>
      <c r="L62" s="121">
        <f t="shared" si="20"/>
        <v>0</v>
      </c>
      <c r="M62" s="121">
        <f t="shared" si="20"/>
        <v>10</v>
      </c>
      <c r="N62" s="121">
        <f t="shared" si="20"/>
        <v>10</v>
      </c>
      <c r="O62" s="122">
        <f t="shared" si="20"/>
        <v>0</v>
      </c>
      <c r="U62"/>
      <c r="V62"/>
    </row>
    <row r="63" spans="2:22" s="34" customFormat="1" ht="16" thickBot="1" x14ac:dyDescent="0.4">
      <c r="B63" s="123" t="s">
        <v>93</v>
      </c>
      <c r="C63" s="124">
        <f t="shared" ref="C63:O63" si="21">C58-C62</f>
        <v>-3460</v>
      </c>
      <c r="D63" s="125">
        <f t="shared" si="21"/>
        <v>-5520</v>
      </c>
      <c r="E63" s="125">
        <f t="shared" si="21"/>
        <v>-4570</v>
      </c>
      <c r="F63" s="125">
        <f t="shared" si="21"/>
        <v>2309.3973808029168</v>
      </c>
      <c r="G63" s="125">
        <f t="shared" si="21"/>
        <v>2563.9353728152387</v>
      </c>
      <c r="H63" s="125">
        <f t="shared" si="21"/>
        <v>2495.6725194114606</v>
      </c>
      <c r="I63" s="125">
        <f t="shared" si="21"/>
        <v>2434.5049635420405</v>
      </c>
      <c r="J63" s="125">
        <f t="shared" si="21"/>
        <v>2360.3253156556657</v>
      </c>
      <c r="K63" s="125">
        <f t="shared" si="21"/>
        <v>2293.0225348173672</v>
      </c>
      <c r="L63" s="125">
        <f t="shared" si="21"/>
        <v>2232.4818057815373</v>
      </c>
      <c r="M63" s="125">
        <f t="shared" si="21"/>
        <v>2158.5844118797531</v>
      </c>
      <c r="N63" s="125">
        <f t="shared" si="21"/>
        <v>2111.2076035783248</v>
      </c>
      <c r="O63" s="126">
        <f t="shared" si="21"/>
        <v>2954.2244625553622</v>
      </c>
      <c r="U63"/>
      <c r="V63"/>
    </row>
    <row r="64" spans="2:22" s="34" customFormat="1" ht="16" thickBot="1" x14ac:dyDescent="0.4">
      <c r="B64" s="127" t="s">
        <v>95</v>
      </c>
      <c r="C64" s="128">
        <f>IRR(C63:O63)</f>
        <v>9.8357903148713621E-2</v>
      </c>
      <c r="D64" s="129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1"/>
      <c r="U64"/>
      <c r="V64"/>
    </row>
    <row r="65" spans="3:22" s="34" customFormat="1" x14ac:dyDescent="0.35"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U65"/>
      <c r="V65"/>
    </row>
    <row r="66" spans="3:22" s="34" customFormat="1" x14ac:dyDescent="0.35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U66"/>
      <c r="V66"/>
    </row>
    <row r="67" spans="3:22" s="34" customFormat="1" x14ac:dyDescent="0.3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U67"/>
      <c r="V67"/>
    </row>
    <row r="68" spans="3:22" s="34" customFormat="1" x14ac:dyDescent="0.35">
      <c r="U68"/>
      <c r="V68"/>
    </row>
    <row r="69" spans="3:22" s="34" customFormat="1" x14ac:dyDescent="0.35">
      <c r="U69"/>
      <c r="V69"/>
    </row>
    <row r="70" spans="3:22" s="34" customFormat="1" x14ac:dyDescent="0.35">
      <c r="U70"/>
      <c r="V70"/>
    </row>
    <row r="71" spans="3:22" s="34" customFormat="1" x14ac:dyDescent="0.35">
      <c r="U71"/>
      <c r="V71"/>
    </row>
    <row r="72" spans="3:22" s="34" customFormat="1" x14ac:dyDescent="0.35">
      <c r="U72"/>
      <c r="V72"/>
    </row>
    <row r="73" spans="3:22" s="34" customFormat="1" x14ac:dyDescent="0.35">
      <c r="U73"/>
      <c r="V73"/>
    </row>
    <row r="74" spans="3:22" s="34" customFormat="1" x14ac:dyDescent="0.35">
      <c r="U74"/>
      <c r="V74"/>
    </row>
    <row r="75" spans="3:22" s="34" customFormat="1" x14ac:dyDescent="0.35">
      <c r="U75"/>
      <c r="V75"/>
    </row>
    <row r="76" spans="3:22" s="34" customFormat="1" x14ac:dyDescent="0.35">
      <c r="U76"/>
      <c r="V76"/>
    </row>
    <row r="77" spans="3:22" s="34" customFormat="1" x14ac:dyDescent="0.35">
      <c r="U77"/>
      <c r="V77"/>
    </row>
    <row r="78" spans="3:22" s="34" customFormat="1" x14ac:dyDescent="0.35">
      <c r="U78"/>
      <c r="V78"/>
    </row>
    <row r="79" spans="3:22" s="34" customFormat="1" x14ac:dyDescent="0.35">
      <c r="U79"/>
      <c r="V79"/>
    </row>
    <row r="80" spans="3:22" s="34" customFormat="1" x14ac:dyDescent="0.35">
      <c r="U80"/>
      <c r="V80"/>
    </row>
    <row r="81" spans="21:22" s="34" customFormat="1" x14ac:dyDescent="0.35">
      <c r="U81"/>
      <c r="V81"/>
    </row>
    <row r="82" spans="21:22" s="34" customFormat="1" x14ac:dyDescent="0.35">
      <c r="U82"/>
      <c r="V82"/>
    </row>
    <row r="83" spans="21:22" s="34" customFormat="1" x14ac:dyDescent="0.35">
      <c r="U83"/>
      <c r="V83"/>
    </row>
    <row r="84" spans="21:22" s="34" customFormat="1" x14ac:dyDescent="0.35">
      <c r="U84"/>
      <c r="V84"/>
    </row>
    <row r="85" spans="21:22" s="34" customFormat="1" x14ac:dyDescent="0.35">
      <c r="U85"/>
      <c r="V85"/>
    </row>
    <row r="86" spans="21:22" s="34" customFormat="1" x14ac:dyDescent="0.35">
      <c r="U86"/>
      <c r="V86"/>
    </row>
    <row r="87" spans="21:22" s="34" customFormat="1" x14ac:dyDescent="0.35">
      <c r="U87"/>
      <c r="V87"/>
    </row>
    <row r="88" spans="21:22" s="34" customFormat="1" x14ac:dyDescent="0.35">
      <c r="U88"/>
      <c r="V88"/>
    </row>
    <row r="89" spans="21:22" s="34" customFormat="1" x14ac:dyDescent="0.35">
      <c r="U89"/>
      <c r="V89"/>
    </row>
    <row r="90" spans="21:22" s="34" customFormat="1" x14ac:dyDescent="0.35">
      <c r="U90"/>
      <c r="V90"/>
    </row>
    <row r="91" spans="21:22" s="34" customFormat="1" x14ac:dyDescent="0.35">
      <c r="U91"/>
      <c r="V91"/>
    </row>
    <row r="92" spans="21:22" s="34" customFormat="1" x14ac:dyDescent="0.35">
      <c r="U92"/>
      <c r="V92"/>
    </row>
    <row r="93" spans="21:22" s="34" customFormat="1" x14ac:dyDescent="0.35">
      <c r="U93"/>
      <c r="V93"/>
    </row>
    <row r="94" spans="21:22" s="34" customFormat="1" x14ac:dyDescent="0.35">
      <c r="U94"/>
      <c r="V94"/>
    </row>
    <row r="95" spans="21:22" s="34" customFormat="1" x14ac:dyDescent="0.35">
      <c r="U95"/>
      <c r="V95"/>
    </row>
    <row r="96" spans="21:22" s="34" customFormat="1" x14ac:dyDescent="0.35">
      <c r="U96"/>
      <c r="V96"/>
    </row>
    <row r="97" spans="21:22" s="34" customFormat="1" x14ac:dyDescent="0.35">
      <c r="U97"/>
      <c r="V97"/>
    </row>
    <row r="98" spans="21:22" s="34" customFormat="1" x14ac:dyDescent="0.35">
      <c r="U98"/>
      <c r="V98"/>
    </row>
    <row r="99" spans="21:22" s="34" customFormat="1" x14ac:dyDescent="0.35">
      <c r="U99"/>
      <c r="V99"/>
    </row>
    <row r="100" spans="21:22" s="34" customFormat="1" x14ac:dyDescent="0.35">
      <c r="U100"/>
      <c r="V100"/>
    </row>
    <row r="101" spans="21:22" s="34" customFormat="1" x14ac:dyDescent="0.35">
      <c r="U101"/>
      <c r="V101"/>
    </row>
    <row r="102" spans="21:22" s="34" customFormat="1" x14ac:dyDescent="0.35">
      <c r="U102"/>
      <c r="V102"/>
    </row>
  </sheetData>
  <mergeCells count="4">
    <mergeCell ref="B2:C2"/>
    <mergeCell ref="B9:Q9"/>
    <mergeCell ref="B40:T40"/>
    <mergeCell ref="B53:O53"/>
  </mergeCells>
  <pageMargins left="0.75" right="0.75" top="1" bottom="1" header="0.3" footer="0.3"/>
  <pageSetup paperSize="9" orientation="portrait" horizontalDpi="1200" verticalDpi="12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102"/>
  <sheetViews>
    <sheetView showGridLines="0" topLeftCell="A19" workbookViewId="0">
      <selection activeCell="W83" sqref="W83"/>
    </sheetView>
  </sheetViews>
  <sheetFormatPr baseColWidth="10" defaultColWidth="8.81640625" defaultRowHeight="14.5" x14ac:dyDescent="0.35"/>
  <cols>
    <col min="2" max="2" width="39" bestFit="1" customWidth="1"/>
    <col min="3" max="3" width="7.81640625" customWidth="1"/>
    <col min="4" max="6" width="6.6328125" customWidth="1"/>
    <col min="7" max="8" width="7.1796875" customWidth="1"/>
    <col min="9" max="11" width="6.6328125" customWidth="1"/>
    <col min="12" max="12" width="7.26953125" customWidth="1"/>
    <col min="13" max="20" width="6.6328125" customWidth="1"/>
    <col min="22" max="22" width="12.453125" bestFit="1" customWidth="1"/>
  </cols>
  <sheetData>
    <row r="1" spans="2:18" ht="15" thickBot="1" x14ac:dyDescent="0.4"/>
    <row r="2" spans="2:18" ht="15" thickBot="1" x14ac:dyDescent="0.4">
      <c r="B2" s="496" t="s">
        <v>37</v>
      </c>
      <c r="C2" s="497"/>
      <c r="E2" s="57" t="s">
        <v>38</v>
      </c>
      <c r="F2" s="58"/>
      <c r="G2" s="167">
        <f>SUM(C31:L31,C24:L24,C26:L26)/SUM(C24:L24,C34:L34)</f>
        <v>1.6181093812369718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8" x14ac:dyDescent="0.35">
      <c r="B3" s="59" t="s">
        <v>16</v>
      </c>
      <c r="C3" s="60">
        <v>0.85</v>
      </c>
      <c r="E3" s="61" t="s">
        <v>58</v>
      </c>
      <c r="F3" s="139"/>
      <c r="G3" s="168">
        <f>C51</f>
        <v>0.15313271368590331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2:18" ht="15" thickBot="1" x14ac:dyDescent="0.4">
      <c r="B4" s="62" t="s">
        <v>39</v>
      </c>
      <c r="C4" s="63">
        <v>1</v>
      </c>
      <c r="E4" s="64" t="s">
        <v>59</v>
      </c>
      <c r="F4" s="140"/>
      <c r="G4" s="143">
        <f>C64</f>
        <v>0.12740783723973448</v>
      </c>
    </row>
    <row r="5" spans="2:18" x14ac:dyDescent="0.35">
      <c r="B5" s="62" t="s">
        <v>40</v>
      </c>
      <c r="C5" s="65">
        <v>0.13</v>
      </c>
    </row>
    <row r="6" spans="2:18" ht="15" thickBot="1" x14ac:dyDescent="0.4">
      <c r="B6" s="66" t="s">
        <v>41</v>
      </c>
      <c r="C6" s="67">
        <v>1</v>
      </c>
    </row>
    <row r="8" spans="2:18" ht="15" thickBot="1" x14ac:dyDescent="0.4"/>
    <row r="9" spans="2:18" ht="16" thickBot="1" x14ac:dyDescent="0.4">
      <c r="B9" s="491" t="s">
        <v>106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3"/>
    </row>
    <row r="10" spans="2:18" s="68" customFormat="1" ht="16" thickBot="1" x14ac:dyDescent="0.4">
      <c r="B10" s="30" t="s">
        <v>109</v>
      </c>
      <c r="C10" s="2">
        <v>2013</v>
      </c>
      <c r="D10" s="2">
        <v>2014</v>
      </c>
      <c r="E10" s="2">
        <v>2015</v>
      </c>
      <c r="F10" s="2">
        <v>2016</v>
      </c>
      <c r="G10" s="2">
        <v>2017</v>
      </c>
      <c r="H10" s="2">
        <v>2018</v>
      </c>
      <c r="I10" s="2">
        <v>2019</v>
      </c>
      <c r="J10" s="2">
        <v>2020</v>
      </c>
      <c r="K10" s="2">
        <v>2021</v>
      </c>
      <c r="L10" s="2">
        <v>2022</v>
      </c>
      <c r="M10" s="2">
        <v>2023</v>
      </c>
      <c r="N10" s="2">
        <v>2024</v>
      </c>
      <c r="O10" s="2">
        <v>2025</v>
      </c>
      <c r="P10" s="2">
        <v>2026</v>
      </c>
      <c r="Q10" s="3">
        <v>2027</v>
      </c>
    </row>
    <row r="11" spans="2:18" s="34" customFormat="1" ht="15.5" x14ac:dyDescent="0.35">
      <c r="B11" s="31" t="s">
        <v>15</v>
      </c>
      <c r="C11" s="69">
        <v>300</v>
      </c>
      <c r="D11" s="69">
        <v>300</v>
      </c>
      <c r="E11" s="69">
        <v>300</v>
      </c>
      <c r="F11" s="69">
        <v>300</v>
      </c>
      <c r="G11" s="69">
        <v>300</v>
      </c>
      <c r="H11" s="69">
        <v>300</v>
      </c>
      <c r="I11" s="69">
        <v>300</v>
      </c>
      <c r="J11" s="69">
        <v>300</v>
      </c>
      <c r="K11" s="69">
        <v>300</v>
      </c>
      <c r="L11" s="69">
        <v>300</v>
      </c>
      <c r="M11" s="69">
        <v>300</v>
      </c>
      <c r="N11" s="69">
        <v>300</v>
      </c>
      <c r="O11" s="69">
        <v>300</v>
      </c>
      <c r="P11" s="69">
        <v>300</v>
      </c>
      <c r="Q11" s="70">
        <v>300</v>
      </c>
      <c r="R11" s="71"/>
    </row>
    <row r="12" spans="2:18" s="34" customFormat="1" ht="15.5" x14ac:dyDescent="0.35">
      <c r="B12" s="35" t="s">
        <v>16</v>
      </c>
      <c r="C12" s="72">
        <f>$C$3</f>
        <v>0.85</v>
      </c>
      <c r="D12" s="72">
        <f t="shared" ref="D12:Q12" si="0">$C$3</f>
        <v>0.85</v>
      </c>
      <c r="E12" s="72">
        <f t="shared" si="0"/>
        <v>0.85</v>
      </c>
      <c r="F12" s="72">
        <f t="shared" si="0"/>
        <v>0.85</v>
      </c>
      <c r="G12" s="72">
        <f t="shared" si="0"/>
        <v>0.85</v>
      </c>
      <c r="H12" s="72">
        <f t="shared" si="0"/>
        <v>0.85</v>
      </c>
      <c r="I12" s="72">
        <f t="shared" si="0"/>
        <v>0.85</v>
      </c>
      <c r="J12" s="72">
        <f t="shared" si="0"/>
        <v>0.85</v>
      </c>
      <c r="K12" s="72">
        <f t="shared" si="0"/>
        <v>0.85</v>
      </c>
      <c r="L12" s="72">
        <f t="shared" si="0"/>
        <v>0.85</v>
      </c>
      <c r="M12" s="72">
        <f t="shared" si="0"/>
        <v>0.85</v>
      </c>
      <c r="N12" s="72">
        <f t="shared" si="0"/>
        <v>0.85</v>
      </c>
      <c r="O12" s="72">
        <f t="shared" si="0"/>
        <v>0.85</v>
      </c>
      <c r="P12" s="72">
        <f t="shared" si="0"/>
        <v>0.85</v>
      </c>
      <c r="Q12" s="73">
        <f t="shared" si="0"/>
        <v>0.85</v>
      </c>
      <c r="R12" s="71"/>
    </row>
    <row r="13" spans="2:18" s="34" customFormat="1" ht="15.5" x14ac:dyDescent="0.35">
      <c r="B13" s="35" t="s">
        <v>80</v>
      </c>
      <c r="C13" s="74">
        <f t="shared" ref="C13:Q13" si="1">C11*1000*24*365*C12/1000000</f>
        <v>2233.8000000000002</v>
      </c>
      <c r="D13" s="74">
        <f t="shared" si="1"/>
        <v>2233.8000000000002</v>
      </c>
      <c r="E13" s="74">
        <f t="shared" si="1"/>
        <v>2233.8000000000002</v>
      </c>
      <c r="F13" s="74">
        <f t="shared" si="1"/>
        <v>2233.8000000000002</v>
      </c>
      <c r="G13" s="74">
        <f t="shared" si="1"/>
        <v>2233.8000000000002</v>
      </c>
      <c r="H13" s="74">
        <f t="shared" si="1"/>
        <v>2233.8000000000002</v>
      </c>
      <c r="I13" s="74">
        <f t="shared" si="1"/>
        <v>2233.8000000000002</v>
      </c>
      <c r="J13" s="74">
        <f t="shared" si="1"/>
        <v>2233.8000000000002</v>
      </c>
      <c r="K13" s="74">
        <f t="shared" si="1"/>
        <v>2233.8000000000002</v>
      </c>
      <c r="L13" s="74">
        <f t="shared" si="1"/>
        <v>2233.8000000000002</v>
      </c>
      <c r="M13" s="74">
        <f t="shared" si="1"/>
        <v>2233.8000000000002</v>
      </c>
      <c r="N13" s="74">
        <f t="shared" si="1"/>
        <v>2233.8000000000002</v>
      </c>
      <c r="O13" s="74">
        <f t="shared" si="1"/>
        <v>2233.8000000000002</v>
      </c>
      <c r="P13" s="74">
        <f t="shared" si="1"/>
        <v>2233.8000000000002</v>
      </c>
      <c r="Q13" s="75">
        <f t="shared" si="1"/>
        <v>2233.8000000000002</v>
      </c>
      <c r="R13" s="71"/>
    </row>
    <row r="14" spans="2:18" s="34" customFormat="1" ht="15.5" x14ac:dyDescent="0.35">
      <c r="B14" s="35" t="s">
        <v>81</v>
      </c>
      <c r="C14" s="76">
        <v>201</v>
      </c>
      <c r="D14" s="76">
        <v>201</v>
      </c>
      <c r="E14" s="76">
        <v>201</v>
      </c>
      <c r="F14" s="76">
        <v>201</v>
      </c>
      <c r="G14" s="76">
        <v>201</v>
      </c>
      <c r="H14" s="76">
        <v>201</v>
      </c>
      <c r="I14" s="76">
        <v>201</v>
      </c>
      <c r="J14" s="76">
        <v>201</v>
      </c>
      <c r="K14" s="76">
        <v>201</v>
      </c>
      <c r="L14" s="76">
        <v>201</v>
      </c>
      <c r="M14" s="76">
        <v>201</v>
      </c>
      <c r="N14" s="76">
        <v>201</v>
      </c>
      <c r="O14" s="76">
        <v>201</v>
      </c>
      <c r="P14" s="76">
        <v>201</v>
      </c>
      <c r="Q14" s="77">
        <v>201</v>
      </c>
      <c r="R14" s="71"/>
    </row>
    <row r="15" spans="2:18" s="34" customFormat="1" ht="15.5" x14ac:dyDescent="0.35">
      <c r="B15" s="78" t="s">
        <v>82</v>
      </c>
      <c r="C15" s="74">
        <f t="shared" ref="C15:Q15" si="2">C13-C14</f>
        <v>2032.8000000000002</v>
      </c>
      <c r="D15" s="74">
        <f t="shared" si="2"/>
        <v>2032.8000000000002</v>
      </c>
      <c r="E15" s="74">
        <f t="shared" si="2"/>
        <v>2032.8000000000002</v>
      </c>
      <c r="F15" s="74">
        <f t="shared" si="2"/>
        <v>2032.8000000000002</v>
      </c>
      <c r="G15" s="74">
        <f t="shared" si="2"/>
        <v>2032.8000000000002</v>
      </c>
      <c r="H15" s="74">
        <f t="shared" si="2"/>
        <v>2032.8000000000002</v>
      </c>
      <c r="I15" s="74">
        <f t="shared" si="2"/>
        <v>2032.8000000000002</v>
      </c>
      <c r="J15" s="74">
        <f t="shared" si="2"/>
        <v>2032.8000000000002</v>
      </c>
      <c r="K15" s="74">
        <f t="shared" si="2"/>
        <v>2032.8000000000002</v>
      </c>
      <c r="L15" s="74">
        <f t="shared" si="2"/>
        <v>2032.8000000000002</v>
      </c>
      <c r="M15" s="74">
        <f t="shared" si="2"/>
        <v>2032.8000000000002</v>
      </c>
      <c r="N15" s="74">
        <f t="shared" si="2"/>
        <v>2032.8000000000002</v>
      </c>
      <c r="O15" s="74">
        <f t="shared" si="2"/>
        <v>2032.8000000000002</v>
      </c>
      <c r="P15" s="74">
        <f t="shared" si="2"/>
        <v>2032.8000000000002</v>
      </c>
      <c r="Q15" s="75">
        <f t="shared" si="2"/>
        <v>2032.8000000000002</v>
      </c>
    </row>
    <row r="16" spans="2:18" s="34" customFormat="1" ht="15.5" x14ac:dyDescent="0.35">
      <c r="B16" s="35" t="s">
        <v>111</v>
      </c>
      <c r="C16" s="79">
        <v>3.3</v>
      </c>
      <c r="D16" s="79">
        <f>C16*1.01</f>
        <v>3.3329999999999997</v>
      </c>
      <c r="E16" s="79">
        <f t="shared" ref="E16:Q16" si="3">D16*1.01</f>
        <v>3.3663299999999996</v>
      </c>
      <c r="F16" s="79">
        <f t="shared" si="3"/>
        <v>3.3999932999999998</v>
      </c>
      <c r="G16" s="79">
        <f t="shared" si="3"/>
        <v>3.4339932329999998</v>
      </c>
      <c r="H16" s="79">
        <f t="shared" si="3"/>
        <v>3.4683331653299998</v>
      </c>
      <c r="I16" s="79">
        <f t="shared" si="3"/>
        <v>3.5030164969833</v>
      </c>
      <c r="J16" s="79">
        <f t="shared" si="3"/>
        <v>3.5380466619531332</v>
      </c>
      <c r="K16" s="79">
        <f t="shared" si="3"/>
        <v>3.5734271285726646</v>
      </c>
      <c r="L16" s="79">
        <f t="shared" si="3"/>
        <v>3.6091613998583911</v>
      </c>
      <c r="M16" s="79">
        <f t="shared" si="3"/>
        <v>3.645253013856975</v>
      </c>
      <c r="N16" s="79">
        <f t="shared" si="3"/>
        <v>3.6817055439955446</v>
      </c>
      <c r="O16" s="79">
        <f t="shared" si="3"/>
        <v>3.7185225994355</v>
      </c>
      <c r="P16" s="79">
        <f t="shared" si="3"/>
        <v>3.7557078254298553</v>
      </c>
      <c r="Q16" s="80">
        <f t="shared" si="3"/>
        <v>3.7932649036841539</v>
      </c>
      <c r="R16" s="81"/>
    </row>
    <row r="17" spans="2:22" s="34" customFormat="1" ht="15.5" x14ac:dyDescent="0.35">
      <c r="B17" s="82" t="s">
        <v>21</v>
      </c>
      <c r="C17" s="83">
        <f>C15*C16</f>
        <v>6708.2400000000007</v>
      </c>
      <c r="D17" s="83">
        <f t="shared" ref="D17:Q17" si="4">D15*D16</f>
        <v>6775.3224</v>
      </c>
      <c r="E17" s="83">
        <f t="shared" si="4"/>
        <v>6843.0756240000001</v>
      </c>
      <c r="F17" s="83">
        <f t="shared" si="4"/>
        <v>6911.50638024</v>
      </c>
      <c r="G17" s="83">
        <f t="shared" si="4"/>
        <v>6980.6214440424001</v>
      </c>
      <c r="H17" s="83">
        <f t="shared" si="4"/>
        <v>7050.427658482824</v>
      </c>
      <c r="I17" s="83">
        <f t="shared" si="4"/>
        <v>7120.9319350676524</v>
      </c>
      <c r="J17" s="83">
        <f t="shared" si="4"/>
        <v>7192.1412544183295</v>
      </c>
      <c r="K17" s="83">
        <f t="shared" si="4"/>
        <v>7264.0626669625135</v>
      </c>
      <c r="L17" s="83">
        <f t="shared" si="4"/>
        <v>7336.7032936321384</v>
      </c>
      <c r="M17" s="83">
        <f t="shared" si="4"/>
        <v>7410.0703265684597</v>
      </c>
      <c r="N17" s="83">
        <f t="shared" si="4"/>
        <v>7484.1710298341441</v>
      </c>
      <c r="O17" s="83">
        <f t="shared" si="4"/>
        <v>7559.0127401324853</v>
      </c>
      <c r="P17" s="83">
        <f t="shared" si="4"/>
        <v>7634.6028675338102</v>
      </c>
      <c r="Q17" s="84">
        <f t="shared" si="4"/>
        <v>7710.9488962091491</v>
      </c>
    </row>
    <row r="18" spans="2:22" s="34" customFormat="1" ht="15.5" x14ac:dyDescent="0.35">
      <c r="B18" s="45" t="s">
        <v>22</v>
      </c>
      <c r="C18" s="144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</row>
    <row r="19" spans="2:22" s="34" customFormat="1" ht="15.5" x14ac:dyDescent="0.35">
      <c r="B19" s="35" t="s">
        <v>41</v>
      </c>
      <c r="C19" s="74">
        <f>('Operating Data'!$C$23*((1.03^(C10-2012))))*$C$6</f>
        <v>3035.7847932351442</v>
      </c>
      <c r="D19" s="76">
        <f>('Operating Data'!$C$23*((1.03^(D10-2012))))*$C$6</f>
        <v>3126.8583370321981</v>
      </c>
      <c r="E19" s="76">
        <f>('Operating Data'!$C$23*((1.03^(E10-2012))))*$C$6</f>
        <v>3220.6640871431641</v>
      </c>
      <c r="F19" s="76">
        <f>('Operating Data'!$C$23*((1.03^(F10-2012))))*$C$6</f>
        <v>3317.284009757459</v>
      </c>
      <c r="G19" s="76">
        <f>('Operating Data'!$C$23*((1.03^(G10-2012))))*$C$6</f>
        <v>3416.8025300501827</v>
      </c>
      <c r="H19" s="76">
        <f>('Operating Data'!$C$23*((1.03^(H10-2012))))*$C$6</f>
        <v>3519.3066059516882</v>
      </c>
      <c r="I19" s="76">
        <f>('Operating Data'!$C$23*((1.03^(I10-2012))))*$C$6</f>
        <v>3624.8858041302392</v>
      </c>
      <c r="J19" s="76">
        <f>('Operating Data'!$C$23*((1.03^(J10-2012))))*$C$6</f>
        <v>3733.6323782541458</v>
      </c>
      <c r="K19" s="76">
        <f>('Operating Data'!$C$23*((1.03^(K10-2012))))*$C$6</f>
        <v>3845.6413496017703</v>
      </c>
      <c r="L19" s="76">
        <f>('Operating Data'!$C$23*((1.03^(L10-2012))))*$C$6</f>
        <v>3961.0105900898234</v>
      </c>
      <c r="M19" s="76">
        <f>('Operating Data'!$C$23*((1.03^(M10-2012))))*$C$6</f>
        <v>4079.8409077925185</v>
      </c>
      <c r="N19" s="76">
        <f>('Operating Data'!$C$23*((1.03^(N10-2012))))*$C$6</f>
        <v>4202.2361350262936</v>
      </c>
      <c r="O19" s="76">
        <f>('Operating Data'!$C$23*((1.03^(O10-2012))))*$C$6</f>
        <v>4328.3032190770818</v>
      </c>
      <c r="P19" s="76">
        <f>('Operating Data'!$C$23*((1.03^(P10-2012))))*$C$6</f>
        <v>4458.152315649395</v>
      </c>
      <c r="Q19" s="77">
        <f>('Operating Data'!$C$23*((1.03^(Q10-2012))))*$C$6</f>
        <v>4591.8968851188765</v>
      </c>
    </row>
    <row r="20" spans="2:22" s="34" customFormat="1" ht="15.5" x14ac:dyDescent="0.35">
      <c r="B20" s="35" t="s">
        <v>84</v>
      </c>
      <c r="C20" s="74">
        <f t="shared" ref="C20:Q20" si="5">((1.55*C11*((1.04)^(C10-2012))))*($C$3/85%)</f>
        <v>483.6</v>
      </c>
      <c r="D20" s="74">
        <f t="shared" si="5"/>
        <v>502.94400000000007</v>
      </c>
      <c r="E20" s="74">
        <f t="shared" si="5"/>
        <v>523.06176000000005</v>
      </c>
      <c r="F20" s="74">
        <f t="shared" si="5"/>
        <v>543.98423040000011</v>
      </c>
      <c r="G20" s="74">
        <f t="shared" si="5"/>
        <v>565.74359961600021</v>
      </c>
      <c r="H20" s="74">
        <f t="shared" si="5"/>
        <v>588.37334360064017</v>
      </c>
      <c r="I20" s="74">
        <f t="shared" si="5"/>
        <v>611.90827734466575</v>
      </c>
      <c r="J20" s="74">
        <f t="shared" si="5"/>
        <v>636.38460843845246</v>
      </c>
      <c r="K20" s="74">
        <f t="shared" si="5"/>
        <v>661.83999277599059</v>
      </c>
      <c r="L20" s="74">
        <f t="shared" si="5"/>
        <v>688.31359248703018</v>
      </c>
      <c r="M20" s="74">
        <f t="shared" si="5"/>
        <v>715.84613618651144</v>
      </c>
      <c r="N20" s="74">
        <f t="shared" si="5"/>
        <v>744.47998163397199</v>
      </c>
      <c r="O20" s="74">
        <f t="shared" si="5"/>
        <v>774.25918089933089</v>
      </c>
      <c r="P20" s="74">
        <f t="shared" si="5"/>
        <v>805.22954813530419</v>
      </c>
      <c r="Q20" s="75">
        <f t="shared" si="5"/>
        <v>837.43873006071624</v>
      </c>
    </row>
    <row r="21" spans="2:22" s="34" customFormat="1" ht="15.5" x14ac:dyDescent="0.35">
      <c r="B21" s="82" t="s">
        <v>25</v>
      </c>
      <c r="C21" s="76">
        <f t="shared" ref="C21:Q21" si="6">SUM(C19:C20)</f>
        <v>3519.3847932351441</v>
      </c>
      <c r="D21" s="74">
        <f t="shared" si="6"/>
        <v>3629.802337032198</v>
      </c>
      <c r="E21" s="76">
        <f t="shared" si="6"/>
        <v>3743.7258471431642</v>
      </c>
      <c r="F21" s="76">
        <f t="shared" si="6"/>
        <v>3861.2682401574593</v>
      </c>
      <c r="G21" s="76">
        <f t="shared" si="6"/>
        <v>3982.5461296661829</v>
      </c>
      <c r="H21" s="76">
        <f t="shared" si="6"/>
        <v>4107.6799495523283</v>
      </c>
      <c r="I21" s="76">
        <f t="shared" si="6"/>
        <v>4236.7940814749054</v>
      </c>
      <c r="J21" s="76">
        <f t="shared" si="6"/>
        <v>4370.016986692598</v>
      </c>
      <c r="K21" s="76">
        <f t="shared" si="6"/>
        <v>4507.4813423777614</v>
      </c>
      <c r="L21" s="76">
        <f t="shared" si="6"/>
        <v>4649.3241825768537</v>
      </c>
      <c r="M21" s="76">
        <f t="shared" si="6"/>
        <v>4795.68704397903</v>
      </c>
      <c r="N21" s="76">
        <f t="shared" si="6"/>
        <v>4946.7161166602655</v>
      </c>
      <c r="O21" s="76">
        <f t="shared" si="6"/>
        <v>5102.562399976413</v>
      </c>
      <c r="P21" s="76">
        <f t="shared" si="6"/>
        <v>5263.3818637846989</v>
      </c>
      <c r="Q21" s="77">
        <f t="shared" si="6"/>
        <v>5429.3356151795924</v>
      </c>
      <c r="V21" s="145"/>
    </row>
    <row r="22" spans="2:22" s="34" customFormat="1" ht="31" x14ac:dyDescent="0.35">
      <c r="B22" s="85" t="s">
        <v>85</v>
      </c>
      <c r="C22" s="83">
        <f t="shared" ref="C22:Q22" si="7">C17-C21</f>
        <v>3188.8552067648566</v>
      </c>
      <c r="D22" s="83">
        <f t="shared" si="7"/>
        <v>3145.520062967802</v>
      </c>
      <c r="E22" s="83">
        <f t="shared" si="7"/>
        <v>3099.3497768568359</v>
      </c>
      <c r="F22" s="83">
        <f t="shared" si="7"/>
        <v>3050.2381400825407</v>
      </c>
      <c r="G22" s="83">
        <f t="shared" si="7"/>
        <v>2998.0753143762172</v>
      </c>
      <c r="H22" s="83">
        <f t="shared" si="7"/>
        <v>2942.7477089304957</v>
      </c>
      <c r="I22" s="83">
        <f t="shared" si="7"/>
        <v>2884.137853592747</v>
      </c>
      <c r="J22" s="83">
        <f t="shared" si="7"/>
        <v>2822.1242677257314</v>
      </c>
      <c r="K22" s="83">
        <f t="shared" si="7"/>
        <v>2756.5813245847521</v>
      </c>
      <c r="L22" s="83">
        <f t="shared" si="7"/>
        <v>2687.3791110552847</v>
      </c>
      <c r="M22" s="83">
        <f t="shared" si="7"/>
        <v>2614.3832825894297</v>
      </c>
      <c r="N22" s="83">
        <f t="shared" si="7"/>
        <v>2537.4549131738786</v>
      </c>
      <c r="O22" s="83">
        <f t="shared" si="7"/>
        <v>2456.4503401560723</v>
      </c>
      <c r="P22" s="83">
        <f t="shared" si="7"/>
        <v>2371.2210037491113</v>
      </c>
      <c r="Q22" s="84">
        <f t="shared" si="7"/>
        <v>2281.6132810295567</v>
      </c>
    </row>
    <row r="23" spans="2:22" s="34" customFormat="1" ht="15.5" x14ac:dyDescent="0.35">
      <c r="B23" s="45" t="s">
        <v>27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</row>
    <row r="24" spans="2:22" s="34" customFormat="1" ht="15.5" x14ac:dyDescent="0.35">
      <c r="B24" s="35" t="s">
        <v>28</v>
      </c>
      <c r="C24" s="74">
        <f>$C$5*(('Balance Sheet (Case Exhibit 6)'!F12+'Balance Sheet (Case Exhibit 6)'!G12)/2)</f>
        <v>1225.9000000000001</v>
      </c>
      <c r="D24" s="74">
        <f>$C$5*(('Balance Sheet (Case Exhibit 6)'!G12+'Balance Sheet (Case Exhibit 6)'!H12)/2)</f>
        <v>1119.3</v>
      </c>
      <c r="E24" s="74">
        <f>$C$5*(('Balance Sheet (Case Exhibit 6)'!H12+'Balance Sheet (Case Exhibit 6)'!I12)/2)</f>
        <v>978.25</v>
      </c>
      <c r="F24" s="74">
        <f>$C$5*(('Balance Sheet (Case Exhibit 6)'!I12+'Balance Sheet (Case Exhibit 6)'!J12)/2)</f>
        <v>838.5</v>
      </c>
      <c r="G24" s="74">
        <f>$C$5*(('Balance Sheet (Case Exhibit 6)'!J12+'Balance Sheet (Case Exhibit 6)'!K12)/2)</f>
        <v>698.75</v>
      </c>
      <c r="H24" s="74">
        <f>$C$5*(('Balance Sheet (Case Exhibit 6)'!K12+'Balance Sheet (Case Exhibit 6)'!L12)/2)</f>
        <v>559</v>
      </c>
      <c r="I24" s="74">
        <f>$C$5*(('Balance Sheet (Case Exhibit 6)'!L12+'Balance Sheet (Case Exhibit 6)'!M12)/2)</f>
        <v>419.25</v>
      </c>
      <c r="J24" s="74">
        <f>$C$5*(('Balance Sheet (Case Exhibit 6)'!M12+'Balance Sheet (Case Exhibit 6)'!N12)/2)</f>
        <v>279.5</v>
      </c>
      <c r="K24" s="74">
        <f>$C$5*(('Balance Sheet (Case Exhibit 6)'!N12+'Balance Sheet (Case Exhibit 6)'!O12)/2)</f>
        <v>139.75</v>
      </c>
      <c r="L24" s="74">
        <f>$C$5*(('Balance Sheet (Case Exhibit 6)'!O12+'Balance Sheet (Case Exhibit 6)'!P12)/2)</f>
        <v>35.1</v>
      </c>
      <c r="M24" s="76">
        <f>$C$5*(('Balance Sheet (Case Exhibit 6)'!P12+'Balance Sheet (Case Exhibit 6)'!Q12)/2)</f>
        <v>0</v>
      </c>
      <c r="N24" s="76">
        <f>$C$5*(('Balance Sheet (Case Exhibit 6)'!Q12+'Balance Sheet (Case Exhibit 6)'!R12)/2)</f>
        <v>0</v>
      </c>
      <c r="O24" s="76">
        <f>$C$5*(('Balance Sheet (Case Exhibit 6)'!R12+'Balance Sheet (Case Exhibit 6)'!S12)/2)</f>
        <v>0</v>
      </c>
      <c r="P24" s="76">
        <f>$C$5*(('Balance Sheet (Case Exhibit 6)'!S12+'Balance Sheet (Case Exhibit 6)'!T12)/2)</f>
        <v>0</v>
      </c>
      <c r="Q24" s="77">
        <f>$C$5*(('Balance Sheet (Case Exhibit 6)'!T12+'Balance Sheet (Case Exhibit 6)'!U12)/2)</f>
        <v>0</v>
      </c>
    </row>
    <row r="25" spans="2:22" s="34" customFormat="1" ht="15.5" x14ac:dyDescent="0.35">
      <c r="B25" s="35" t="s">
        <v>29</v>
      </c>
      <c r="C25" s="136">
        <f>$C$5*(('Balance Sheet (Case Exhibit 6)'!G13))</f>
        <v>120.9</v>
      </c>
      <c r="D25" s="136">
        <f>$C$5*(('Balance Sheet (Case Exhibit 6)'!G13+'Balance Sheet (Case Exhibit 6)'!H13)/2)</f>
        <v>121.55</v>
      </c>
      <c r="E25" s="136">
        <f>$C$5*(('Balance Sheet (Case Exhibit 6)'!H13+'Balance Sheet (Case Exhibit 6)'!I13)/2)</f>
        <v>123.5</v>
      </c>
      <c r="F25" s="136">
        <f>$C$5*(('Balance Sheet (Case Exhibit 6)'!I13+'Balance Sheet (Case Exhibit 6)'!J13)/2)</f>
        <v>126.10000000000001</v>
      </c>
      <c r="G25" s="136">
        <f>$C$5*(('Balance Sheet (Case Exhibit 6)'!J13+'Balance Sheet (Case Exhibit 6)'!K13)/2)</f>
        <v>128.05000000000001</v>
      </c>
      <c r="H25" s="136">
        <f>$C$5*(('Balance Sheet (Case Exhibit 6)'!K13+'Balance Sheet (Case Exhibit 6)'!L13)/2)</f>
        <v>130</v>
      </c>
      <c r="I25" s="136">
        <f>$C$5*(('Balance Sheet (Case Exhibit 6)'!L13+'Balance Sheet (Case Exhibit 6)'!M13)/2)</f>
        <v>132.6</v>
      </c>
      <c r="J25" s="136">
        <f>$C$5*(('Balance Sheet (Case Exhibit 6)'!M13+'Balance Sheet (Case Exhibit 6)'!N13)/2)</f>
        <v>135.20000000000002</v>
      </c>
      <c r="K25" s="136">
        <f>$C$5*(('Balance Sheet (Case Exhibit 6)'!N13+'Balance Sheet (Case Exhibit 6)'!O13)/2)</f>
        <v>137.80000000000001</v>
      </c>
      <c r="L25" s="136">
        <f>$C$5*(('Balance Sheet (Case Exhibit 6)'!O13+'Balance Sheet (Case Exhibit 6)'!P13)/2)</f>
        <v>140.4</v>
      </c>
      <c r="M25" s="136">
        <f>$C$5*(('Balance Sheet (Case Exhibit 6)'!P13+'Balance Sheet (Case Exhibit 6)'!Q13)/2)</f>
        <v>143</v>
      </c>
      <c r="N25" s="136">
        <f>$C$5*(('Balance Sheet (Case Exhibit 6)'!Q13+'Balance Sheet (Case Exhibit 6)'!R13)/2)</f>
        <v>145.6</v>
      </c>
      <c r="O25" s="136">
        <f>$C$5*(('Balance Sheet (Case Exhibit 6)'!R13+'Balance Sheet (Case Exhibit 6)'!S13)/2)</f>
        <v>148.85</v>
      </c>
      <c r="P25" s="136">
        <f>$C$5*(('Balance Sheet (Case Exhibit 6)'!S13+'Balance Sheet (Case Exhibit 6)'!T13)/2)</f>
        <v>152.1</v>
      </c>
      <c r="Q25" s="137">
        <f>$C$5*(('Balance Sheet (Case Exhibit 6)'!T13+'Balance Sheet (Case Exhibit 6)'!U13)/2)</f>
        <v>154.70000000000002</v>
      </c>
    </row>
    <row r="26" spans="2:22" s="34" customFormat="1" ht="15.5" x14ac:dyDescent="0.35">
      <c r="B26" s="35" t="s">
        <v>30</v>
      </c>
      <c r="C26" s="38">
        <v>680</v>
      </c>
      <c r="D26" s="38">
        <v>680</v>
      </c>
      <c r="E26" s="38">
        <v>680</v>
      </c>
      <c r="F26" s="38">
        <v>680</v>
      </c>
      <c r="G26" s="38">
        <v>680</v>
      </c>
      <c r="H26" s="38">
        <v>680</v>
      </c>
      <c r="I26" s="38">
        <v>680</v>
      </c>
      <c r="J26" s="38">
        <v>680</v>
      </c>
      <c r="K26" s="38">
        <v>680</v>
      </c>
      <c r="L26" s="38">
        <v>680</v>
      </c>
      <c r="M26" s="38">
        <v>680</v>
      </c>
      <c r="N26" s="38">
        <v>680</v>
      </c>
      <c r="O26" s="38">
        <v>680</v>
      </c>
      <c r="P26" s="38">
        <v>680</v>
      </c>
      <c r="Q26" s="39">
        <v>680</v>
      </c>
    </row>
    <row r="27" spans="2:22" s="34" customFormat="1" ht="15.5" x14ac:dyDescent="0.35">
      <c r="B27" s="52" t="s">
        <v>86</v>
      </c>
      <c r="C27" s="136">
        <f t="shared" ref="C27:Q27" si="8">C22-C24-C25-C26</f>
        <v>1162.0552067648564</v>
      </c>
      <c r="D27" s="83">
        <f t="shared" si="8"/>
        <v>1224.6700629678021</v>
      </c>
      <c r="E27" s="83">
        <f t="shared" si="8"/>
        <v>1317.5997768568359</v>
      </c>
      <c r="F27" s="83">
        <f t="shared" si="8"/>
        <v>1405.6381400825408</v>
      </c>
      <c r="G27" s="83">
        <f t="shared" si="8"/>
        <v>1491.275314376217</v>
      </c>
      <c r="H27" s="83">
        <f t="shared" si="8"/>
        <v>1573.7477089304957</v>
      </c>
      <c r="I27" s="83">
        <f t="shared" si="8"/>
        <v>1652.2878535927471</v>
      </c>
      <c r="J27" s="83">
        <f t="shared" si="8"/>
        <v>1727.4242677257316</v>
      </c>
      <c r="K27" s="83">
        <f t="shared" si="8"/>
        <v>1799.0313245847519</v>
      </c>
      <c r="L27" s="83">
        <f t="shared" si="8"/>
        <v>1831.8791110552847</v>
      </c>
      <c r="M27" s="83">
        <f t="shared" si="8"/>
        <v>1791.3832825894297</v>
      </c>
      <c r="N27" s="83">
        <f t="shared" si="8"/>
        <v>1711.8549131738787</v>
      </c>
      <c r="O27" s="83">
        <f t="shared" si="8"/>
        <v>1627.6003401560724</v>
      </c>
      <c r="P27" s="83">
        <f t="shared" si="8"/>
        <v>1539.1210037491114</v>
      </c>
      <c r="Q27" s="84">
        <f t="shared" si="8"/>
        <v>1446.9132810295569</v>
      </c>
    </row>
    <row r="28" spans="2:22" s="34" customFormat="1" ht="15.5" x14ac:dyDescent="0.35">
      <c r="B28" s="45" t="s">
        <v>32</v>
      </c>
      <c r="C28" s="4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</row>
    <row r="29" spans="2:22" s="34" customFormat="1" ht="15.5" x14ac:dyDescent="0.35">
      <c r="B29" s="35" t="s">
        <v>33</v>
      </c>
      <c r="C29" s="38">
        <v>200</v>
      </c>
      <c r="D29" s="38">
        <v>210</v>
      </c>
      <c r="E29" s="38">
        <v>220</v>
      </c>
      <c r="F29" s="38">
        <v>240</v>
      </c>
      <c r="G29" s="38">
        <v>250</v>
      </c>
      <c r="H29" s="38">
        <v>260</v>
      </c>
      <c r="I29" s="38">
        <v>270</v>
      </c>
      <c r="J29" s="38">
        <v>280</v>
      </c>
      <c r="K29" s="38">
        <v>290</v>
      </c>
      <c r="L29" s="38">
        <v>300</v>
      </c>
      <c r="M29" s="38">
        <v>290</v>
      </c>
      <c r="N29" s="38">
        <v>280</v>
      </c>
      <c r="O29" s="38">
        <v>260</v>
      </c>
      <c r="P29" s="38">
        <v>250</v>
      </c>
      <c r="Q29" s="39">
        <v>230</v>
      </c>
    </row>
    <row r="30" spans="2:22" s="34" customFormat="1" ht="15.5" x14ac:dyDescent="0.35">
      <c r="B30" s="35" t="s">
        <v>34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-10</v>
      </c>
      <c r="K30" s="38">
        <v>-40</v>
      </c>
      <c r="L30" s="38">
        <v>-70</v>
      </c>
      <c r="M30" s="38">
        <v>-90</v>
      </c>
      <c r="N30" s="38">
        <v>-110</v>
      </c>
      <c r="O30" s="38">
        <v>-130</v>
      </c>
      <c r="P30" s="38">
        <v>-140</v>
      </c>
      <c r="Q30" s="39">
        <v>-150</v>
      </c>
    </row>
    <row r="31" spans="2:22" s="34" customFormat="1" ht="15.5" x14ac:dyDescent="0.35">
      <c r="B31" s="86" t="s">
        <v>87</v>
      </c>
      <c r="C31" s="136">
        <f t="shared" ref="C31:Q31" si="9">C27-C29-C30</f>
        <v>962.05520676485639</v>
      </c>
      <c r="D31" s="83">
        <f t="shared" si="9"/>
        <v>1014.6700629678021</v>
      </c>
      <c r="E31" s="83">
        <f t="shared" si="9"/>
        <v>1097.5997768568359</v>
      </c>
      <c r="F31" s="83">
        <f t="shared" si="9"/>
        <v>1165.6381400825408</v>
      </c>
      <c r="G31" s="83">
        <f t="shared" si="9"/>
        <v>1241.275314376217</v>
      </c>
      <c r="H31" s="83">
        <f t="shared" si="9"/>
        <v>1313.7477089304957</v>
      </c>
      <c r="I31" s="83">
        <f t="shared" si="9"/>
        <v>1382.2878535927471</v>
      </c>
      <c r="J31" s="83">
        <f t="shared" si="9"/>
        <v>1457.4242677257316</v>
      </c>
      <c r="K31" s="83">
        <f t="shared" si="9"/>
        <v>1549.0313245847519</v>
      </c>
      <c r="L31" s="83">
        <f t="shared" si="9"/>
        <v>1601.8791110552847</v>
      </c>
      <c r="M31" s="83">
        <f t="shared" si="9"/>
        <v>1591.3832825894297</v>
      </c>
      <c r="N31" s="83">
        <f t="shared" si="9"/>
        <v>1541.8549131738787</v>
      </c>
      <c r="O31" s="83">
        <f t="shared" si="9"/>
        <v>1497.6003401560724</v>
      </c>
      <c r="P31" s="83">
        <f t="shared" si="9"/>
        <v>1429.1210037491114</v>
      </c>
      <c r="Q31" s="84">
        <f t="shared" si="9"/>
        <v>1366.9132810295569</v>
      </c>
    </row>
    <row r="32" spans="2:22" s="34" customFormat="1" ht="15.5" x14ac:dyDescent="0.35">
      <c r="B32" s="86" t="s">
        <v>88</v>
      </c>
      <c r="C32" s="138">
        <f t="shared" ref="C32:Q32" si="10">C31+C26+C30</f>
        <v>1642.0552067648564</v>
      </c>
      <c r="D32" s="87">
        <f t="shared" si="10"/>
        <v>1694.6700629678021</v>
      </c>
      <c r="E32" s="87">
        <f t="shared" si="10"/>
        <v>1777.5997768568359</v>
      </c>
      <c r="F32" s="87">
        <f t="shared" si="10"/>
        <v>1845.6381400825408</v>
      </c>
      <c r="G32" s="87">
        <f t="shared" si="10"/>
        <v>1921.275314376217</v>
      </c>
      <c r="H32" s="87">
        <f t="shared" si="10"/>
        <v>1993.7477089304957</v>
      </c>
      <c r="I32" s="87">
        <f t="shared" si="10"/>
        <v>2062.2878535927471</v>
      </c>
      <c r="J32" s="87">
        <f t="shared" si="10"/>
        <v>2127.4242677257316</v>
      </c>
      <c r="K32" s="87">
        <f t="shared" si="10"/>
        <v>2189.0313245847519</v>
      </c>
      <c r="L32" s="87">
        <f t="shared" si="10"/>
        <v>2211.8791110552847</v>
      </c>
      <c r="M32" s="87">
        <f t="shared" si="10"/>
        <v>2181.3832825894297</v>
      </c>
      <c r="N32" s="87">
        <f t="shared" si="10"/>
        <v>2111.8549131738787</v>
      </c>
      <c r="O32" s="87">
        <f t="shared" si="10"/>
        <v>2047.6003401560724</v>
      </c>
      <c r="P32" s="87">
        <f t="shared" si="10"/>
        <v>1969.1210037491114</v>
      </c>
      <c r="Q32" s="88">
        <f t="shared" si="10"/>
        <v>1896.9132810295569</v>
      </c>
    </row>
    <row r="33" spans="2:20" s="34" customFormat="1" ht="15.5" x14ac:dyDescent="0.35">
      <c r="B33" s="86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2:20" s="34" customFormat="1" ht="15.5" x14ac:dyDescent="0.35">
      <c r="B34" s="86" t="s">
        <v>89</v>
      </c>
      <c r="C34" s="90">
        <f>-('Balance Sheet (Case Exhibit 6)'!G12-'Balance Sheet (Case Exhibit 6)'!F12)</f>
        <v>540</v>
      </c>
      <c r="D34" s="90">
        <f>-('Balance Sheet (Case Exhibit 6)'!H12-'Balance Sheet (Case Exhibit 6)'!G12)</f>
        <v>1100</v>
      </c>
      <c r="E34" s="90">
        <f>-('Balance Sheet (Case Exhibit 6)'!I12-'Balance Sheet (Case Exhibit 6)'!H12)</f>
        <v>1070</v>
      </c>
      <c r="F34" s="90">
        <f>-('Balance Sheet (Case Exhibit 6)'!J12-'Balance Sheet (Case Exhibit 6)'!I12)</f>
        <v>1080</v>
      </c>
      <c r="G34" s="90">
        <f>-('Balance Sheet (Case Exhibit 6)'!K12-'Balance Sheet (Case Exhibit 6)'!J12)</f>
        <v>1070</v>
      </c>
      <c r="H34" s="90">
        <f>-('Balance Sheet (Case Exhibit 6)'!L12-'Balance Sheet (Case Exhibit 6)'!K12)</f>
        <v>1080</v>
      </c>
      <c r="I34" s="90">
        <f>-('Balance Sheet (Case Exhibit 6)'!M12-'Balance Sheet (Case Exhibit 6)'!L12)</f>
        <v>1070</v>
      </c>
      <c r="J34" s="90">
        <f>-('Balance Sheet (Case Exhibit 6)'!N12-'Balance Sheet (Case Exhibit 6)'!M12)</f>
        <v>1080</v>
      </c>
      <c r="K34" s="90">
        <f>-('Balance Sheet (Case Exhibit 6)'!O12-'Balance Sheet (Case Exhibit 6)'!N12)</f>
        <v>1070</v>
      </c>
      <c r="L34" s="90">
        <f>-('Balance Sheet (Case Exhibit 6)'!P12-'Balance Sheet (Case Exhibit 6)'!O12)</f>
        <v>540</v>
      </c>
      <c r="M34" s="89"/>
      <c r="N34" s="89"/>
      <c r="O34" s="89"/>
      <c r="P34" s="89"/>
      <c r="Q34" s="91"/>
    </row>
    <row r="35" spans="2:20" s="34" customFormat="1" ht="15.5" x14ac:dyDescent="0.35">
      <c r="B35" s="86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89"/>
      <c r="N35" s="89"/>
      <c r="O35" s="89"/>
      <c r="P35" s="89"/>
      <c r="Q35" s="91"/>
    </row>
    <row r="36" spans="2:20" s="34" customFormat="1" ht="15.5" x14ac:dyDescent="0.35">
      <c r="B36" s="86" t="s">
        <v>43</v>
      </c>
      <c r="C36" s="92">
        <f>(C31+C24+C26)/(C24+C34)</f>
        <v>1.6240756593039563</v>
      </c>
      <c r="D36" s="92">
        <f t="shared" ref="D36:L36" si="11">(D31+D24+D26)/(D24+D34)</f>
        <v>1.2679538876978333</v>
      </c>
      <c r="E36" s="92">
        <f t="shared" si="11"/>
        <v>1.3454655324578717</v>
      </c>
      <c r="F36" s="92">
        <f t="shared" si="11"/>
        <v>1.3990816471631695</v>
      </c>
      <c r="G36" s="92">
        <f t="shared" si="11"/>
        <v>1.4812863968204761</v>
      </c>
      <c r="H36" s="92">
        <f t="shared" si="11"/>
        <v>1.5575031781150066</v>
      </c>
      <c r="I36" s="92">
        <f t="shared" si="11"/>
        <v>1.66630038851284</v>
      </c>
      <c r="J36" s="92">
        <f t="shared" si="11"/>
        <v>1.7778038011958306</v>
      </c>
      <c r="K36" s="92">
        <f t="shared" si="11"/>
        <v>1.9580750771520992</v>
      </c>
      <c r="L36" s="92">
        <f t="shared" si="11"/>
        <v>4.0288282230138837</v>
      </c>
      <c r="M36" s="93"/>
      <c r="N36" s="93"/>
      <c r="O36" s="93"/>
      <c r="P36" s="93"/>
      <c r="Q36" s="94"/>
    </row>
    <row r="37" spans="2:20" s="34" customFormat="1" ht="16" thickBot="1" x14ac:dyDescent="0.4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</row>
    <row r="38" spans="2:20" s="34" customFormat="1" x14ac:dyDescent="0.35"/>
    <row r="39" spans="2:20" s="34" customFormat="1" ht="15" thickBot="1" x14ac:dyDescent="0.4"/>
    <row r="40" spans="2:20" s="34" customFormat="1" ht="16" thickBot="1" x14ac:dyDescent="0.4">
      <c r="B40" s="498" t="s">
        <v>44</v>
      </c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500"/>
    </row>
    <row r="41" spans="2:20" s="34" customFormat="1" ht="16" thickBot="1" x14ac:dyDescent="0.4">
      <c r="B41" s="95" t="s">
        <v>109</v>
      </c>
      <c r="C41" s="96">
        <v>2010</v>
      </c>
      <c r="D41" s="97">
        <v>2011</v>
      </c>
      <c r="E41" s="97">
        <v>2012</v>
      </c>
      <c r="F41" s="97">
        <v>2013</v>
      </c>
      <c r="G41" s="97">
        <v>2014</v>
      </c>
      <c r="H41" s="97">
        <v>2015</v>
      </c>
      <c r="I41" s="97">
        <v>2016</v>
      </c>
      <c r="J41" s="97">
        <v>2017</v>
      </c>
      <c r="K41" s="97">
        <v>2018</v>
      </c>
      <c r="L41" s="97">
        <v>2019</v>
      </c>
      <c r="M41" s="97">
        <v>2020</v>
      </c>
      <c r="N41" s="97">
        <v>2021</v>
      </c>
      <c r="O41" s="97">
        <v>2022</v>
      </c>
      <c r="P41" s="97">
        <v>2023</v>
      </c>
      <c r="Q41" s="97">
        <v>2024</v>
      </c>
      <c r="R41" s="97">
        <v>2025</v>
      </c>
      <c r="S41" s="97">
        <v>2026</v>
      </c>
      <c r="T41" s="98">
        <v>2027</v>
      </c>
    </row>
    <row r="42" spans="2:20" s="34" customFormat="1" ht="15.5" x14ac:dyDescent="0.35">
      <c r="B42" s="99" t="s">
        <v>46</v>
      </c>
      <c r="C42" s="100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2"/>
    </row>
    <row r="43" spans="2:20" s="34" customFormat="1" ht="15.5" x14ac:dyDescent="0.35">
      <c r="B43" s="103" t="s">
        <v>47</v>
      </c>
      <c r="C43" s="104">
        <v>0</v>
      </c>
      <c r="D43" s="105">
        <v>0</v>
      </c>
      <c r="E43" s="105">
        <v>0</v>
      </c>
      <c r="F43" s="105">
        <f>'Sensitivity-Interest Rate @ 13%'!C31+'Sensitivity-Interest Rate @ 13%'!C24+'Sensitivity-Interest Rate @ 13%'!C25+'Sensitivity-Interest Rate @ 13%'!C26</f>
        <v>2988.8552067648566</v>
      </c>
      <c r="G43" s="105">
        <f>'Sensitivity-Interest Rate @ 13%'!D31+'Sensitivity-Interest Rate @ 13%'!D24+'Sensitivity-Interest Rate @ 13%'!D25+'Sensitivity-Interest Rate @ 13%'!D26</f>
        <v>2935.520062967802</v>
      </c>
      <c r="H43" s="105">
        <f>'Sensitivity-Interest Rate @ 13%'!E31+'Sensitivity-Interest Rate @ 13%'!E24+'Sensitivity-Interest Rate @ 13%'!E25+'Sensitivity-Interest Rate @ 13%'!E26</f>
        <v>2879.3497768568359</v>
      </c>
      <c r="I43" s="105">
        <f>'Sensitivity-Interest Rate @ 13%'!F31+'Sensitivity-Interest Rate @ 13%'!F24+'Sensitivity-Interest Rate @ 13%'!F25+'Sensitivity-Interest Rate @ 13%'!F26</f>
        <v>2810.2381400825407</v>
      </c>
      <c r="J43" s="105">
        <f>'Sensitivity-Interest Rate @ 13%'!G31+'Sensitivity-Interest Rate @ 13%'!G24+'Sensitivity-Interest Rate @ 13%'!G25+'Sensitivity-Interest Rate @ 13%'!G26</f>
        <v>2748.0753143762172</v>
      </c>
      <c r="K43" s="105">
        <f>'Sensitivity-Interest Rate @ 13%'!H31+'Sensitivity-Interest Rate @ 13%'!H24+'Sensitivity-Interest Rate @ 13%'!H25+'Sensitivity-Interest Rate @ 13%'!H26</f>
        <v>2682.7477089304957</v>
      </c>
      <c r="L43" s="105">
        <f>'Sensitivity-Interest Rate @ 13%'!I31+'Sensitivity-Interest Rate @ 13%'!I24+'Sensitivity-Interest Rate @ 13%'!I25+'Sensitivity-Interest Rate @ 13%'!I26</f>
        <v>2614.137853592747</v>
      </c>
      <c r="M43" s="105">
        <f>'Sensitivity-Interest Rate @ 13%'!J31+'Sensitivity-Interest Rate @ 13%'!J24+'Sensitivity-Interest Rate @ 13%'!J25+'Sensitivity-Interest Rate @ 13%'!J26</f>
        <v>2552.1242677257314</v>
      </c>
      <c r="N43" s="105">
        <f>'Sensitivity-Interest Rate @ 13%'!K31+'Sensitivity-Interest Rate @ 13%'!K24+'Sensitivity-Interest Rate @ 13%'!K25+'Sensitivity-Interest Rate @ 13%'!K26</f>
        <v>2506.5813245847521</v>
      </c>
      <c r="O43" s="105">
        <f>'Sensitivity-Interest Rate @ 13%'!L31+'Sensitivity-Interest Rate @ 13%'!L24+'Sensitivity-Interest Rate @ 13%'!L25+'Sensitivity-Interest Rate @ 13%'!L26</f>
        <v>2457.3791110552847</v>
      </c>
      <c r="P43" s="105">
        <f>'Sensitivity-Interest Rate @ 13%'!M31+'Sensitivity-Interest Rate @ 13%'!M24+'Sensitivity-Interest Rate @ 13%'!M25+'Sensitivity-Interest Rate @ 13%'!M26</f>
        <v>2414.3832825894297</v>
      </c>
      <c r="Q43" s="105">
        <f>'Sensitivity-Interest Rate @ 13%'!N31+'Sensitivity-Interest Rate @ 13%'!N24+'Sensitivity-Interest Rate @ 13%'!N25+'Sensitivity-Interest Rate @ 13%'!N26</f>
        <v>2367.4549131738786</v>
      </c>
      <c r="R43" s="105">
        <f>'Sensitivity-Interest Rate @ 13%'!O31+'Sensitivity-Interest Rate @ 13%'!O24+'Sensitivity-Interest Rate @ 13%'!O25+'Sensitivity-Interest Rate @ 13%'!O26</f>
        <v>2326.4503401560723</v>
      </c>
      <c r="S43" s="105">
        <f>'Sensitivity-Interest Rate @ 13%'!P31+'Sensitivity-Interest Rate @ 13%'!P24+'Sensitivity-Interest Rate @ 13%'!P25+'Sensitivity-Interest Rate @ 13%'!P26</f>
        <v>2261.2210037491113</v>
      </c>
      <c r="T43" s="106">
        <f>'Sensitivity-Interest Rate @ 13%'!Q31+'Sensitivity-Interest Rate @ 13%'!Q24+'Sensitivity-Interest Rate @ 13%'!Q25+'Sensitivity-Interest Rate @ 13%'!Q26</f>
        <v>2201.6132810295567</v>
      </c>
    </row>
    <row r="44" spans="2:20" s="34" customFormat="1" ht="16" thickBot="1" x14ac:dyDescent="0.4">
      <c r="B44" s="107" t="s">
        <v>48</v>
      </c>
      <c r="C44" s="108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6">
        <f>0.05*'Balance Sheet (Case Exhibit 6)'!U24</f>
        <v>1238.5</v>
      </c>
    </row>
    <row r="45" spans="2:20" s="34" customFormat="1" ht="16" thickBot="1" x14ac:dyDescent="0.4">
      <c r="B45" s="95" t="s">
        <v>90</v>
      </c>
      <c r="C45" s="110">
        <f t="shared" ref="C45:T45" si="12">SUM(C43:C44)</f>
        <v>0</v>
      </c>
      <c r="D45" s="111">
        <f t="shared" si="12"/>
        <v>0</v>
      </c>
      <c r="E45" s="111">
        <f t="shared" si="12"/>
        <v>0</v>
      </c>
      <c r="F45" s="111">
        <f t="shared" si="12"/>
        <v>2988.8552067648566</v>
      </c>
      <c r="G45" s="111">
        <f t="shared" si="12"/>
        <v>2935.520062967802</v>
      </c>
      <c r="H45" s="111">
        <f t="shared" si="12"/>
        <v>2879.3497768568359</v>
      </c>
      <c r="I45" s="111">
        <f t="shared" si="12"/>
        <v>2810.2381400825407</v>
      </c>
      <c r="J45" s="111">
        <f t="shared" si="12"/>
        <v>2748.0753143762172</v>
      </c>
      <c r="K45" s="111">
        <f t="shared" si="12"/>
        <v>2682.7477089304957</v>
      </c>
      <c r="L45" s="111">
        <f t="shared" si="12"/>
        <v>2614.137853592747</v>
      </c>
      <c r="M45" s="111">
        <f t="shared" si="12"/>
        <v>2552.1242677257314</v>
      </c>
      <c r="N45" s="111">
        <f t="shared" si="12"/>
        <v>2506.5813245847521</v>
      </c>
      <c r="O45" s="111">
        <f t="shared" si="12"/>
        <v>2457.3791110552847</v>
      </c>
      <c r="P45" s="111">
        <f t="shared" si="12"/>
        <v>2414.3832825894297</v>
      </c>
      <c r="Q45" s="111">
        <f t="shared" si="12"/>
        <v>2367.4549131738786</v>
      </c>
      <c r="R45" s="111">
        <f t="shared" si="12"/>
        <v>2326.4503401560723</v>
      </c>
      <c r="S45" s="111">
        <f t="shared" si="12"/>
        <v>2261.2210037491113</v>
      </c>
      <c r="T45" s="112">
        <f t="shared" si="12"/>
        <v>3440.1132810295567</v>
      </c>
    </row>
    <row r="46" spans="2:20" s="34" customFormat="1" ht="15.5" x14ac:dyDescent="0.35">
      <c r="B46" s="99" t="s">
        <v>50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2"/>
    </row>
    <row r="47" spans="2:20" s="34" customFormat="1" ht="15.5" x14ac:dyDescent="0.35">
      <c r="B47" s="103" t="s">
        <v>97</v>
      </c>
      <c r="C47" s="113">
        <f>'Balance Sheet (Case Exhibit 6)'!D24-'Balance Sheet (Case Exhibit 6)'!D22</f>
        <v>3460</v>
      </c>
      <c r="D47" s="114">
        <f>'Balance Sheet (Case Exhibit 6)'!E24-'Balance Sheet (Case Exhibit 6)'!E22-'Balance Sheet (Case Exhibit 6)'!D24</f>
        <v>5520</v>
      </c>
      <c r="E47" s="114">
        <f>'Balance Sheet (Case Exhibit 6)'!F24-'Balance Sheet (Case Exhibit 6)'!F22-'Balance Sheet (Case Exhibit 6)'!E24</f>
        <v>4570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</row>
    <row r="48" spans="2:20" s="34" customFormat="1" ht="16" thickBot="1" x14ac:dyDescent="0.4">
      <c r="B48" s="107" t="s">
        <v>91</v>
      </c>
      <c r="C48" s="115">
        <v>0</v>
      </c>
      <c r="D48" s="116">
        <v>0</v>
      </c>
      <c r="E48" s="116">
        <v>0</v>
      </c>
      <c r="F48" s="117">
        <f>'Balance Sheet (Case Exhibit 6)'!G30</f>
        <v>310</v>
      </c>
      <c r="G48" s="117">
        <f>'Balance Sheet (Case Exhibit 6)'!H30</f>
        <v>0</v>
      </c>
      <c r="H48" s="116">
        <f>'Balance Sheet (Case Exhibit 6)'!I30</f>
        <v>10</v>
      </c>
      <c r="I48" s="116">
        <f>'Balance Sheet (Case Exhibit 6)'!J30</f>
        <v>0</v>
      </c>
      <c r="J48" s="116">
        <f>'Balance Sheet (Case Exhibit 6)'!K30</f>
        <v>10</v>
      </c>
      <c r="K48" s="116">
        <f>'Balance Sheet (Case Exhibit 6)'!L30</f>
        <v>10</v>
      </c>
      <c r="L48" s="116">
        <f>'Balance Sheet (Case Exhibit 6)'!M30</f>
        <v>0</v>
      </c>
      <c r="M48" s="116">
        <f>'Balance Sheet (Case Exhibit 6)'!N30</f>
        <v>10</v>
      </c>
      <c r="N48" s="116">
        <f>'Balance Sheet (Case Exhibit 6)'!O30</f>
        <v>10</v>
      </c>
      <c r="O48" s="116">
        <f>'Balance Sheet (Case Exhibit 6)'!P30</f>
        <v>0</v>
      </c>
      <c r="P48" s="116">
        <f>'Balance Sheet (Case Exhibit 6)'!Q30</f>
        <v>10</v>
      </c>
      <c r="Q48" s="116">
        <f>'Balance Sheet (Case Exhibit 6)'!R30</f>
        <v>10</v>
      </c>
      <c r="R48" s="116">
        <f>'Balance Sheet (Case Exhibit 6)'!S30</f>
        <v>0</v>
      </c>
      <c r="S48" s="116">
        <f>'Balance Sheet (Case Exhibit 6)'!T30</f>
        <v>10</v>
      </c>
      <c r="T48" s="118">
        <f>'Balance Sheet (Case Exhibit 6)'!U30</f>
        <v>10</v>
      </c>
    </row>
    <row r="49" spans="2:20" s="34" customFormat="1" ht="15.5" x14ac:dyDescent="0.35">
      <c r="B49" s="119" t="s">
        <v>53</v>
      </c>
      <c r="C49" s="120">
        <f t="shared" ref="C49:T49" si="13">C47+C48</f>
        <v>3460</v>
      </c>
      <c r="D49" s="121">
        <f t="shared" si="13"/>
        <v>5520</v>
      </c>
      <c r="E49" s="121">
        <f t="shared" si="13"/>
        <v>4570</v>
      </c>
      <c r="F49" s="121">
        <f t="shared" si="13"/>
        <v>310</v>
      </c>
      <c r="G49" s="121">
        <f t="shared" si="13"/>
        <v>0</v>
      </c>
      <c r="H49" s="121">
        <f t="shared" si="13"/>
        <v>10</v>
      </c>
      <c r="I49" s="121">
        <f t="shared" si="13"/>
        <v>0</v>
      </c>
      <c r="J49" s="121">
        <f t="shared" si="13"/>
        <v>10</v>
      </c>
      <c r="K49" s="121">
        <f t="shared" si="13"/>
        <v>10</v>
      </c>
      <c r="L49" s="121">
        <f t="shared" si="13"/>
        <v>0</v>
      </c>
      <c r="M49" s="121">
        <f t="shared" si="13"/>
        <v>10</v>
      </c>
      <c r="N49" s="121">
        <f t="shared" si="13"/>
        <v>10</v>
      </c>
      <c r="O49" s="121">
        <f t="shared" si="13"/>
        <v>0</v>
      </c>
      <c r="P49" s="121">
        <f t="shared" si="13"/>
        <v>10</v>
      </c>
      <c r="Q49" s="121">
        <f t="shared" si="13"/>
        <v>10</v>
      </c>
      <c r="R49" s="121">
        <f t="shared" si="13"/>
        <v>0</v>
      </c>
      <c r="S49" s="121">
        <f t="shared" si="13"/>
        <v>10</v>
      </c>
      <c r="T49" s="122">
        <f t="shared" si="13"/>
        <v>10</v>
      </c>
    </row>
    <row r="50" spans="2:20" s="34" customFormat="1" ht="16" thickBot="1" x14ac:dyDescent="0.4">
      <c r="B50" s="123" t="s">
        <v>93</v>
      </c>
      <c r="C50" s="124">
        <f t="shared" ref="C50:T50" si="14">C45-C49</f>
        <v>-3460</v>
      </c>
      <c r="D50" s="125">
        <f t="shared" si="14"/>
        <v>-5520</v>
      </c>
      <c r="E50" s="125">
        <f t="shared" si="14"/>
        <v>-4570</v>
      </c>
      <c r="F50" s="125">
        <f t="shared" si="14"/>
        <v>2678.8552067648566</v>
      </c>
      <c r="G50" s="125">
        <f t="shared" si="14"/>
        <v>2935.520062967802</v>
      </c>
      <c r="H50" s="125">
        <f t="shared" si="14"/>
        <v>2869.3497768568359</v>
      </c>
      <c r="I50" s="125">
        <f t="shared" si="14"/>
        <v>2810.2381400825407</v>
      </c>
      <c r="J50" s="125">
        <f t="shared" si="14"/>
        <v>2738.0753143762172</v>
      </c>
      <c r="K50" s="125">
        <f t="shared" si="14"/>
        <v>2672.7477089304957</v>
      </c>
      <c r="L50" s="125">
        <f t="shared" si="14"/>
        <v>2614.137853592747</v>
      </c>
      <c r="M50" s="125">
        <f t="shared" si="14"/>
        <v>2542.1242677257314</v>
      </c>
      <c r="N50" s="125">
        <f t="shared" si="14"/>
        <v>2496.5813245847521</v>
      </c>
      <c r="O50" s="125">
        <f t="shared" si="14"/>
        <v>2457.3791110552847</v>
      </c>
      <c r="P50" s="125">
        <f t="shared" si="14"/>
        <v>2404.3832825894297</v>
      </c>
      <c r="Q50" s="125">
        <f t="shared" si="14"/>
        <v>2357.4549131738786</v>
      </c>
      <c r="R50" s="125">
        <f t="shared" si="14"/>
        <v>2326.4503401560723</v>
      </c>
      <c r="S50" s="125">
        <f t="shared" si="14"/>
        <v>2251.2210037491113</v>
      </c>
      <c r="T50" s="126">
        <f t="shared" si="14"/>
        <v>3430.1132810295567</v>
      </c>
    </row>
    <row r="51" spans="2:20" s="34" customFormat="1" ht="16" thickBot="1" x14ac:dyDescent="0.4">
      <c r="B51" s="127" t="s">
        <v>94</v>
      </c>
      <c r="C51" s="128">
        <f>IRR(C50:T50)</f>
        <v>0.15313271368590331</v>
      </c>
      <c r="D51" s="129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1"/>
    </row>
    <row r="52" spans="2:20" s="34" customFormat="1" ht="15" thickBot="1" x14ac:dyDescent="0.4"/>
    <row r="53" spans="2:20" s="34" customFormat="1" ht="16" thickBot="1" x14ac:dyDescent="0.4">
      <c r="B53" s="501" t="s">
        <v>44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2"/>
      <c r="N53" s="502"/>
      <c r="O53" s="503"/>
    </row>
    <row r="54" spans="2:20" s="34" customFormat="1" ht="16" thickBot="1" x14ac:dyDescent="0.4">
      <c r="B54" s="95" t="s">
        <v>109</v>
      </c>
      <c r="C54" s="132">
        <v>2010</v>
      </c>
      <c r="D54" s="97">
        <v>2011</v>
      </c>
      <c r="E54" s="97">
        <v>2012</v>
      </c>
      <c r="F54" s="97">
        <v>2013</v>
      </c>
      <c r="G54" s="97">
        <v>2014</v>
      </c>
      <c r="H54" s="97">
        <v>2015</v>
      </c>
      <c r="I54" s="97">
        <v>2016</v>
      </c>
      <c r="J54" s="97">
        <v>2017</v>
      </c>
      <c r="K54" s="97">
        <v>2018</v>
      </c>
      <c r="L54" s="97">
        <v>2019</v>
      </c>
      <c r="M54" s="97">
        <v>2020</v>
      </c>
      <c r="N54" s="97">
        <v>2021</v>
      </c>
      <c r="O54" s="98">
        <v>2022</v>
      </c>
    </row>
    <row r="55" spans="2:20" s="34" customFormat="1" ht="15.5" x14ac:dyDescent="0.35">
      <c r="B55" s="99" t="s">
        <v>46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2"/>
    </row>
    <row r="56" spans="2:20" s="34" customFormat="1" ht="15.5" x14ac:dyDescent="0.35">
      <c r="B56" s="103" t="s">
        <v>47</v>
      </c>
      <c r="C56" s="104">
        <f>C43</f>
        <v>0</v>
      </c>
      <c r="D56" s="105">
        <f t="shared" ref="D56:O56" si="15">D43</f>
        <v>0</v>
      </c>
      <c r="E56" s="105">
        <f t="shared" si="15"/>
        <v>0</v>
      </c>
      <c r="F56" s="105">
        <f t="shared" si="15"/>
        <v>2988.8552067648566</v>
      </c>
      <c r="G56" s="105">
        <f t="shared" si="15"/>
        <v>2935.520062967802</v>
      </c>
      <c r="H56" s="105">
        <f t="shared" si="15"/>
        <v>2879.3497768568359</v>
      </c>
      <c r="I56" s="105">
        <f t="shared" si="15"/>
        <v>2810.2381400825407</v>
      </c>
      <c r="J56" s="105">
        <f t="shared" si="15"/>
        <v>2748.0753143762172</v>
      </c>
      <c r="K56" s="105">
        <f t="shared" si="15"/>
        <v>2682.7477089304957</v>
      </c>
      <c r="L56" s="105">
        <f t="shared" si="15"/>
        <v>2614.137853592747</v>
      </c>
      <c r="M56" s="105">
        <f t="shared" si="15"/>
        <v>2552.1242677257314</v>
      </c>
      <c r="N56" s="105">
        <f t="shared" si="15"/>
        <v>2506.5813245847521</v>
      </c>
      <c r="O56" s="106">
        <f t="shared" si="15"/>
        <v>2457.3791110552847</v>
      </c>
    </row>
    <row r="57" spans="2:20" s="34" customFormat="1" ht="16" thickBot="1" x14ac:dyDescent="0.4">
      <c r="B57" s="107" t="s">
        <v>48</v>
      </c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33">
        <f>0.05*'Balance Sheet (Case Exhibit 6)'!P24</f>
        <v>884</v>
      </c>
    </row>
    <row r="58" spans="2:20" s="34" customFormat="1" ht="16" thickBot="1" x14ac:dyDescent="0.4">
      <c r="B58" s="95" t="s">
        <v>90</v>
      </c>
      <c r="C58" s="110">
        <f t="shared" ref="C58:O58" si="16">SUM(C56:C57)</f>
        <v>0</v>
      </c>
      <c r="D58" s="111">
        <f t="shared" si="16"/>
        <v>0</v>
      </c>
      <c r="E58" s="111">
        <f t="shared" si="16"/>
        <v>0</v>
      </c>
      <c r="F58" s="111">
        <f t="shared" si="16"/>
        <v>2988.8552067648566</v>
      </c>
      <c r="G58" s="111">
        <f t="shared" si="16"/>
        <v>2935.520062967802</v>
      </c>
      <c r="H58" s="111">
        <f t="shared" si="16"/>
        <v>2879.3497768568359</v>
      </c>
      <c r="I58" s="111">
        <f t="shared" si="16"/>
        <v>2810.2381400825407</v>
      </c>
      <c r="J58" s="111">
        <f t="shared" si="16"/>
        <v>2748.0753143762172</v>
      </c>
      <c r="K58" s="111">
        <f t="shared" si="16"/>
        <v>2682.7477089304957</v>
      </c>
      <c r="L58" s="111">
        <f t="shared" si="16"/>
        <v>2614.137853592747</v>
      </c>
      <c r="M58" s="111">
        <f t="shared" si="16"/>
        <v>2552.1242677257314</v>
      </c>
      <c r="N58" s="111">
        <f t="shared" si="16"/>
        <v>2506.5813245847521</v>
      </c>
      <c r="O58" s="112">
        <f t="shared" si="16"/>
        <v>3341.3791110552847</v>
      </c>
    </row>
    <row r="59" spans="2:20" s="34" customFormat="1" ht="15.5" x14ac:dyDescent="0.35">
      <c r="B59" s="99" t="s">
        <v>50</v>
      </c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2"/>
    </row>
    <row r="60" spans="2:20" s="34" customFormat="1" ht="15.5" x14ac:dyDescent="0.35">
      <c r="B60" s="103" t="s">
        <v>101</v>
      </c>
      <c r="C60" s="113">
        <f>C47</f>
        <v>3460</v>
      </c>
      <c r="D60" s="114">
        <f t="shared" ref="D60:O60" si="17">D47</f>
        <v>5520</v>
      </c>
      <c r="E60" s="114">
        <f t="shared" si="17"/>
        <v>4570</v>
      </c>
      <c r="F60" s="8">
        <f t="shared" si="17"/>
        <v>0</v>
      </c>
      <c r="G60" s="8">
        <f t="shared" si="17"/>
        <v>0</v>
      </c>
      <c r="H60" s="8">
        <f t="shared" si="17"/>
        <v>0</v>
      </c>
      <c r="I60" s="8">
        <f t="shared" si="17"/>
        <v>0</v>
      </c>
      <c r="J60" s="8">
        <f t="shared" si="17"/>
        <v>0</v>
      </c>
      <c r="K60" s="8">
        <f t="shared" si="17"/>
        <v>0</v>
      </c>
      <c r="L60" s="8">
        <f t="shared" si="17"/>
        <v>0</v>
      </c>
      <c r="M60" s="8">
        <f t="shared" si="17"/>
        <v>0</v>
      </c>
      <c r="N60" s="8">
        <f t="shared" si="17"/>
        <v>0</v>
      </c>
      <c r="O60" s="9">
        <f t="shared" si="17"/>
        <v>0</v>
      </c>
    </row>
    <row r="61" spans="2:20" s="34" customFormat="1" ht="16" thickBot="1" x14ac:dyDescent="0.4">
      <c r="B61" s="107" t="s">
        <v>92</v>
      </c>
      <c r="C61" s="115">
        <f t="shared" ref="C61:O61" si="18">C48</f>
        <v>0</v>
      </c>
      <c r="D61" s="116">
        <f t="shared" si="18"/>
        <v>0</v>
      </c>
      <c r="E61" s="116">
        <f t="shared" si="18"/>
        <v>0</v>
      </c>
      <c r="F61" s="117">
        <f t="shared" si="18"/>
        <v>310</v>
      </c>
      <c r="G61" s="117">
        <f t="shared" si="18"/>
        <v>0</v>
      </c>
      <c r="H61" s="116">
        <f t="shared" si="18"/>
        <v>10</v>
      </c>
      <c r="I61" s="116">
        <f t="shared" si="18"/>
        <v>0</v>
      </c>
      <c r="J61" s="116">
        <f t="shared" si="18"/>
        <v>10</v>
      </c>
      <c r="K61" s="116">
        <f t="shared" si="18"/>
        <v>10</v>
      </c>
      <c r="L61" s="116">
        <f t="shared" si="18"/>
        <v>0</v>
      </c>
      <c r="M61" s="116">
        <f t="shared" si="18"/>
        <v>10</v>
      </c>
      <c r="N61" s="116">
        <f t="shared" si="18"/>
        <v>10</v>
      </c>
      <c r="O61" s="118">
        <f t="shared" si="18"/>
        <v>0</v>
      </c>
    </row>
    <row r="62" spans="2:20" s="34" customFormat="1" ht="15.5" x14ac:dyDescent="0.35">
      <c r="B62" s="119" t="s">
        <v>53</v>
      </c>
      <c r="C62" s="120">
        <f t="shared" ref="C62:O62" si="19">C60+C61</f>
        <v>3460</v>
      </c>
      <c r="D62" s="121">
        <f t="shared" si="19"/>
        <v>5520</v>
      </c>
      <c r="E62" s="121">
        <f t="shared" si="19"/>
        <v>4570</v>
      </c>
      <c r="F62" s="121">
        <f t="shared" si="19"/>
        <v>310</v>
      </c>
      <c r="G62" s="121">
        <f t="shared" si="19"/>
        <v>0</v>
      </c>
      <c r="H62" s="121">
        <f t="shared" si="19"/>
        <v>10</v>
      </c>
      <c r="I62" s="121">
        <f t="shared" si="19"/>
        <v>0</v>
      </c>
      <c r="J62" s="121">
        <f t="shared" si="19"/>
        <v>10</v>
      </c>
      <c r="K62" s="121">
        <f t="shared" si="19"/>
        <v>10</v>
      </c>
      <c r="L62" s="121">
        <f t="shared" si="19"/>
        <v>0</v>
      </c>
      <c r="M62" s="121">
        <f t="shared" si="19"/>
        <v>10</v>
      </c>
      <c r="N62" s="121">
        <f t="shared" si="19"/>
        <v>10</v>
      </c>
      <c r="O62" s="122">
        <f t="shared" si="19"/>
        <v>0</v>
      </c>
    </row>
    <row r="63" spans="2:20" s="34" customFormat="1" ht="16" thickBot="1" x14ac:dyDescent="0.4">
      <c r="B63" s="123" t="s">
        <v>93</v>
      </c>
      <c r="C63" s="124">
        <f t="shared" ref="C63:O63" si="20">C58-C62</f>
        <v>-3460</v>
      </c>
      <c r="D63" s="125">
        <f t="shared" si="20"/>
        <v>-5520</v>
      </c>
      <c r="E63" s="125">
        <f t="shared" si="20"/>
        <v>-4570</v>
      </c>
      <c r="F63" s="125">
        <f t="shared" si="20"/>
        <v>2678.8552067648566</v>
      </c>
      <c r="G63" s="125">
        <f t="shared" si="20"/>
        <v>2935.520062967802</v>
      </c>
      <c r="H63" s="125">
        <f t="shared" si="20"/>
        <v>2869.3497768568359</v>
      </c>
      <c r="I63" s="125">
        <f t="shared" si="20"/>
        <v>2810.2381400825407</v>
      </c>
      <c r="J63" s="125">
        <f t="shared" si="20"/>
        <v>2738.0753143762172</v>
      </c>
      <c r="K63" s="125">
        <f t="shared" si="20"/>
        <v>2672.7477089304957</v>
      </c>
      <c r="L63" s="125">
        <f t="shared" si="20"/>
        <v>2614.137853592747</v>
      </c>
      <c r="M63" s="125">
        <f t="shared" si="20"/>
        <v>2542.1242677257314</v>
      </c>
      <c r="N63" s="125">
        <f t="shared" si="20"/>
        <v>2496.5813245847521</v>
      </c>
      <c r="O63" s="126">
        <f t="shared" si="20"/>
        <v>3341.3791110552847</v>
      </c>
    </row>
    <row r="64" spans="2:20" s="34" customFormat="1" ht="16" thickBot="1" x14ac:dyDescent="0.4">
      <c r="B64" s="127" t="s">
        <v>95</v>
      </c>
      <c r="C64" s="128">
        <f>IRR(C63:O63)</f>
        <v>0.12740783723973448</v>
      </c>
      <c r="D64" s="129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1"/>
    </row>
    <row r="65" spans="3:15" s="34" customFormat="1" x14ac:dyDescent="0.35"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</row>
    <row r="66" spans="3:15" s="34" customFormat="1" x14ac:dyDescent="0.35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</row>
    <row r="67" spans="3:15" s="34" customFormat="1" x14ac:dyDescent="0.3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</row>
    <row r="68" spans="3:15" s="34" customFormat="1" x14ac:dyDescent="0.35"/>
    <row r="69" spans="3:15" s="34" customFormat="1" x14ac:dyDescent="0.35"/>
    <row r="70" spans="3:15" s="34" customFormat="1" x14ac:dyDescent="0.35"/>
    <row r="71" spans="3:15" s="34" customFormat="1" x14ac:dyDescent="0.35"/>
    <row r="72" spans="3:15" s="34" customFormat="1" x14ac:dyDescent="0.35"/>
    <row r="73" spans="3:15" s="34" customFormat="1" x14ac:dyDescent="0.35"/>
    <row r="74" spans="3:15" s="34" customFormat="1" x14ac:dyDescent="0.35"/>
    <row r="75" spans="3:15" s="34" customFormat="1" x14ac:dyDescent="0.35"/>
    <row r="76" spans="3:15" s="34" customFormat="1" x14ac:dyDescent="0.35"/>
    <row r="77" spans="3:15" s="34" customFormat="1" x14ac:dyDescent="0.35"/>
    <row r="78" spans="3:15" s="34" customFormat="1" x14ac:dyDescent="0.35"/>
    <row r="79" spans="3:15" s="34" customFormat="1" x14ac:dyDescent="0.35"/>
    <row r="80" spans="3:15" s="34" customFormat="1" x14ac:dyDescent="0.35"/>
    <row r="81" s="34" customFormat="1" x14ac:dyDescent="0.35"/>
    <row r="82" s="34" customFormat="1" x14ac:dyDescent="0.35"/>
    <row r="83" s="34" customFormat="1" x14ac:dyDescent="0.35"/>
    <row r="84" s="34" customFormat="1" x14ac:dyDescent="0.35"/>
    <row r="85" s="34" customFormat="1" x14ac:dyDescent="0.35"/>
    <row r="86" s="34" customFormat="1" x14ac:dyDescent="0.35"/>
    <row r="87" s="34" customFormat="1" x14ac:dyDescent="0.35"/>
    <row r="88" s="34" customFormat="1" x14ac:dyDescent="0.35"/>
    <row r="89" s="34" customFormat="1" x14ac:dyDescent="0.35"/>
    <row r="90" s="34" customFormat="1" x14ac:dyDescent="0.35"/>
    <row r="91" s="34" customFormat="1" x14ac:dyDescent="0.35"/>
    <row r="92" s="34" customFormat="1" x14ac:dyDescent="0.35"/>
    <row r="93" s="34" customFormat="1" x14ac:dyDescent="0.35"/>
    <row r="94" s="34" customFormat="1" x14ac:dyDescent="0.35"/>
    <row r="95" s="34" customFormat="1" x14ac:dyDescent="0.35"/>
    <row r="96" s="34" customFormat="1" x14ac:dyDescent="0.35"/>
    <row r="97" s="34" customFormat="1" x14ac:dyDescent="0.35"/>
    <row r="98" s="34" customFormat="1" x14ac:dyDescent="0.35"/>
    <row r="99" s="34" customFormat="1" x14ac:dyDescent="0.35"/>
    <row r="100" s="34" customFormat="1" x14ac:dyDescent="0.35"/>
    <row r="101" s="34" customFormat="1" x14ac:dyDescent="0.35"/>
    <row r="102" s="34" customFormat="1" x14ac:dyDescent="0.35"/>
  </sheetData>
  <mergeCells count="4">
    <mergeCell ref="B2:C2"/>
    <mergeCell ref="B9:Q9"/>
    <mergeCell ref="B40:T40"/>
    <mergeCell ref="B53:O53"/>
  </mergeCells>
  <pageMargins left="0.75" right="0.75" top="1" bottom="1" header="0.3" footer="0.3"/>
  <pageSetup paperSize="9" orientation="portrait" horizontalDpi="1200" verticalDpi="12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V102"/>
  <sheetViews>
    <sheetView showGridLines="0" topLeftCell="A19" zoomScaleNormal="100" workbookViewId="0">
      <selection activeCell="B31" sqref="B31"/>
    </sheetView>
  </sheetViews>
  <sheetFormatPr baseColWidth="10" defaultColWidth="8.81640625" defaultRowHeight="14.5" x14ac:dyDescent="0.35"/>
  <cols>
    <col min="2" max="2" width="39" bestFit="1" customWidth="1"/>
    <col min="3" max="3" width="7.81640625" customWidth="1"/>
    <col min="4" max="6" width="6.6328125" customWidth="1"/>
    <col min="7" max="8" width="7.1796875" customWidth="1"/>
    <col min="9" max="11" width="6.6328125" customWidth="1"/>
    <col min="12" max="12" width="7.26953125" customWidth="1"/>
    <col min="13" max="20" width="6.6328125" customWidth="1"/>
    <col min="22" max="22" width="12.453125" bestFit="1" customWidth="1"/>
  </cols>
  <sheetData>
    <row r="1" spans="2:18" ht="15" thickBot="1" x14ac:dyDescent="0.4"/>
    <row r="2" spans="2:18" ht="15" thickBot="1" x14ac:dyDescent="0.4">
      <c r="B2" s="496" t="s">
        <v>37</v>
      </c>
      <c r="C2" s="497"/>
      <c r="E2" s="57" t="s">
        <v>38</v>
      </c>
      <c r="F2" s="58"/>
      <c r="G2" s="167">
        <f>SUM(C31:L31,C24:L24,C26:L26)/SUM(C24:L24,C34:L34)</f>
        <v>1.5645192061209452</v>
      </c>
      <c r="I2" s="34"/>
      <c r="J2" s="34"/>
      <c r="K2" s="34"/>
      <c r="L2" s="34"/>
      <c r="M2" s="34"/>
      <c r="N2" s="34"/>
      <c r="O2" s="34"/>
      <c r="P2" s="34"/>
      <c r="Q2" s="34"/>
    </row>
    <row r="3" spans="2:18" x14ac:dyDescent="0.35">
      <c r="B3" s="59" t="s">
        <v>16</v>
      </c>
      <c r="C3" s="60">
        <v>0.85</v>
      </c>
      <c r="E3" s="61" t="s">
        <v>58</v>
      </c>
      <c r="F3" s="139"/>
      <c r="G3" s="142">
        <f>C51</f>
        <v>0.15313271368590331</v>
      </c>
    </row>
    <row r="4" spans="2:18" ht="15" thickBot="1" x14ac:dyDescent="0.4">
      <c r="B4" s="62" t="s">
        <v>39</v>
      </c>
      <c r="C4" s="63">
        <v>1</v>
      </c>
      <c r="E4" s="64" t="s">
        <v>59</v>
      </c>
      <c r="F4" s="140"/>
      <c r="G4" s="143">
        <f>C64</f>
        <v>0.12740783723973448</v>
      </c>
    </row>
    <row r="5" spans="2:18" x14ac:dyDescent="0.35">
      <c r="B5" s="62" t="s">
        <v>40</v>
      </c>
      <c r="C5" s="65">
        <v>0.14000000000000001</v>
      </c>
    </row>
    <row r="6" spans="2:18" ht="15" thickBot="1" x14ac:dyDescent="0.4">
      <c r="B6" s="66" t="s">
        <v>41</v>
      </c>
      <c r="C6" s="67">
        <v>1</v>
      </c>
    </row>
    <row r="8" spans="2:18" ht="15" thickBot="1" x14ac:dyDescent="0.4"/>
    <row r="9" spans="2:18" ht="16" thickBot="1" x14ac:dyDescent="0.4">
      <c r="B9" s="491" t="s">
        <v>106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3"/>
    </row>
    <row r="10" spans="2:18" s="68" customFormat="1" ht="16" thickBot="1" x14ac:dyDescent="0.4">
      <c r="B10" s="30" t="s">
        <v>109</v>
      </c>
      <c r="C10" s="2">
        <v>2013</v>
      </c>
      <c r="D10" s="2">
        <v>2014</v>
      </c>
      <c r="E10" s="2">
        <v>2015</v>
      </c>
      <c r="F10" s="2">
        <v>2016</v>
      </c>
      <c r="G10" s="2">
        <v>2017</v>
      </c>
      <c r="H10" s="2">
        <v>2018</v>
      </c>
      <c r="I10" s="2">
        <v>2019</v>
      </c>
      <c r="J10" s="2">
        <v>2020</v>
      </c>
      <c r="K10" s="2">
        <v>2021</v>
      </c>
      <c r="L10" s="2">
        <v>2022</v>
      </c>
      <c r="M10" s="2">
        <v>2023</v>
      </c>
      <c r="N10" s="2">
        <v>2024</v>
      </c>
      <c r="O10" s="2">
        <v>2025</v>
      </c>
      <c r="P10" s="2">
        <v>2026</v>
      </c>
      <c r="Q10" s="3">
        <v>2027</v>
      </c>
    </row>
    <row r="11" spans="2:18" s="34" customFormat="1" ht="15.5" x14ac:dyDescent="0.35">
      <c r="B11" s="31" t="s">
        <v>15</v>
      </c>
      <c r="C11" s="69">
        <v>300</v>
      </c>
      <c r="D11" s="69">
        <v>300</v>
      </c>
      <c r="E11" s="69">
        <v>300</v>
      </c>
      <c r="F11" s="69">
        <v>300</v>
      </c>
      <c r="G11" s="69">
        <v>300</v>
      </c>
      <c r="H11" s="69">
        <v>300</v>
      </c>
      <c r="I11" s="69">
        <v>300</v>
      </c>
      <c r="J11" s="69">
        <v>300</v>
      </c>
      <c r="K11" s="69">
        <v>300</v>
      </c>
      <c r="L11" s="69">
        <v>300</v>
      </c>
      <c r="M11" s="69">
        <v>300</v>
      </c>
      <c r="N11" s="69">
        <v>300</v>
      </c>
      <c r="O11" s="69">
        <v>300</v>
      </c>
      <c r="P11" s="69">
        <v>300</v>
      </c>
      <c r="Q11" s="70">
        <v>300</v>
      </c>
      <c r="R11" s="71"/>
    </row>
    <row r="12" spans="2:18" s="34" customFormat="1" ht="15.5" x14ac:dyDescent="0.35">
      <c r="B12" s="35" t="s">
        <v>16</v>
      </c>
      <c r="C12" s="72">
        <f>$C$3</f>
        <v>0.85</v>
      </c>
      <c r="D12" s="72">
        <f t="shared" ref="D12:Q12" si="0">$C$3</f>
        <v>0.85</v>
      </c>
      <c r="E12" s="72">
        <f t="shared" si="0"/>
        <v>0.85</v>
      </c>
      <c r="F12" s="72">
        <f t="shared" si="0"/>
        <v>0.85</v>
      </c>
      <c r="G12" s="72">
        <f t="shared" si="0"/>
        <v>0.85</v>
      </c>
      <c r="H12" s="72">
        <f t="shared" si="0"/>
        <v>0.85</v>
      </c>
      <c r="I12" s="72">
        <f t="shared" si="0"/>
        <v>0.85</v>
      </c>
      <c r="J12" s="72">
        <f t="shared" si="0"/>
        <v>0.85</v>
      </c>
      <c r="K12" s="72">
        <f t="shared" si="0"/>
        <v>0.85</v>
      </c>
      <c r="L12" s="72">
        <f t="shared" si="0"/>
        <v>0.85</v>
      </c>
      <c r="M12" s="72">
        <f t="shared" si="0"/>
        <v>0.85</v>
      </c>
      <c r="N12" s="72">
        <f t="shared" si="0"/>
        <v>0.85</v>
      </c>
      <c r="O12" s="72">
        <f t="shared" si="0"/>
        <v>0.85</v>
      </c>
      <c r="P12" s="72">
        <f t="shared" si="0"/>
        <v>0.85</v>
      </c>
      <c r="Q12" s="73">
        <f t="shared" si="0"/>
        <v>0.85</v>
      </c>
      <c r="R12" s="71"/>
    </row>
    <row r="13" spans="2:18" s="34" customFormat="1" ht="15.5" x14ac:dyDescent="0.35">
      <c r="B13" s="35" t="s">
        <v>80</v>
      </c>
      <c r="C13" s="74">
        <f t="shared" ref="C13:Q13" si="1">C11*1000*24*365*C12/1000000</f>
        <v>2233.8000000000002</v>
      </c>
      <c r="D13" s="74">
        <f t="shared" si="1"/>
        <v>2233.8000000000002</v>
      </c>
      <c r="E13" s="74">
        <f t="shared" si="1"/>
        <v>2233.8000000000002</v>
      </c>
      <c r="F13" s="74">
        <f t="shared" si="1"/>
        <v>2233.8000000000002</v>
      </c>
      <c r="G13" s="74">
        <f t="shared" si="1"/>
        <v>2233.8000000000002</v>
      </c>
      <c r="H13" s="74">
        <f t="shared" si="1"/>
        <v>2233.8000000000002</v>
      </c>
      <c r="I13" s="74">
        <f t="shared" si="1"/>
        <v>2233.8000000000002</v>
      </c>
      <c r="J13" s="74">
        <f t="shared" si="1"/>
        <v>2233.8000000000002</v>
      </c>
      <c r="K13" s="74">
        <f t="shared" si="1"/>
        <v>2233.8000000000002</v>
      </c>
      <c r="L13" s="74">
        <f t="shared" si="1"/>
        <v>2233.8000000000002</v>
      </c>
      <c r="M13" s="74">
        <f t="shared" si="1"/>
        <v>2233.8000000000002</v>
      </c>
      <c r="N13" s="74">
        <f t="shared" si="1"/>
        <v>2233.8000000000002</v>
      </c>
      <c r="O13" s="74">
        <f t="shared" si="1"/>
        <v>2233.8000000000002</v>
      </c>
      <c r="P13" s="74">
        <f t="shared" si="1"/>
        <v>2233.8000000000002</v>
      </c>
      <c r="Q13" s="75">
        <f t="shared" si="1"/>
        <v>2233.8000000000002</v>
      </c>
      <c r="R13" s="71"/>
    </row>
    <row r="14" spans="2:18" s="34" customFormat="1" ht="15.5" x14ac:dyDescent="0.35">
      <c r="B14" s="35" t="s">
        <v>81</v>
      </c>
      <c r="C14" s="76">
        <v>201</v>
      </c>
      <c r="D14" s="76">
        <v>201</v>
      </c>
      <c r="E14" s="76">
        <v>201</v>
      </c>
      <c r="F14" s="76">
        <v>201</v>
      </c>
      <c r="G14" s="76">
        <v>201</v>
      </c>
      <c r="H14" s="76">
        <v>201</v>
      </c>
      <c r="I14" s="76">
        <v>201</v>
      </c>
      <c r="J14" s="76">
        <v>201</v>
      </c>
      <c r="K14" s="76">
        <v>201</v>
      </c>
      <c r="L14" s="76">
        <v>201</v>
      </c>
      <c r="M14" s="76">
        <v>201</v>
      </c>
      <c r="N14" s="76">
        <v>201</v>
      </c>
      <c r="O14" s="76">
        <v>201</v>
      </c>
      <c r="P14" s="76">
        <v>201</v>
      </c>
      <c r="Q14" s="77">
        <v>201</v>
      </c>
      <c r="R14" s="71"/>
    </row>
    <row r="15" spans="2:18" s="34" customFormat="1" ht="15.5" x14ac:dyDescent="0.35">
      <c r="B15" s="78" t="s">
        <v>82</v>
      </c>
      <c r="C15" s="74">
        <f t="shared" ref="C15:Q15" si="2">C13-C14</f>
        <v>2032.8000000000002</v>
      </c>
      <c r="D15" s="74">
        <f t="shared" si="2"/>
        <v>2032.8000000000002</v>
      </c>
      <c r="E15" s="74">
        <f t="shared" si="2"/>
        <v>2032.8000000000002</v>
      </c>
      <c r="F15" s="74">
        <f t="shared" si="2"/>
        <v>2032.8000000000002</v>
      </c>
      <c r="G15" s="74">
        <f t="shared" si="2"/>
        <v>2032.8000000000002</v>
      </c>
      <c r="H15" s="74">
        <f t="shared" si="2"/>
        <v>2032.8000000000002</v>
      </c>
      <c r="I15" s="74">
        <f t="shared" si="2"/>
        <v>2032.8000000000002</v>
      </c>
      <c r="J15" s="74">
        <f t="shared" si="2"/>
        <v>2032.8000000000002</v>
      </c>
      <c r="K15" s="74">
        <f t="shared" si="2"/>
        <v>2032.8000000000002</v>
      </c>
      <c r="L15" s="74">
        <f t="shared" si="2"/>
        <v>2032.8000000000002</v>
      </c>
      <c r="M15" s="74">
        <f t="shared" si="2"/>
        <v>2032.8000000000002</v>
      </c>
      <c r="N15" s="74">
        <f t="shared" si="2"/>
        <v>2032.8000000000002</v>
      </c>
      <c r="O15" s="74">
        <f t="shared" si="2"/>
        <v>2032.8000000000002</v>
      </c>
      <c r="P15" s="74">
        <f t="shared" si="2"/>
        <v>2032.8000000000002</v>
      </c>
      <c r="Q15" s="75">
        <f t="shared" si="2"/>
        <v>2032.8000000000002</v>
      </c>
    </row>
    <row r="16" spans="2:18" s="34" customFormat="1" ht="15.5" x14ac:dyDescent="0.35">
      <c r="B16" s="35" t="s">
        <v>111</v>
      </c>
      <c r="C16" s="79">
        <v>3.3</v>
      </c>
      <c r="D16" s="79">
        <f>C16*1.01</f>
        <v>3.3329999999999997</v>
      </c>
      <c r="E16" s="79">
        <f t="shared" ref="E16:Q16" si="3">D16*1.01</f>
        <v>3.3663299999999996</v>
      </c>
      <c r="F16" s="79">
        <f t="shared" si="3"/>
        <v>3.3999932999999998</v>
      </c>
      <c r="G16" s="79">
        <f t="shared" si="3"/>
        <v>3.4339932329999998</v>
      </c>
      <c r="H16" s="79">
        <f t="shared" si="3"/>
        <v>3.4683331653299998</v>
      </c>
      <c r="I16" s="79">
        <f t="shared" si="3"/>
        <v>3.5030164969833</v>
      </c>
      <c r="J16" s="79">
        <f t="shared" si="3"/>
        <v>3.5380466619531332</v>
      </c>
      <c r="K16" s="79">
        <f t="shared" si="3"/>
        <v>3.5734271285726646</v>
      </c>
      <c r="L16" s="79">
        <f t="shared" si="3"/>
        <v>3.6091613998583911</v>
      </c>
      <c r="M16" s="79">
        <f t="shared" si="3"/>
        <v>3.645253013856975</v>
      </c>
      <c r="N16" s="79">
        <f t="shared" si="3"/>
        <v>3.6817055439955446</v>
      </c>
      <c r="O16" s="79">
        <f t="shared" si="3"/>
        <v>3.7185225994355</v>
      </c>
      <c r="P16" s="79">
        <f t="shared" si="3"/>
        <v>3.7557078254298553</v>
      </c>
      <c r="Q16" s="80">
        <f t="shared" si="3"/>
        <v>3.7932649036841539</v>
      </c>
      <c r="R16" s="81"/>
    </row>
    <row r="17" spans="2:22" s="34" customFormat="1" ht="15.5" x14ac:dyDescent="0.35">
      <c r="B17" s="82" t="s">
        <v>21</v>
      </c>
      <c r="C17" s="83">
        <f>C15*C16</f>
        <v>6708.2400000000007</v>
      </c>
      <c r="D17" s="83">
        <f t="shared" ref="D17:Q17" si="4">D15*D16</f>
        <v>6775.3224</v>
      </c>
      <c r="E17" s="83">
        <f t="shared" si="4"/>
        <v>6843.0756240000001</v>
      </c>
      <c r="F17" s="83">
        <f t="shared" si="4"/>
        <v>6911.50638024</v>
      </c>
      <c r="G17" s="83">
        <f t="shared" si="4"/>
        <v>6980.6214440424001</v>
      </c>
      <c r="H17" s="83">
        <f t="shared" si="4"/>
        <v>7050.427658482824</v>
      </c>
      <c r="I17" s="83">
        <f t="shared" si="4"/>
        <v>7120.9319350676524</v>
      </c>
      <c r="J17" s="83">
        <f t="shared" si="4"/>
        <v>7192.1412544183295</v>
      </c>
      <c r="K17" s="83">
        <f t="shared" si="4"/>
        <v>7264.0626669625135</v>
      </c>
      <c r="L17" s="83">
        <f t="shared" si="4"/>
        <v>7336.7032936321384</v>
      </c>
      <c r="M17" s="83">
        <f t="shared" si="4"/>
        <v>7410.0703265684597</v>
      </c>
      <c r="N17" s="83">
        <f t="shared" si="4"/>
        <v>7484.1710298341441</v>
      </c>
      <c r="O17" s="83">
        <f t="shared" si="4"/>
        <v>7559.0127401324853</v>
      </c>
      <c r="P17" s="83">
        <f t="shared" si="4"/>
        <v>7634.6028675338102</v>
      </c>
      <c r="Q17" s="84">
        <f t="shared" si="4"/>
        <v>7710.9488962091491</v>
      </c>
    </row>
    <row r="18" spans="2:22" s="34" customFormat="1" ht="15.5" x14ac:dyDescent="0.35">
      <c r="B18" s="45" t="s">
        <v>22</v>
      </c>
      <c r="C18" s="144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</row>
    <row r="19" spans="2:22" s="34" customFormat="1" ht="15.5" x14ac:dyDescent="0.35">
      <c r="B19" s="35" t="s">
        <v>41</v>
      </c>
      <c r="C19" s="74">
        <f>('Operating Data'!$C$23*((1.03^(C10-2012))))*$C$6</f>
        <v>3035.7847932351442</v>
      </c>
      <c r="D19" s="76">
        <f>('Operating Data'!$C$23*((1.03^(D10-2012))))*$C$6</f>
        <v>3126.8583370321981</v>
      </c>
      <c r="E19" s="76">
        <f>('Operating Data'!$C$23*((1.03^(E10-2012))))*$C$6</f>
        <v>3220.6640871431641</v>
      </c>
      <c r="F19" s="76">
        <f>('Operating Data'!$C$23*((1.03^(F10-2012))))*$C$6</f>
        <v>3317.284009757459</v>
      </c>
      <c r="G19" s="76">
        <f>('Operating Data'!$C$23*((1.03^(G10-2012))))*$C$6</f>
        <v>3416.8025300501827</v>
      </c>
      <c r="H19" s="76">
        <f>('Operating Data'!$C$23*((1.03^(H10-2012))))*$C$6</f>
        <v>3519.3066059516882</v>
      </c>
      <c r="I19" s="76">
        <f>('Operating Data'!$C$23*((1.03^(I10-2012))))*$C$6</f>
        <v>3624.8858041302392</v>
      </c>
      <c r="J19" s="76">
        <f>('Operating Data'!$C$23*((1.03^(J10-2012))))*$C$6</f>
        <v>3733.6323782541458</v>
      </c>
      <c r="K19" s="76">
        <f>('Operating Data'!$C$23*((1.03^(K10-2012))))*$C$6</f>
        <v>3845.6413496017703</v>
      </c>
      <c r="L19" s="76">
        <f>('Operating Data'!$C$23*((1.03^(L10-2012))))*$C$6</f>
        <v>3961.0105900898234</v>
      </c>
      <c r="M19" s="76">
        <f>('Operating Data'!$C$23*((1.03^(M10-2012))))*$C$6</f>
        <v>4079.8409077925185</v>
      </c>
      <c r="N19" s="76">
        <f>('Operating Data'!$C$23*((1.03^(N10-2012))))*$C$6</f>
        <v>4202.2361350262936</v>
      </c>
      <c r="O19" s="76">
        <f>('Operating Data'!$C$23*((1.03^(O10-2012))))*$C$6</f>
        <v>4328.3032190770818</v>
      </c>
      <c r="P19" s="76">
        <f>('Operating Data'!$C$23*((1.03^(P10-2012))))*$C$6</f>
        <v>4458.152315649395</v>
      </c>
      <c r="Q19" s="77">
        <f>('Operating Data'!$C$23*((1.03^(Q10-2012))))*$C$6</f>
        <v>4591.8968851188765</v>
      </c>
    </row>
    <row r="20" spans="2:22" s="34" customFormat="1" ht="15.5" x14ac:dyDescent="0.35">
      <c r="B20" s="35" t="s">
        <v>84</v>
      </c>
      <c r="C20" s="74">
        <f t="shared" ref="C20:Q20" si="5">((1.55*C11*((1.04)^(C10-2012))))*($C$3/85%)</f>
        <v>483.6</v>
      </c>
      <c r="D20" s="74">
        <f t="shared" si="5"/>
        <v>502.94400000000007</v>
      </c>
      <c r="E20" s="74">
        <f t="shared" si="5"/>
        <v>523.06176000000005</v>
      </c>
      <c r="F20" s="74">
        <f t="shared" si="5"/>
        <v>543.98423040000011</v>
      </c>
      <c r="G20" s="74">
        <f t="shared" si="5"/>
        <v>565.74359961600021</v>
      </c>
      <c r="H20" s="74">
        <f t="shared" si="5"/>
        <v>588.37334360064017</v>
      </c>
      <c r="I20" s="74">
        <f t="shared" si="5"/>
        <v>611.90827734466575</v>
      </c>
      <c r="J20" s="74">
        <f t="shared" si="5"/>
        <v>636.38460843845246</v>
      </c>
      <c r="K20" s="74">
        <f t="shared" si="5"/>
        <v>661.83999277599059</v>
      </c>
      <c r="L20" s="74">
        <f t="shared" si="5"/>
        <v>688.31359248703018</v>
      </c>
      <c r="M20" s="74">
        <f t="shared" si="5"/>
        <v>715.84613618651144</v>
      </c>
      <c r="N20" s="74">
        <f t="shared" si="5"/>
        <v>744.47998163397199</v>
      </c>
      <c r="O20" s="74">
        <f t="shared" si="5"/>
        <v>774.25918089933089</v>
      </c>
      <c r="P20" s="74">
        <f t="shared" si="5"/>
        <v>805.22954813530419</v>
      </c>
      <c r="Q20" s="75">
        <f t="shared" si="5"/>
        <v>837.43873006071624</v>
      </c>
    </row>
    <row r="21" spans="2:22" s="34" customFormat="1" ht="15.5" x14ac:dyDescent="0.35">
      <c r="B21" s="82" t="s">
        <v>25</v>
      </c>
      <c r="C21" s="76">
        <f t="shared" ref="C21:Q21" si="6">SUM(C19:C20)</f>
        <v>3519.3847932351441</v>
      </c>
      <c r="D21" s="74">
        <f t="shared" si="6"/>
        <v>3629.802337032198</v>
      </c>
      <c r="E21" s="76">
        <f t="shared" si="6"/>
        <v>3743.7258471431642</v>
      </c>
      <c r="F21" s="76">
        <f t="shared" si="6"/>
        <v>3861.2682401574593</v>
      </c>
      <c r="G21" s="76">
        <f t="shared" si="6"/>
        <v>3982.5461296661829</v>
      </c>
      <c r="H21" s="76">
        <f t="shared" si="6"/>
        <v>4107.6799495523283</v>
      </c>
      <c r="I21" s="76">
        <f t="shared" si="6"/>
        <v>4236.7940814749054</v>
      </c>
      <c r="J21" s="76">
        <f t="shared" si="6"/>
        <v>4370.016986692598</v>
      </c>
      <c r="K21" s="76">
        <f t="shared" si="6"/>
        <v>4507.4813423777614</v>
      </c>
      <c r="L21" s="76">
        <f t="shared" si="6"/>
        <v>4649.3241825768537</v>
      </c>
      <c r="M21" s="76">
        <f t="shared" si="6"/>
        <v>4795.68704397903</v>
      </c>
      <c r="N21" s="76">
        <f t="shared" si="6"/>
        <v>4946.7161166602655</v>
      </c>
      <c r="O21" s="76">
        <f t="shared" si="6"/>
        <v>5102.562399976413</v>
      </c>
      <c r="P21" s="76">
        <f t="shared" si="6"/>
        <v>5263.3818637846989</v>
      </c>
      <c r="Q21" s="77">
        <f t="shared" si="6"/>
        <v>5429.3356151795924</v>
      </c>
      <c r="V21" s="145"/>
    </row>
    <row r="22" spans="2:22" s="34" customFormat="1" ht="31" x14ac:dyDescent="0.35">
      <c r="B22" s="85" t="s">
        <v>85</v>
      </c>
      <c r="C22" s="83">
        <f t="shared" ref="C22:Q22" si="7">C17-C21</f>
        <v>3188.8552067648566</v>
      </c>
      <c r="D22" s="83">
        <f t="shared" si="7"/>
        <v>3145.520062967802</v>
      </c>
      <c r="E22" s="83">
        <f t="shared" si="7"/>
        <v>3099.3497768568359</v>
      </c>
      <c r="F22" s="83">
        <f t="shared" si="7"/>
        <v>3050.2381400825407</v>
      </c>
      <c r="G22" s="83">
        <f t="shared" si="7"/>
        <v>2998.0753143762172</v>
      </c>
      <c r="H22" s="83">
        <f t="shared" si="7"/>
        <v>2942.7477089304957</v>
      </c>
      <c r="I22" s="83">
        <f t="shared" si="7"/>
        <v>2884.137853592747</v>
      </c>
      <c r="J22" s="83">
        <f t="shared" si="7"/>
        <v>2822.1242677257314</v>
      </c>
      <c r="K22" s="83">
        <f t="shared" si="7"/>
        <v>2756.5813245847521</v>
      </c>
      <c r="L22" s="83">
        <f t="shared" si="7"/>
        <v>2687.3791110552847</v>
      </c>
      <c r="M22" s="83">
        <f t="shared" si="7"/>
        <v>2614.3832825894297</v>
      </c>
      <c r="N22" s="83">
        <f t="shared" si="7"/>
        <v>2537.4549131738786</v>
      </c>
      <c r="O22" s="83">
        <f t="shared" si="7"/>
        <v>2456.4503401560723</v>
      </c>
      <c r="P22" s="83">
        <f t="shared" si="7"/>
        <v>2371.2210037491113</v>
      </c>
      <c r="Q22" s="84">
        <f t="shared" si="7"/>
        <v>2281.6132810295567</v>
      </c>
    </row>
    <row r="23" spans="2:22" s="34" customFormat="1" ht="15.5" x14ac:dyDescent="0.35">
      <c r="B23" s="45" t="s">
        <v>27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</row>
    <row r="24" spans="2:22" s="34" customFormat="1" ht="15.5" x14ac:dyDescent="0.35">
      <c r="B24" s="35" t="s">
        <v>28</v>
      </c>
      <c r="C24" s="74">
        <f>$C$5*(('Balance Sheet (Case Exhibit 6)'!F12+'Balance Sheet (Case Exhibit 6)'!G12)/2)</f>
        <v>1320.2</v>
      </c>
      <c r="D24" s="74">
        <f>$C$5*(('Balance Sheet (Case Exhibit 6)'!G12+'Balance Sheet (Case Exhibit 6)'!H12)/2)</f>
        <v>1205.4000000000001</v>
      </c>
      <c r="E24" s="74">
        <f>$C$5*(('Balance Sheet (Case Exhibit 6)'!H12+'Balance Sheet (Case Exhibit 6)'!I12)/2)</f>
        <v>1053.5</v>
      </c>
      <c r="F24" s="74">
        <f>$C$5*(('Balance Sheet (Case Exhibit 6)'!I12+'Balance Sheet (Case Exhibit 6)'!J12)/2)</f>
        <v>903.00000000000011</v>
      </c>
      <c r="G24" s="74">
        <f>$C$5*(('Balance Sheet (Case Exhibit 6)'!J12+'Balance Sheet (Case Exhibit 6)'!K12)/2)</f>
        <v>752.50000000000011</v>
      </c>
      <c r="H24" s="74">
        <f>$C$5*(('Balance Sheet (Case Exhibit 6)'!K12+'Balance Sheet (Case Exhibit 6)'!L12)/2)</f>
        <v>602.00000000000011</v>
      </c>
      <c r="I24" s="74">
        <f>$C$5*(('Balance Sheet (Case Exhibit 6)'!L12+'Balance Sheet (Case Exhibit 6)'!M12)/2)</f>
        <v>451.50000000000006</v>
      </c>
      <c r="J24" s="74">
        <f>$C$5*(('Balance Sheet (Case Exhibit 6)'!M12+'Balance Sheet (Case Exhibit 6)'!N12)/2)</f>
        <v>301.00000000000006</v>
      </c>
      <c r="K24" s="74">
        <f>$C$5*(('Balance Sheet (Case Exhibit 6)'!N12+'Balance Sheet (Case Exhibit 6)'!O12)/2)</f>
        <v>150.50000000000003</v>
      </c>
      <c r="L24" s="74">
        <f>$C$5*(('Balance Sheet (Case Exhibit 6)'!O12+'Balance Sheet (Case Exhibit 6)'!P12)/2)</f>
        <v>37.800000000000004</v>
      </c>
      <c r="M24" s="76">
        <f>$C$5*(('Balance Sheet (Case Exhibit 6)'!P12+'Balance Sheet (Case Exhibit 6)'!Q12)/2)</f>
        <v>0</v>
      </c>
      <c r="N24" s="76">
        <f>$C$5*(('Balance Sheet (Case Exhibit 6)'!Q12+'Balance Sheet (Case Exhibit 6)'!R12)/2)</f>
        <v>0</v>
      </c>
      <c r="O24" s="76">
        <f>$C$5*(('Balance Sheet (Case Exhibit 6)'!R12+'Balance Sheet (Case Exhibit 6)'!S12)/2)</f>
        <v>0</v>
      </c>
      <c r="P24" s="76">
        <f>$C$5*(('Balance Sheet (Case Exhibit 6)'!S12+'Balance Sheet (Case Exhibit 6)'!T12)/2)</f>
        <v>0</v>
      </c>
      <c r="Q24" s="77">
        <f>$C$5*(('Balance Sheet (Case Exhibit 6)'!T12+'Balance Sheet (Case Exhibit 6)'!U12)/2)</f>
        <v>0</v>
      </c>
    </row>
    <row r="25" spans="2:22" s="34" customFormat="1" ht="15.5" x14ac:dyDescent="0.35">
      <c r="B25" s="35" t="s">
        <v>29</v>
      </c>
      <c r="C25" s="136">
        <f>$C$5*(('Balance Sheet (Case Exhibit 6)'!G13))</f>
        <v>130.20000000000002</v>
      </c>
      <c r="D25" s="136">
        <f>$C$5*(('Balance Sheet (Case Exhibit 6)'!G13+'Balance Sheet (Case Exhibit 6)'!H13)/2)</f>
        <v>130.9</v>
      </c>
      <c r="E25" s="136">
        <f>$C$5*(('Balance Sheet (Case Exhibit 6)'!H13+'Balance Sheet (Case Exhibit 6)'!I13)/2)</f>
        <v>133</v>
      </c>
      <c r="F25" s="136">
        <f>$C$5*(('Balance Sheet (Case Exhibit 6)'!I13+'Balance Sheet (Case Exhibit 6)'!J13)/2)</f>
        <v>135.80000000000001</v>
      </c>
      <c r="G25" s="136">
        <f>$C$5*(('Balance Sheet (Case Exhibit 6)'!J13+'Balance Sheet (Case Exhibit 6)'!K13)/2)</f>
        <v>137.9</v>
      </c>
      <c r="H25" s="136">
        <f>$C$5*(('Balance Sheet (Case Exhibit 6)'!K13+'Balance Sheet (Case Exhibit 6)'!L13)/2)</f>
        <v>140</v>
      </c>
      <c r="I25" s="136">
        <f>$C$5*(('Balance Sheet (Case Exhibit 6)'!L13+'Balance Sheet (Case Exhibit 6)'!M13)/2)</f>
        <v>142.80000000000001</v>
      </c>
      <c r="J25" s="136">
        <f>$C$5*(('Balance Sheet (Case Exhibit 6)'!M13+'Balance Sheet (Case Exhibit 6)'!N13)/2)</f>
        <v>145.60000000000002</v>
      </c>
      <c r="K25" s="136">
        <f>$C$5*(('Balance Sheet (Case Exhibit 6)'!N13+'Balance Sheet (Case Exhibit 6)'!O13)/2)</f>
        <v>148.4</v>
      </c>
      <c r="L25" s="136">
        <f>$C$5*(('Balance Sheet (Case Exhibit 6)'!O13+'Balance Sheet (Case Exhibit 6)'!P13)/2)</f>
        <v>151.20000000000002</v>
      </c>
      <c r="M25" s="136">
        <f>$C$5*(('Balance Sheet (Case Exhibit 6)'!P13+'Balance Sheet (Case Exhibit 6)'!Q13)/2)</f>
        <v>154.00000000000003</v>
      </c>
      <c r="N25" s="136">
        <f>$C$5*(('Balance Sheet (Case Exhibit 6)'!Q13+'Balance Sheet (Case Exhibit 6)'!R13)/2)</f>
        <v>156.80000000000001</v>
      </c>
      <c r="O25" s="136">
        <f>$C$5*(('Balance Sheet (Case Exhibit 6)'!R13+'Balance Sheet (Case Exhibit 6)'!S13)/2)</f>
        <v>160.30000000000001</v>
      </c>
      <c r="P25" s="136">
        <f>$C$5*(('Balance Sheet (Case Exhibit 6)'!S13+'Balance Sheet (Case Exhibit 6)'!T13)/2)</f>
        <v>163.80000000000001</v>
      </c>
      <c r="Q25" s="137">
        <f>$C$5*(('Balance Sheet (Case Exhibit 6)'!T13+'Balance Sheet (Case Exhibit 6)'!U13)/2)</f>
        <v>166.60000000000002</v>
      </c>
    </row>
    <row r="26" spans="2:22" s="34" customFormat="1" ht="15.5" x14ac:dyDescent="0.35">
      <c r="B26" s="35" t="s">
        <v>30</v>
      </c>
      <c r="C26" s="38">
        <v>680</v>
      </c>
      <c r="D26" s="38">
        <v>680</v>
      </c>
      <c r="E26" s="38">
        <v>680</v>
      </c>
      <c r="F26" s="38">
        <v>680</v>
      </c>
      <c r="G26" s="38">
        <v>680</v>
      </c>
      <c r="H26" s="38">
        <v>680</v>
      </c>
      <c r="I26" s="38">
        <v>680</v>
      </c>
      <c r="J26" s="38">
        <v>680</v>
      </c>
      <c r="K26" s="38">
        <v>680</v>
      </c>
      <c r="L26" s="38">
        <v>680</v>
      </c>
      <c r="M26" s="38">
        <v>680</v>
      </c>
      <c r="N26" s="38">
        <v>680</v>
      </c>
      <c r="O26" s="38">
        <v>680</v>
      </c>
      <c r="P26" s="38">
        <v>680</v>
      </c>
      <c r="Q26" s="39">
        <v>680</v>
      </c>
    </row>
    <row r="27" spans="2:22" s="34" customFormat="1" ht="15.5" x14ac:dyDescent="0.35">
      <c r="B27" s="52" t="s">
        <v>86</v>
      </c>
      <c r="C27" s="136">
        <f t="shared" ref="C27:Q27" si="8">C22-C24-C25-C26</f>
        <v>1058.4552067648565</v>
      </c>
      <c r="D27" s="83">
        <f t="shared" si="8"/>
        <v>1129.2200629678018</v>
      </c>
      <c r="E27" s="83">
        <f t="shared" si="8"/>
        <v>1232.8497768568359</v>
      </c>
      <c r="F27" s="83">
        <f t="shared" si="8"/>
        <v>1331.4381400825407</v>
      </c>
      <c r="G27" s="83">
        <f t="shared" si="8"/>
        <v>1427.6753143762171</v>
      </c>
      <c r="H27" s="83">
        <f t="shared" si="8"/>
        <v>1520.7477089304957</v>
      </c>
      <c r="I27" s="83">
        <f t="shared" si="8"/>
        <v>1609.8378535927468</v>
      </c>
      <c r="J27" s="83">
        <f t="shared" si="8"/>
        <v>1695.5242677257315</v>
      </c>
      <c r="K27" s="83">
        <f t="shared" si="8"/>
        <v>1777.681324584752</v>
      </c>
      <c r="L27" s="83">
        <f t="shared" si="8"/>
        <v>1818.3791110552847</v>
      </c>
      <c r="M27" s="83">
        <f t="shared" si="8"/>
        <v>1780.3832825894297</v>
      </c>
      <c r="N27" s="83">
        <f t="shared" si="8"/>
        <v>1700.6549131738784</v>
      </c>
      <c r="O27" s="83">
        <f t="shared" si="8"/>
        <v>1616.1503401560722</v>
      </c>
      <c r="P27" s="83">
        <f t="shared" si="8"/>
        <v>1527.4210037491112</v>
      </c>
      <c r="Q27" s="84">
        <f t="shared" si="8"/>
        <v>1435.0132810295568</v>
      </c>
    </row>
    <row r="28" spans="2:22" s="34" customFormat="1" ht="15.5" x14ac:dyDescent="0.35">
      <c r="B28" s="45" t="s">
        <v>32</v>
      </c>
      <c r="C28" s="4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</row>
    <row r="29" spans="2:22" s="34" customFormat="1" ht="15.5" x14ac:dyDescent="0.35">
      <c r="B29" s="35" t="s">
        <v>33</v>
      </c>
      <c r="C29" s="38">
        <v>200</v>
      </c>
      <c r="D29" s="38">
        <v>210</v>
      </c>
      <c r="E29" s="38">
        <v>220</v>
      </c>
      <c r="F29" s="38">
        <v>240</v>
      </c>
      <c r="G29" s="38">
        <v>250</v>
      </c>
      <c r="H29" s="38">
        <v>260</v>
      </c>
      <c r="I29" s="38">
        <v>270</v>
      </c>
      <c r="J29" s="38">
        <v>280</v>
      </c>
      <c r="K29" s="38">
        <v>290</v>
      </c>
      <c r="L29" s="38">
        <v>300</v>
      </c>
      <c r="M29" s="38">
        <v>290</v>
      </c>
      <c r="N29" s="38">
        <v>280</v>
      </c>
      <c r="O29" s="38">
        <v>260</v>
      </c>
      <c r="P29" s="38">
        <v>250</v>
      </c>
      <c r="Q29" s="39">
        <v>230</v>
      </c>
    </row>
    <row r="30" spans="2:22" s="34" customFormat="1" ht="15.5" x14ac:dyDescent="0.35">
      <c r="B30" s="35" t="s">
        <v>34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-10</v>
      </c>
      <c r="K30" s="38">
        <v>-40</v>
      </c>
      <c r="L30" s="38">
        <v>-70</v>
      </c>
      <c r="M30" s="38">
        <v>-90</v>
      </c>
      <c r="N30" s="38">
        <v>-110</v>
      </c>
      <c r="O30" s="38">
        <v>-130</v>
      </c>
      <c r="P30" s="38">
        <v>-140</v>
      </c>
      <c r="Q30" s="39">
        <v>-150</v>
      </c>
    </row>
    <row r="31" spans="2:22" s="34" customFormat="1" ht="15.5" x14ac:dyDescent="0.35">
      <c r="B31" s="86" t="s">
        <v>87</v>
      </c>
      <c r="C31" s="136">
        <f t="shared" ref="C31:Q31" si="9">C27-C29-C30</f>
        <v>858.45520676485648</v>
      </c>
      <c r="D31" s="83">
        <f t="shared" si="9"/>
        <v>919.22006296780182</v>
      </c>
      <c r="E31" s="83">
        <f t="shared" si="9"/>
        <v>1012.8497768568359</v>
      </c>
      <c r="F31" s="83">
        <f t="shared" si="9"/>
        <v>1091.4381400825407</v>
      </c>
      <c r="G31" s="83">
        <f t="shared" si="9"/>
        <v>1177.6753143762171</v>
      </c>
      <c r="H31" s="83">
        <f t="shared" si="9"/>
        <v>1260.7477089304957</v>
      </c>
      <c r="I31" s="83">
        <f t="shared" si="9"/>
        <v>1339.8378535927468</v>
      </c>
      <c r="J31" s="83">
        <f t="shared" si="9"/>
        <v>1425.5242677257315</v>
      </c>
      <c r="K31" s="83">
        <f t="shared" si="9"/>
        <v>1527.681324584752</v>
      </c>
      <c r="L31" s="83">
        <f t="shared" si="9"/>
        <v>1588.3791110552847</v>
      </c>
      <c r="M31" s="83">
        <f t="shared" si="9"/>
        <v>1580.3832825894297</v>
      </c>
      <c r="N31" s="83">
        <f t="shared" si="9"/>
        <v>1530.6549131738784</v>
      </c>
      <c r="O31" s="83">
        <f t="shared" si="9"/>
        <v>1486.1503401560722</v>
      </c>
      <c r="P31" s="83">
        <f t="shared" si="9"/>
        <v>1417.4210037491112</v>
      </c>
      <c r="Q31" s="84">
        <f t="shared" si="9"/>
        <v>1355.0132810295568</v>
      </c>
    </row>
    <row r="32" spans="2:22" s="34" customFormat="1" ht="15.5" x14ac:dyDescent="0.35">
      <c r="B32" s="86" t="s">
        <v>88</v>
      </c>
      <c r="C32" s="138">
        <f t="shared" ref="C32:Q32" si="10">C31+C26+C30</f>
        <v>1538.4552067648565</v>
      </c>
      <c r="D32" s="87">
        <f t="shared" si="10"/>
        <v>1599.2200629678018</v>
      </c>
      <c r="E32" s="87">
        <f t="shared" si="10"/>
        <v>1692.8497768568359</v>
      </c>
      <c r="F32" s="87">
        <f t="shared" si="10"/>
        <v>1771.4381400825407</v>
      </c>
      <c r="G32" s="87">
        <f t="shared" si="10"/>
        <v>1857.6753143762171</v>
      </c>
      <c r="H32" s="87">
        <f t="shared" si="10"/>
        <v>1940.7477089304957</v>
      </c>
      <c r="I32" s="87">
        <f t="shared" si="10"/>
        <v>2019.8378535927468</v>
      </c>
      <c r="J32" s="87">
        <f t="shared" si="10"/>
        <v>2095.5242677257315</v>
      </c>
      <c r="K32" s="87">
        <f t="shared" si="10"/>
        <v>2167.681324584752</v>
      </c>
      <c r="L32" s="87">
        <f t="shared" si="10"/>
        <v>2198.3791110552847</v>
      </c>
      <c r="M32" s="87">
        <f t="shared" si="10"/>
        <v>2170.3832825894297</v>
      </c>
      <c r="N32" s="87">
        <f t="shared" si="10"/>
        <v>2100.6549131738784</v>
      </c>
      <c r="O32" s="87">
        <f t="shared" si="10"/>
        <v>2036.1503401560722</v>
      </c>
      <c r="P32" s="87">
        <f t="shared" si="10"/>
        <v>1957.4210037491112</v>
      </c>
      <c r="Q32" s="88">
        <f t="shared" si="10"/>
        <v>1885.0132810295568</v>
      </c>
    </row>
    <row r="33" spans="2:20" s="34" customFormat="1" ht="15.5" x14ac:dyDescent="0.35">
      <c r="B33" s="86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2:20" s="34" customFormat="1" ht="15.5" x14ac:dyDescent="0.35">
      <c r="B34" s="86" t="s">
        <v>89</v>
      </c>
      <c r="C34" s="90">
        <f>-('Balance Sheet (Case Exhibit 6)'!G12-'Balance Sheet (Case Exhibit 6)'!F12)</f>
        <v>540</v>
      </c>
      <c r="D34" s="90">
        <f>-('Balance Sheet (Case Exhibit 6)'!H12-'Balance Sheet (Case Exhibit 6)'!G12)</f>
        <v>1100</v>
      </c>
      <c r="E34" s="90">
        <f>-('Balance Sheet (Case Exhibit 6)'!I12-'Balance Sheet (Case Exhibit 6)'!H12)</f>
        <v>1070</v>
      </c>
      <c r="F34" s="90">
        <f>-('Balance Sheet (Case Exhibit 6)'!J12-'Balance Sheet (Case Exhibit 6)'!I12)</f>
        <v>1080</v>
      </c>
      <c r="G34" s="90">
        <f>-('Balance Sheet (Case Exhibit 6)'!K12-'Balance Sheet (Case Exhibit 6)'!J12)</f>
        <v>1070</v>
      </c>
      <c r="H34" s="90">
        <f>-('Balance Sheet (Case Exhibit 6)'!L12-'Balance Sheet (Case Exhibit 6)'!K12)</f>
        <v>1080</v>
      </c>
      <c r="I34" s="90">
        <f>-('Balance Sheet (Case Exhibit 6)'!M12-'Balance Sheet (Case Exhibit 6)'!L12)</f>
        <v>1070</v>
      </c>
      <c r="J34" s="90">
        <f>-('Balance Sheet (Case Exhibit 6)'!N12-'Balance Sheet (Case Exhibit 6)'!M12)</f>
        <v>1080</v>
      </c>
      <c r="K34" s="90">
        <f>-('Balance Sheet (Case Exhibit 6)'!O12-'Balance Sheet (Case Exhibit 6)'!N12)</f>
        <v>1070</v>
      </c>
      <c r="L34" s="90">
        <f>-('Balance Sheet (Case Exhibit 6)'!P12-'Balance Sheet (Case Exhibit 6)'!O12)</f>
        <v>540</v>
      </c>
      <c r="M34" s="89"/>
      <c r="N34" s="89"/>
      <c r="O34" s="89"/>
      <c r="P34" s="89"/>
      <c r="Q34" s="91"/>
    </row>
    <row r="35" spans="2:20" s="34" customFormat="1" ht="15.5" x14ac:dyDescent="0.35">
      <c r="B35" s="86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89"/>
      <c r="N35" s="89"/>
      <c r="O35" s="89"/>
      <c r="P35" s="89"/>
      <c r="Q35" s="91"/>
    </row>
    <row r="36" spans="2:20" s="34" customFormat="1" ht="15.5" x14ac:dyDescent="0.35">
      <c r="B36" s="86" t="s">
        <v>43</v>
      </c>
      <c r="C36" s="92">
        <f>(C31+C24+C26)/(C24+C34)</f>
        <v>1.5367461599639052</v>
      </c>
      <c r="D36" s="92">
        <f t="shared" ref="D36:L36" si="11">(D31+D24+D26)/(D24+D34)</f>
        <v>1.2165437941215416</v>
      </c>
      <c r="E36" s="92">
        <f t="shared" si="11"/>
        <v>1.293312821689115</v>
      </c>
      <c r="F36" s="92">
        <f t="shared" si="11"/>
        <v>1.348682874474302</v>
      </c>
      <c r="G36" s="92">
        <f t="shared" si="11"/>
        <v>1.432194959877211</v>
      </c>
      <c r="H36" s="92">
        <f t="shared" si="11"/>
        <v>1.511740611730378</v>
      </c>
      <c r="I36" s="92">
        <f t="shared" si="11"/>
        <v>1.6242772616449206</v>
      </c>
      <c r="J36" s="92">
        <f t="shared" si="11"/>
        <v>1.7425954147181257</v>
      </c>
      <c r="K36" s="92">
        <f t="shared" si="11"/>
        <v>1.9321436498031561</v>
      </c>
      <c r="L36" s="92">
        <f t="shared" si="11"/>
        <v>3.9913103341212963</v>
      </c>
      <c r="M36" s="93"/>
      <c r="N36" s="93"/>
      <c r="O36" s="93"/>
      <c r="P36" s="93"/>
      <c r="Q36" s="94"/>
    </row>
    <row r="37" spans="2:20" s="34" customFormat="1" ht="16" thickBot="1" x14ac:dyDescent="0.4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</row>
    <row r="38" spans="2:20" s="34" customFormat="1" x14ac:dyDescent="0.35"/>
    <row r="39" spans="2:20" s="34" customFormat="1" ht="15" thickBot="1" x14ac:dyDescent="0.4"/>
    <row r="40" spans="2:20" s="34" customFormat="1" ht="16" thickBot="1" x14ac:dyDescent="0.4">
      <c r="B40" s="498" t="s">
        <v>44</v>
      </c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500"/>
    </row>
    <row r="41" spans="2:20" s="34" customFormat="1" ht="16" thickBot="1" x14ac:dyDescent="0.4">
      <c r="B41" s="95" t="s">
        <v>109</v>
      </c>
      <c r="C41" s="96">
        <v>2010</v>
      </c>
      <c r="D41" s="97">
        <v>2011</v>
      </c>
      <c r="E41" s="97">
        <v>2012</v>
      </c>
      <c r="F41" s="97">
        <v>2013</v>
      </c>
      <c r="G41" s="97">
        <v>2014</v>
      </c>
      <c r="H41" s="97">
        <v>2015</v>
      </c>
      <c r="I41" s="97">
        <v>2016</v>
      </c>
      <c r="J41" s="97">
        <v>2017</v>
      </c>
      <c r="K41" s="97">
        <v>2018</v>
      </c>
      <c r="L41" s="97">
        <v>2019</v>
      </c>
      <c r="M41" s="97">
        <v>2020</v>
      </c>
      <c r="N41" s="97">
        <v>2021</v>
      </c>
      <c r="O41" s="97">
        <v>2022</v>
      </c>
      <c r="P41" s="97">
        <v>2023</v>
      </c>
      <c r="Q41" s="97">
        <v>2024</v>
      </c>
      <c r="R41" s="97">
        <v>2025</v>
      </c>
      <c r="S41" s="97">
        <v>2026</v>
      </c>
      <c r="T41" s="98">
        <v>2027</v>
      </c>
    </row>
    <row r="42" spans="2:20" s="34" customFormat="1" ht="15.5" x14ac:dyDescent="0.35">
      <c r="B42" s="99" t="s">
        <v>46</v>
      </c>
      <c r="C42" s="100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2"/>
    </row>
    <row r="43" spans="2:20" s="34" customFormat="1" ht="15.5" x14ac:dyDescent="0.35">
      <c r="B43" s="103" t="s">
        <v>47</v>
      </c>
      <c r="C43" s="104">
        <v>0</v>
      </c>
      <c r="D43" s="105">
        <v>0</v>
      </c>
      <c r="E43" s="105">
        <v>0</v>
      </c>
      <c r="F43" s="105">
        <f>'Interest Rate @ 14%'!C31+'Interest Rate @ 14%'!C24+'Interest Rate @ 14%'!C25+'Interest Rate @ 14%'!C26</f>
        <v>2988.8552067648561</v>
      </c>
      <c r="G43" s="105">
        <f>'Interest Rate @ 14%'!D31+'Interest Rate @ 14%'!D24+'Interest Rate @ 14%'!D25+'Interest Rate @ 14%'!D26</f>
        <v>2935.520062967802</v>
      </c>
      <c r="H43" s="105">
        <f>'Interest Rate @ 14%'!E31+'Interest Rate @ 14%'!E24+'Interest Rate @ 14%'!E25+'Interest Rate @ 14%'!E26</f>
        <v>2879.3497768568359</v>
      </c>
      <c r="I43" s="105">
        <f>'Interest Rate @ 14%'!F31+'Interest Rate @ 14%'!F24+'Interest Rate @ 14%'!F25+'Interest Rate @ 14%'!F26</f>
        <v>2810.2381400825411</v>
      </c>
      <c r="J43" s="105">
        <f>'Interest Rate @ 14%'!G31+'Interest Rate @ 14%'!G24+'Interest Rate @ 14%'!G25+'Interest Rate @ 14%'!G26</f>
        <v>2748.0753143762172</v>
      </c>
      <c r="K43" s="105">
        <f>'Interest Rate @ 14%'!H31+'Interest Rate @ 14%'!H24+'Interest Rate @ 14%'!H25+'Interest Rate @ 14%'!H26</f>
        <v>2682.7477089304957</v>
      </c>
      <c r="L43" s="105">
        <f>'Interest Rate @ 14%'!I31+'Interest Rate @ 14%'!I24+'Interest Rate @ 14%'!I25+'Interest Rate @ 14%'!I26</f>
        <v>2614.137853592747</v>
      </c>
      <c r="M43" s="105">
        <f>'Interest Rate @ 14%'!J31+'Interest Rate @ 14%'!J24+'Interest Rate @ 14%'!J25+'Interest Rate @ 14%'!J26</f>
        <v>2552.1242677257314</v>
      </c>
      <c r="N43" s="105">
        <f>'Interest Rate @ 14%'!K31+'Interest Rate @ 14%'!K24+'Interest Rate @ 14%'!K25+'Interest Rate @ 14%'!K26</f>
        <v>2506.5813245847521</v>
      </c>
      <c r="O43" s="105">
        <f>'Interest Rate @ 14%'!L31+'Interest Rate @ 14%'!L24+'Interest Rate @ 14%'!L25+'Interest Rate @ 14%'!L26</f>
        <v>2457.3791110552847</v>
      </c>
      <c r="P43" s="105">
        <f>'Interest Rate @ 14%'!M31+'Interest Rate @ 14%'!M24+'Interest Rate @ 14%'!M25+'Interest Rate @ 14%'!M26</f>
        <v>2414.3832825894297</v>
      </c>
      <c r="Q43" s="105">
        <f>'Interest Rate @ 14%'!N31+'Interest Rate @ 14%'!N24+'Interest Rate @ 14%'!N25+'Interest Rate @ 14%'!N26</f>
        <v>2367.4549131738786</v>
      </c>
      <c r="R43" s="105">
        <f>'Interest Rate @ 14%'!O31+'Interest Rate @ 14%'!O24+'Interest Rate @ 14%'!O25+'Interest Rate @ 14%'!O26</f>
        <v>2326.4503401560723</v>
      </c>
      <c r="S43" s="105">
        <f>'Interest Rate @ 14%'!P31+'Interest Rate @ 14%'!P24+'Interest Rate @ 14%'!P25+'Interest Rate @ 14%'!P26</f>
        <v>2261.2210037491113</v>
      </c>
      <c r="T43" s="106">
        <f>'Interest Rate @ 14%'!Q31+'Interest Rate @ 14%'!Q24+'Interest Rate @ 14%'!Q25+'Interest Rate @ 14%'!Q26</f>
        <v>2201.6132810295567</v>
      </c>
    </row>
    <row r="44" spans="2:20" s="34" customFormat="1" ht="16" thickBot="1" x14ac:dyDescent="0.4">
      <c r="B44" s="107" t="s">
        <v>48</v>
      </c>
      <c r="C44" s="108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6">
        <f>0.05*'Balance Sheet (Case Exhibit 6)'!U24</f>
        <v>1238.5</v>
      </c>
    </row>
    <row r="45" spans="2:20" s="34" customFormat="1" ht="16" thickBot="1" x14ac:dyDescent="0.4">
      <c r="B45" s="95" t="s">
        <v>90</v>
      </c>
      <c r="C45" s="110">
        <f t="shared" ref="C45:T45" si="12">SUM(C43:C44)</f>
        <v>0</v>
      </c>
      <c r="D45" s="111">
        <f t="shared" si="12"/>
        <v>0</v>
      </c>
      <c r="E45" s="111">
        <f t="shared" si="12"/>
        <v>0</v>
      </c>
      <c r="F45" s="111">
        <f t="shared" si="12"/>
        <v>2988.8552067648561</v>
      </c>
      <c r="G45" s="111">
        <f t="shared" si="12"/>
        <v>2935.520062967802</v>
      </c>
      <c r="H45" s="111">
        <f t="shared" si="12"/>
        <v>2879.3497768568359</v>
      </c>
      <c r="I45" s="111">
        <f t="shared" si="12"/>
        <v>2810.2381400825411</v>
      </c>
      <c r="J45" s="111">
        <f t="shared" si="12"/>
        <v>2748.0753143762172</v>
      </c>
      <c r="K45" s="111">
        <f t="shared" si="12"/>
        <v>2682.7477089304957</v>
      </c>
      <c r="L45" s="111">
        <f t="shared" si="12"/>
        <v>2614.137853592747</v>
      </c>
      <c r="M45" s="111">
        <f t="shared" si="12"/>
        <v>2552.1242677257314</v>
      </c>
      <c r="N45" s="111">
        <f t="shared" si="12"/>
        <v>2506.5813245847521</v>
      </c>
      <c r="O45" s="111">
        <f t="shared" si="12"/>
        <v>2457.3791110552847</v>
      </c>
      <c r="P45" s="111">
        <f t="shared" si="12"/>
        <v>2414.3832825894297</v>
      </c>
      <c r="Q45" s="111">
        <f t="shared" si="12"/>
        <v>2367.4549131738786</v>
      </c>
      <c r="R45" s="111">
        <f t="shared" si="12"/>
        <v>2326.4503401560723</v>
      </c>
      <c r="S45" s="111">
        <f t="shared" si="12"/>
        <v>2261.2210037491113</v>
      </c>
      <c r="T45" s="112">
        <f t="shared" si="12"/>
        <v>3440.1132810295567</v>
      </c>
    </row>
    <row r="46" spans="2:20" s="34" customFormat="1" ht="15.5" x14ac:dyDescent="0.35">
      <c r="B46" s="99" t="s">
        <v>50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2"/>
    </row>
    <row r="47" spans="2:20" s="34" customFormat="1" ht="15.5" x14ac:dyDescent="0.35">
      <c r="B47" s="103" t="s">
        <v>97</v>
      </c>
      <c r="C47" s="113">
        <f>'Balance Sheet (Case Exhibit 6)'!D24-'Balance Sheet (Case Exhibit 6)'!D22</f>
        <v>3460</v>
      </c>
      <c r="D47" s="114">
        <f>'Balance Sheet (Case Exhibit 6)'!E24-'Balance Sheet (Case Exhibit 6)'!E22-'Balance Sheet (Case Exhibit 6)'!D24</f>
        <v>5520</v>
      </c>
      <c r="E47" s="114">
        <f>'Balance Sheet (Case Exhibit 6)'!F24-'Balance Sheet (Case Exhibit 6)'!F22-'Balance Sheet (Case Exhibit 6)'!E24</f>
        <v>4570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</row>
    <row r="48" spans="2:20" s="34" customFormat="1" ht="16" thickBot="1" x14ac:dyDescent="0.4">
      <c r="B48" s="107" t="s">
        <v>91</v>
      </c>
      <c r="C48" s="115">
        <v>0</v>
      </c>
      <c r="D48" s="116">
        <v>0</v>
      </c>
      <c r="E48" s="116">
        <v>0</v>
      </c>
      <c r="F48" s="117">
        <f>'Balance Sheet (Case Exhibit 6)'!G30</f>
        <v>310</v>
      </c>
      <c r="G48" s="117">
        <f>'Balance Sheet (Case Exhibit 6)'!H30</f>
        <v>0</v>
      </c>
      <c r="H48" s="116">
        <f>'Balance Sheet (Case Exhibit 6)'!I30</f>
        <v>10</v>
      </c>
      <c r="I48" s="116">
        <f>'Balance Sheet (Case Exhibit 6)'!J30</f>
        <v>0</v>
      </c>
      <c r="J48" s="116">
        <f>'Balance Sheet (Case Exhibit 6)'!K30</f>
        <v>10</v>
      </c>
      <c r="K48" s="116">
        <f>'Balance Sheet (Case Exhibit 6)'!L30</f>
        <v>10</v>
      </c>
      <c r="L48" s="116">
        <f>'Balance Sheet (Case Exhibit 6)'!M30</f>
        <v>0</v>
      </c>
      <c r="M48" s="116">
        <f>'Balance Sheet (Case Exhibit 6)'!N30</f>
        <v>10</v>
      </c>
      <c r="N48" s="116">
        <f>'Balance Sheet (Case Exhibit 6)'!O30</f>
        <v>10</v>
      </c>
      <c r="O48" s="116">
        <f>'Balance Sheet (Case Exhibit 6)'!P30</f>
        <v>0</v>
      </c>
      <c r="P48" s="116">
        <f>'Balance Sheet (Case Exhibit 6)'!Q30</f>
        <v>10</v>
      </c>
      <c r="Q48" s="116">
        <f>'Balance Sheet (Case Exhibit 6)'!R30</f>
        <v>10</v>
      </c>
      <c r="R48" s="116">
        <f>'Balance Sheet (Case Exhibit 6)'!S30</f>
        <v>0</v>
      </c>
      <c r="S48" s="116">
        <f>'Balance Sheet (Case Exhibit 6)'!T30</f>
        <v>10</v>
      </c>
      <c r="T48" s="118">
        <f>'Balance Sheet (Case Exhibit 6)'!U30</f>
        <v>10</v>
      </c>
    </row>
    <row r="49" spans="2:20" s="34" customFormat="1" ht="15.5" x14ac:dyDescent="0.35">
      <c r="B49" s="119" t="s">
        <v>53</v>
      </c>
      <c r="C49" s="120">
        <f t="shared" ref="C49:T49" si="13">C47+C48</f>
        <v>3460</v>
      </c>
      <c r="D49" s="121">
        <f t="shared" si="13"/>
        <v>5520</v>
      </c>
      <c r="E49" s="121">
        <f t="shared" si="13"/>
        <v>4570</v>
      </c>
      <c r="F49" s="121">
        <f t="shared" si="13"/>
        <v>310</v>
      </c>
      <c r="G49" s="121">
        <f t="shared" si="13"/>
        <v>0</v>
      </c>
      <c r="H49" s="121">
        <f t="shared" si="13"/>
        <v>10</v>
      </c>
      <c r="I49" s="121">
        <f t="shared" si="13"/>
        <v>0</v>
      </c>
      <c r="J49" s="121">
        <f t="shared" si="13"/>
        <v>10</v>
      </c>
      <c r="K49" s="121">
        <f t="shared" si="13"/>
        <v>10</v>
      </c>
      <c r="L49" s="121">
        <f t="shared" si="13"/>
        <v>0</v>
      </c>
      <c r="M49" s="121">
        <f t="shared" si="13"/>
        <v>10</v>
      </c>
      <c r="N49" s="121">
        <f t="shared" si="13"/>
        <v>10</v>
      </c>
      <c r="O49" s="121">
        <f t="shared" si="13"/>
        <v>0</v>
      </c>
      <c r="P49" s="121">
        <f t="shared" si="13"/>
        <v>10</v>
      </c>
      <c r="Q49" s="121">
        <f t="shared" si="13"/>
        <v>10</v>
      </c>
      <c r="R49" s="121">
        <f t="shared" si="13"/>
        <v>0</v>
      </c>
      <c r="S49" s="121">
        <f t="shared" si="13"/>
        <v>10</v>
      </c>
      <c r="T49" s="122">
        <f t="shared" si="13"/>
        <v>10</v>
      </c>
    </row>
    <row r="50" spans="2:20" s="34" customFormat="1" ht="16" thickBot="1" x14ac:dyDescent="0.4">
      <c r="B50" s="123" t="s">
        <v>93</v>
      </c>
      <c r="C50" s="124">
        <f t="shared" ref="C50:T50" si="14">C45-C49</f>
        <v>-3460</v>
      </c>
      <c r="D50" s="125">
        <f t="shared" si="14"/>
        <v>-5520</v>
      </c>
      <c r="E50" s="125">
        <f t="shared" si="14"/>
        <v>-4570</v>
      </c>
      <c r="F50" s="125">
        <f t="shared" si="14"/>
        <v>2678.8552067648561</v>
      </c>
      <c r="G50" s="125">
        <f t="shared" si="14"/>
        <v>2935.520062967802</v>
      </c>
      <c r="H50" s="125">
        <f t="shared" si="14"/>
        <v>2869.3497768568359</v>
      </c>
      <c r="I50" s="125">
        <f t="shared" si="14"/>
        <v>2810.2381400825411</v>
      </c>
      <c r="J50" s="125">
        <f t="shared" si="14"/>
        <v>2738.0753143762172</v>
      </c>
      <c r="K50" s="125">
        <f t="shared" si="14"/>
        <v>2672.7477089304957</v>
      </c>
      <c r="L50" s="125">
        <f t="shared" si="14"/>
        <v>2614.137853592747</v>
      </c>
      <c r="M50" s="125">
        <f t="shared" si="14"/>
        <v>2542.1242677257314</v>
      </c>
      <c r="N50" s="125">
        <f t="shared" si="14"/>
        <v>2496.5813245847521</v>
      </c>
      <c r="O50" s="125">
        <f t="shared" si="14"/>
        <v>2457.3791110552847</v>
      </c>
      <c r="P50" s="125">
        <f t="shared" si="14"/>
        <v>2404.3832825894297</v>
      </c>
      <c r="Q50" s="125">
        <f t="shared" si="14"/>
        <v>2357.4549131738786</v>
      </c>
      <c r="R50" s="125">
        <f t="shared" si="14"/>
        <v>2326.4503401560723</v>
      </c>
      <c r="S50" s="125">
        <f t="shared" si="14"/>
        <v>2251.2210037491113</v>
      </c>
      <c r="T50" s="126">
        <f t="shared" si="14"/>
        <v>3430.1132810295567</v>
      </c>
    </row>
    <row r="51" spans="2:20" s="34" customFormat="1" ht="16" thickBot="1" x14ac:dyDescent="0.4">
      <c r="B51" s="127" t="s">
        <v>94</v>
      </c>
      <c r="C51" s="128">
        <f>IRR(C50:T50)</f>
        <v>0.15313271368590331</v>
      </c>
      <c r="D51" s="129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1"/>
    </row>
    <row r="52" spans="2:20" s="34" customFormat="1" ht="15" thickBot="1" x14ac:dyDescent="0.4"/>
    <row r="53" spans="2:20" s="34" customFormat="1" ht="16" thickBot="1" x14ac:dyDescent="0.4">
      <c r="B53" s="501" t="s">
        <v>44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2"/>
      <c r="N53" s="502"/>
      <c r="O53" s="503"/>
    </row>
    <row r="54" spans="2:20" s="34" customFormat="1" ht="16" thickBot="1" x14ac:dyDescent="0.4">
      <c r="B54" s="95" t="s">
        <v>109</v>
      </c>
      <c r="C54" s="132">
        <v>2010</v>
      </c>
      <c r="D54" s="97">
        <v>2011</v>
      </c>
      <c r="E54" s="97">
        <v>2012</v>
      </c>
      <c r="F54" s="97">
        <v>2013</v>
      </c>
      <c r="G54" s="97">
        <v>2014</v>
      </c>
      <c r="H54" s="97">
        <v>2015</v>
      </c>
      <c r="I54" s="97">
        <v>2016</v>
      </c>
      <c r="J54" s="97">
        <v>2017</v>
      </c>
      <c r="K54" s="97">
        <v>2018</v>
      </c>
      <c r="L54" s="97">
        <v>2019</v>
      </c>
      <c r="M54" s="97">
        <v>2020</v>
      </c>
      <c r="N54" s="97">
        <v>2021</v>
      </c>
      <c r="O54" s="98">
        <v>2022</v>
      </c>
    </row>
    <row r="55" spans="2:20" s="34" customFormat="1" ht="15.5" x14ac:dyDescent="0.35">
      <c r="B55" s="99" t="s">
        <v>46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2"/>
    </row>
    <row r="56" spans="2:20" s="34" customFormat="1" ht="15.5" x14ac:dyDescent="0.35">
      <c r="B56" s="103" t="s">
        <v>47</v>
      </c>
      <c r="C56" s="104">
        <f>C43</f>
        <v>0</v>
      </c>
      <c r="D56" s="105">
        <f t="shared" ref="D56:O56" si="15">D43</f>
        <v>0</v>
      </c>
      <c r="E56" s="105">
        <f t="shared" si="15"/>
        <v>0</v>
      </c>
      <c r="F56" s="105">
        <f t="shared" si="15"/>
        <v>2988.8552067648561</v>
      </c>
      <c r="G56" s="105">
        <f t="shared" si="15"/>
        <v>2935.520062967802</v>
      </c>
      <c r="H56" s="105">
        <f t="shared" si="15"/>
        <v>2879.3497768568359</v>
      </c>
      <c r="I56" s="105">
        <f t="shared" si="15"/>
        <v>2810.2381400825411</v>
      </c>
      <c r="J56" s="105">
        <f t="shared" si="15"/>
        <v>2748.0753143762172</v>
      </c>
      <c r="K56" s="105">
        <f t="shared" si="15"/>
        <v>2682.7477089304957</v>
      </c>
      <c r="L56" s="105">
        <f t="shared" si="15"/>
        <v>2614.137853592747</v>
      </c>
      <c r="M56" s="105">
        <f t="shared" si="15"/>
        <v>2552.1242677257314</v>
      </c>
      <c r="N56" s="105">
        <f t="shared" si="15"/>
        <v>2506.5813245847521</v>
      </c>
      <c r="O56" s="106">
        <f t="shared" si="15"/>
        <v>2457.3791110552847</v>
      </c>
    </row>
    <row r="57" spans="2:20" s="34" customFormat="1" ht="16" thickBot="1" x14ac:dyDescent="0.4">
      <c r="B57" s="107" t="s">
        <v>48</v>
      </c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33">
        <f>0.05*'Balance Sheet (Case Exhibit 6)'!P24</f>
        <v>884</v>
      </c>
    </row>
    <row r="58" spans="2:20" s="34" customFormat="1" ht="16" thickBot="1" x14ac:dyDescent="0.4">
      <c r="B58" s="95" t="s">
        <v>90</v>
      </c>
      <c r="C58" s="110">
        <f t="shared" ref="C58:O58" si="16">SUM(C56:C57)</f>
        <v>0</v>
      </c>
      <c r="D58" s="111">
        <f t="shared" si="16"/>
        <v>0</v>
      </c>
      <c r="E58" s="111">
        <f t="shared" si="16"/>
        <v>0</v>
      </c>
      <c r="F58" s="111">
        <f t="shared" si="16"/>
        <v>2988.8552067648561</v>
      </c>
      <c r="G58" s="111">
        <f t="shared" si="16"/>
        <v>2935.520062967802</v>
      </c>
      <c r="H58" s="111">
        <f t="shared" si="16"/>
        <v>2879.3497768568359</v>
      </c>
      <c r="I58" s="111">
        <f t="shared" si="16"/>
        <v>2810.2381400825411</v>
      </c>
      <c r="J58" s="111">
        <f t="shared" si="16"/>
        <v>2748.0753143762172</v>
      </c>
      <c r="K58" s="111">
        <f t="shared" si="16"/>
        <v>2682.7477089304957</v>
      </c>
      <c r="L58" s="111">
        <f t="shared" si="16"/>
        <v>2614.137853592747</v>
      </c>
      <c r="M58" s="111">
        <f t="shared" si="16"/>
        <v>2552.1242677257314</v>
      </c>
      <c r="N58" s="111">
        <f t="shared" si="16"/>
        <v>2506.5813245847521</v>
      </c>
      <c r="O58" s="112">
        <f t="shared" si="16"/>
        <v>3341.3791110552847</v>
      </c>
    </row>
    <row r="59" spans="2:20" s="34" customFormat="1" ht="15.5" x14ac:dyDescent="0.35">
      <c r="B59" s="99" t="s">
        <v>50</v>
      </c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2"/>
    </row>
    <row r="60" spans="2:20" s="34" customFormat="1" ht="15.5" x14ac:dyDescent="0.35">
      <c r="B60" s="103" t="s">
        <v>101</v>
      </c>
      <c r="C60" s="113">
        <f>C47</f>
        <v>3460</v>
      </c>
      <c r="D60" s="114">
        <f t="shared" ref="D60:O60" si="17">D47</f>
        <v>5520</v>
      </c>
      <c r="E60" s="114">
        <f t="shared" si="17"/>
        <v>4570</v>
      </c>
      <c r="F60" s="8">
        <f t="shared" si="17"/>
        <v>0</v>
      </c>
      <c r="G60" s="8">
        <f t="shared" si="17"/>
        <v>0</v>
      </c>
      <c r="H60" s="8">
        <f t="shared" si="17"/>
        <v>0</v>
      </c>
      <c r="I60" s="8">
        <f t="shared" si="17"/>
        <v>0</v>
      </c>
      <c r="J60" s="8">
        <f t="shared" si="17"/>
        <v>0</v>
      </c>
      <c r="K60" s="8">
        <f t="shared" si="17"/>
        <v>0</v>
      </c>
      <c r="L60" s="8">
        <f t="shared" si="17"/>
        <v>0</v>
      </c>
      <c r="M60" s="8">
        <f t="shared" si="17"/>
        <v>0</v>
      </c>
      <c r="N60" s="8">
        <f t="shared" si="17"/>
        <v>0</v>
      </c>
      <c r="O60" s="9">
        <f t="shared" si="17"/>
        <v>0</v>
      </c>
    </row>
    <row r="61" spans="2:20" s="34" customFormat="1" ht="16" thickBot="1" x14ac:dyDescent="0.4">
      <c r="B61" s="107" t="s">
        <v>92</v>
      </c>
      <c r="C61" s="115">
        <f t="shared" ref="C61:O61" si="18">C48</f>
        <v>0</v>
      </c>
      <c r="D61" s="116">
        <f t="shared" si="18"/>
        <v>0</v>
      </c>
      <c r="E61" s="116">
        <f t="shared" si="18"/>
        <v>0</v>
      </c>
      <c r="F61" s="117">
        <f t="shared" si="18"/>
        <v>310</v>
      </c>
      <c r="G61" s="117">
        <f t="shared" si="18"/>
        <v>0</v>
      </c>
      <c r="H61" s="116">
        <f t="shared" si="18"/>
        <v>10</v>
      </c>
      <c r="I61" s="116">
        <f t="shared" si="18"/>
        <v>0</v>
      </c>
      <c r="J61" s="116">
        <f t="shared" si="18"/>
        <v>10</v>
      </c>
      <c r="K61" s="116">
        <f t="shared" si="18"/>
        <v>10</v>
      </c>
      <c r="L61" s="116">
        <f t="shared" si="18"/>
        <v>0</v>
      </c>
      <c r="M61" s="116">
        <f t="shared" si="18"/>
        <v>10</v>
      </c>
      <c r="N61" s="116">
        <f t="shared" si="18"/>
        <v>10</v>
      </c>
      <c r="O61" s="118">
        <f t="shared" si="18"/>
        <v>0</v>
      </c>
    </row>
    <row r="62" spans="2:20" s="34" customFormat="1" ht="15.5" x14ac:dyDescent="0.35">
      <c r="B62" s="119" t="s">
        <v>53</v>
      </c>
      <c r="C62" s="120">
        <f t="shared" ref="C62:O62" si="19">C60+C61</f>
        <v>3460</v>
      </c>
      <c r="D62" s="121">
        <f t="shared" si="19"/>
        <v>5520</v>
      </c>
      <c r="E62" s="121">
        <f t="shared" si="19"/>
        <v>4570</v>
      </c>
      <c r="F62" s="121">
        <f t="shared" si="19"/>
        <v>310</v>
      </c>
      <c r="G62" s="121">
        <f t="shared" si="19"/>
        <v>0</v>
      </c>
      <c r="H62" s="121">
        <f t="shared" si="19"/>
        <v>10</v>
      </c>
      <c r="I62" s="121">
        <f t="shared" si="19"/>
        <v>0</v>
      </c>
      <c r="J62" s="121">
        <f t="shared" si="19"/>
        <v>10</v>
      </c>
      <c r="K62" s="121">
        <f t="shared" si="19"/>
        <v>10</v>
      </c>
      <c r="L62" s="121">
        <f t="shared" si="19"/>
        <v>0</v>
      </c>
      <c r="M62" s="121">
        <f t="shared" si="19"/>
        <v>10</v>
      </c>
      <c r="N62" s="121">
        <f t="shared" si="19"/>
        <v>10</v>
      </c>
      <c r="O62" s="122">
        <f t="shared" si="19"/>
        <v>0</v>
      </c>
    </row>
    <row r="63" spans="2:20" s="34" customFormat="1" ht="16" thickBot="1" x14ac:dyDescent="0.4">
      <c r="B63" s="123" t="s">
        <v>93</v>
      </c>
      <c r="C63" s="124">
        <f t="shared" ref="C63:O63" si="20">C58-C62</f>
        <v>-3460</v>
      </c>
      <c r="D63" s="125">
        <f t="shared" si="20"/>
        <v>-5520</v>
      </c>
      <c r="E63" s="125">
        <f t="shared" si="20"/>
        <v>-4570</v>
      </c>
      <c r="F63" s="125">
        <f t="shared" si="20"/>
        <v>2678.8552067648561</v>
      </c>
      <c r="G63" s="125">
        <f t="shared" si="20"/>
        <v>2935.520062967802</v>
      </c>
      <c r="H63" s="125">
        <f t="shared" si="20"/>
        <v>2869.3497768568359</v>
      </c>
      <c r="I63" s="125">
        <f t="shared" si="20"/>
        <v>2810.2381400825411</v>
      </c>
      <c r="J63" s="125">
        <f t="shared" si="20"/>
        <v>2738.0753143762172</v>
      </c>
      <c r="K63" s="125">
        <f t="shared" si="20"/>
        <v>2672.7477089304957</v>
      </c>
      <c r="L63" s="125">
        <f t="shared" si="20"/>
        <v>2614.137853592747</v>
      </c>
      <c r="M63" s="125">
        <f t="shared" si="20"/>
        <v>2542.1242677257314</v>
      </c>
      <c r="N63" s="125">
        <f t="shared" si="20"/>
        <v>2496.5813245847521</v>
      </c>
      <c r="O63" s="126">
        <f t="shared" si="20"/>
        <v>3341.3791110552847</v>
      </c>
    </row>
    <row r="64" spans="2:20" s="34" customFormat="1" ht="16" thickBot="1" x14ac:dyDescent="0.4">
      <c r="B64" s="127" t="s">
        <v>95</v>
      </c>
      <c r="C64" s="128">
        <f>IRR(C63:O63)</f>
        <v>0.12740783723973448</v>
      </c>
      <c r="D64" s="129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1"/>
    </row>
    <row r="65" spans="3:15" s="34" customFormat="1" x14ac:dyDescent="0.35"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</row>
    <row r="66" spans="3:15" s="34" customFormat="1" x14ac:dyDescent="0.35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</row>
    <row r="67" spans="3:15" s="34" customFormat="1" x14ac:dyDescent="0.3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</row>
    <row r="68" spans="3:15" s="34" customFormat="1" x14ac:dyDescent="0.35"/>
    <row r="69" spans="3:15" s="34" customFormat="1" x14ac:dyDescent="0.35"/>
    <row r="70" spans="3:15" s="34" customFormat="1" x14ac:dyDescent="0.35"/>
    <row r="71" spans="3:15" s="34" customFormat="1" x14ac:dyDescent="0.35"/>
    <row r="72" spans="3:15" s="34" customFormat="1" x14ac:dyDescent="0.35"/>
    <row r="73" spans="3:15" s="34" customFormat="1" x14ac:dyDescent="0.35"/>
    <row r="74" spans="3:15" s="34" customFormat="1" x14ac:dyDescent="0.35"/>
    <row r="75" spans="3:15" s="34" customFormat="1" x14ac:dyDescent="0.35"/>
    <row r="76" spans="3:15" s="34" customFormat="1" x14ac:dyDescent="0.35"/>
    <row r="77" spans="3:15" s="34" customFormat="1" x14ac:dyDescent="0.35"/>
    <row r="78" spans="3:15" s="34" customFormat="1" x14ac:dyDescent="0.35"/>
    <row r="79" spans="3:15" s="34" customFormat="1" x14ac:dyDescent="0.35"/>
    <row r="80" spans="3:15" s="34" customFormat="1" x14ac:dyDescent="0.35"/>
    <row r="81" s="34" customFormat="1" x14ac:dyDescent="0.35"/>
    <row r="82" s="34" customFormat="1" x14ac:dyDescent="0.35"/>
    <row r="83" s="34" customFormat="1" x14ac:dyDescent="0.35"/>
    <row r="84" s="34" customFormat="1" x14ac:dyDescent="0.35"/>
    <row r="85" s="34" customFormat="1" x14ac:dyDescent="0.35"/>
    <row r="86" s="34" customFormat="1" x14ac:dyDescent="0.35"/>
    <row r="87" s="34" customFormat="1" x14ac:dyDescent="0.35"/>
    <row r="88" s="34" customFormat="1" x14ac:dyDescent="0.35"/>
    <row r="89" s="34" customFormat="1" x14ac:dyDescent="0.35"/>
    <row r="90" s="34" customFormat="1" x14ac:dyDescent="0.35"/>
    <row r="91" s="34" customFormat="1" x14ac:dyDescent="0.35"/>
    <row r="92" s="34" customFormat="1" x14ac:dyDescent="0.35"/>
    <row r="93" s="34" customFormat="1" x14ac:dyDescent="0.35"/>
    <row r="94" s="34" customFormat="1" x14ac:dyDescent="0.35"/>
    <row r="95" s="34" customFormat="1" x14ac:dyDescent="0.35"/>
    <row r="96" s="34" customFormat="1" x14ac:dyDescent="0.35"/>
    <row r="97" s="34" customFormat="1" x14ac:dyDescent="0.35"/>
    <row r="98" s="34" customFormat="1" x14ac:dyDescent="0.35"/>
    <row r="99" s="34" customFormat="1" x14ac:dyDescent="0.35"/>
    <row r="100" s="34" customFormat="1" x14ac:dyDescent="0.35"/>
    <row r="101" s="34" customFormat="1" x14ac:dyDescent="0.35"/>
    <row r="102" s="34" customFormat="1" x14ac:dyDescent="0.35"/>
  </sheetData>
  <mergeCells count="4">
    <mergeCell ref="B2:C2"/>
    <mergeCell ref="B9:Q9"/>
    <mergeCell ref="B40:T40"/>
    <mergeCell ref="B53:O53"/>
  </mergeCells>
  <pageMargins left="0.75" right="0.75" top="1" bottom="1" header="0.3" footer="0.3"/>
  <pageSetup paperSize="9" orientation="portrait" horizontalDpi="1200" verticalDpi="12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V102"/>
  <sheetViews>
    <sheetView showGridLines="0" workbookViewId="0"/>
  </sheetViews>
  <sheetFormatPr baseColWidth="10" defaultColWidth="8.81640625" defaultRowHeight="14.5" x14ac:dyDescent="0.35"/>
  <cols>
    <col min="2" max="2" width="39" bestFit="1" customWidth="1"/>
    <col min="3" max="3" width="7.81640625" customWidth="1"/>
    <col min="4" max="6" width="6.6328125" customWidth="1"/>
    <col min="7" max="8" width="7.1796875" customWidth="1"/>
    <col min="9" max="11" width="6.6328125" customWidth="1"/>
    <col min="12" max="12" width="7.26953125" customWidth="1"/>
    <col min="13" max="20" width="6.6328125" customWidth="1"/>
    <col min="22" max="22" width="12.453125" bestFit="1" customWidth="1"/>
  </cols>
  <sheetData>
    <row r="1" spans="2:18" ht="15" thickBot="1" x14ac:dyDescent="0.4"/>
    <row r="2" spans="2:18" ht="15" thickBot="1" x14ac:dyDescent="0.4">
      <c r="B2" s="496" t="s">
        <v>37</v>
      </c>
      <c r="C2" s="497"/>
      <c r="E2" s="57" t="s">
        <v>38</v>
      </c>
      <c r="F2" s="58"/>
      <c r="G2" s="141">
        <f>SUM(C31:L31,C24:L24,C26:L26)/SUM(C24:L24,C34:L34)</f>
        <v>1.506052501259773</v>
      </c>
    </row>
    <row r="3" spans="2:18" x14ac:dyDescent="0.35">
      <c r="B3" s="59" t="s">
        <v>16</v>
      </c>
      <c r="C3" s="60">
        <v>0.85</v>
      </c>
      <c r="E3" s="61" t="s">
        <v>58</v>
      </c>
      <c r="F3" s="139"/>
      <c r="G3" s="142">
        <f>C51</f>
        <v>0.14659147718800658</v>
      </c>
    </row>
    <row r="4" spans="2:18" ht="15" thickBot="1" x14ac:dyDescent="0.4">
      <c r="B4" s="62" t="s">
        <v>39</v>
      </c>
      <c r="C4" s="63">
        <v>1</v>
      </c>
      <c r="E4" s="64" t="s">
        <v>59</v>
      </c>
      <c r="F4" s="140"/>
      <c r="G4" s="143">
        <f>C64</f>
        <v>0.12029285788464383</v>
      </c>
    </row>
    <row r="5" spans="2:18" x14ac:dyDescent="0.35">
      <c r="B5" s="62" t="s">
        <v>40</v>
      </c>
      <c r="C5" s="65">
        <v>0.14000000000000001</v>
      </c>
    </row>
    <row r="6" spans="2:18" ht="15" thickBot="1" x14ac:dyDescent="0.4">
      <c r="B6" s="66" t="s">
        <v>41</v>
      </c>
      <c r="C6" s="67">
        <v>1</v>
      </c>
    </row>
    <row r="8" spans="2:18" ht="15" thickBot="1" x14ac:dyDescent="0.4"/>
    <row r="9" spans="2:18" ht="16" thickBot="1" x14ac:dyDescent="0.4">
      <c r="B9" s="491" t="s">
        <v>0</v>
      </c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3"/>
    </row>
    <row r="10" spans="2:18" s="68" customFormat="1" ht="16" thickBot="1" x14ac:dyDescent="0.4">
      <c r="B10" s="30" t="s">
        <v>14</v>
      </c>
      <c r="C10" s="2">
        <v>2013</v>
      </c>
      <c r="D10" s="2">
        <v>2014</v>
      </c>
      <c r="E10" s="2">
        <v>2015</v>
      </c>
      <c r="F10" s="2">
        <v>2016</v>
      </c>
      <c r="G10" s="2">
        <v>2017</v>
      </c>
      <c r="H10" s="2">
        <v>2018</v>
      </c>
      <c r="I10" s="2">
        <v>2019</v>
      </c>
      <c r="J10" s="2">
        <v>2020</v>
      </c>
      <c r="K10" s="2">
        <v>2021</v>
      </c>
      <c r="L10" s="2">
        <v>2022</v>
      </c>
      <c r="M10" s="2">
        <v>2023</v>
      </c>
      <c r="N10" s="2">
        <v>2024</v>
      </c>
      <c r="O10" s="2">
        <v>2025</v>
      </c>
      <c r="P10" s="2">
        <v>2026</v>
      </c>
      <c r="Q10" s="3">
        <v>2027</v>
      </c>
    </row>
    <row r="11" spans="2:18" s="34" customFormat="1" ht="15.5" x14ac:dyDescent="0.35">
      <c r="B11" s="31" t="s">
        <v>15</v>
      </c>
      <c r="C11" s="69">
        <v>300</v>
      </c>
      <c r="D11" s="69">
        <v>300</v>
      </c>
      <c r="E11" s="69">
        <v>300</v>
      </c>
      <c r="F11" s="69">
        <v>300</v>
      </c>
      <c r="G11" s="69">
        <v>300</v>
      </c>
      <c r="H11" s="69">
        <v>300</v>
      </c>
      <c r="I11" s="69">
        <v>300</v>
      </c>
      <c r="J11" s="69">
        <v>300</v>
      </c>
      <c r="K11" s="69">
        <v>300</v>
      </c>
      <c r="L11" s="69">
        <v>300</v>
      </c>
      <c r="M11" s="69">
        <v>300</v>
      </c>
      <c r="N11" s="69">
        <v>300</v>
      </c>
      <c r="O11" s="69">
        <v>300</v>
      </c>
      <c r="P11" s="69">
        <v>300</v>
      </c>
      <c r="Q11" s="70">
        <v>300</v>
      </c>
      <c r="R11" s="71"/>
    </row>
    <row r="12" spans="2:18" s="34" customFormat="1" ht="15.5" x14ac:dyDescent="0.35">
      <c r="B12" s="35" t="s">
        <v>16</v>
      </c>
      <c r="C12" s="72">
        <f>$C$3</f>
        <v>0.85</v>
      </c>
      <c r="D12" s="72">
        <f t="shared" ref="D12:Q12" si="0">$C$3</f>
        <v>0.85</v>
      </c>
      <c r="E12" s="72">
        <f t="shared" si="0"/>
        <v>0.85</v>
      </c>
      <c r="F12" s="72">
        <f t="shared" si="0"/>
        <v>0.85</v>
      </c>
      <c r="G12" s="72">
        <f t="shared" si="0"/>
        <v>0.85</v>
      </c>
      <c r="H12" s="72">
        <f t="shared" si="0"/>
        <v>0.85</v>
      </c>
      <c r="I12" s="72">
        <f t="shared" si="0"/>
        <v>0.85</v>
      </c>
      <c r="J12" s="72">
        <f t="shared" si="0"/>
        <v>0.85</v>
      </c>
      <c r="K12" s="72">
        <f t="shared" si="0"/>
        <v>0.85</v>
      </c>
      <c r="L12" s="72">
        <f t="shared" si="0"/>
        <v>0.85</v>
      </c>
      <c r="M12" s="72">
        <f t="shared" si="0"/>
        <v>0.85</v>
      </c>
      <c r="N12" s="72">
        <f t="shared" si="0"/>
        <v>0.85</v>
      </c>
      <c r="O12" s="72">
        <f t="shared" si="0"/>
        <v>0.85</v>
      </c>
      <c r="P12" s="72">
        <f t="shared" si="0"/>
        <v>0.85</v>
      </c>
      <c r="Q12" s="73">
        <f t="shared" si="0"/>
        <v>0.85</v>
      </c>
      <c r="R12" s="71"/>
    </row>
    <row r="13" spans="2:18" s="34" customFormat="1" ht="15.5" x14ac:dyDescent="0.35">
      <c r="B13" s="35" t="s">
        <v>17</v>
      </c>
      <c r="C13" s="74">
        <f t="shared" ref="C13:Q13" si="1">C11*1000*24*365*C12/1000000</f>
        <v>2233.8000000000002</v>
      </c>
      <c r="D13" s="74">
        <f t="shared" si="1"/>
        <v>2233.8000000000002</v>
      </c>
      <c r="E13" s="74">
        <f t="shared" si="1"/>
        <v>2233.8000000000002</v>
      </c>
      <c r="F13" s="74">
        <f t="shared" si="1"/>
        <v>2233.8000000000002</v>
      </c>
      <c r="G13" s="74">
        <f t="shared" si="1"/>
        <v>2233.8000000000002</v>
      </c>
      <c r="H13" s="74">
        <f t="shared" si="1"/>
        <v>2233.8000000000002</v>
      </c>
      <c r="I13" s="74">
        <f t="shared" si="1"/>
        <v>2233.8000000000002</v>
      </c>
      <c r="J13" s="74">
        <f t="shared" si="1"/>
        <v>2233.8000000000002</v>
      </c>
      <c r="K13" s="74">
        <f t="shared" si="1"/>
        <v>2233.8000000000002</v>
      </c>
      <c r="L13" s="74">
        <f t="shared" si="1"/>
        <v>2233.8000000000002</v>
      </c>
      <c r="M13" s="74">
        <f t="shared" si="1"/>
        <v>2233.8000000000002</v>
      </c>
      <c r="N13" s="74">
        <f t="shared" si="1"/>
        <v>2233.8000000000002</v>
      </c>
      <c r="O13" s="74">
        <f t="shared" si="1"/>
        <v>2233.8000000000002</v>
      </c>
      <c r="P13" s="74">
        <f t="shared" si="1"/>
        <v>2233.8000000000002</v>
      </c>
      <c r="Q13" s="75">
        <f t="shared" si="1"/>
        <v>2233.8000000000002</v>
      </c>
      <c r="R13" s="71"/>
    </row>
    <row r="14" spans="2:18" s="34" customFormat="1" ht="15.5" x14ac:dyDescent="0.35">
      <c r="B14" s="35" t="s">
        <v>18</v>
      </c>
      <c r="C14" s="76">
        <v>201</v>
      </c>
      <c r="D14" s="76">
        <v>201</v>
      </c>
      <c r="E14" s="76">
        <v>201</v>
      </c>
      <c r="F14" s="76">
        <v>201</v>
      </c>
      <c r="G14" s="76">
        <v>201</v>
      </c>
      <c r="H14" s="76">
        <v>201</v>
      </c>
      <c r="I14" s="76">
        <v>201</v>
      </c>
      <c r="J14" s="76">
        <v>201</v>
      </c>
      <c r="K14" s="76">
        <v>201</v>
      </c>
      <c r="L14" s="76">
        <v>201</v>
      </c>
      <c r="M14" s="76">
        <v>201</v>
      </c>
      <c r="N14" s="76">
        <v>201</v>
      </c>
      <c r="O14" s="76">
        <v>201</v>
      </c>
      <c r="P14" s="76">
        <v>201</v>
      </c>
      <c r="Q14" s="77">
        <v>201</v>
      </c>
      <c r="R14" s="71"/>
    </row>
    <row r="15" spans="2:18" s="34" customFormat="1" ht="15.5" x14ac:dyDescent="0.35">
      <c r="B15" s="78" t="s">
        <v>19</v>
      </c>
      <c r="C15" s="74">
        <f t="shared" ref="C15:Q15" si="2">C13-C14</f>
        <v>2032.8000000000002</v>
      </c>
      <c r="D15" s="74">
        <f t="shared" si="2"/>
        <v>2032.8000000000002</v>
      </c>
      <c r="E15" s="74">
        <f t="shared" si="2"/>
        <v>2032.8000000000002</v>
      </c>
      <c r="F15" s="74">
        <f t="shared" si="2"/>
        <v>2032.8000000000002</v>
      </c>
      <c r="G15" s="74">
        <f t="shared" si="2"/>
        <v>2032.8000000000002</v>
      </c>
      <c r="H15" s="74">
        <f t="shared" si="2"/>
        <v>2032.8000000000002</v>
      </c>
      <c r="I15" s="74">
        <f t="shared" si="2"/>
        <v>2032.8000000000002</v>
      </c>
      <c r="J15" s="74">
        <f t="shared" si="2"/>
        <v>2032.8000000000002</v>
      </c>
      <c r="K15" s="74">
        <f t="shared" si="2"/>
        <v>2032.8000000000002</v>
      </c>
      <c r="L15" s="74">
        <f t="shared" si="2"/>
        <v>2032.8000000000002</v>
      </c>
      <c r="M15" s="74">
        <f t="shared" si="2"/>
        <v>2032.8000000000002</v>
      </c>
      <c r="N15" s="74">
        <f t="shared" si="2"/>
        <v>2032.8000000000002</v>
      </c>
      <c r="O15" s="74">
        <f t="shared" si="2"/>
        <v>2032.8000000000002</v>
      </c>
      <c r="P15" s="74">
        <f t="shared" si="2"/>
        <v>2032.8000000000002</v>
      </c>
      <c r="Q15" s="75">
        <f t="shared" si="2"/>
        <v>2032.8000000000002</v>
      </c>
    </row>
    <row r="16" spans="2:18" s="34" customFormat="1" ht="15.5" x14ac:dyDescent="0.35">
      <c r="B16" s="35" t="s">
        <v>20</v>
      </c>
      <c r="C16" s="79">
        <v>3.25</v>
      </c>
      <c r="D16" s="79">
        <f>C16*1.01</f>
        <v>3.2825000000000002</v>
      </c>
      <c r="E16" s="79">
        <f t="shared" ref="E16:Q16" si="3">D16*1.01</f>
        <v>3.3153250000000001</v>
      </c>
      <c r="F16" s="79">
        <f t="shared" si="3"/>
        <v>3.3484782500000003</v>
      </c>
      <c r="G16" s="79">
        <f t="shared" si="3"/>
        <v>3.3819630325000003</v>
      </c>
      <c r="H16" s="79">
        <f t="shared" si="3"/>
        <v>3.4157826628250003</v>
      </c>
      <c r="I16" s="79">
        <f t="shared" si="3"/>
        <v>3.4499404894532502</v>
      </c>
      <c r="J16" s="79">
        <f t="shared" si="3"/>
        <v>3.4844398943477826</v>
      </c>
      <c r="K16" s="79">
        <f t="shared" si="3"/>
        <v>3.5192842932912605</v>
      </c>
      <c r="L16" s="79">
        <f t="shared" si="3"/>
        <v>3.5544771362241732</v>
      </c>
      <c r="M16" s="79">
        <f t="shared" si="3"/>
        <v>3.590021907586415</v>
      </c>
      <c r="N16" s="79">
        <f t="shared" si="3"/>
        <v>3.6259221266622794</v>
      </c>
      <c r="O16" s="79">
        <f t="shared" si="3"/>
        <v>3.662181347928902</v>
      </c>
      <c r="P16" s="79">
        <f t="shared" si="3"/>
        <v>3.6988031614081911</v>
      </c>
      <c r="Q16" s="80">
        <f t="shared" si="3"/>
        <v>3.7357911930222731</v>
      </c>
      <c r="R16" s="81"/>
    </row>
    <row r="17" spans="2:22" s="34" customFormat="1" ht="15.5" x14ac:dyDescent="0.35">
      <c r="B17" s="82" t="s">
        <v>21</v>
      </c>
      <c r="C17" s="83">
        <f>C15*C16</f>
        <v>6606.6</v>
      </c>
      <c r="D17" s="83">
        <f t="shared" ref="D17:Q17" si="4">D15*D16</f>
        <v>6672.6660000000011</v>
      </c>
      <c r="E17" s="83">
        <f t="shared" si="4"/>
        <v>6739.3926600000004</v>
      </c>
      <c r="F17" s="83">
        <f t="shared" si="4"/>
        <v>6806.7865866000011</v>
      </c>
      <c r="G17" s="83">
        <f t="shared" si="4"/>
        <v>6874.854452466001</v>
      </c>
      <c r="H17" s="83">
        <f t="shared" si="4"/>
        <v>6943.6029969906613</v>
      </c>
      <c r="I17" s="83">
        <f t="shared" si="4"/>
        <v>7013.0390269605678</v>
      </c>
      <c r="J17" s="83">
        <f t="shared" si="4"/>
        <v>7083.1694172301732</v>
      </c>
      <c r="K17" s="83">
        <f t="shared" si="4"/>
        <v>7154.0011114024746</v>
      </c>
      <c r="L17" s="83">
        <f t="shared" si="4"/>
        <v>7225.5411225164999</v>
      </c>
      <c r="M17" s="83">
        <f t="shared" si="4"/>
        <v>7297.7965337416654</v>
      </c>
      <c r="N17" s="83">
        <f t="shared" si="4"/>
        <v>7370.7744990790825</v>
      </c>
      <c r="O17" s="83">
        <f t="shared" si="4"/>
        <v>7444.4822440698726</v>
      </c>
      <c r="P17" s="83">
        <f t="shared" si="4"/>
        <v>7518.9270665105714</v>
      </c>
      <c r="Q17" s="84">
        <f t="shared" si="4"/>
        <v>7594.1163371756775</v>
      </c>
    </row>
    <row r="18" spans="2:22" s="34" customFormat="1" ht="15.5" x14ac:dyDescent="0.35">
      <c r="B18" s="45" t="s">
        <v>22</v>
      </c>
      <c r="C18" s="144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8"/>
    </row>
    <row r="19" spans="2:22" s="34" customFormat="1" ht="15.5" x14ac:dyDescent="0.35">
      <c r="B19" s="35" t="s">
        <v>23</v>
      </c>
      <c r="C19" s="74">
        <f>('Operating Data'!$C$23*((1.03^(C10-2012))))*$C$6</f>
        <v>3035.7847932351442</v>
      </c>
      <c r="D19" s="76">
        <f>('Operating Data'!$C$23*((1.03^(D10-2012))))*$C$6</f>
        <v>3126.8583370321981</v>
      </c>
      <c r="E19" s="76">
        <f>('Operating Data'!$C$23*((1.03^(E10-2012))))*$C$6</f>
        <v>3220.6640871431641</v>
      </c>
      <c r="F19" s="76">
        <f>('Operating Data'!$C$23*((1.03^(F10-2012))))*$C$6</f>
        <v>3317.284009757459</v>
      </c>
      <c r="G19" s="76">
        <f>('Operating Data'!$C$23*((1.03^(G10-2012))))*$C$6</f>
        <v>3416.8025300501827</v>
      </c>
      <c r="H19" s="76">
        <f>('Operating Data'!$C$23*((1.03^(H10-2012))))*$C$6</f>
        <v>3519.3066059516882</v>
      </c>
      <c r="I19" s="76">
        <f>('Operating Data'!$C$23*((1.03^(I10-2012))))*$C$6</f>
        <v>3624.8858041302392</v>
      </c>
      <c r="J19" s="76">
        <f>('Operating Data'!$C$23*((1.03^(J10-2012))))*$C$6</f>
        <v>3733.6323782541458</v>
      </c>
      <c r="K19" s="76">
        <f>('Operating Data'!$C$23*((1.03^(K10-2012))))*$C$6</f>
        <v>3845.6413496017703</v>
      </c>
      <c r="L19" s="76">
        <f>('Operating Data'!$C$23*((1.03^(L10-2012))))*$C$6</f>
        <v>3961.0105900898234</v>
      </c>
      <c r="M19" s="76">
        <f>('Operating Data'!$C$23*((1.03^(M10-2012))))*$C$6</f>
        <v>4079.8409077925185</v>
      </c>
      <c r="N19" s="76">
        <f>('Operating Data'!$C$23*((1.03^(N10-2012))))*$C$6</f>
        <v>4202.2361350262936</v>
      </c>
      <c r="O19" s="76">
        <f>('Operating Data'!$C$23*((1.03^(O10-2012))))*$C$6</f>
        <v>4328.3032190770818</v>
      </c>
      <c r="P19" s="76">
        <f>('Operating Data'!$C$23*((1.03^(P10-2012))))*$C$6</f>
        <v>4458.152315649395</v>
      </c>
      <c r="Q19" s="77">
        <f>('Operating Data'!$C$23*((1.03^(Q10-2012))))*$C$6</f>
        <v>4591.8968851188765</v>
      </c>
    </row>
    <row r="20" spans="2:22" s="34" customFormat="1" ht="15.5" x14ac:dyDescent="0.35">
      <c r="B20" s="35" t="s">
        <v>24</v>
      </c>
      <c r="C20" s="74">
        <f>((1.55*C11*((1.04)^(C10-2012)))-10)*($C$3/85%)</f>
        <v>473.6</v>
      </c>
      <c r="D20" s="74">
        <f t="shared" ref="D20:Q20" si="5">((1.55*D11*((1.04)^(D10-2012)))-10)*($C$3/85%)</f>
        <v>492.94400000000007</v>
      </c>
      <c r="E20" s="74">
        <f t="shared" si="5"/>
        <v>513.06176000000005</v>
      </c>
      <c r="F20" s="74">
        <f t="shared" si="5"/>
        <v>533.98423040000011</v>
      </c>
      <c r="G20" s="74">
        <f t="shared" si="5"/>
        <v>555.74359961600021</v>
      </c>
      <c r="H20" s="74">
        <f t="shared" si="5"/>
        <v>578.37334360064017</v>
      </c>
      <c r="I20" s="74">
        <f t="shared" si="5"/>
        <v>601.90827734466575</v>
      </c>
      <c r="J20" s="74">
        <f t="shared" si="5"/>
        <v>626.38460843845246</v>
      </c>
      <c r="K20" s="74">
        <f t="shared" si="5"/>
        <v>651.83999277599059</v>
      </c>
      <c r="L20" s="74">
        <f t="shared" si="5"/>
        <v>678.31359248703018</v>
      </c>
      <c r="M20" s="74">
        <f t="shared" si="5"/>
        <v>705.84613618651144</v>
      </c>
      <c r="N20" s="74">
        <f t="shared" si="5"/>
        <v>734.47998163397199</v>
      </c>
      <c r="O20" s="74">
        <f t="shared" si="5"/>
        <v>764.25918089933089</v>
      </c>
      <c r="P20" s="74">
        <f t="shared" si="5"/>
        <v>795.22954813530419</v>
      </c>
      <c r="Q20" s="75">
        <f t="shared" si="5"/>
        <v>827.43873006071624</v>
      </c>
    </row>
    <row r="21" spans="2:22" s="34" customFormat="1" ht="15.5" x14ac:dyDescent="0.35">
      <c r="B21" s="82" t="s">
        <v>25</v>
      </c>
      <c r="C21" s="76">
        <f t="shared" ref="C21:Q21" si="6">SUM(C19:C20)</f>
        <v>3509.3847932351441</v>
      </c>
      <c r="D21" s="74">
        <f t="shared" si="6"/>
        <v>3619.802337032198</v>
      </c>
      <c r="E21" s="76">
        <f t="shared" si="6"/>
        <v>3733.7258471431642</v>
      </c>
      <c r="F21" s="76">
        <f t="shared" si="6"/>
        <v>3851.2682401574593</v>
      </c>
      <c r="G21" s="76">
        <f t="shared" si="6"/>
        <v>3972.5461296661829</v>
      </c>
      <c r="H21" s="76">
        <f t="shared" si="6"/>
        <v>4097.6799495523283</v>
      </c>
      <c r="I21" s="76">
        <f t="shared" si="6"/>
        <v>4226.7940814749054</v>
      </c>
      <c r="J21" s="76">
        <f t="shared" si="6"/>
        <v>4360.016986692598</v>
      </c>
      <c r="K21" s="76">
        <f t="shared" si="6"/>
        <v>4497.4813423777614</v>
      </c>
      <c r="L21" s="76">
        <f t="shared" si="6"/>
        <v>4639.3241825768537</v>
      </c>
      <c r="M21" s="76">
        <f t="shared" si="6"/>
        <v>4785.68704397903</v>
      </c>
      <c r="N21" s="76">
        <f t="shared" si="6"/>
        <v>4936.7161166602655</v>
      </c>
      <c r="O21" s="76">
        <f t="shared" si="6"/>
        <v>5092.562399976413</v>
      </c>
      <c r="P21" s="76">
        <f t="shared" si="6"/>
        <v>5253.3818637846989</v>
      </c>
      <c r="Q21" s="77">
        <f t="shared" si="6"/>
        <v>5419.3356151795924</v>
      </c>
      <c r="V21" s="145"/>
    </row>
    <row r="22" spans="2:22" s="34" customFormat="1" ht="15.5" x14ac:dyDescent="0.35">
      <c r="B22" s="85" t="s">
        <v>26</v>
      </c>
      <c r="C22" s="83">
        <f t="shared" ref="C22:Q22" si="7">C17-C21</f>
        <v>3097.2152067648562</v>
      </c>
      <c r="D22" s="83">
        <f t="shared" si="7"/>
        <v>3052.8636629678031</v>
      </c>
      <c r="E22" s="83">
        <f t="shared" si="7"/>
        <v>3005.6668128568363</v>
      </c>
      <c r="F22" s="83">
        <f t="shared" si="7"/>
        <v>2955.5183464425418</v>
      </c>
      <c r="G22" s="83">
        <f t="shared" si="7"/>
        <v>2902.3083227998181</v>
      </c>
      <c r="H22" s="83">
        <f t="shared" si="7"/>
        <v>2845.923047438333</v>
      </c>
      <c r="I22" s="83">
        <f t="shared" si="7"/>
        <v>2786.2449454856624</v>
      </c>
      <c r="J22" s="83">
        <f t="shared" si="7"/>
        <v>2723.1524305375751</v>
      </c>
      <c r="K22" s="83">
        <f t="shared" si="7"/>
        <v>2656.5197690247132</v>
      </c>
      <c r="L22" s="83">
        <f t="shared" si="7"/>
        <v>2586.2169399396462</v>
      </c>
      <c r="M22" s="83">
        <f t="shared" si="7"/>
        <v>2512.1094897626353</v>
      </c>
      <c r="N22" s="83">
        <f t="shared" si="7"/>
        <v>2434.058382418817</v>
      </c>
      <c r="O22" s="83">
        <f t="shared" si="7"/>
        <v>2351.9198440934597</v>
      </c>
      <c r="P22" s="83">
        <f t="shared" si="7"/>
        <v>2265.5452027258725</v>
      </c>
      <c r="Q22" s="84">
        <f t="shared" si="7"/>
        <v>2174.780721996085</v>
      </c>
    </row>
    <row r="23" spans="2:22" s="34" customFormat="1" ht="15.5" x14ac:dyDescent="0.35">
      <c r="B23" s="45" t="s">
        <v>27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8"/>
    </row>
    <row r="24" spans="2:22" s="34" customFormat="1" ht="15.5" x14ac:dyDescent="0.35">
      <c r="B24" s="35" t="s">
        <v>28</v>
      </c>
      <c r="C24" s="74">
        <f>$C$5*(('Balance Sheet (Case Exhibit 6)'!F12+'Balance Sheet (Case Exhibit 6)'!G12)/2)</f>
        <v>1320.2</v>
      </c>
      <c r="D24" s="74">
        <f>$C$5*(('Balance Sheet (Case Exhibit 6)'!G12+'Balance Sheet (Case Exhibit 6)'!H12)/2)</f>
        <v>1205.4000000000001</v>
      </c>
      <c r="E24" s="74">
        <f>$C$5*(('Balance Sheet (Case Exhibit 6)'!H12+'Balance Sheet (Case Exhibit 6)'!I12)/2)</f>
        <v>1053.5</v>
      </c>
      <c r="F24" s="74">
        <f>$C$5*(('Balance Sheet (Case Exhibit 6)'!I12+'Balance Sheet (Case Exhibit 6)'!J12)/2)</f>
        <v>903.00000000000011</v>
      </c>
      <c r="G24" s="74">
        <f>$C$5*(('Balance Sheet (Case Exhibit 6)'!J12+'Balance Sheet (Case Exhibit 6)'!K12)/2)</f>
        <v>752.50000000000011</v>
      </c>
      <c r="H24" s="74">
        <f>$C$5*(('Balance Sheet (Case Exhibit 6)'!K12+'Balance Sheet (Case Exhibit 6)'!L12)/2)</f>
        <v>602.00000000000011</v>
      </c>
      <c r="I24" s="74">
        <f>$C$5*(('Balance Sheet (Case Exhibit 6)'!L12+'Balance Sheet (Case Exhibit 6)'!M12)/2)</f>
        <v>451.50000000000006</v>
      </c>
      <c r="J24" s="74">
        <f>$C$5*(('Balance Sheet (Case Exhibit 6)'!M12+'Balance Sheet (Case Exhibit 6)'!N12)/2)</f>
        <v>301.00000000000006</v>
      </c>
      <c r="K24" s="74">
        <f>$C$5*(('Balance Sheet (Case Exhibit 6)'!N12+'Balance Sheet (Case Exhibit 6)'!O12)/2)</f>
        <v>150.50000000000003</v>
      </c>
      <c r="L24" s="74">
        <f>$C$5*(('Balance Sheet (Case Exhibit 6)'!O12+'Balance Sheet (Case Exhibit 6)'!P12)/2)</f>
        <v>37.800000000000004</v>
      </c>
      <c r="M24" s="76">
        <f>$C$5*(('Balance Sheet (Case Exhibit 6)'!P12+'Balance Sheet (Case Exhibit 6)'!Q12)/2)</f>
        <v>0</v>
      </c>
      <c r="N24" s="76">
        <f>$C$5*(('Balance Sheet (Case Exhibit 6)'!Q12+'Balance Sheet (Case Exhibit 6)'!R12)/2)</f>
        <v>0</v>
      </c>
      <c r="O24" s="76">
        <f>$C$5*(('Balance Sheet (Case Exhibit 6)'!R12+'Balance Sheet (Case Exhibit 6)'!S12)/2)</f>
        <v>0</v>
      </c>
      <c r="P24" s="76">
        <f>$C$5*(('Balance Sheet (Case Exhibit 6)'!S12+'Balance Sheet (Case Exhibit 6)'!T12)/2)</f>
        <v>0</v>
      </c>
      <c r="Q24" s="77">
        <f>$C$5*(('Balance Sheet (Case Exhibit 6)'!T12+'Balance Sheet (Case Exhibit 6)'!U12)/2)</f>
        <v>0</v>
      </c>
    </row>
    <row r="25" spans="2:22" s="34" customFormat="1" ht="15.5" x14ac:dyDescent="0.35">
      <c r="B25" s="35" t="s">
        <v>29</v>
      </c>
      <c r="C25" s="136">
        <f>$C$5*(('Balance Sheet (Case Exhibit 6)'!G13))</f>
        <v>130.20000000000002</v>
      </c>
      <c r="D25" s="136">
        <f>$C$5*(('Balance Sheet (Case Exhibit 6)'!G13+'Balance Sheet (Case Exhibit 6)'!H13)/2)</f>
        <v>130.9</v>
      </c>
      <c r="E25" s="136">
        <f>$C$5*(('Balance Sheet (Case Exhibit 6)'!H13+'Balance Sheet (Case Exhibit 6)'!I13)/2)</f>
        <v>133</v>
      </c>
      <c r="F25" s="136">
        <f>$C$5*(('Balance Sheet (Case Exhibit 6)'!I13+'Balance Sheet (Case Exhibit 6)'!J13)/2)</f>
        <v>135.80000000000001</v>
      </c>
      <c r="G25" s="136">
        <f>$C$5*(('Balance Sheet (Case Exhibit 6)'!J13+'Balance Sheet (Case Exhibit 6)'!K13)/2)</f>
        <v>137.9</v>
      </c>
      <c r="H25" s="136">
        <f>$C$5*(('Balance Sheet (Case Exhibit 6)'!K13+'Balance Sheet (Case Exhibit 6)'!L13)/2)</f>
        <v>140</v>
      </c>
      <c r="I25" s="136">
        <f>$C$5*(('Balance Sheet (Case Exhibit 6)'!L13+'Balance Sheet (Case Exhibit 6)'!M13)/2)</f>
        <v>142.80000000000001</v>
      </c>
      <c r="J25" s="136">
        <f>$C$5*(('Balance Sheet (Case Exhibit 6)'!M13+'Balance Sheet (Case Exhibit 6)'!N13)/2)</f>
        <v>145.60000000000002</v>
      </c>
      <c r="K25" s="136">
        <f>$C$5*(('Balance Sheet (Case Exhibit 6)'!N13+'Balance Sheet (Case Exhibit 6)'!O13)/2)</f>
        <v>148.4</v>
      </c>
      <c r="L25" s="136">
        <f>$C$5*(('Balance Sheet (Case Exhibit 6)'!O13+'Balance Sheet (Case Exhibit 6)'!P13)/2)</f>
        <v>151.20000000000002</v>
      </c>
      <c r="M25" s="136">
        <f>$C$5*(('Balance Sheet (Case Exhibit 6)'!P13+'Balance Sheet (Case Exhibit 6)'!Q13)/2)</f>
        <v>154.00000000000003</v>
      </c>
      <c r="N25" s="136">
        <f>$C$5*(('Balance Sheet (Case Exhibit 6)'!Q13+'Balance Sheet (Case Exhibit 6)'!R13)/2)</f>
        <v>156.80000000000001</v>
      </c>
      <c r="O25" s="136">
        <f>$C$5*(('Balance Sheet (Case Exhibit 6)'!R13+'Balance Sheet (Case Exhibit 6)'!S13)/2)</f>
        <v>160.30000000000001</v>
      </c>
      <c r="P25" s="136">
        <f>$C$5*(('Balance Sheet (Case Exhibit 6)'!S13+'Balance Sheet (Case Exhibit 6)'!T13)/2)</f>
        <v>163.80000000000001</v>
      </c>
      <c r="Q25" s="137">
        <f>$C$5*(('Balance Sheet (Case Exhibit 6)'!T13+'Balance Sheet (Case Exhibit 6)'!U13)/2)</f>
        <v>166.60000000000002</v>
      </c>
    </row>
    <row r="26" spans="2:22" s="34" customFormat="1" ht="15.5" x14ac:dyDescent="0.35">
      <c r="B26" s="35" t="s">
        <v>30</v>
      </c>
      <c r="C26" s="38">
        <v>680</v>
      </c>
      <c r="D26" s="38">
        <v>680</v>
      </c>
      <c r="E26" s="38">
        <v>680</v>
      </c>
      <c r="F26" s="38">
        <v>680</v>
      </c>
      <c r="G26" s="38">
        <v>680</v>
      </c>
      <c r="H26" s="38">
        <v>680</v>
      </c>
      <c r="I26" s="38">
        <v>680</v>
      </c>
      <c r="J26" s="38">
        <v>680</v>
      </c>
      <c r="K26" s="38">
        <v>680</v>
      </c>
      <c r="L26" s="38">
        <v>680</v>
      </c>
      <c r="M26" s="38">
        <v>680</v>
      </c>
      <c r="N26" s="38">
        <v>680</v>
      </c>
      <c r="O26" s="38">
        <v>680</v>
      </c>
      <c r="P26" s="38">
        <v>680</v>
      </c>
      <c r="Q26" s="39">
        <v>680</v>
      </c>
    </row>
    <row r="27" spans="2:22" s="34" customFormat="1" ht="15.5" x14ac:dyDescent="0.35">
      <c r="B27" s="52" t="s">
        <v>31</v>
      </c>
      <c r="C27" s="136">
        <f t="shared" ref="C27:Q27" si="8">C22-C24-C25-C26</f>
        <v>966.81520676485616</v>
      </c>
      <c r="D27" s="83">
        <f t="shared" si="8"/>
        <v>1036.5636629678029</v>
      </c>
      <c r="E27" s="83">
        <f t="shared" si="8"/>
        <v>1139.1668128568363</v>
      </c>
      <c r="F27" s="83">
        <f t="shared" si="8"/>
        <v>1236.7183464425418</v>
      </c>
      <c r="G27" s="83">
        <f t="shared" si="8"/>
        <v>1331.9083227998181</v>
      </c>
      <c r="H27" s="83">
        <f t="shared" si="8"/>
        <v>1423.923047438333</v>
      </c>
      <c r="I27" s="83">
        <f t="shared" si="8"/>
        <v>1511.9449454856622</v>
      </c>
      <c r="J27" s="83">
        <f t="shared" si="8"/>
        <v>1596.5524305375752</v>
      </c>
      <c r="K27" s="83">
        <f t="shared" si="8"/>
        <v>1677.6197690247132</v>
      </c>
      <c r="L27" s="83">
        <f t="shared" si="8"/>
        <v>1717.2169399396462</v>
      </c>
      <c r="M27" s="83">
        <f t="shared" si="8"/>
        <v>1678.1094897626353</v>
      </c>
      <c r="N27" s="83">
        <f t="shared" si="8"/>
        <v>1597.2583824188168</v>
      </c>
      <c r="O27" s="83">
        <f t="shared" si="8"/>
        <v>1511.6198440934595</v>
      </c>
      <c r="P27" s="83">
        <f t="shared" si="8"/>
        <v>1421.7452027258723</v>
      </c>
      <c r="Q27" s="84">
        <f t="shared" si="8"/>
        <v>1328.1807219960851</v>
      </c>
    </row>
    <row r="28" spans="2:22" s="34" customFormat="1" ht="15.5" x14ac:dyDescent="0.35">
      <c r="B28" s="45" t="s">
        <v>32</v>
      </c>
      <c r="C28" s="4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1"/>
    </row>
    <row r="29" spans="2:22" s="34" customFormat="1" ht="15.5" x14ac:dyDescent="0.35">
      <c r="B29" s="35" t="s">
        <v>33</v>
      </c>
      <c r="C29" s="38">
        <v>200</v>
      </c>
      <c r="D29" s="38">
        <v>210</v>
      </c>
      <c r="E29" s="38">
        <v>220</v>
      </c>
      <c r="F29" s="38">
        <v>240</v>
      </c>
      <c r="G29" s="38">
        <v>250</v>
      </c>
      <c r="H29" s="38">
        <v>260</v>
      </c>
      <c r="I29" s="38">
        <v>270</v>
      </c>
      <c r="J29" s="38">
        <v>280</v>
      </c>
      <c r="K29" s="38">
        <v>290</v>
      </c>
      <c r="L29" s="38">
        <v>300</v>
      </c>
      <c r="M29" s="38">
        <v>290</v>
      </c>
      <c r="N29" s="38">
        <v>280</v>
      </c>
      <c r="O29" s="38">
        <v>260</v>
      </c>
      <c r="P29" s="38">
        <v>250</v>
      </c>
      <c r="Q29" s="39">
        <v>230</v>
      </c>
    </row>
    <row r="30" spans="2:22" s="34" customFormat="1" ht="15.5" x14ac:dyDescent="0.35">
      <c r="B30" s="35" t="s">
        <v>34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-10</v>
      </c>
      <c r="K30" s="38">
        <v>-40</v>
      </c>
      <c r="L30" s="38">
        <v>-70</v>
      </c>
      <c r="M30" s="38">
        <v>-90</v>
      </c>
      <c r="N30" s="38">
        <v>-110</v>
      </c>
      <c r="O30" s="38">
        <v>-130</v>
      </c>
      <c r="P30" s="38">
        <v>-140</v>
      </c>
      <c r="Q30" s="39">
        <v>-150</v>
      </c>
    </row>
    <row r="31" spans="2:22" s="34" customFormat="1" ht="15.5" x14ac:dyDescent="0.35">
      <c r="B31" s="86" t="s">
        <v>35</v>
      </c>
      <c r="C31" s="136">
        <f t="shared" ref="C31:Q31" si="9">C27-C29-C30</f>
        <v>766.81520676485616</v>
      </c>
      <c r="D31" s="83">
        <f t="shared" si="9"/>
        <v>826.56366296780288</v>
      </c>
      <c r="E31" s="83">
        <f t="shared" si="9"/>
        <v>919.16681285683626</v>
      </c>
      <c r="F31" s="83">
        <f t="shared" si="9"/>
        <v>996.71834644254182</v>
      </c>
      <c r="G31" s="83">
        <f t="shared" si="9"/>
        <v>1081.9083227998181</v>
      </c>
      <c r="H31" s="83">
        <f t="shared" si="9"/>
        <v>1163.923047438333</v>
      </c>
      <c r="I31" s="83">
        <f t="shared" si="9"/>
        <v>1241.9449454856622</v>
      </c>
      <c r="J31" s="83">
        <f t="shared" si="9"/>
        <v>1326.5524305375752</v>
      </c>
      <c r="K31" s="83">
        <f t="shared" si="9"/>
        <v>1427.6197690247132</v>
      </c>
      <c r="L31" s="83">
        <f t="shared" si="9"/>
        <v>1487.2169399396462</v>
      </c>
      <c r="M31" s="83">
        <f t="shared" si="9"/>
        <v>1478.1094897626353</v>
      </c>
      <c r="N31" s="83">
        <f t="shared" si="9"/>
        <v>1427.2583824188168</v>
      </c>
      <c r="O31" s="83">
        <f t="shared" si="9"/>
        <v>1381.6198440934595</v>
      </c>
      <c r="P31" s="83">
        <f t="shared" si="9"/>
        <v>1311.7452027258723</v>
      </c>
      <c r="Q31" s="84">
        <f t="shared" si="9"/>
        <v>1248.1807219960851</v>
      </c>
    </row>
    <row r="32" spans="2:22" s="34" customFormat="1" ht="15.5" x14ac:dyDescent="0.35">
      <c r="B32" s="86" t="s">
        <v>36</v>
      </c>
      <c r="C32" s="138">
        <f t="shared" ref="C32:Q32" si="10">C31+C26+C30</f>
        <v>1446.8152067648562</v>
      </c>
      <c r="D32" s="87">
        <f t="shared" si="10"/>
        <v>1506.5636629678029</v>
      </c>
      <c r="E32" s="87">
        <f t="shared" si="10"/>
        <v>1599.1668128568363</v>
      </c>
      <c r="F32" s="87">
        <f t="shared" si="10"/>
        <v>1676.7183464425418</v>
      </c>
      <c r="G32" s="87">
        <f t="shared" si="10"/>
        <v>1761.9083227998181</v>
      </c>
      <c r="H32" s="87">
        <f t="shared" si="10"/>
        <v>1843.923047438333</v>
      </c>
      <c r="I32" s="87">
        <f t="shared" si="10"/>
        <v>1921.9449454856622</v>
      </c>
      <c r="J32" s="87">
        <f t="shared" si="10"/>
        <v>1996.5524305375752</v>
      </c>
      <c r="K32" s="87">
        <f t="shared" si="10"/>
        <v>2067.6197690247132</v>
      </c>
      <c r="L32" s="87">
        <f t="shared" si="10"/>
        <v>2097.2169399396462</v>
      </c>
      <c r="M32" s="87">
        <f t="shared" si="10"/>
        <v>2068.1094897626353</v>
      </c>
      <c r="N32" s="87">
        <f t="shared" si="10"/>
        <v>1997.2583824188168</v>
      </c>
      <c r="O32" s="87">
        <f t="shared" si="10"/>
        <v>1931.6198440934595</v>
      </c>
      <c r="P32" s="87">
        <f t="shared" si="10"/>
        <v>1851.7452027258723</v>
      </c>
      <c r="Q32" s="88">
        <f t="shared" si="10"/>
        <v>1778.1807219960851</v>
      </c>
    </row>
    <row r="33" spans="2:20" s="34" customFormat="1" ht="15.5" x14ac:dyDescent="0.35">
      <c r="B33" s="86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2:20" s="34" customFormat="1" ht="15.5" x14ac:dyDescent="0.35">
      <c r="B34" s="86" t="s">
        <v>42</v>
      </c>
      <c r="C34" s="90">
        <f>-('Balance Sheet (Case Exhibit 6)'!G12-'Balance Sheet (Case Exhibit 6)'!F12)</f>
        <v>540</v>
      </c>
      <c r="D34" s="90">
        <f>-('Balance Sheet (Case Exhibit 6)'!H12-'Balance Sheet (Case Exhibit 6)'!G12)</f>
        <v>1100</v>
      </c>
      <c r="E34" s="90">
        <f>-('Balance Sheet (Case Exhibit 6)'!I12-'Balance Sheet (Case Exhibit 6)'!H12)</f>
        <v>1070</v>
      </c>
      <c r="F34" s="90">
        <f>-('Balance Sheet (Case Exhibit 6)'!J12-'Balance Sheet (Case Exhibit 6)'!I12)</f>
        <v>1080</v>
      </c>
      <c r="G34" s="90">
        <f>-('Balance Sheet (Case Exhibit 6)'!K12-'Balance Sheet (Case Exhibit 6)'!J12)</f>
        <v>1070</v>
      </c>
      <c r="H34" s="90">
        <f>-('Balance Sheet (Case Exhibit 6)'!L12-'Balance Sheet (Case Exhibit 6)'!K12)</f>
        <v>1080</v>
      </c>
      <c r="I34" s="90">
        <f>-('Balance Sheet (Case Exhibit 6)'!M12-'Balance Sheet (Case Exhibit 6)'!L12)</f>
        <v>1070</v>
      </c>
      <c r="J34" s="90">
        <f>-('Balance Sheet (Case Exhibit 6)'!N12-'Balance Sheet (Case Exhibit 6)'!M12)</f>
        <v>1080</v>
      </c>
      <c r="K34" s="90">
        <f>-('Balance Sheet (Case Exhibit 6)'!O12-'Balance Sheet (Case Exhibit 6)'!N12)</f>
        <v>1070</v>
      </c>
      <c r="L34" s="90">
        <f>-('Balance Sheet (Case Exhibit 6)'!P12-'Balance Sheet (Case Exhibit 6)'!O12)</f>
        <v>540</v>
      </c>
      <c r="M34" s="89"/>
      <c r="N34" s="89"/>
      <c r="O34" s="89"/>
      <c r="P34" s="89"/>
      <c r="Q34" s="91"/>
    </row>
    <row r="35" spans="2:20" s="34" customFormat="1" ht="15.5" x14ac:dyDescent="0.35">
      <c r="B35" s="86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89"/>
      <c r="N35" s="89"/>
      <c r="O35" s="89"/>
      <c r="P35" s="89"/>
      <c r="Q35" s="91"/>
    </row>
    <row r="36" spans="2:20" s="34" customFormat="1" ht="15.5" x14ac:dyDescent="0.35">
      <c r="B36" s="86" t="s">
        <v>43</v>
      </c>
      <c r="C36" s="92">
        <f>(C31+C24+C26)/(C24+C34)</f>
        <v>1.4874826399122976</v>
      </c>
      <c r="D36" s="92">
        <f t="shared" ref="D36:L36" si="11">(D31+D24+D26)/(D24+D34)</f>
        <v>1.1763527643653175</v>
      </c>
      <c r="E36" s="92">
        <f t="shared" si="11"/>
        <v>1.249195579400441</v>
      </c>
      <c r="F36" s="92">
        <f t="shared" si="11"/>
        <v>1.3009169674445498</v>
      </c>
      <c r="G36" s="92">
        <f t="shared" si="11"/>
        <v>1.3796479137447561</v>
      </c>
      <c r="H36" s="92">
        <f t="shared" si="11"/>
        <v>1.454175414648236</v>
      </c>
      <c r="I36" s="92">
        <f t="shared" si="11"/>
        <v>1.5599375257874875</v>
      </c>
      <c r="J36" s="92">
        <f t="shared" si="11"/>
        <v>1.6709286245746382</v>
      </c>
      <c r="K36" s="92">
        <f t="shared" si="11"/>
        <v>1.8501595813393799</v>
      </c>
      <c r="L36" s="92">
        <f t="shared" si="11"/>
        <v>3.8162286949457367</v>
      </c>
      <c r="M36" s="93"/>
      <c r="N36" s="93"/>
      <c r="O36" s="93"/>
      <c r="P36" s="93"/>
      <c r="Q36" s="94"/>
    </row>
    <row r="37" spans="2:20" s="34" customFormat="1" ht="16" thickBot="1" x14ac:dyDescent="0.4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</row>
    <row r="38" spans="2:20" s="34" customFormat="1" x14ac:dyDescent="0.35"/>
    <row r="39" spans="2:20" s="34" customFormat="1" ht="15" thickBot="1" x14ac:dyDescent="0.4"/>
    <row r="40" spans="2:20" s="34" customFormat="1" ht="16" thickBot="1" x14ac:dyDescent="0.4">
      <c r="B40" s="498" t="s">
        <v>44</v>
      </c>
      <c r="C40" s="499"/>
      <c r="D40" s="499"/>
      <c r="E40" s="499"/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500"/>
    </row>
    <row r="41" spans="2:20" s="34" customFormat="1" ht="16" thickBot="1" x14ac:dyDescent="0.4">
      <c r="B41" s="95" t="s">
        <v>45</v>
      </c>
      <c r="C41" s="96">
        <v>2010</v>
      </c>
      <c r="D41" s="97">
        <v>2011</v>
      </c>
      <c r="E41" s="97">
        <v>2012</v>
      </c>
      <c r="F41" s="97">
        <v>2013</v>
      </c>
      <c r="G41" s="97">
        <v>2014</v>
      </c>
      <c r="H41" s="97">
        <v>2015</v>
      </c>
      <c r="I41" s="97">
        <v>2016</v>
      </c>
      <c r="J41" s="97">
        <v>2017</v>
      </c>
      <c r="K41" s="97">
        <v>2018</v>
      </c>
      <c r="L41" s="97">
        <v>2019</v>
      </c>
      <c r="M41" s="97">
        <v>2020</v>
      </c>
      <c r="N41" s="97">
        <v>2021</v>
      </c>
      <c r="O41" s="97">
        <v>2022</v>
      </c>
      <c r="P41" s="97">
        <v>2023</v>
      </c>
      <c r="Q41" s="97">
        <v>2024</v>
      </c>
      <c r="R41" s="97">
        <v>2025</v>
      </c>
      <c r="S41" s="97">
        <v>2026</v>
      </c>
      <c r="T41" s="98">
        <v>2027</v>
      </c>
    </row>
    <row r="42" spans="2:20" s="34" customFormat="1" ht="15.5" x14ac:dyDescent="0.35">
      <c r="B42" s="99" t="s">
        <v>46</v>
      </c>
      <c r="C42" s="100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2"/>
    </row>
    <row r="43" spans="2:20" s="34" customFormat="1" ht="15.5" x14ac:dyDescent="0.35">
      <c r="B43" s="103" t="s">
        <v>47</v>
      </c>
      <c r="C43" s="104">
        <v>0</v>
      </c>
      <c r="D43" s="105">
        <v>0</v>
      </c>
      <c r="E43" s="105">
        <v>0</v>
      </c>
      <c r="F43" s="105">
        <f>'Sensitivity-Interest Rate @ 14%'!C31+'Sensitivity-Interest Rate @ 14%'!C24+'Sensitivity-Interest Rate @ 14%'!C25+'Sensitivity-Interest Rate @ 14%'!C26</f>
        <v>2897.2152067648558</v>
      </c>
      <c r="G43" s="105">
        <f>'Sensitivity-Interest Rate @ 14%'!D31+'Sensitivity-Interest Rate @ 14%'!D24+'Sensitivity-Interest Rate @ 14%'!D25+'Sensitivity-Interest Rate @ 14%'!D26</f>
        <v>2842.8636629678031</v>
      </c>
      <c r="H43" s="105">
        <f>'Sensitivity-Interest Rate @ 14%'!E31+'Sensitivity-Interest Rate @ 14%'!E24+'Sensitivity-Interest Rate @ 14%'!E25+'Sensitivity-Interest Rate @ 14%'!E26</f>
        <v>2785.6668128568363</v>
      </c>
      <c r="I43" s="105">
        <f>'Sensitivity-Interest Rate @ 14%'!F31+'Sensitivity-Interest Rate @ 14%'!F24+'Sensitivity-Interest Rate @ 14%'!F25+'Sensitivity-Interest Rate @ 14%'!F26</f>
        <v>2715.5183464425418</v>
      </c>
      <c r="J43" s="105">
        <f>'Sensitivity-Interest Rate @ 14%'!G31+'Sensitivity-Interest Rate @ 14%'!G24+'Sensitivity-Interest Rate @ 14%'!G25+'Sensitivity-Interest Rate @ 14%'!G26</f>
        <v>2652.3083227998181</v>
      </c>
      <c r="K43" s="105">
        <f>'Sensitivity-Interest Rate @ 14%'!H31+'Sensitivity-Interest Rate @ 14%'!H24+'Sensitivity-Interest Rate @ 14%'!H25+'Sensitivity-Interest Rate @ 14%'!H26</f>
        <v>2585.923047438333</v>
      </c>
      <c r="L43" s="105">
        <f>'Sensitivity-Interest Rate @ 14%'!I31+'Sensitivity-Interest Rate @ 14%'!I24+'Sensitivity-Interest Rate @ 14%'!I25+'Sensitivity-Interest Rate @ 14%'!I26</f>
        <v>2516.2449454856624</v>
      </c>
      <c r="M43" s="105">
        <f>'Sensitivity-Interest Rate @ 14%'!J31+'Sensitivity-Interest Rate @ 14%'!J24+'Sensitivity-Interest Rate @ 14%'!J25+'Sensitivity-Interest Rate @ 14%'!J26</f>
        <v>2453.1524305375751</v>
      </c>
      <c r="N43" s="105">
        <f>'Sensitivity-Interest Rate @ 14%'!K31+'Sensitivity-Interest Rate @ 14%'!K24+'Sensitivity-Interest Rate @ 14%'!K25+'Sensitivity-Interest Rate @ 14%'!K26</f>
        <v>2406.5197690247132</v>
      </c>
      <c r="O43" s="105">
        <f>'Sensitivity-Interest Rate @ 14%'!L31+'Sensitivity-Interest Rate @ 14%'!L24+'Sensitivity-Interest Rate @ 14%'!L25+'Sensitivity-Interest Rate @ 14%'!L26</f>
        <v>2356.2169399396462</v>
      </c>
      <c r="P43" s="105">
        <f>'Sensitivity-Interest Rate @ 14%'!M31+'Sensitivity-Interest Rate @ 14%'!M24+'Sensitivity-Interest Rate @ 14%'!M25+'Sensitivity-Interest Rate @ 14%'!M26</f>
        <v>2312.1094897626353</v>
      </c>
      <c r="Q43" s="105">
        <f>'Sensitivity-Interest Rate @ 14%'!N31+'Sensitivity-Interest Rate @ 14%'!N24+'Sensitivity-Interest Rate @ 14%'!N25+'Sensitivity-Interest Rate @ 14%'!N26</f>
        <v>2264.058382418817</v>
      </c>
      <c r="R43" s="105">
        <f>'Sensitivity-Interest Rate @ 14%'!O31+'Sensitivity-Interest Rate @ 14%'!O24+'Sensitivity-Interest Rate @ 14%'!O25+'Sensitivity-Interest Rate @ 14%'!O26</f>
        <v>2221.9198440934597</v>
      </c>
      <c r="S43" s="105">
        <f>'Sensitivity-Interest Rate @ 14%'!P31+'Sensitivity-Interest Rate @ 14%'!P24+'Sensitivity-Interest Rate @ 14%'!P25+'Sensitivity-Interest Rate @ 14%'!P26</f>
        <v>2155.5452027258725</v>
      </c>
      <c r="T43" s="106">
        <f>'Sensitivity-Interest Rate @ 14%'!Q31+'Sensitivity-Interest Rate @ 14%'!Q24+'Sensitivity-Interest Rate @ 14%'!Q25+'Sensitivity-Interest Rate @ 14%'!Q26</f>
        <v>2094.780721996085</v>
      </c>
    </row>
    <row r="44" spans="2:20" s="34" customFormat="1" ht="16" thickBot="1" x14ac:dyDescent="0.4">
      <c r="B44" s="107" t="s">
        <v>48</v>
      </c>
      <c r="C44" s="108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6">
        <f>0.05*'Balance Sheet (Case Exhibit 6)'!U24</f>
        <v>1238.5</v>
      </c>
    </row>
    <row r="45" spans="2:20" s="34" customFormat="1" ht="16" thickBot="1" x14ac:dyDescent="0.4">
      <c r="B45" s="95" t="s">
        <v>49</v>
      </c>
      <c r="C45" s="110">
        <f t="shared" ref="C45:T45" si="12">SUM(C43:C44)</f>
        <v>0</v>
      </c>
      <c r="D45" s="111">
        <f t="shared" si="12"/>
        <v>0</v>
      </c>
      <c r="E45" s="111">
        <f t="shared" si="12"/>
        <v>0</v>
      </c>
      <c r="F45" s="111">
        <f t="shared" si="12"/>
        <v>2897.2152067648558</v>
      </c>
      <c r="G45" s="111">
        <f t="shared" si="12"/>
        <v>2842.8636629678031</v>
      </c>
      <c r="H45" s="111">
        <f t="shared" si="12"/>
        <v>2785.6668128568363</v>
      </c>
      <c r="I45" s="111">
        <f t="shared" si="12"/>
        <v>2715.5183464425418</v>
      </c>
      <c r="J45" s="111">
        <f t="shared" si="12"/>
        <v>2652.3083227998181</v>
      </c>
      <c r="K45" s="111">
        <f t="shared" si="12"/>
        <v>2585.923047438333</v>
      </c>
      <c r="L45" s="111">
        <f t="shared" si="12"/>
        <v>2516.2449454856624</v>
      </c>
      <c r="M45" s="111">
        <f t="shared" si="12"/>
        <v>2453.1524305375751</v>
      </c>
      <c r="N45" s="111">
        <f t="shared" si="12"/>
        <v>2406.5197690247132</v>
      </c>
      <c r="O45" s="111">
        <f t="shared" si="12"/>
        <v>2356.2169399396462</v>
      </c>
      <c r="P45" s="111">
        <f t="shared" si="12"/>
        <v>2312.1094897626353</v>
      </c>
      <c r="Q45" s="111">
        <f t="shared" si="12"/>
        <v>2264.058382418817</v>
      </c>
      <c r="R45" s="111">
        <f t="shared" si="12"/>
        <v>2221.9198440934597</v>
      </c>
      <c r="S45" s="111">
        <f t="shared" si="12"/>
        <v>2155.5452027258725</v>
      </c>
      <c r="T45" s="112">
        <f t="shared" si="12"/>
        <v>3333.280721996085</v>
      </c>
    </row>
    <row r="46" spans="2:20" s="34" customFormat="1" ht="15.5" x14ac:dyDescent="0.35">
      <c r="B46" s="99" t="s">
        <v>50</v>
      </c>
      <c r="C46" s="100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2"/>
    </row>
    <row r="47" spans="2:20" s="34" customFormat="1" ht="15.5" x14ac:dyDescent="0.35">
      <c r="B47" s="103" t="s">
        <v>72</v>
      </c>
      <c r="C47" s="113">
        <f>'Balance Sheet (Case Exhibit 6)'!D24-'Balance Sheet (Case Exhibit 6)'!D22</f>
        <v>3460</v>
      </c>
      <c r="D47" s="114">
        <f>'Balance Sheet (Case Exhibit 6)'!E24-'Balance Sheet (Case Exhibit 6)'!E22-'Balance Sheet (Case Exhibit 6)'!D24</f>
        <v>5520</v>
      </c>
      <c r="E47" s="114">
        <f>'Balance Sheet (Case Exhibit 6)'!F24-'Balance Sheet (Case Exhibit 6)'!F22-'Balance Sheet (Case Exhibit 6)'!E24</f>
        <v>4570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</row>
    <row r="48" spans="2:20" s="34" customFormat="1" ht="16" thickBot="1" x14ac:dyDescent="0.4">
      <c r="B48" s="107" t="s">
        <v>73</v>
      </c>
      <c r="C48" s="115">
        <v>0</v>
      </c>
      <c r="D48" s="116">
        <v>0</v>
      </c>
      <c r="E48" s="116">
        <v>0</v>
      </c>
      <c r="F48" s="117">
        <f>'Balance Sheet (Case Exhibit 6)'!G30</f>
        <v>310</v>
      </c>
      <c r="G48" s="117">
        <f>'Balance Sheet (Case Exhibit 6)'!H30</f>
        <v>0</v>
      </c>
      <c r="H48" s="116">
        <f>'Balance Sheet (Case Exhibit 6)'!I30</f>
        <v>10</v>
      </c>
      <c r="I48" s="116">
        <f>'Balance Sheet (Case Exhibit 6)'!J30</f>
        <v>0</v>
      </c>
      <c r="J48" s="116">
        <f>'Balance Sheet (Case Exhibit 6)'!K30</f>
        <v>10</v>
      </c>
      <c r="K48" s="116">
        <f>'Balance Sheet (Case Exhibit 6)'!L30</f>
        <v>10</v>
      </c>
      <c r="L48" s="116">
        <f>'Balance Sheet (Case Exhibit 6)'!M30</f>
        <v>0</v>
      </c>
      <c r="M48" s="116">
        <f>'Balance Sheet (Case Exhibit 6)'!N30</f>
        <v>10</v>
      </c>
      <c r="N48" s="116">
        <f>'Balance Sheet (Case Exhibit 6)'!O30</f>
        <v>10</v>
      </c>
      <c r="O48" s="116">
        <f>'Balance Sheet (Case Exhibit 6)'!P30</f>
        <v>0</v>
      </c>
      <c r="P48" s="116">
        <f>'Balance Sheet (Case Exhibit 6)'!Q30</f>
        <v>10</v>
      </c>
      <c r="Q48" s="116">
        <f>'Balance Sheet (Case Exhibit 6)'!R30</f>
        <v>10</v>
      </c>
      <c r="R48" s="116">
        <f>'Balance Sheet (Case Exhibit 6)'!S30</f>
        <v>0</v>
      </c>
      <c r="S48" s="116">
        <f>'Balance Sheet (Case Exhibit 6)'!T30</f>
        <v>10</v>
      </c>
      <c r="T48" s="118">
        <f>'Balance Sheet (Case Exhibit 6)'!U30</f>
        <v>10</v>
      </c>
    </row>
    <row r="49" spans="2:20" s="34" customFormat="1" ht="15.5" x14ac:dyDescent="0.35">
      <c r="B49" s="119" t="s">
        <v>53</v>
      </c>
      <c r="C49" s="120">
        <f t="shared" ref="C49:T49" si="13">C47+C48</f>
        <v>3460</v>
      </c>
      <c r="D49" s="121">
        <f t="shared" si="13"/>
        <v>5520</v>
      </c>
      <c r="E49" s="121">
        <f t="shared" si="13"/>
        <v>4570</v>
      </c>
      <c r="F49" s="121">
        <f t="shared" si="13"/>
        <v>310</v>
      </c>
      <c r="G49" s="121">
        <f t="shared" si="13"/>
        <v>0</v>
      </c>
      <c r="H49" s="121">
        <f t="shared" si="13"/>
        <v>10</v>
      </c>
      <c r="I49" s="121">
        <f t="shared" si="13"/>
        <v>0</v>
      </c>
      <c r="J49" s="121">
        <f t="shared" si="13"/>
        <v>10</v>
      </c>
      <c r="K49" s="121">
        <f t="shared" si="13"/>
        <v>10</v>
      </c>
      <c r="L49" s="121">
        <f t="shared" si="13"/>
        <v>0</v>
      </c>
      <c r="M49" s="121">
        <f t="shared" si="13"/>
        <v>10</v>
      </c>
      <c r="N49" s="121">
        <f t="shared" si="13"/>
        <v>10</v>
      </c>
      <c r="O49" s="121">
        <f t="shared" si="13"/>
        <v>0</v>
      </c>
      <c r="P49" s="121">
        <f t="shared" si="13"/>
        <v>10</v>
      </c>
      <c r="Q49" s="121">
        <f t="shared" si="13"/>
        <v>10</v>
      </c>
      <c r="R49" s="121">
        <f t="shared" si="13"/>
        <v>0</v>
      </c>
      <c r="S49" s="121">
        <f t="shared" si="13"/>
        <v>10</v>
      </c>
      <c r="T49" s="122">
        <f t="shared" si="13"/>
        <v>10</v>
      </c>
    </row>
    <row r="50" spans="2:20" s="34" customFormat="1" ht="16" thickBot="1" x14ac:dyDescent="0.4">
      <c r="B50" s="123" t="s">
        <v>54</v>
      </c>
      <c r="C50" s="124">
        <f t="shared" ref="C50:T50" si="14">C45-C49</f>
        <v>-3460</v>
      </c>
      <c r="D50" s="125">
        <f t="shared" si="14"/>
        <v>-5520</v>
      </c>
      <c r="E50" s="125">
        <f t="shared" si="14"/>
        <v>-4570</v>
      </c>
      <c r="F50" s="125">
        <f t="shared" si="14"/>
        <v>2587.2152067648558</v>
      </c>
      <c r="G50" s="125">
        <f t="shared" si="14"/>
        <v>2842.8636629678031</v>
      </c>
      <c r="H50" s="125">
        <f t="shared" si="14"/>
        <v>2775.6668128568363</v>
      </c>
      <c r="I50" s="125">
        <f t="shared" si="14"/>
        <v>2715.5183464425418</v>
      </c>
      <c r="J50" s="125">
        <f t="shared" si="14"/>
        <v>2642.3083227998181</v>
      </c>
      <c r="K50" s="125">
        <f t="shared" si="14"/>
        <v>2575.923047438333</v>
      </c>
      <c r="L50" s="125">
        <f t="shared" si="14"/>
        <v>2516.2449454856624</v>
      </c>
      <c r="M50" s="125">
        <f t="shared" si="14"/>
        <v>2443.1524305375751</v>
      </c>
      <c r="N50" s="125">
        <f t="shared" si="14"/>
        <v>2396.5197690247132</v>
      </c>
      <c r="O50" s="125">
        <f t="shared" si="14"/>
        <v>2356.2169399396462</v>
      </c>
      <c r="P50" s="125">
        <f t="shared" si="14"/>
        <v>2302.1094897626353</v>
      </c>
      <c r="Q50" s="125">
        <f t="shared" si="14"/>
        <v>2254.058382418817</v>
      </c>
      <c r="R50" s="125">
        <f t="shared" si="14"/>
        <v>2221.9198440934597</v>
      </c>
      <c r="S50" s="125">
        <f t="shared" si="14"/>
        <v>2145.5452027258725</v>
      </c>
      <c r="T50" s="126">
        <f t="shared" si="14"/>
        <v>3323.280721996085</v>
      </c>
    </row>
    <row r="51" spans="2:20" s="34" customFormat="1" ht="16" thickBot="1" x14ac:dyDescent="0.4">
      <c r="B51" s="127" t="s">
        <v>55</v>
      </c>
      <c r="C51" s="128">
        <f>IRR(C50:T50)</f>
        <v>0.14659147718800658</v>
      </c>
      <c r="D51" s="129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1"/>
    </row>
    <row r="52" spans="2:20" s="34" customFormat="1" ht="15" thickBot="1" x14ac:dyDescent="0.4"/>
    <row r="53" spans="2:20" s="34" customFormat="1" ht="16" thickBot="1" x14ac:dyDescent="0.4">
      <c r="B53" s="501" t="s">
        <v>44</v>
      </c>
      <c r="C53" s="502"/>
      <c r="D53" s="502"/>
      <c r="E53" s="502"/>
      <c r="F53" s="502"/>
      <c r="G53" s="502"/>
      <c r="H53" s="502"/>
      <c r="I53" s="502"/>
      <c r="J53" s="502"/>
      <c r="K53" s="502"/>
      <c r="L53" s="502"/>
      <c r="M53" s="502"/>
      <c r="N53" s="502"/>
      <c r="O53" s="503"/>
    </row>
    <row r="54" spans="2:20" s="34" customFormat="1" ht="16" thickBot="1" x14ac:dyDescent="0.4">
      <c r="B54" s="95" t="s">
        <v>45</v>
      </c>
      <c r="C54" s="132">
        <v>2010</v>
      </c>
      <c r="D54" s="97">
        <v>2011</v>
      </c>
      <c r="E54" s="97">
        <v>2012</v>
      </c>
      <c r="F54" s="97">
        <v>2013</v>
      </c>
      <c r="G54" s="97">
        <v>2014</v>
      </c>
      <c r="H54" s="97">
        <v>2015</v>
      </c>
      <c r="I54" s="97">
        <v>2016</v>
      </c>
      <c r="J54" s="97">
        <v>2017</v>
      </c>
      <c r="K54" s="97">
        <v>2018</v>
      </c>
      <c r="L54" s="97">
        <v>2019</v>
      </c>
      <c r="M54" s="97">
        <v>2020</v>
      </c>
      <c r="N54" s="97">
        <v>2021</v>
      </c>
      <c r="O54" s="98">
        <v>2022</v>
      </c>
    </row>
    <row r="55" spans="2:20" s="34" customFormat="1" ht="15.5" x14ac:dyDescent="0.35">
      <c r="B55" s="99" t="s">
        <v>46</v>
      </c>
      <c r="C55" s="10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2"/>
    </row>
    <row r="56" spans="2:20" s="34" customFormat="1" ht="15.5" x14ac:dyDescent="0.35">
      <c r="B56" s="103" t="s">
        <v>47</v>
      </c>
      <c r="C56" s="104">
        <f>C43</f>
        <v>0</v>
      </c>
      <c r="D56" s="105">
        <f t="shared" ref="D56:O56" si="15">D43</f>
        <v>0</v>
      </c>
      <c r="E56" s="105">
        <f t="shared" si="15"/>
        <v>0</v>
      </c>
      <c r="F56" s="105">
        <f t="shared" si="15"/>
        <v>2897.2152067648558</v>
      </c>
      <c r="G56" s="105">
        <f t="shared" si="15"/>
        <v>2842.8636629678031</v>
      </c>
      <c r="H56" s="105">
        <f t="shared" si="15"/>
        <v>2785.6668128568363</v>
      </c>
      <c r="I56" s="105">
        <f t="shared" si="15"/>
        <v>2715.5183464425418</v>
      </c>
      <c r="J56" s="105">
        <f t="shared" si="15"/>
        <v>2652.3083227998181</v>
      </c>
      <c r="K56" s="105">
        <f t="shared" si="15"/>
        <v>2585.923047438333</v>
      </c>
      <c r="L56" s="105">
        <f t="shared" si="15"/>
        <v>2516.2449454856624</v>
      </c>
      <c r="M56" s="105">
        <f t="shared" si="15"/>
        <v>2453.1524305375751</v>
      </c>
      <c r="N56" s="105">
        <f t="shared" si="15"/>
        <v>2406.5197690247132</v>
      </c>
      <c r="O56" s="106">
        <f t="shared" si="15"/>
        <v>2356.2169399396462</v>
      </c>
    </row>
    <row r="57" spans="2:20" s="34" customFormat="1" ht="16" thickBot="1" x14ac:dyDescent="0.4">
      <c r="B57" s="107" t="s">
        <v>48</v>
      </c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33">
        <f>0.05*'Balance Sheet (Case Exhibit 6)'!P24</f>
        <v>884</v>
      </c>
    </row>
    <row r="58" spans="2:20" s="34" customFormat="1" ht="16" thickBot="1" x14ac:dyDescent="0.4">
      <c r="B58" s="95" t="s">
        <v>49</v>
      </c>
      <c r="C58" s="110">
        <f t="shared" ref="C58:O58" si="16">SUM(C56:C57)</f>
        <v>0</v>
      </c>
      <c r="D58" s="111">
        <f t="shared" si="16"/>
        <v>0</v>
      </c>
      <c r="E58" s="111">
        <f t="shared" si="16"/>
        <v>0</v>
      </c>
      <c r="F58" s="111">
        <f t="shared" si="16"/>
        <v>2897.2152067648558</v>
      </c>
      <c r="G58" s="111">
        <f t="shared" si="16"/>
        <v>2842.8636629678031</v>
      </c>
      <c r="H58" s="111">
        <f t="shared" si="16"/>
        <v>2785.6668128568363</v>
      </c>
      <c r="I58" s="111">
        <f t="shared" si="16"/>
        <v>2715.5183464425418</v>
      </c>
      <c r="J58" s="111">
        <f t="shared" si="16"/>
        <v>2652.3083227998181</v>
      </c>
      <c r="K58" s="111">
        <f t="shared" si="16"/>
        <v>2585.923047438333</v>
      </c>
      <c r="L58" s="111">
        <f t="shared" si="16"/>
        <v>2516.2449454856624</v>
      </c>
      <c r="M58" s="111">
        <f t="shared" si="16"/>
        <v>2453.1524305375751</v>
      </c>
      <c r="N58" s="111">
        <f t="shared" si="16"/>
        <v>2406.5197690247132</v>
      </c>
      <c r="O58" s="112">
        <f t="shared" si="16"/>
        <v>3240.2169399396462</v>
      </c>
    </row>
    <row r="59" spans="2:20" s="34" customFormat="1" ht="15.5" x14ac:dyDescent="0.35">
      <c r="B59" s="99" t="s">
        <v>50</v>
      </c>
      <c r="C59" s="10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2"/>
    </row>
    <row r="60" spans="2:20" s="34" customFormat="1" ht="15.5" x14ac:dyDescent="0.35">
      <c r="B60" s="103" t="s">
        <v>51</v>
      </c>
      <c r="C60" s="113">
        <f>C47</f>
        <v>3460</v>
      </c>
      <c r="D60" s="114">
        <f t="shared" ref="D60:O60" si="17">D47</f>
        <v>5520</v>
      </c>
      <c r="E60" s="114">
        <f t="shared" si="17"/>
        <v>4570</v>
      </c>
      <c r="F60" s="8">
        <f t="shared" si="17"/>
        <v>0</v>
      </c>
      <c r="G60" s="8">
        <f t="shared" si="17"/>
        <v>0</v>
      </c>
      <c r="H60" s="8">
        <f t="shared" si="17"/>
        <v>0</v>
      </c>
      <c r="I60" s="8">
        <f t="shared" si="17"/>
        <v>0</v>
      </c>
      <c r="J60" s="8">
        <f t="shared" si="17"/>
        <v>0</v>
      </c>
      <c r="K60" s="8">
        <f t="shared" si="17"/>
        <v>0</v>
      </c>
      <c r="L60" s="8">
        <f t="shared" si="17"/>
        <v>0</v>
      </c>
      <c r="M60" s="8">
        <f t="shared" si="17"/>
        <v>0</v>
      </c>
      <c r="N60" s="8">
        <f t="shared" si="17"/>
        <v>0</v>
      </c>
      <c r="O60" s="9">
        <f t="shared" si="17"/>
        <v>0</v>
      </c>
    </row>
    <row r="61" spans="2:20" s="34" customFormat="1" ht="16" thickBot="1" x14ac:dyDescent="0.4">
      <c r="B61" s="107" t="s">
        <v>52</v>
      </c>
      <c r="C61" s="115">
        <f t="shared" ref="C61:O61" si="18">C48</f>
        <v>0</v>
      </c>
      <c r="D61" s="116">
        <f t="shared" si="18"/>
        <v>0</v>
      </c>
      <c r="E61" s="116">
        <f t="shared" si="18"/>
        <v>0</v>
      </c>
      <c r="F61" s="117">
        <f t="shared" si="18"/>
        <v>310</v>
      </c>
      <c r="G61" s="117">
        <f t="shared" si="18"/>
        <v>0</v>
      </c>
      <c r="H61" s="116">
        <f t="shared" si="18"/>
        <v>10</v>
      </c>
      <c r="I61" s="116">
        <f t="shared" si="18"/>
        <v>0</v>
      </c>
      <c r="J61" s="116">
        <f t="shared" si="18"/>
        <v>10</v>
      </c>
      <c r="K61" s="116">
        <f t="shared" si="18"/>
        <v>10</v>
      </c>
      <c r="L61" s="116">
        <f t="shared" si="18"/>
        <v>0</v>
      </c>
      <c r="M61" s="116">
        <f t="shared" si="18"/>
        <v>10</v>
      </c>
      <c r="N61" s="116">
        <f t="shared" si="18"/>
        <v>10</v>
      </c>
      <c r="O61" s="118">
        <f t="shared" si="18"/>
        <v>0</v>
      </c>
    </row>
    <row r="62" spans="2:20" s="34" customFormat="1" ht="15.5" x14ac:dyDescent="0.35">
      <c r="B62" s="119" t="s">
        <v>53</v>
      </c>
      <c r="C62" s="120">
        <f t="shared" ref="C62:O62" si="19">C60+C61</f>
        <v>3460</v>
      </c>
      <c r="D62" s="121">
        <f t="shared" si="19"/>
        <v>5520</v>
      </c>
      <c r="E62" s="121">
        <f t="shared" si="19"/>
        <v>4570</v>
      </c>
      <c r="F62" s="121">
        <f t="shared" si="19"/>
        <v>310</v>
      </c>
      <c r="G62" s="121">
        <f t="shared" si="19"/>
        <v>0</v>
      </c>
      <c r="H62" s="121">
        <f t="shared" si="19"/>
        <v>10</v>
      </c>
      <c r="I62" s="121">
        <f t="shared" si="19"/>
        <v>0</v>
      </c>
      <c r="J62" s="121">
        <f t="shared" si="19"/>
        <v>10</v>
      </c>
      <c r="K62" s="121">
        <f t="shared" si="19"/>
        <v>10</v>
      </c>
      <c r="L62" s="121">
        <f t="shared" si="19"/>
        <v>0</v>
      </c>
      <c r="M62" s="121">
        <f t="shared" si="19"/>
        <v>10</v>
      </c>
      <c r="N62" s="121">
        <f t="shared" si="19"/>
        <v>10</v>
      </c>
      <c r="O62" s="122">
        <f t="shared" si="19"/>
        <v>0</v>
      </c>
    </row>
    <row r="63" spans="2:20" s="34" customFormat="1" ht="16" thickBot="1" x14ac:dyDescent="0.4">
      <c r="B63" s="123" t="s">
        <v>54</v>
      </c>
      <c r="C63" s="124">
        <f t="shared" ref="C63:O63" si="20">C58-C62</f>
        <v>-3460</v>
      </c>
      <c r="D63" s="125">
        <f t="shared" si="20"/>
        <v>-5520</v>
      </c>
      <c r="E63" s="125">
        <f t="shared" si="20"/>
        <v>-4570</v>
      </c>
      <c r="F63" s="125">
        <f t="shared" si="20"/>
        <v>2587.2152067648558</v>
      </c>
      <c r="G63" s="125">
        <f t="shared" si="20"/>
        <v>2842.8636629678031</v>
      </c>
      <c r="H63" s="125">
        <f t="shared" si="20"/>
        <v>2775.6668128568363</v>
      </c>
      <c r="I63" s="125">
        <f t="shared" si="20"/>
        <v>2715.5183464425418</v>
      </c>
      <c r="J63" s="125">
        <f t="shared" si="20"/>
        <v>2642.3083227998181</v>
      </c>
      <c r="K63" s="125">
        <f t="shared" si="20"/>
        <v>2575.923047438333</v>
      </c>
      <c r="L63" s="125">
        <f t="shared" si="20"/>
        <v>2516.2449454856624</v>
      </c>
      <c r="M63" s="125">
        <f t="shared" si="20"/>
        <v>2443.1524305375751</v>
      </c>
      <c r="N63" s="125">
        <f t="shared" si="20"/>
        <v>2396.5197690247132</v>
      </c>
      <c r="O63" s="126">
        <f t="shared" si="20"/>
        <v>3240.2169399396462</v>
      </c>
    </row>
    <row r="64" spans="2:20" s="34" customFormat="1" ht="16" thickBot="1" x14ac:dyDescent="0.4">
      <c r="B64" s="127" t="s">
        <v>56</v>
      </c>
      <c r="C64" s="128">
        <f>IRR(C63:O63)</f>
        <v>0.12029285788464383</v>
      </c>
      <c r="D64" s="129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1"/>
    </row>
    <row r="65" spans="3:15" s="34" customFormat="1" x14ac:dyDescent="0.35"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</row>
    <row r="66" spans="3:15" s="34" customFormat="1" x14ac:dyDescent="0.35"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</row>
    <row r="67" spans="3:15" s="34" customFormat="1" x14ac:dyDescent="0.3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</row>
    <row r="68" spans="3:15" s="34" customFormat="1" x14ac:dyDescent="0.35"/>
    <row r="69" spans="3:15" s="34" customFormat="1" x14ac:dyDescent="0.35"/>
    <row r="70" spans="3:15" s="34" customFormat="1" x14ac:dyDescent="0.35"/>
    <row r="71" spans="3:15" s="34" customFormat="1" x14ac:dyDescent="0.35"/>
    <row r="72" spans="3:15" s="34" customFormat="1" x14ac:dyDescent="0.35"/>
    <row r="73" spans="3:15" s="34" customFormat="1" x14ac:dyDescent="0.35"/>
    <row r="74" spans="3:15" s="34" customFormat="1" x14ac:dyDescent="0.35"/>
    <row r="75" spans="3:15" s="34" customFormat="1" x14ac:dyDescent="0.35"/>
    <row r="76" spans="3:15" s="34" customFormat="1" x14ac:dyDescent="0.35"/>
    <row r="77" spans="3:15" s="34" customFormat="1" x14ac:dyDescent="0.35"/>
    <row r="78" spans="3:15" s="34" customFormat="1" x14ac:dyDescent="0.35"/>
    <row r="79" spans="3:15" s="34" customFormat="1" x14ac:dyDescent="0.35"/>
    <row r="80" spans="3:15" s="34" customFormat="1" x14ac:dyDescent="0.35"/>
    <row r="81" s="34" customFormat="1" x14ac:dyDescent="0.35"/>
    <row r="82" s="34" customFormat="1" x14ac:dyDescent="0.35"/>
    <row r="83" s="34" customFormat="1" x14ac:dyDescent="0.35"/>
    <row r="84" s="34" customFormat="1" x14ac:dyDescent="0.35"/>
    <row r="85" s="34" customFormat="1" x14ac:dyDescent="0.35"/>
    <row r="86" s="34" customFormat="1" x14ac:dyDescent="0.35"/>
    <row r="87" s="34" customFormat="1" x14ac:dyDescent="0.35"/>
    <row r="88" s="34" customFormat="1" x14ac:dyDescent="0.35"/>
    <row r="89" s="34" customFormat="1" x14ac:dyDescent="0.35"/>
    <row r="90" s="34" customFormat="1" x14ac:dyDescent="0.35"/>
    <row r="91" s="34" customFormat="1" x14ac:dyDescent="0.35"/>
    <row r="92" s="34" customFormat="1" x14ac:dyDescent="0.35"/>
    <row r="93" s="34" customFormat="1" x14ac:dyDescent="0.35"/>
    <row r="94" s="34" customFormat="1" x14ac:dyDescent="0.35"/>
    <row r="95" s="34" customFormat="1" x14ac:dyDescent="0.35"/>
    <row r="96" s="34" customFormat="1" x14ac:dyDescent="0.35"/>
    <row r="97" s="34" customFormat="1" x14ac:dyDescent="0.35"/>
    <row r="98" s="34" customFormat="1" x14ac:dyDescent="0.35"/>
    <row r="99" s="34" customFormat="1" x14ac:dyDescent="0.35"/>
    <row r="100" s="34" customFormat="1" x14ac:dyDescent="0.35"/>
    <row r="101" s="34" customFormat="1" x14ac:dyDescent="0.35"/>
    <row r="102" s="34" customFormat="1" x14ac:dyDescent="0.35"/>
  </sheetData>
  <mergeCells count="4">
    <mergeCell ref="B2:C2"/>
    <mergeCell ref="B9:Q9"/>
    <mergeCell ref="B40:T40"/>
    <mergeCell ref="B53:O53"/>
  </mergeCells>
  <pageMargins left="0.75" right="0.75" top="1" bottom="1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66"/>
  <sheetViews>
    <sheetView showGridLines="0" workbookViewId="0"/>
  </sheetViews>
  <sheetFormatPr baseColWidth="10" defaultColWidth="8.81640625" defaultRowHeight="14.5" x14ac:dyDescent="0.35"/>
  <cols>
    <col min="2" max="2" width="39" bestFit="1" customWidth="1"/>
    <col min="3" max="3" width="7.6328125" customWidth="1"/>
    <col min="4" max="4" width="7.26953125" customWidth="1"/>
    <col min="5" max="6" width="6.6328125" customWidth="1"/>
    <col min="7" max="7" width="6.453125" customWidth="1"/>
    <col min="8" max="11" width="6.6328125" customWidth="1"/>
    <col min="12" max="12" width="7.26953125" customWidth="1"/>
    <col min="13" max="17" width="8.1796875" customWidth="1"/>
  </cols>
  <sheetData>
    <row r="1" spans="2:17" ht="15" thickBot="1" x14ac:dyDescent="0.4">
      <c r="D1" s="16"/>
    </row>
    <row r="2" spans="2:17" ht="16" thickBot="1" x14ac:dyDescent="0.4">
      <c r="B2" s="491" t="s">
        <v>0</v>
      </c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  <c r="N2" s="492"/>
      <c r="O2" s="492"/>
      <c r="P2" s="492"/>
      <c r="Q2" s="493"/>
    </row>
    <row r="3" spans="2:17" ht="16" thickBot="1" x14ac:dyDescent="0.4">
      <c r="B3" s="30" t="s">
        <v>14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2">
        <v>2022</v>
      </c>
      <c r="M3" s="2">
        <v>2023</v>
      </c>
      <c r="N3" s="2">
        <v>2024</v>
      </c>
      <c r="O3" s="2">
        <v>2025</v>
      </c>
      <c r="P3" s="2">
        <v>2026</v>
      </c>
      <c r="Q3" s="3">
        <v>2027</v>
      </c>
    </row>
    <row r="4" spans="2:17" s="34" customFormat="1" ht="15.5" x14ac:dyDescent="0.35">
      <c r="B4" s="31" t="s">
        <v>15</v>
      </c>
      <c r="C4" s="32">
        <v>300</v>
      </c>
      <c r="D4" s="32">
        <v>300</v>
      </c>
      <c r="E4" s="32">
        <v>300</v>
      </c>
      <c r="F4" s="32">
        <v>300</v>
      </c>
      <c r="G4" s="32">
        <v>300</v>
      </c>
      <c r="H4" s="32">
        <v>300</v>
      </c>
      <c r="I4" s="32">
        <v>300</v>
      </c>
      <c r="J4" s="32">
        <v>300</v>
      </c>
      <c r="K4" s="32">
        <v>300</v>
      </c>
      <c r="L4" s="32">
        <v>300</v>
      </c>
      <c r="M4" s="32">
        <v>300</v>
      </c>
      <c r="N4" s="32">
        <v>300</v>
      </c>
      <c r="O4" s="32">
        <v>300</v>
      </c>
      <c r="P4" s="32">
        <v>300</v>
      </c>
      <c r="Q4" s="33">
        <v>300</v>
      </c>
    </row>
    <row r="5" spans="2:17" s="34" customFormat="1" ht="15.5" x14ac:dyDescent="0.35">
      <c r="B5" s="35" t="s">
        <v>16</v>
      </c>
      <c r="C5" s="36">
        <v>0.85</v>
      </c>
      <c r="D5" s="36">
        <v>0.85</v>
      </c>
      <c r="E5" s="36">
        <v>0.85</v>
      </c>
      <c r="F5" s="36">
        <v>0.85</v>
      </c>
      <c r="G5" s="36">
        <v>0.85</v>
      </c>
      <c r="H5" s="36">
        <v>0.85</v>
      </c>
      <c r="I5" s="36">
        <v>0.85</v>
      </c>
      <c r="J5" s="36">
        <v>0.85</v>
      </c>
      <c r="K5" s="36">
        <v>0.85</v>
      </c>
      <c r="L5" s="36">
        <v>0.85</v>
      </c>
      <c r="M5" s="36">
        <v>0.85</v>
      </c>
      <c r="N5" s="36">
        <v>0.85</v>
      </c>
      <c r="O5" s="36">
        <v>0.85</v>
      </c>
      <c r="P5" s="36">
        <v>0.85</v>
      </c>
      <c r="Q5" s="37">
        <v>0.85</v>
      </c>
    </row>
    <row r="6" spans="2:17" s="34" customFormat="1" ht="15.5" x14ac:dyDescent="0.35">
      <c r="B6" s="35" t="s">
        <v>17</v>
      </c>
      <c r="C6" s="38">
        <v>2234</v>
      </c>
      <c r="D6" s="38">
        <v>2234</v>
      </c>
      <c r="E6" s="38">
        <v>2234</v>
      </c>
      <c r="F6" s="38">
        <v>2234</v>
      </c>
      <c r="G6" s="38">
        <v>2234</v>
      </c>
      <c r="H6" s="38">
        <v>2234</v>
      </c>
      <c r="I6" s="38">
        <v>2234</v>
      </c>
      <c r="J6" s="38">
        <v>2234</v>
      </c>
      <c r="K6" s="38">
        <v>2234</v>
      </c>
      <c r="L6" s="38">
        <v>2234</v>
      </c>
      <c r="M6" s="38">
        <v>2234</v>
      </c>
      <c r="N6" s="38">
        <v>2234</v>
      </c>
      <c r="O6" s="38">
        <v>2234</v>
      </c>
      <c r="P6" s="38">
        <v>2234</v>
      </c>
      <c r="Q6" s="39">
        <v>2234</v>
      </c>
    </row>
    <row r="7" spans="2:17" s="34" customFormat="1" ht="15.5" x14ac:dyDescent="0.35">
      <c r="B7" s="35" t="s">
        <v>18</v>
      </c>
      <c r="C7" s="38">
        <v>201</v>
      </c>
      <c r="D7" s="38">
        <v>201</v>
      </c>
      <c r="E7" s="38">
        <v>201</v>
      </c>
      <c r="F7" s="38">
        <v>201</v>
      </c>
      <c r="G7" s="38">
        <v>201</v>
      </c>
      <c r="H7" s="38">
        <v>201</v>
      </c>
      <c r="I7" s="38">
        <v>201</v>
      </c>
      <c r="J7" s="38">
        <v>201</v>
      </c>
      <c r="K7" s="38">
        <v>201</v>
      </c>
      <c r="L7" s="38">
        <v>201</v>
      </c>
      <c r="M7" s="38">
        <v>201</v>
      </c>
      <c r="N7" s="38">
        <v>201</v>
      </c>
      <c r="O7" s="38">
        <v>201</v>
      </c>
      <c r="P7" s="38">
        <v>201</v>
      </c>
      <c r="Q7" s="39">
        <v>201</v>
      </c>
    </row>
    <row r="8" spans="2:17" s="34" customFormat="1" ht="15.5" x14ac:dyDescent="0.35">
      <c r="B8" s="40" t="s">
        <v>19</v>
      </c>
      <c r="C8" s="38">
        <v>2033</v>
      </c>
      <c r="D8" s="38">
        <v>2033</v>
      </c>
      <c r="E8" s="38">
        <v>2033</v>
      </c>
      <c r="F8" s="38">
        <v>2033</v>
      </c>
      <c r="G8" s="38">
        <v>2033</v>
      </c>
      <c r="H8" s="38">
        <v>2033</v>
      </c>
      <c r="I8" s="38">
        <v>2033</v>
      </c>
      <c r="J8" s="38">
        <v>2033</v>
      </c>
      <c r="K8" s="38">
        <v>2033</v>
      </c>
      <c r="L8" s="38">
        <v>2033</v>
      </c>
      <c r="M8" s="38">
        <v>2033</v>
      </c>
      <c r="N8" s="38">
        <v>2033</v>
      </c>
      <c r="O8" s="38">
        <v>2033</v>
      </c>
      <c r="P8" s="38">
        <v>2033</v>
      </c>
      <c r="Q8" s="39">
        <v>2033</v>
      </c>
    </row>
    <row r="9" spans="2:17" s="34" customFormat="1" ht="15.5" x14ac:dyDescent="0.35">
      <c r="B9" s="35" t="s">
        <v>20</v>
      </c>
      <c r="C9" s="38">
        <v>3.25</v>
      </c>
      <c r="D9" s="38">
        <v>3.28</v>
      </c>
      <c r="E9" s="38">
        <v>3.32</v>
      </c>
      <c r="F9" s="38">
        <v>3.35</v>
      </c>
      <c r="G9" s="38">
        <v>3.38</v>
      </c>
      <c r="H9" s="38">
        <v>3.42</v>
      </c>
      <c r="I9" s="38">
        <v>3.45</v>
      </c>
      <c r="J9" s="38">
        <v>3.48</v>
      </c>
      <c r="K9" s="38">
        <v>3.52</v>
      </c>
      <c r="L9" s="38">
        <v>3.55</v>
      </c>
      <c r="M9" s="38">
        <v>3.59</v>
      </c>
      <c r="N9" s="38">
        <v>3.63</v>
      </c>
      <c r="O9" s="38">
        <v>3.66</v>
      </c>
      <c r="P9" s="41">
        <v>3.7</v>
      </c>
      <c r="Q9" s="39">
        <v>3.74</v>
      </c>
    </row>
    <row r="10" spans="2:17" s="34" customFormat="1" ht="15.5" x14ac:dyDescent="0.35">
      <c r="B10" s="42" t="s">
        <v>21</v>
      </c>
      <c r="C10" s="43">
        <v>6610</v>
      </c>
      <c r="D10" s="43">
        <v>6670</v>
      </c>
      <c r="E10" s="43">
        <v>6740</v>
      </c>
      <c r="F10" s="43">
        <v>6810</v>
      </c>
      <c r="G10" s="43">
        <v>6870</v>
      </c>
      <c r="H10" s="43">
        <v>6940</v>
      </c>
      <c r="I10" s="43">
        <v>7010</v>
      </c>
      <c r="J10" s="43">
        <v>7080</v>
      </c>
      <c r="K10" s="43">
        <v>7150</v>
      </c>
      <c r="L10" s="43">
        <v>7230</v>
      </c>
      <c r="M10" s="43">
        <v>7300</v>
      </c>
      <c r="N10" s="43">
        <v>7370</v>
      </c>
      <c r="O10" s="43">
        <v>7440</v>
      </c>
      <c r="P10" s="43">
        <v>7520</v>
      </c>
      <c r="Q10" s="44">
        <v>7590</v>
      </c>
    </row>
    <row r="11" spans="2:17" s="34" customFormat="1" ht="15.5" x14ac:dyDescent="0.35">
      <c r="B11" s="45" t="s">
        <v>22</v>
      </c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8"/>
    </row>
    <row r="12" spans="2:17" s="34" customFormat="1" ht="15.5" x14ac:dyDescent="0.35">
      <c r="B12" s="35" t="s">
        <v>23</v>
      </c>
      <c r="C12" s="38">
        <v>3040</v>
      </c>
      <c r="D12" s="38">
        <v>3130</v>
      </c>
      <c r="E12" s="38">
        <v>3220</v>
      </c>
      <c r="F12" s="38">
        <v>3320</v>
      </c>
      <c r="G12" s="38">
        <v>3420</v>
      </c>
      <c r="H12" s="38">
        <v>3520</v>
      </c>
      <c r="I12" s="38">
        <v>3620</v>
      </c>
      <c r="J12" s="38">
        <v>3730</v>
      </c>
      <c r="K12" s="38">
        <v>3850</v>
      </c>
      <c r="L12" s="38">
        <v>3960</v>
      </c>
      <c r="M12" s="38">
        <v>4080</v>
      </c>
      <c r="N12" s="38">
        <v>4200</v>
      </c>
      <c r="O12" s="38">
        <v>4330</v>
      </c>
      <c r="P12" s="38">
        <v>4460</v>
      </c>
      <c r="Q12" s="39">
        <v>4590</v>
      </c>
    </row>
    <row r="13" spans="2:17" s="34" customFormat="1" ht="15.5" x14ac:dyDescent="0.35">
      <c r="B13" s="35" t="s">
        <v>24</v>
      </c>
      <c r="C13" s="38">
        <v>470</v>
      </c>
      <c r="D13" s="38">
        <v>490</v>
      </c>
      <c r="E13" s="38">
        <v>510</v>
      </c>
      <c r="F13" s="38">
        <v>530</v>
      </c>
      <c r="G13" s="38">
        <v>560</v>
      </c>
      <c r="H13" s="38">
        <v>580</v>
      </c>
      <c r="I13" s="38">
        <v>600</v>
      </c>
      <c r="J13" s="38">
        <v>630</v>
      </c>
      <c r="K13" s="38">
        <v>650</v>
      </c>
      <c r="L13" s="38">
        <v>680</v>
      </c>
      <c r="M13" s="38">
        <v>710</v>
      </c>
      <c r="N13" s="38">
        <v>730</v>
      </c>
      <c r="O13" s="38">
        <v>760</v>
      </c>
      <c r="P13" s="38">
        <v>800</v>
      </c>
      <c r="Q13" s="39">
        <v>830</v>
      </c>
    </row>
    <row r="14" spans="2:17" s="34" customFormat="1" ht="15.5" x14ac:dyDescent="0.35">
      <c r="B14" s="42" t="s">
        <v>25</v>
      </c>
      <c r="C14" s="43">
        <v>3510</v>
      </c>
      <c r="D14" s="43">
        <v>3620</v>
      </c>
      <c r="E14" s="43">
        <v>3730</v>
      </c>
      <c r="F14" s="43">
        <v>3850</v>
      </c>
      <c r="G14" s="43">
        <v>3970</v>
      </c>
      <c r="H14" s="43">
        <v>4100</v>
      </c>
      <c r="I14" s="43">
        <v>4230</v>
      </c>
      <c r="J14" s="43">
        <v>4360</v>
      </c>
      <c r="K14" s="43">
        <v>4500</v>
      </c>
      <c r="L14" s="43">
        <v>4640</v>
      </c>
      <c r="M14" s="43">
        <v>4790</v>
      </c>
      <c r="N14" s="43">
        <v>4940</v>
      </c>
      <c r="O14" s="43">
        <v>5090</v>
      </c>
      <c r="P14" s="43">
        <v>5250</v>
      </c>
      <c r="Q14" s="44">
        <v>5420</v>
      </c>
    </row>
    <row r="15" spans="2:17" s="34" customFormat="1" ht="15.5" x14ac:dyDescent="0.35">
      <c r="B15" s="49" t="s">
        <v>26</v>
      </c>
      <c r="C15" s="43">
        <v>3100</v>
      </c>
      <c r="D15" s="43">
        <v>3050</v>
      </c>
      <c r="E15" s="43">
        <v>3010</v>
      </c>
      <c r="F15" s="43">
        <v>2960</v>
      </c>
      <c r="G15" s="43">
        <v>2900</v>
      </c>
      <c r="H15" s="43">
        <v>2850</v>
      </c>
      <c r="I15" s="43">
        <v>2790</v>
      </c>
      <c r="J15" s="43">
        <v>2720</v>
      </c>
      <c r="K15" s="43">
        <v>2660</v>
      </c>
      <c r="L15" s="43">
        <v>2590</v>
      </c>
      <c r="M15" s="43">
        <v>2510</v>
      </c>
      <c r="N15" s="43">
        <v>2430</v>
      </c>
      <c r="O15" s="43">
        <v>2350</v>
      </c>
      <c r="P15" s="43">
        <v>2270</v>
      </c>
      <c r="Q15" s="44">
        <v>2170</v>
      </c>
    </row>
    <row r="16" spans="2:17" s="34" customFormat="1" ht="15.5" x14ac:dyDescent="0.35">
      <c r="B16" s="45" t="s">
        <v>27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1"/>
    </row>
    <row r="17" spans="2:17" s="34" customFormat="1" ht="15.5" x14ac:dyDescent="0.35">
      <c r="B17" s="35" t="s">
        <v>28</v>
      </c>
      <c r="C17" s="38">
        <v>1140</v>
      </c>
      <c r="D17" s="38">
        <v>1030</v>
      </c>
      <c r="E17" s="38">
        <v>900</v>
      </c>
      <c r="F17" s="38">
        <v>770</v>
      </c>
      <c r="G17" s="38">
        <v>650</v>
      </c>
      <c r="H17" s="38">
        <v>520</v>
      </c>
      <c r="I17" s="38">
        <v>390</v>
      </c>
      <c r="J17" s="38">
        <v>260</v>
      </c>
      <c r="K17" s="38">
        <v>130</v>
      </c>
      <c r="L17" s="38">
        <v>20</v>
      </c>
      <c r="M17" s="38">
        <v>0</v>
      </c>
      <c r="N17" s="38">
        <v>0</v>
      </c>
      <c r="O17" s="38">
        <v>0</v>
      </c>
      <c r="P17" s="38">
        <v>0</v>
      </c>
      <c r="Q17" s="39">
        <v>0</v>
      </c>
    </row>
    <row r="18" spans="2:17" s="34" customFormat="1" ht="15.5" x14ac:dyDescent="0.35">
      <c r="B18" s="35" t="s">
        <v>29</v>
      </c>
      <c r="C18" s="38">
        <v>110</v>
      </c>
      <c r="D18" s="38">
        <v>110</v>
      </c>
      <c r="E18" s="38">
        <v>110</v>
      </c>
      <c r="F18" s="38">
        <v>120</v>
      </c>
      <c r="G18" s="38">
        <v>120</v>
      </c>
      <c r="H18" s="38">
        <v>120</v>
      </c>
      <c r="I18" s="38">
        <v>120</v>
      </c>
      <c r="J18" s="38">
        <v>130</v>
      </c>
      <c r="K18" s="38">
        <v>130</v>
      </c>
      <c r="L18" s="38">
        <v>130</v>
      </c>
      <c r="M18" s="38">
        <v>130</v>
      </c>
      <c r="N18" s="38">
        <v>140</v>
      </c>
      <c r="O18" s="38">
        <v>140</v>
      </c>
      <c r="P18" s="38">
        <v>140</v>
      </c>
      <c r="Q18" s="39">
        <v>140</v>
      </c>
    </row>
    <row r="19" spans="2:17" s="34" customFormat="1" ht="15.5" x14ac:dyDescent="0.35">
      <c r="B19" s="35" t="s">
        <v>30</v>
      </c>
      <c r="C19" s="38">
        <v>680</v>
      </c>
      <c r="D19" s="38">
        <v>680</v>
      </c>
      <c r="E19" s="38">
        <v>680</v>
      </c>
      <c r="F19" s="38">
        <v>680</v>
      </c>
      <c r="G19" s="38">
        <v>680</v>
      </c>
      <c r="H19" s="38">
        <v>680</v>
      </c>
      <c r="I19" s="38">
        <v>680</v>
      </c>
      <c r="J19" s="38">
        <v>680</v>
      </c>
      <c r="K19" s="38">
        <v>680</v>
      </c>
      <c r="L19" s="38">
        <v>680</v>
      </c>
      <c r="M19" s="38">
        <v>680</v>
      </c>
      <c r="N19" s="38">
        <v>680</v>
      </c>
      <c r="O19" s="38">
        <v>680</v>
      </c>
      <c r="P19" s="38">
        <v>680</v>
      </c>
      <c r="Q19" s="39">
        <v>680</v>
      </c>
    </row>
    <row r="20" spans="2:17" s="34" customFormat="1" ht="15.5" x14ac:dyDescent="0.35">
      <c r="B20" s="52" t="s">
        <v>31</v>
      </c>
      <c r="C20" s="43">
        <v>1160</v>
      </c>
      <c r="D20" s="43">
        <v>1230</v>
      </c>
      <c r="E20" s="43">
        <v>1310</v>
      </c>
      <c r="F20" s="43">
        <v>1390</v>
      </c>
      <c r="G20" s="43">
        <v>1460</v>
      </c>
      <c r="H20" s="43">
        <v>1530</v>
      </c>
      <c r="I20" s="43">
        <v>1600</v>
      </c>
      <c r="J20" s="43">
        <v>1660</v>
      </c>
      <c r="K20" s="43">
        <v>1720</v>
      </c>
      <c r="L20" s="43">
        <v>1760</v>
      </c>
      <c r="M20" s="43">
        <v>1700</v>
      </c>
      <c r="N20" s="43">
        <v>1620</v>
      </c>
      <c r="O20" s="43">
        <v>1540</v>
      </c>
      <c r="P20" s="43">
        <v>1450</v>
      </c>
      <c r="Q20" s="44">
        <v>1350</v>
      </c>
    </row>
    <row r="21" spans="2:17" s="34" customFormat="1" ht="15.5" x14ac:dyDescent="0.35">
      <c r="B21" s="45" t="s">
        <v>32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1"/>
    </row>
    <row r="22" spans="2:17" s="34" customFormat="1" ht="15.5" x14ac:dyDescent="0.35">
      <c r="B22" s="35" t="s">
        <v>33</v>
      </c>
      <c r="C22" s="38">
        <v>200</v>
      </c>
      <c r="D22" s="38">
        <v>210</v>
      </c>
      <c r="E22" s="38">
        <v>220</v>
      </c>
      <c r="F22" s="38">
        <v>240</v>
      </c>
      <c r="G22" s="38">
        <v>250</v>
      </c>
      <c r="H22" s="38">
        <v>260</v>
      </c>
      <c r="I22" s="38">
        <v>270</v>
      </c>
      <c r="J22" s="38">
        <v>280</v>
      </c>
      <c r="K22" s="38">
        <v>290</v>
      </c>
      <c r="L22" s="38">
        <v>300</v>
      </c>
      <c r="M22" s="38">
        <v>290</v>
      </c>
      <c r="N22" s="38">
        <v>280</v>
      </c>
      <c r="O22" s="38">
        <v>260</v>
      </c>
      <c r="P22" s="38">
        <v>250</v>
      </c>
      <c r="Q22" s="39">
        <v>230</v>
      </c>
    </row>
    <row r="23" spans="2:17" s="34" customFormat="1" ht="15.5" x14ac:dyDescent="0.35">
      <c r="B23" s="35" t="s">
        <v>34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-10</v>
      </c>
      <c r="K23" s="38">
        <v>-40</v>
      </c>
      <c r="L23" s="38">
        <v>-70</v>
      </c>
      <c r="M23" s="38">
        <v>-90</v>
      </c>
      <c r="N23" s="38">
        <v>-110</v>
      </c>
      <c r="O23" s="38">
        <v>-130</v>
      </c>
      <c r="P23" s="38">
        <v>-140</v>
      </c>
      <c r="Q23" s="39">
        <v>-150</v>
      </c>
    </row>
    <row r="24" spans="2:17" s="34" customFormat="1" ht="15.5" x14ac:dyDescent="0.35">
      <c r="B24" s="53" t="s">
        <v>35</v>
      </c>
      <c r="C24" s="43">
        <v>970</v>
      </c>
      <c r="D24" s="43">
        <v>1020</v>
      </c>
      <c r="E24" s="43">
        <v>1090</v>
      </c>
      <c r="F24" s="43">
        <v>1150</v>
      </c>
      <c r="G24" s="43">
        <v>1210</v>
      </c>
      <c r="H24" s="43">
        <v>1270</v>
      </c>
      <c r="I24" s="43">
        <v>1330</v>
      </c>
      <c r="J24" s="43">
        <v>1390</v>
      </c>
      <c r="K24" s="43">
        <v>1470</v>
      </c>
      <c r="L24" s="43">
        <v>1530</v>
      </c>
      <c r="M24" s="43">
        <v>1500</v>
      </c>
      <c r="N24" s="43">
        <v>1460</v>
      </c>
      <c r="O24" s="43">
        <v>1400</v>
      </c>
      <c r="P24" s="43">
        <v>1340</v>
      </c>
      <c r="Q24" s="44">
        <v>1280</v>
      </c>
    </row>
    <row r="25" spans="2:17" s="34" customFormat="1" ht="15.5" x14ac:dyDescent="0.35">
      <c r="B25" s="53" t="s">
        <v>36</v>
      </c>
      <c r="C25" s="43">
        <v>1650</v>
      </c>
      <c r="D25" s="43">
        <v>1700</v>
      </c>
      <c r="E25" s="43">
        <v>1770</v>
      </c>
      <c r="F25" s="43">
        <v>1830</v>
      </c>
      <c r="G25" s="43">
        <v>1890</v>
      </c>
      <c r="H25" s="43">
        <v>1950</v>
      </c>
      <c r="I25" s="43">
        <v>2010</v>
      </c>
      <c r="J25" s="43">
        <v>2060</v>
      </c>
      <c r="K25" s="43">
        <v>2110</v>
      </c>
      <c r="L25" s="43">
        <v>2140</v>
      </c>
      <c r="M25" s="43">
        <v>2090</v>
      </c>
      <c r="N25" s="43">
        <v>2030</v>
      </c>
      <c r="O25" s="43">
        <v>1950</v>
      </c>
      <c r="P25" s="43">
        <v>1880</v>
      </c>
      <c r="Q25" s="44">
        <v>1810</v>
      </c>
    </row>
    <row r="26" spans="2:17" s="34" customFormat="1" ht="16" thickBot="1" x14ac:dyDescent="0.4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</row>
    <row r="27" spans="2:17" s="34" customFormat="1" x14ac:dyDescent="0.35"/>
    <row r="28" spans="2:17" s="34" customFormat="1" x14ac:dyDescent="0.35"/>
    <row r="29" spans="2:17" s="34" customFormat="1" x14ac:dyDescent="0.35"/>
    <row r="30" spans="2:17" s="34" customFormat="1" x14ac:dyDescent="0.35"/>
    <row r="31" spans="2:17" s="34" customFormat="1" x14ac:dyDescent="0.35"/>
    <row r="32" spans="2:17" s="34" customFormat="1" x14ac:dyDescent="0.35"/>
    <row r="33" s="34" customFormat="1" x14ac:dyDescent="0.35"/>
    <row r="34" s="34" customFormat="1" x14ac:dyDescent="0.35"/>
    <row r="35" s="34" customFormat="1" x14ac:dyDescent="0.35"/>
    <row r="36" s="34" customFormat="1" x14ac:dyDescent="0.35"/>
    <row r="37" s="34" customFormat="1" x14ac:dyDescent="0.35"/>
    <row r="38" s="34" customFormat="1" x14ac:dyDescent="0.35"/>
    <row r="39" s="34" customFormat="1" x14ac:dyDescent="0.35"/>
    <row r="40" s="34" customFormat="1" x14ac:dyDescent="0.35"/>
    <row r="41" s="34" customFormat="1" x14ac:dyDescent="0.35"/>
    <row r="42" s="34" customFormat="1" x14ac:dyDescent="0.35"/>
    <row r="43" s="34" customFormat="1" x14ac:dyDescent="0.35"/>
    <row r="44" s="34" customFormat="1" x14ac:dyDescent="0.35"/>
    <row r="45" s="34" customFormat="1" x14ac:dyDescent="0.35"/>
    <row r="46" s="34" customFormat="1" x14ac:dyDescent="0.35"/>
    <row r="47" s="34" customFormat="1" x14ac:dyDescent="0.35"/>
    <row r="48" s="34" customFormat="1" x14ac:dyDescent="0.35"/>
    <row r="49" s="34" customFormat="1" x14ac:dyDescent="0.35"/>
    <row r="50" s="34" customFormat="1" x14ac:dyDescent="0.35"/>
    <row r="51" s="34" customFormat="1" x14ac:dyDescent="0.35"/>
    <row r="52" s="34" customFormat="1" x14ac:dyDescent="0.35"/>
    <row r="53" s="34" customFormat="1" x14ac:dyDescent="0.35"/>
    <row r="54" s="34" customFormat="1" x14ac:dyDescent="0.35"/>
    <row r="55" s="34" customFormat="1" x14ac:dyDescent="0.35"/>
    <row r="56" s="34" customFormat="1" x14ac:dyDescent="0.35"/>
    <row r="57" s="34" customFormat="1" x14ac:dyDescent="0.35"/>
    <row r="58" s="34" customFormat="1" x14ac:dyDescent="0.35"/>
    <row r="59" s="34" customFormat="1" x14ac:dyDescent="0.35"/>
    <row r="60" s="34" customFormat="1" x14ac:dyDescent="0.35"/>
    <row r="61" s="34" customFormat="1" x14ac:dyDescent="0.35"/>
    <row r="62" s="34" customFormat="1" x14ac:dyDescent="0.35"/>
    <row r="63" s="34" customFormat="1" x14ac:dyDescent="0.35"/>
    <row r="64" s="34" customFormat="1" x14ac:dyDescent="0.35"/>
    <row r="65" s="34" customFormat="1" x14ac:dyDescent="0.35"/>
    <row r="66" s="34" customFormat="1" x14ac:dyDescent="0.35"/>
  </sheetData>
  <mergeCells count="1">
    <mergeCell ref="B2:Q2"/>
  </mergeCells>
  <pageMargins left="0.75" right="0.75" top="1" bottom="1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showGridLines="0" workbookViewId="0">
      <selection activeCell="H11" sqref="H11"/>
    </sheetView>
  </sheetViews>
  <sheetFormatPr baseColWidth="10" defaultColWidth="8.81640625" defaultRowHeight="14.5" x14ac:dyDescent="0.35"/>
  <cols>
    <col min="2" max="2" width="39.453125" bestFit="1" customWidth="1"/>
    <col min="3" max="3" width="5.453125" customWidth="1"/>
  </cols>
  <sheetData>
    <row r="1" spans="1:8" ht="21.5" thickBot="1" x14ac:dyDescent="0.55000000000000004">
      <c r="A1" s="220" t="s">
        <v>310</v>
      </c>
      <c r="B1" s="221"/>
      <c r="C1" s="221"/>
    </row>
    <row r="2" spans="1:8" ht="15" thickBot="1" x14ac:dyDescent="0.4"/>
    <row r="3" spans="1:8" ht="15.5" x14ac:dyDescent="0.35">
      <c r="B3" s="146" t="s">
        <v>79</v>
      </c>
      <c r="C3" s="147"/>
      <c r="G3" s="470" t="s">
        <v>312</v>
      </c>
    </row>
    <row r="4" spans="1:8" x14ac:dyDescent="0.35">
      <c r="B4" s="148" t="s">
        <v>60</v>
      </c>
      <c r="C4" s="149">
        <f>('Base Scenario (Case Exhibit 6)'!$C$14*2400/(5500*1000))/0.992</f>
        <v>0.98260997067448685</v>
      </c>
      <c r="D4" s="332" t="s">
        <v>311</v>
      </c>
      <c r="G4" s="428" t="s">
        <v>313</v>
      </c>
    </row>
    <row r="5" spans="1:8" x14ac:dyDescent="0.35">
      <c r="B5" s="148" t="s">
        <v>61</v>
      </c>
      <c r="C5" s="149">
        <f>('Base Scenario (Case Exhibit 6)'!$C$14*2400/(3450*1000))/0.992</f>
        <v>1.5664796633941094</v>
      </c>
      <c r="D5" s="332" t="s">
        <v>311</v>
      </c>
      <c r="G5" s="354">
        <v>9000</v>
      </c>
      <c r="H5" s="34" t="s">
        <v>283</v>
      </c>
    </row>
    <row r="6" spans="1:8" x14ac:dyDescent="0.35">
      <c r="B6" s="150" t="s">
        <v>62</v>
      </c>
      <c r="C6" s="149">
        <f>AVERAGE(C4:C5)</f>
        <v>1.2745448170342981</v>
      </c>
      <c r="G6" s="271">
        <f>54*1000</f>
        <v>54000</v>
      </c>
      <c r="H6" t="s">
        <v>282</v>
      </c>
    </row>
    <row r="7" spans="1:8" ht="15" thickBot="1" x14ac:dyDescent="0.4">
      <c r="B7" s="155"/>
      <c r="C7" s="156"/>
      <c r="G7" s="271">
        <f>G5*1000/G6</f>
        <v>166.66666666666666</v>
      </c>
      <c r="H7" t="s">
        <v>284</v>
      </c>
    </row>
    <row r="8" spans="1:8" x14ac:dyDescent="0.35">
      <c r="B8" s="157" t="s">
        <v>70</v>
      </c>
      <c r="C8" s="158"/>
    </row>
    <row r="9" spans="1:8" x14ac:dyDescent="0.35">
      <c r="B9" s="152" t="s">
        <v>60</v>
      </c>
      <c r="C9" s="151"/>
      <c r="G9" s="428" t="s">
        <v>314</v>
      </c>
    </row>
    <row r="10" spans="1:8" x14ac:dyDescent="0.35">
      <c r="B10" s="148" t="s">
        <v>69</v>
      </c>
      <c r="C10" s="153">
        <f>(1150+700)/2</f>
        <v>925</v>
      </c>
      <c r="G10" s="427">
        <v>13.86</v>
      </c>
      <c r="H10" s="34" t="s">
        <v>283</v>
      </c>
    </row>
    <row r="11" spans="1:8" x14ac:dyDescent="0.35">
      <c r="B11" s="148" t="s">
        <v>65</v>
      </c>
      <c r="C11" s="154">
        <v>1</v>
      </c>
      <c r="G11" s="271">
        <v>300</v>
      </c>
      <c r="H11" t="s">
        <v>282</v>
      </c>
    </row>
    <row r="12" spans="1:8" ht="15" thickBot="1" x14ac:dyDescent="0.4">
      <c r="B12" s="148" t="s">
        <v>66</v>
      </c>
      <c r="C12" s="165">
        <v>0.03</v>
      </c>
      <c r="G12" s="271">
        <f>G10*1000/G11</f>
        <v>46.2</v>
      </c>
      <c r="H12" t="s">
        <v>284</v>
      </c>
    </row>
    <row r="13" spans="1:8" ht="15" thickTop="1" x14ac:dyDescent="0.35">
      <c r="B13" s="148"/>
      <c r="C13" s="164">
        <f>C10*((1+C12)^3)</f>
        <v>1010.772475</v>
      </c>
      <c r="G13" s="266">
        <f>G11/G6</f>
        <v>5.5555555555555558E-3</v>
      </c>
      <c r="H13" t="s">
        <v>315</v>
      </c>
    </row>
    <row r="14" spans="1:8" x14ac:dyDescent="0.35">
      <c r="B14" s="148"/>
      <c r="C14" s="149"/>
    </row>
    <row r="15" spans="1:8" x14ac:dyDescent="0.35">
      <c r="B15" s="152" t="s">
        <v>61</v>
      </c>
      <c r="C15" s="149"/>
    </row>
    <row r="16" spans="1:8" x14ac:dyDescent="0.35">
      <c r="B16" s="148" t="s">
        <v>67</v>
      </c>
      <c r="C16" s="153">
        <f>67.5*49</f>
        <v>3307.5</v>
      </c>
    </row>
    <row r="17" spans="2:3" x14ac:dyDescent="0.35">
      <c r="B17" s="148" t="s">
        <v>64</v>
      </c>
      <c r="C17" s="154">
        <v>1</v>
      </c>
    </row>
    <row r="18" spans="2:3" ht="15" thickBot="1" x14ac:dyDescent="0.4">
      <c r="B18" s="148" t="s">
        <v>66</v>
      </c>
      <c r="C18" s="165">
        <v>0.03</v>
      </c>
    </row>
    <row r="19" spans="2:3" ht="15" thickTop="1" x14ac:dyDescent="0.35">
      <c r="B19" s="148"/>
      <c r="C19" s="164">
        <f>C16*((1+C18)^3)</f>
        <v>3614.1945525000001</v>
      </c>
    </row>
    <row r="20" spans="2:3" x14ac:dyDescent="0.35">
      <c r="B20" s="148"/>
      <c r="C20" s="149"/>
    </row>
    <row r="21" spans="2:3" x14ac:dyDescent="0.35">
      <c r="B21" s="150" t="s">
        <v>71</v>
      </c>
      <c r="C21" s="159">
        <f>AVERAGE(C19,C13)</f>
        <v>2312.4835137499999</v>
      </c>
    </row>
    <row r="22" spans="2:3" ht="15" thickBot="1" x14ac:dyDescent="0.4">
      <c r="B22" s="162"/>
      <c r="C22" s="160"/>
    </row>
    <row r="23" spans="2:3" ht="15" thickBot="1" x14ac:dyDescent="0.4">
      <c r="B23" s="163" t="s">
        <v>68</v>
      </c>
      <c r="C23" s="161">
        <f>C21*C6</f>
        <v>2947.3638769273243</v>
      </c>
    </row>
  </sheetData>
  <pageMargins left="0.75" right="0.75" top="1" bottom="1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A715-85B1-444C-B52D-B85EA5A1E23E}">
  <dimension ref="A1:AJ62"/>
  <sheetViews>
    <sheetView showGridLines="0" topLeftCell="A13" zoomScale="89" zoomScaleNormal="84" workbookViewId="0">
      <selection activeCell="I34" sqref="I34"/>
    </sheetView>
  </sheetViews>
  <sheetFormatPr baseColWidth="10" defaultColWidth="8.6328125" defaultRowHeight="13" x14ac:dyDescent="0.3"/>
  <cols>
    <col min="1" max="1" width="13.81640625" style="223" customWidth="1"/>
    <col min="2" max="2" width="0.453125" style="223" customWidth="1"/>
    <col min="3" max="3" width="31.453125" style="223" customWidth="1"/>
    <col min="4" max="4" width="1.453125" style="223" customWidth="1"/>
    <col min="5" max="5" width="13.54296875" style="223" customWidth="1"/>
    <col min="6" max="6" width="1.453125" style="223" customWidth="1"/>
    <col min="7" max="7" width="24.08984375" style="223" customWidth="1"/>
    <col min="8" max="8" width="1.453125" style="223" customWidth="1"/>
    <col min="9" max="11" width="13.54296875" style="223" customWidth="1"/>
    <col min="12" max="12" width="1.453125" style="223" customWidth="1"/>
    <col min="13" max="13" width="24.36328125" style="223" customWidth="1"/>
    <col min="14" max="14" width="8.6328125" style="223"/>
    <col min="15" max="15" width="14.1796875" style="223" customWidth="1"/>
    <col min="16" max="256" width="8.6328125" style="223"/>
    <col min="257" max="257" width="13.81640625" style="223" customWidth="1"/>
    <col min="258" max="258" width="0.453125" style="223" customWidth="1"/>
    <col min="259" max="259" width="26.26953125" style="223" customWidth="1"/>
    <col min="260" max="260" width="1.453125" style="223" customWidth="1"/>
    <col min="261" max="261" width="13.54296875" style="223" customWidth="1"/>
    <col min="262" max="262" width="1.453125" style="223" customWidth="1"/>
    <col min="263" max="263" width="24.08984375" style="223" customWidth="1"/>
    <col min="264" max="264" width="1.453125" style="223" customWidth="1"/>
    <col min="265" max="267" width="13.54296875" style="223" customWidth="1"/>
    <col min="268" max="268" width="1.453125" style="223" customWidth="1"/>
    <col min="269" max="269" width="24.36328125" style="223" customWidth="1"/>
    <col min="270" max="512" width="8.6328125" style="223"/>
    <col min="513" max="513" width="13.81640625" style="223" customWidth="1"/>
    <col min="514" max="514" width="0.453125" style="223" customWidth="1"/>
    <col min="515" max="515" width="26.26953125" style="223" customWidth="1"/>
    <col min="516" max="516" width="1.453125" style="223" customWidth="1"/>
    <col min="517" max="517" width="13.54296875" style="223" customWidth="1"/>
    <col min="518" max="518" width="1.453125" style="223" customWidth="1"/>
    <col min="519" max="519" width="24.08984375" style="223" customWidth="1"/>
    <col min="520" max="520" width="1.453125" style="223" customWidth="1"/>
    <col min="521" max="523" width="13.54296875" style="223" customWidth="1"/>
    <col min="524" max="524" width="1.453125" style="223" customWidth="1"/>
    <col min="525" max="525" width="24.36328125" style="223" customWidth="1"/>
    <col min="526" max="768" width="8.6328125" style="223"/>
    <col min="769" max="769" width="13.81640625" style="223" customWidth="1"/>
    <col min="770" max="770" width="0.453125" style="223" customWidth="1"/>
    <col min="771" max="771" width="26.26953125" style="223" customWidth="1"/>
    <col min="772" max="772" width="1.453125" style="223" customWidth="1"/>
    <col min="773" max="773" width="13.54296875" style="223" customWidth="1"/>
    <col min="774" max="774" width="1.453125" style="223" customWidth="1"/>
    <col min="775" max="775" width="24.08984375" style="223" customWidth="1"/>
    <col min="776" max="776" width="1.453125" style="223" customWidth="1"/>
    <col min="777" max="779" width="13.54296875" style="223" customWidth="1"/>
    <col min="780" max="780" width="1.453125" style="223" customWidth="1"/>
    <col min="781" max="781" width="24.36328125" style="223" customWidth="1"/>
    <col min="782" max="1024" width="8.6328125" style="223"/>
    <col min="1025" max="1025" width="13.81640625" style="223" customWidth="1"/>
    <col min="1026" max="1026" width="0.453125" style="223" customWidth="1"/>
    <col min="1027" max="1027" width="26.26953125" style="223" customWidth="1"/>
    <col min="1028" max="1028" width="1.453125" style="223" customWidth="1"/>
    <col min="1029" max="1029" width="13.54296875" style="223" customWidth="1"/>
    <col min="1030" max="1030" width="1.453125" style="223" customWidth="1"/>
    <col min="1031" max="1031" width="24.08984375" style="223" customWidth="1"/>
    <col min="1032" max="1032" width="1.453125" style="223" customWidth="1"/>
    <col min="1033" max="1035" width="13.54296875" style="223" customWidth="1"/>
    <col min="1036" max="1036" width="1.453125" style="223" customWidth="1"/>
    <col min="1037" max="1037" width="24.36328125" style="223" customWidth="1"/>
    <col min="1038" max="1280" width="8.6328125" style="223"/>
    <col min="1281" max="1281" width="13.81640625" style="223" customWidth="1"/>
    <col min="1282" max="1282" width="0.453125" style="223" customWidth="1"/>
    <col min="1283" max="1283" width="26.26953125" style="223" customWidth="1"/>
    <col min="1284" max="1284" width="1.453125" style="223" customWidth="1"/>
    <col min="1285" max="1285" width="13.54296875" style="223" customWidth="1"/>
    <col min="1286" max="1286" width="1.453125" style="223" customWidth="1"/>
    <col min="1287" max="1287" width="24.08984375" style="223" customWidth="1"/>
    <col min="1288" max="1288" width="1.453125" style="223" customWidth="1"/>
    <col min="1289" max="1291" width="13.54296875" style="223" customWidth="1"/>
    <col min="1292" max="1292" width="1.453125" style="223" customWidth="1"/>
    <col min="1293" max="1293" width="24.36328125" style="223" customWidth="1"/>
    <col min="1294" max="1536" width="8.6328125" style="223"/>
    <col min="1537" max="1537" width="13.81640625" style="223" customWidth="1"/>
    <col min="1538" max="1538" width="0.453125" style="223" customWidth="1"/>
    <col min="1539" max="1539" width="26.26953125" style="223" customWidth="1"/>
    <col min="1540" max="1540" width="1.453125" style="223" customWidth="1"/>
    <col min="1541" max="1541" width="13.54296875" style="223" customWidth="1"/>
    <col min="1542" max="1542" width="1.453125" style="223" customWidth="1"/>
    <col min="1543" max="1543" width="24.08984375" style="223" customWidth="1"/>
    <col min="1544" max="1544" width="1.453125" style="223" customWidth="1"/>
    <col min="1545" max="1547" width="13.54296875" style="223" customWidth="1"/>
    <col min="1548" max="1548" width="1.453125" style="223" customWidth="1"/>
    <col min="1549" max="1549" width="24.36328125" style="223" customWidth="1"/>
    <col min="1550" max="1792" width="8.6328125" style="223"/>
    <col min="1793" max="1793" width="13.81640625" style="223" customWidth="1"/>
    <col min="1794" max="1794" width="0.453125" style="223" customWidth="1"/>
    <col min="1795" max="1795" width="26.26953125" style="223" customWidth="1"/>
    <col min="1796" max="1796" width="1.453125" style="223" customWidth="1"/>
    <col min="1797" max="1797" width="13.54296875" style="223" customWidth="1"/>
    <col min="1798" max="1798" width="1.453125" style="223" customWidth="1"/>
    <col min="1799" max="1799" width="24.08984375" style="223" customWidth="1"/>
    <col min="1800" max="1800" width="1.453125" style="223" customWidth="1"/>
    <col min="1801" max="1803" width="13.54296875" style="223" customWidth="1"/>
    <col min="1804" max="1804" width="1.453125" style="223" customWidth="1"/>
    <col min="1805" max="1805" width="24.36328125" style="223" customWidth="1"/>
    <col min="1806" max="2048" width="8.6328125" style="223"/>
    <col min="2049" max="2049" width="13.81640625" style="223" customWidth="1"/>
    <col min="2050" max="2050" width="0.453125" style="223" customWidth="1"/>
    <col min="2051" max="2051" width="26.26953125" style="223" customWidth="1"/>
    <col min="2052" max="2052" width="1.453125" style="223" customWidth="1"/>
    <col min="2053" max="2053" width="13.54296875" style="223" customWidth="1"/>
    <col min="2054" max="2054" width="1.453125" style="223" customWidth="1"/>
    <col min="2055" max="2055" width="24.08984375" style="223" customWidth="1"/>
    <col min="2056" max="2056" width="1.453125" style="223" customWidth="1"/>
    <col min="2057" max="2059" width="13.54296875" style="223" customWidth="1"/>
    <col min="2060" max="2060" width="1.453125" style="223" customWidth="1"/>
    <col min="2061" max="2061" width="24.36328125" style="223" customWidth="1"/>
    <col min="2062" max="2304" width="8.6328125" style="223"/>
    <col min="2305" max="2305" width="13.81640625" style="223" customWidth="1"/>
    <col min="2306" max="2306" width="0.453125" style="223" customWidth="1"/>
    <col min="2307" max="2307" width="26.26953125" style="223" customWidth="1"/>
    <col min="2308" max="2308" width="1.453125" style="223" customWidth="1"/>
    <col min="2309" max="2309" width="13.54296875" style="223" customWidth="1"/>
    <col min="2310" max="2310" width="1.453125" style="223" customWidth="1"/>
    <col min="2311" max="2311" width="24.08984375" style="223" customWidth="1"/>
    <col min="2312" max="2312" width="1.453125" style="223" customWidth="1"/>
    <col min="2313" max="2315" width="13.54296875" style="223" customWidth="1"/>
    <col min="2316" max="2316" width="1.453125" style="223" customWidth="1"/>
    <col min="2317" max="2317" width="24.36328125" style="223" customWidth="1"/>
    <col min="2318" max="2560" width="8.6328125" style="223"/>
    <col min="2561" max="2561" width="13.81640625" style="223" customWidth="1"/>
    <col min="2562" max="2562" width="0.453125" style="223" customWidth="1"/>
    <col min="2563" max="2563" width="26.26953125" style="223" customWidth="1"/>
    <col min="2564" max="2564" width="1.453125" style="223" customWidth="1"/>
    <col min="2565" max="2565" width="13.54296875" style="223" customWidth="1"/>
    <col min="2566" max="2566" width="1.453125" style="223" customWidth="1"/>
    <col min="2567" max="2567" width="24.08984375" style="223" customWidth="1"/>
    <col min="2568" max="2568" width="1.453125" style="223" customWidth="1"/>
    <col min="2569" max="2571" width="13.54296875" style="223" customWidth="1"/>
    <col min="2572" max="2572" width="1.453125" style="223" customWidth="1"/>
    <col min="2573" max="2573" width="24.36328125" style="223" customWidth="1"/>
    <col min="2574" max="2816" width="8.6328125" style="223"/>
    <col min="2817" max="2817" width="13.81640625" style="223" customWidth="1"/>
    <col min="2818" max="2818" width="0.453125" style="223" customWidth="1"/>
    <col min="2819" max="2819" width="26.26953125" style="223" customWidth="1"/>
    <col min="2820" max="2820" width="1.453125" style="223" customWidth="1"/>
    <col min="2821" max="2821" width="13.54296875" style="223" customWidth="1"/>
    <col min="2822" max="2822" width="1.453125" style="223" customWidth="1"/>
    <col min="2823" max="2823" width="24.08984375" style="223" customWidth="1"/>
    <col min="2824" max="2824" width="1.453125" style="223" customWidth="1"/>
    <col min="2825" max="2827" width="13.54296875" style="223" customWidth="1"/>
    <col min="2828" max="2828" width="1.453125" style="223" customWidth="1"/>
    <col min="2829" max="2829" width="24.36328125" style="223" customWidth="1"/>
    <col min="2830" max="3072" width="8.6328125" style="223"/>
    <col min="3073" max="3073" width="13.81640625" style="223" customWidth="1"/>
    <col min="3074" max="3074" width="0.453125" style="223" customWidth="1"/>
    <col min="3075" max="3075" width="26.26953125" style="223" customWidth="1"/>
    <col min="3076" max="3076" width="1.453125" style="223" customWidth="1"/>
    <col min="3077" max="3077" width="13.54296875" style="223" customWidth="1"/>
    <col min="3078" max="3078" width="1.453125" style="223" customWidth="1"/>
    <col min="3079" max="3079" width="24.08984375" style="223" customWidth="1"/>
    <col min="3080" max="3080" width="1.453125" style="223" customWidth="1"/>
    <col min="3081" max="3083" width="13.54296875" style="223" customWidth="1"/>
    <col min="3084" max="3084" width="1.453125" style="223" customWidth="1"/>
    <col min="3085" max="3085" width="24.36328125" style="223" customWidth="1"/>
    <col min="3086" max="3328" width="8.6328125" style="223"/>
    <col min="3329" max="3329" width="13.81640625" style="223" customWidth="1"/>
    <col min="3330" max="3330" width="0.453125" style="223" customWidth="1"/>
    <col min="3331" max="3331" width="26.26953125" style="223" customWidth="1"/>
    <col min="3332" max="3332" width="1.453125" style="223" customWidth="1"/>
    <col min="3333" max="3333" width="13.54296875" style="223" customWidth="1"/>
    <col min="3334" max="3334" width="1.453125" style="223" customWidth="1"/>
    <col min="3335" max="3335" width="24.08984375" style="223" customWidth="1"/>
    <col min="3336" max="3336" width="1.453125" style="223" customWidth="1"/>
    <col min="3337" max="3339" width="13.54296875" style="223" customWidth="1"/>
    <col min="3340" max="3340" width="1.453125" style="223" customWidth="1"/>
    <col min="3341" max="3341" width="24.36328125" style="223" customWidth="1"/>
    <col min="3342" max="3584" width="8.6328125" style="223"/>
    <col min="3585" max="3585" width="13.81640625" style="223" customWidth="1"/>
    <col min="3586" max="3586" width="0.453125" style="223" customWidth="1"/>
    <col min="3587" max="3587" width="26.26953125" style="223" customWidth="1"/>
    <col min="3588" max="3588" width="1.453125" style="223" customWidth="1"/>
    <col min="3589" max="3589" width="13.54296875" style="223" customWidth="1"/>
    <col min="3590" max="3590" width="1.453125" style="223" customWidth="1"/>
    <col min="3591" max="3591" width="24.08984375" style="223" customWidth="1"/>
    <col min="3592" max="3592" width="1.453125" style="223" customWidth="1"/>
    <col min="3593" max="3595" width="13.54296875" style="223" customWidth="1"/>
    <col min="3596" max="3596" width="1.453125" style="223" customWidth="1"/>
    <col min="3597" max="3597" width="24.36328125" style="223" customWidth="1"/>
    <col min="3598" max="3840" width="8.6328125" style="223"/>
    <col min="3841" max="3841" width="13.81640625" style="223" customWidth="1"/>
    <col min="3842" max="3842" width="0.453125" style="223" customWidth="1"/>
    <col min="3843" max="3843" width="26.26953125" style="223" customWidth="1"/>
    <col min="3844" max="3844" width="1.453125" style="223" customWidth="1"/>
    <col min="3845" max="3845" width="13.54296875" style="223" customWidth="1"/>
    <col min="3846" max="3846" width="1.453125" style="223" customWidth="1"/>
    <col min="3847" max="3847" width="24.08984375" style="223" customWidth="1"/>
    <col min="3848" max="3848" width="1.453125" style="223" customWidth="1"/>
    <col min="3849" max="3851" width="13.54296875" style="223" customWidth="1"/>
    <col min="3852" max="3852" width="1.453125" style="223" customWidth="1"/>
    <col min="3853" max="3853" width="24.36328125" style="223" customWidth="1"/>
    <col min="3854" max="4096" width="8.6328125" style="223"/>
    <col min="4097" max="4097" width="13.81640625" style="223" customWidth="1"/>
    <col min="4098" max="4098" width="0.453125" style="223" customWidth="1"/>
    <col min="4099" max="4099" width="26.26953125" style="223" customWidth="1"/>
    <col min="4100" max="4100" width="1.453125" style="223" customWidth="1"/>
    <col min="4101" max="4101" width="13.54296875" style="223" customWidth="1"/>
    <col min="4102" max="4102" width="1.453125" style="223" customWidth="1"/>
    <col min="4103" max="4103" width="24.08984375" style="223" customWidth="1"/>
    <col min="4104" max="4104" width="1.453125" style="223" customWidth="1"/>
    <col min="4105" max="4107" width="13.54296875" style="223" customWidth="1"/>
    <col min="4108" max="4108" width="1.453125" style="223" customWidth="1"/>
    <col min="4109" max="4109" width="24.36328125" style="223" customWidth="1"/>
    <col min="4110" max="4352" width="8.6328125" style="223"/>
    <col min="4353" max="4353" width="13.81640625" style="223" customWidth="1"/>
    <col min="4354" max="4354" width="0.453125" style="223" customWidth="1"/>
    <col min="4355" max="4355" width="26.26953125" style="223" customWidth="1"/>
    <col min="4356" max="4356" width="1.453125" style="223" customWidth="1"/>
    <col min="4357" max="4357" width="13.54296875" style="223" customWidth="1"/>
    <col min="4358" max="4358" width="1.453125" style="223" customWidth="1"/>
    <col min="4359" max="4359" width="24.08984375" style="223" customWidth="1"/>
    <col min="4360" max="4360" width="1.453125" style="223" customWidth="1"/>
    <col min="4361" max="4363" width="13.54296875" style="223" customWidth="1"/>
    <col min="4364" max="4364" width="1.453125" style="223" customWidth="1"/>
    <col min="4365" max="4365" width="24.36328125" style="223" customWidth="1"/>
    <col min="4366" max="4608" width="8.6328125" style="223"/>
    <col min="4609" max="4609" width="13.81640625" style="223" customWidth="1"/>
    <col min="4610" max="4610" width="0.453125" style="223" customWidth="1"/>
    <col min="4611" max="4611" width="26.26953125" style="223" customWidth="1"/>
    <col min="4612" max="4612" width="1.453125" style="223" customWidth="1"/>
    <col min="4613" max="4613" width="13.54296875" style="223" customWidth="1"/>
    <col min="4614" max="4614" width="1.453125" style="223" customWidth="1"/>
    <col min="4615" max="4615" width="24.08984375" style="223" customWidth="1"/>
    <col min="4616" max="4616" width="1.453125" style="223" customWidth="1"/>
    <col min="4617" max="4619" width="13.54296875" style="223" customWidth="1"/>
    <col min="4620" max="4620" width="1.453125" style="223" customWidth="1"/>
    <col min="4621" max="4621" width="24.36328125" style="223" customWidth="1"/>
    <col min="4622" max="4864" width="8.6328125" style="223"/>
    <col min="4865" max="4865" width="13.81640625" style="223" customWidth="1"/>
    <col min="4866" max="4866" width="0.453125" style="223" customWidth="1"/>
    <col min="4867" max="4867" width="26.26953125" style="223" customWidth="1"/>
    <col min="4868" max="4868" width="1.453125" style="223" customWidth="1"/>
    <col min="4869" max="4869" width="13.54296875" style="223" customWidth="1"/>
    <col min="4870" max="4870" width="1.453125" style="223" customWidth="1"/>
    <col min="4871" max="4871" width="24.08984375" style="223" customWidth="1"/>
    <col min="4872" max="4872" width="1.453125" style="223" customWidth="1"/>
    <col min="4873" max="4875" width="13.54296875" style="223" customWidth="1"/>
    <col min="4876" max="4876" width="1.453125" style="223" customWidth="1"/>
    <col min="4877" max="4877" width="24.36328125" style="223" customWidth="1"/>
    <col min="4878" max="5120" width="8.6328125" style="223"/>
    <col min="5121" max="5121" width="13.81640625" style="223" customWidth="1"/>
    <col min="5122" max="5122" width="0.453125" style="223" customWidth="1"/>
    <col min="5123" max="5123" width="26.26953125" style="223" customWidth="1"/>
    <col min="5124" max="5124" width="1.453125" style="223" customWidth="1"/>
    <col min="5125" max="5125" width="13.54296875" style="223" customWidth="1"/>
    <col min="5126" max="5126" width="1.453125" style="223" customWidth="1"/>
    <col min="5127" max="5127" width="24.08984375" style="223" customWidth="1"/>
    <col min="5128" max="5128" width="1.453125" style="223" customWidth="1"/>
    <col min="5129" max="5131" width="13.54296875" style="223" customWidth="1"/>
    <col min="5132" max="5132" width="1.453125" style="223" customWidth="1"/>
    <col min="5133" max="5133" width="24.36328125" style="223" customWidth="1"/>
    <col min="5134" max="5376" width="8.6328125" style="223"/>
    <col min="5377" max="5377" width="13.81640625" style="223" customWidth="1"/>
    <col min="5378" max="5378" width="0.453125" style="223" customWidth="1"/>
    <col min="5379" max="5379" width="26.26953125" style="223" customWidth="1"/>
    <col min="5380" max="5380" width="1.453125" style="223" customWidth="1"/>
    <col min="5381" max="5381" width="13.54296875" style="223" customWidth="1"/>
    <col min="5382" max="5382" width="1.453125" style="223" customWidth="1"/>
    <col min="5383" max="5383" width="24.08984375" style="223" customWidth="1"/>
    <col min="5384" max="5384" width="1.453125" style="223" customWidth="1"/>
    <col min="5385" max="5387" width="13.54296875" style="223" customWidth="1"/>
    <col min="5388" max="5388" width="1.453125" style="223" customWidth="1"/>
    <col min="5389" max="5389" width="24.36328125" style="223" customWidth="1"/>
    <col min="5390" max="5632" width="8.6328125" style="223"/>
    <col min="5633" max="5633" width="13.81640625" style="223" customWidth="1"/>
    <col min="5634" max="5634" width="0.453125" style="223" customWidth="1"/>
    <col min="5635" max="5635" width="26.26953125" style="223" customWidth="1"/>
    <col min="5636" max="5636" width="1.453125" style="223" customWidth="1"/>
    <col min="5637" max="5637" width="13.54296875" style="223" customWidth="1"/>
    <col min="5638" max="5638" width="1.453125" style="223" customWidth="1"/>
    <col min="5639" max="5639" width="24.08984375" style="223" customWidth="1"/>
    <col min="5640" max="5640" width="1.453125" style="223" customWidth="1"/>
    <col min="5641" max="5643" width="13.54296875" style="223" customWidth="1"/>
    <col min="5644" max="5644" width="1.453125" style="223" customWidth="1"/>
    <col min="5645" max="5645" width="24.36328125" style="223" customWidth="1"/>
    <col min="5646" max="5888" width="8.6328125" style="223"/>
    <col min="5889" max="5889" width="13.81640625" style="223" customWidth="1"/>
    <col min="5890" max="5890" width="0.453125" style="223" customWidth="1"/>
    <col min="5891" max="5891" width="26.26953125" style="223" customWidth="1"/>
    <col min="5892" max="5892" width="1.453125" style="223" customWidth="1"/>
    <col min="5893" max="5893" width="13.54296875" style="223" customWidth="1"/>
    <col min="5894" max="5894" width="1.453125" style="223" customWidth="1"/>
    <col min="5895" max="5895" width="24.08984375" style="223" customWidth="1"/>
    <col min="5896" max="5896" width="1.453125" style="223" customWidth="1"/>
    <col min="5897" max="5899" width="13.54296875" style="223" customWidth="1"/>
    <col min="5900" max="5900" width="1.453125" style="223" customWidth="1"/>
    <col min="5901" max="5901" width="24.36328125" style="223" customWidth="1"/>
    <col min="5902" max="6144" width="8.6328125" style="223"/>
    <col min="6145" max="6145" width="13.81640625" style="223" customWidth="1"/>
    <col min="6146" max="6146" width="0.453125" style="223" customWidth="1"/>
    <col min="6147" max="6147" width="26.26953125" style="223" customWidth="1"/>
    <col min="6148" max="6148" width="1.453125" style="223" customWidth="1"/>
    <col min="6149" max="6149" width="13.54296875" style="223" customWidth="1"/>
    <col min="6150" max="6150" width="1.453125" style="223" customWidth="1"/>
    <col min="6151" max="6151" width="24.08984375" style="223" customWidth="1"/>
    <col min="6152" max="6152" width="1.453125" style="223" customWidth="1"/>
    <col min="6153" max="6155" width="13.54296875" style="223" customWidth="1"/>
    <col min="6156" max="6156" width="1.453125" style="223" customWidth="1"/>
    <col min="6157" max="6157" width="24.36328125" style="223" customWidth="1"/>
    <col min="6158" max="6400" width="8.6328125" style="223"/>
    <col min="6401" max="6401" width="13.81640625" style="223" customWidth="1"/>
    <col min="6402" max="6402" width="0.453125" style="223" customWidth="1"/>
    <col min="6403" max="6403" width="26.26953125" style="223" customWidth="1"/>
    <col min="6404" max="6404" width="1.453125" style="223" customWidth="1"/>
    <col min="6405" max="6405" width="13.54296875" style="223" customWidth="1"/>
    <col min="6406" max="6406" width="1.453125" style="223" customWidth="1"/>
    <col min="6407" max="6407" width="24.08984375" style="223" customWidth="1"/>
    <col min="6408" max="6408" width="1.453125" style="223" customWidth="1"/>
    <col min="6409" max="6411" width="13.54296875" style="223" customWidth="1"/>
    <col min="6412" max="6412" width="1.453125" style="223" customWidth="1"/>
    <col min="6413" max="6413" width="24.36328125" style="223" customWidth="1"/>
    <col min="6414" max="6656" width="8.6328125" style="223"/>
    <col min="6657" max="6657" width="13.81640625" style="223" customWidth="1"/>
    <col min="6658" max="6658" width="0.453125" style="223" customWidth="1"/>
    <col min="6659" max="6659" width="26.26953125" style="223" customWidth="1"/>
    <col min="6660" max="6660" width="1.453125" style="223" customWidth="1"/>
    <col min="6661" max="6661" width="13.54296875" style="223" customWidth="1"/>
    <col min="6662" max="6662" width="1.453125" style="223" customWidth="1"/>
    <col min="6663" max="6663" width="24.08984375" style="223" customWidth="1"/>
    <col min="6664" max="6664" width="1.453125" style="223" customWidth="1"/>
    <col min="6665" max="6667" width="13.54296875" style="223" customWidth="1"/>
    <col min="6668" max="6668" width="1.453125" style="223" customWidth="1"/>
    <col min="6669" max="6669" width="24.36328125" style="223" customWidth="1"/>
    <col min="6670" max="6912" width="8.6328125" style="223"/>
    <col min="6913" max="6913" width="13.81640625" style="223" customWidth="1"/>
    <col min="6914" max="6914" width="0.453125" style="223" customWidth="1"/>
    <col min="6915" max="6915" width="26.26953125" style="223" customWidth="1"/>
    <col min="6916" max="6916" width="1.453125" style="223" customWidth="1"/>
    <col min="6917" max="6917" width="13.54296875" style="223" customWidth="1"/>
    <col min="6918" max="6918" width="1.453125" style="223" customWidth="1"/>
    <col min="6919" max="6919" width="24.08984375" style="223" customWidth="1"/>
    <col min="6920" max="6920" width="1.453125" style="223" customWidth="1"/>
    <col min="6921" max="6923" width="13.54296875" style="223" customWidth="1"/>
    <col min="6924" max="6924" width="1.453125" style="223" customWidth="1"/>
    <col min="6925" max="6925" width="24.36328125" style="223" customWidth="1"/>
    <col min="6926" max="7168" width="8.6328125" style="223"/>
    <col min="7169" max="7169" width="13.81640625" style="223" customWidth="1"/>
    <col min="7170" max="7170" width="0.453125" style="223" customWidth="1"/>
    <col min="7171" max="7171" width="26.26953125" style="223" customWidth="1"/>
    <col min="7172" max="7172" width="1.453125" style="223" customWidth="1"/>
    <col min="7173" max="7173" width="13.54296875" style="223" customWidth="1"/>
    <col min="7174" max="7174" width="1.453125" style="223" customWidth="1"/>
    <col min="7175" max="7175" width="24.08984375" style="223" customWidth="1"/>
    <col min="7176" max="7176" width="1.453125" style="223" customWidth="1"/>
    <col min="7177" max="7179" width="13.54296875" style="223" customWidth="1"/>
    <col min="7180" max="7180" width="1.453125" style="223" customWidth="1"/>
    <col min="7181" max="7181" width="24.36328125" style="223" customWidth="1"/>
    <col min="7182" max="7424" width="8.6328125" style="223"/>
    <col min="7425" max="7425" width="13.81640625" style="223" customWidth="1"/>
    <col min="7426" max="7426" width="0.453125" style="223" customWidth="1"/>
    <col min="7427" max="7427" width="26.26953125" style="223" customWidth="1"/>
    <col min="7428" max="7428" width="1.453125" style="223" customWidth="1"/>
    <col min="7429" max="7429" width="13.54296875" style="223" customWidth="1"/>
    <col min="7430" max="7430" width="1.453125" style="223" customWidth="1"/>
    <col min="7431" max="7431" width="24.08984375" style="223" customWidth="1"/>
    <col min="7432" max="7432" width="1.453125" style="223" customWidth="1"/>
    <col min="7433" max="7435" width="13.54296875" style="223" customWidth="1"/>
    <col min="7436" max="7436" width="1.453125" style="223" customWidth="1"/>
    <col min="7437" max="7437" width="24.36328125" style="223" customWidth="1"/>
    <col min="7438" max="7680" width="8.6328125" style="223"/>
    <col min="7681" max="7681" width="13.81640625" style="223" customWidth="1"/>
    <col min="7682" max="7682" width="0.453125" style="223" customWidth="1"/>
    <col min="7683" max="7683" width="26.26953125" style="223" customWidth="1"/>
    <col min="7684" max="7684" width="1.453125" style="223" customWidth="1"/>
    <col min="7685" max="7685" width="13.54296875" style="223" customWidth="1"/>
    <col min="7686" max="7686" width="1.453125" style="223" customWidth="1"/>
    <col min="7687" max="7687" width="24.08984375" style="223" customWidth="1"/>
    <col min="7688" max="7688" width="1.453125" style="223" customWidth="1"/>
    <col min="7689" max="7691" width="13.54296875" style="223" customWidth="1"/>
    <col min="7692" max="7692" width="1.453125" style="223" customWidth="1"/>
    <col min="7693" max="7693" width="24.36328125" style="223" customWidth="1"/>
    <col min="7694" max="7936" width="8.6328125" style="223"/>
    <col min="7937" max="7937" width="13.81640625" style="223" customWidth="1"/>
    <col min="7938" max="7938" width="0.453125" style="223" customWidth="1"/>
    <col min="7939" max="7939" width="26.26953125" style="223" customWidth="1"/>
    <col min="7940" max="7940" width="1.453125" style="223" customWidth="1"/>
    <col min="7941" max="7941" width="13.54296875" style="223" customWidth="1"/>
    <col min="7942" max="7942" width="1.453125" style="223" customWidth="1"/>
    <col min="7943" max="7943" width="24.08984375" style="223" customWidth="1"/>
    <col min="7944" max="7944" width="1.453125" style="223" customWidth="1"/>
    <col min="7945" max="7947" width="13.54296875" style="223" customWidth="1"/>
    <col min="7948" max="7948" width="1.453125" style="223" customWidth="1"/>
    <col min="7949" max="7949" width="24.36328125" style="223" customWidth="1"/>
    <col min="7950" max="8192" width="8.6328125" style="223"/>
    <col min="8193" max="8193" width="13.81640625" style="223" customWidth="1"/>
    <col min="8194" max="8194" width="0.453125" style="223" customWidth="1"/>
    <col min="8195" max="8195" width="26.26953125" style="223" customWidth="1"/>
    <col min="8196" max="8196" width="1.453125" style="223" customWidth="1"/>
    <col min="8197" max="8197" width="13.54296875" style="223" customWidth="1"/>
    <col min="8198" max="8198" width="1.453125" style="223" customWidth="1"/>
    <col min="8199" max="8199" width="24.08984375" style="223" customWidth="1"/>
    <col min="8200" max="8200" width="1.453125" style="223" customWidth="1"/>
    <col min="8201" max="8203" width="13.54296875" style="223" customWidth="1"/>
    <col min="8204" max="8204" width="1.453125" style="223" customWidth="1"/>
    <col min="8205" max="8205" width="24.36328125" style="223" customWidth="1"/>
    <col min="8206" max="8448" width="8.6328125" style="223"/>
    <col min="8449" max="8449" width="13.81640625" style="223" customWidth="1"/>
    <col min="8450" max="8450" width="0.453125" style="223" customWidth="1"/>
    <col min="8451" max="8451" width="26.26953125" style="223" customWidth="1"/>
    <col min="8452" max="8452" width="1.453125" style="223" customWidth="1"/>
    <col min="8453" max="8453" width="13.54296875" style="223" customWidth="1"/>
    <col min="8454" max="8454" width="1.453125" style="223" customWidth="1"/>
    <col min="8455" max="8455" width="24.08984375" style="223" customWidth="1"/>
    <col min="8456" max="8456" width="1.453125" style="223" customWidth="1"/>
    <col min="8457" max="8459" width="13.54296875" style="223" customWidth="1"/>
    <col min="8460" max="8460" width="1.453125" style="223" customWidth="1"/>
    <col min="8461" max="8461" width="24.36328125" style="223" customWidth="1"/>
    <col min="8462" max="8704" width="8.6328125" style="223"/>
    <col min="8705" max="8705" width="13.81640625" style="223" customWidth="1"/>
    <col min="8706" max="8706" width="0.453125" style="223" customWidth="1"/>
    <col min="8707" max="8707" width="26.26953125" style="223" customWidth="1"/>
    <col min="8708" max="8708" width="1.453125" style="223" customWidth="1"/>
    <col min="8709" max="8709" width="13.54296875" style="223" customWidth="1"/>
    <col min="8710" max="8710" width="1.453125" style="223" customWidth="1"/>
    <col min="8711" max="8711" width="24.08984375" style="223" customWidth="1"/>
    <col min="8712" max="8712" width="1.453125" style="223" customWidth="1"/>
    <col min="8713" max="8715" width="13.54296875" style="223" customWidth="1"/>
    <col min="8716" max="8716" width="1.453125" style="223" customWidth="1"/>
    <col min="8717" max="8717" width="24.36328125" style="223" customWidth="1"/>
    <col min="8718" max="8960" width="8.6328125" style="223"/>
    <col min="8961" max="8961" width="13.81640625" style="223" customWidth="1"/>
    <col min="8962" max="8962" width="0.453125" style="223" customWidth="1"/>
    <col min="8963" max="8963" width="26.26953125" style="223" customWidth="1"/>
    <col min="8964" max="8964" width="1.453125" style="223" customWidth="1"/>
    <col min="8965" max="8965" width="13.54296875" style="223" customWidth="1"/>
    <col min="8966" max="8966" width="1.453125" style="223" customWidth="1"/>
    <col min="8967" max="8967" width="24.08984375" style="223" customWidth="1"/>
    <col min="8968" max="8968" width="1.453125" style="223" customWidth="1"/>
    <col min="8969" max="8971" width="13.54296875" style="223" customWidth="1"/>
    <col min="8972" max="8972" width="1.453125" style="223" customWidth="1"/>
    <col min="8973" max="8973" width="24.36328125" style="223" customWidth="1"/>
    <col min="8974" max="9216" width="8.6328125" style="223"/>
    <col min="9217" max="9217" width="13.81640625" style="223" customWidth="1"/>
    <col min="9218" max="9218" width="0.453125" style="223" customWidth="1"/>
    <col min="9219" max="9219" width="26.26953125" style="223" customWidth="1"/>
    <col min="9220" max="9220" width="1.453125" style="223" customWidth="1"/>
    <col min="9221" max="9221" width="13.54296875" style="223" customWidth="1"/>
    <col min="9222" max="9222" width="1.453125" style="223" customWidth="1"/>
    <col min="9223" max="9223" width="24.08984375" style="223" customWidth="1"/>
    <col min="9224" max="9224" width="1.453125" style="223" customWidth="1"/>
    <col min="9225" max="9227" width="13.54296875" style="223" customWidth="1"/>
    <col min="9228" max="9228" width="1.453125" style="223" customWidth="1"/>
    <col min="9229" max="9229" width="24.36328125" style="223" customWidth="1"/>
    <col min="9230" max="9472" width="8.6328125" style="223"/>
    <col min="9473" max="9473" width="13.81640625" style="223" customWidth="1"/>
    <col min="9474" max="9474" width="0.453125" style="223" customWidth="1"/>
    <col min="9475" max="9475" width="26.26953125" style="223" customWidth="1"/>
    <col min="9476" max="9476" width="1.453125" style="223" customWidth="1"/>
    <col min="9477" max="9477" width="13.54296875" style="223" customWidth="1"/>
    <col min="9478" max="9478" width="1.453125" style="223" customWidth="1"/>
    <col min="9479" max="9479" width="24.08984375" style="223" customWidth="1"/>
    <col min="9480" max="9480" width="1.453125" style="223" customWidth="1"/>
    <col min="9481" max="9483" width="13.54296875" style="223" customWidth="1"/>
    <col min="9484" max="9484" width="1.453125" style="223" customWidth="1"/>
    <col min="9485" max="9485" width="24.36328125" style="223" customWidth="1"/>
    <col min="9486" max="9728" width="8.6328125" style="223"/>
    <col min="9729" max="9729" width="13.81640625" style="223" customWidth="1"/>
    <col min="9730" max="9730" width="0.453125" style="223" customWidth="1"/>
    <col min="9731" max="9731" width="26.26953125" style="223" customWidth="1"/>
    <col min="9732" max="9732" width="1.453125" style="223" customWidth="1"/>
    <col min="9733" max="9733" width="13.54296875" style="223" customWidth="1"/>
    <col min="9734" max="9734" width="1.453125" style="223" customWidth="1"/>
    <col min="9735" max="9735" width="24.08984375" style="223" customWidth="1"/>
    <col min="9736" max="9736" width="1.453125" style="223" customWidth="1"/>
    <col min="9737" max="9739" width="13.54296875" style="223" customWidth="1"/>
    <col min="9740" max="9740" width="1.453125" style="223" customWidth="1"/>
    <col min="9741" max="9741" width="24.36328125" style="223" customWidth="1"/>
    <col min="9742" max="9984" width="8.6328125" style="223"/>
    <col min="9985" max="9985" width="13.81640625" style="223" customWidth="1"/>
    <col min="9986" max="9986" width="0.453125" style="223" customWidth="1"/>
    <col min="9987" max="9987" width="26.26953125" style="223" customWidth="1"/>
    <col min="9988" max="9988" width="1.453125" style="223" customWidth="1"/>
    <col min="9989" max="9989" width="13.54296875" style="223" customWidth="1"/>
    <col min="9990" max="9990" width="1.453125" style="223" customWidth="1"/>
    <col min="9991" max="9991" width="24.08984375" style="223" customWidth="1"/>
    <col min="9992" max="9992" width="1.453125" style="223" customWidth="1"/>
    <col min="9993" max="9995" width="13.54296875" style="223" customWidth="1"/>
    <col min="9996" max="9996" width="1.453125" style="223" customWidth="1"/>
    <col min="9997" max="9997" width="24.36328125" style="223" customWidth="1"/>
    <col min="9998" max="10240" width="8.6328125" style="223"/>
    <col min="10241" max="10241" width="13.81640625" style="223" customWidth="1"/>
    <col min="10242" max="10242" width="0.453125" style="223" customWidth="1"/>
    <col min="10243" max="10243" width="26.26953125" style="223" customWidth="1"/>
    <col min="10244" max="10244" width="1.453125" style="223" customWidth="1"/>
    <col min="10245" max="10245" width="13.54296875" style="223" customWidth="1"/>
    <col min="10246" max="10246" width="1.453125" style="223" customWidth="1"/>
    <col min="10247" max="10247" width="24.08984375" style="223" customWidth="1"/>
    <col min="10248" max="10248" width="1.453125" style="223" customWidth="1"/>
    <col min="10249" max="10251" width="13.54296875" style="223" customWidth="1"/>
    <col min="10252" max="10252" width="1.453125" style="223" customWidth="1"/>
    <col min="10253" max="10253" width="24.36328125" style="223" customWidth="1"/>
    <col min="10254" max="10496" width="8.6328125" style="223"/>
    <col min="10497" max="10497" width="13.81640625" style="223" customWidth="1"/>
    <col min="10498" max="10498" width="0.453125" style="223" customWidth="1"/>
    <col min="10499" max="10499" width="26.26953125" style="223" customWidth="1"/>
    <col min="10500" max="10500" width="1.453125" style="223" customWidth="1"/>
    <col min="10501" max="10501" width="13.54296875" style="223" customWidth="1"/>
    <col min="10502" max="10502" width="1.453125" style="223" customWidth="1"/>
    <col min="10503" max="10503" width="24.08984375" style="223" customWidth="1"/>
    <col min="10504" max="10504" width="1.453125" style="223" customWidth="1"/>
    <col min="10505" max="10507" width="13.54296875" style="223" customWidth="1"/>
    <col min="10508" max="10508" width="1.453125" style="223" customWidth="1"/>
    <col min="10509" max="10509" width="24.36328125" style="223" customWidth="1"/>
    <col min="10510" max="10752" width="8.6328125" style="223"/>
    <col min="10753" max="10753" width="13.81640625" style="223" customWidth="1"/>
    <col min="10754" max="10754" width="0.453125" style="223" customWidth="1"/>
    <col min="10755" max="10755" width="26.26953125" style="223" customWidth="1"/>
    <col min="10756" max="10756" width="1.453125" style="223" customWidth="1"/>
    <col min="10757" max="10757" width="13.54296875" style="223" customWidth="1"/>
    <col min="10758" max="10758" width="1.453125" style="223" customWidth="1"/>
    <col min="10759" max="10759" width="24.08984375" style="223" customWidth="1"/>
    <col min="10760" max="10760" width="1.453125" style="223" customWidth="1"/>
    <col min="10761" max="10763" width="13.54296875" style="223" customWidth="1"/>
    <col min="10764" max="10764" width="1.453125" style="223" customWidth="1"/>
    <col min="10765" max="10765" width="24.36328125" style="223" customWidth="1"/>
    <col min="10766" max="11008" width="8.6328125" style="223"/>
    <col min="11009" max="11009" width="13.81640625" style="223" customWidth="1"/>
    <col min="11010" max="11010" width="0.453125" style="223" customWidth="1"/>
    <col min="11011" max="11011" width="26.26953125" style="223" customWidth="1"/>
    <col min="11012" max="11012" width="1.453125" style="223" customWidth="1"/>
    <col min="11013" max="11013" width="13.54296875" style="223" customWidth="1"/>
    <col min="11014" max="11014" width="1.453125" style="223" customWidth="1"/>
    <col min="11015" max="11015" width="24.08984375" style="223" customWidth="1"/>
    <col min="11016" max="11016" width="1.453125" style="223" customWidth="1"/>
    <col min="11017" max="11019" width="13.54296875" style="223" customWidth="1"/>
    <col min="11020" max="11020" width="1.453125" style="223" customWidth="1"/>
    <col min="11021" max="11021" width="24.36328125" style="223" customWidth="1"/>
    <col min="11022" max="11264" width="8.6328125" style="223"/>
    <col min="11265" max="11265" width="13.81640625" style="223" customWidth="1"/>
    <col min="11266" max="11266" width="0.453125" style="223" customWidth="1"/>
    <col min="11267" max="11267" width="26.26953125" style="223" customWidth="1"/>
    <col min="11268" max="11268" width="1.453125" style="223" customWidth="1"/>
    <col min="11269" max="11269" width="13.54296875" style="223" customWidth="1"/>
    <col min="11270" max="11270" width="1.453125" style="223" customWidth="1"/>
    <col min="11271" max="11271" width="24.08984375" style="223" customWidth="1"/>
    <col min="11272" max="11272" width="1.453125" style="223" customWidth="1"/>
    <col min="11273" max="11275" width="13.54296875" style="223" customWidth="1"/>
    <col min="11276" max="11276" width="1.453125" style="223" customWidth="1"/>
    <col min="11277" max="11277" width="24.36328125" style="223" customWidth="1"/>
    <col min="11278" max="11520" width="8.6328125" style="223"/>
    <col min="11521" max="11521" width="13.81640625" style="223" customWidth="1"/>
    <col min="11522" max="11522" width="0.453125" style="223" customWidth="1"/>
    <col min="11523" max="11523" width="26.26953125" style="223" customWidth="1"/>
    <col min="11524" max="11524" width="1.453125" style="223" customWidth="1"/>
    <col min="11525" max="11525" width="13.54296875" style="223" customWidth="1"/>
    <col min="11526" max="11526" width="1.453125" style="223" customWidth="1"/>
    <col min="11527" max="11527" width="24.08984375" style="223" customWidth="1"/>
    <col min="11528" max="11528" width="1.453125" style="223" customWidth="1"/>
    <col min="11529" max="11531" width="13.54296875" style="223" customWidth="1"/>
    <col min="11532" max="11532" width="1.453125" style="223" customWidth="1"/>
    <col min="11533" max="11533" width="24.36328125" style="223" customWidth="1"/>
    <col min="11534" max="11776" width="8.6328125" style="223"/>
    <col min="11777" max="11777" width="13.81640625" style="223" customWidth="1"/>
    <col min="11778" max="11778" width="0.453125" style="223" customWidth="1"/>
    <col min="11779" max="11779" width="26.26953125" style="223" customWidth="1"/>
    <col min="11780" max="11780" width="1.453125" style="223" customWidth="1"/>
    <col min="11781" max="11781" width="13.54296875" style="223" customWidth="1"/>
    <col min="11782" max="11782" width="1.453125" style="223" customWidth="1"/>
    <col min="11783" max="11783" width="24.08984375" style="223" customWidth="1"/>
    <col min="11784" max="11784" width="1.453125" style="223" customWidth="1"/>
    <col min="11785" max="11787" width="13.54296875" style="223" customWidth="1"/>
    <col min="11788" max="11788" width="1.453125" style="223" customWidth="1"/>
    <col min="11789" max="11789" width="24.36328125" style="223" customWidth="1"/>
    <col min="11790" max="12032" width="8.6328125" style="223"/>
    <col min="12033" max="12033" width="13.81640625" style="223" customWidth="1"/>
    <col min="12034" max="12034" width="0.453125" style="223" customWidth="1"/>
    <col min="12035" max="12035" width="26.26953125" style="223" customWidth="1"/>
    <col min="12036" max="12036" width="1.453125" style="223" customWidth="1"/>
    <col min="12037" max="12037" width="13.54296875" style="223" customWidth="1"/>
    <col min="12038" max="12038" width="1.453125" style="223" customWidth="1"/>
    <col min="12039" max="12039" width="24.08984375" style="223" customWidth="1"/>
    <col min="12040" max="12040" width="1.453125" style="223" customWidth="1"/>
    <col min="12041" max="12043" width="13.54296875" style="223" customWidth="1"/>
    <col min="12044" max="12044" width="1.453125" style="223" customWidth="1"/>
    <col min="12045" max="12045" width="24.36328125" style="223" customWidth="1"/>
    <col min="12046" max="12288" width="8.6328125" style="223"/>
    <col min="12289" max="12289" width="13.81640625" style="223" customWidth="1"/>
    <col min="12290" max="12290" width="0.453125" style="223" customWidth="1"/>
    <col min="12291" max="12291" width="26.26953125" style="223" customWidth="1"/>
    <col min="12292" max="12292" width="1.453125" style="223" customWidth="1"/>
    <col min="12293" max="12293" width="13.54296875" style="223" customWidth="1"/>
    <col min="12294" max="12294" width="1.453125" style="223" customWidth="1"/>
    <col min="12295" max="12295" width="24.08984375" style="223" customWidth="1"/>
    <col min="12296" max="12296" width="1.453125" style="223" customWidth="1"/>
    <col min="12297" max="12299" width="13.54296875" style="223" customWidth="1"/>
    <col min="12300" max="12300" width="1.453125" style="223" customWidth="1"/>
    <col min="12301" max="12301" width="24.36328125" style="223" customWidth="1"/>
    <col min="12302" max="12544" width="8.6328125" style="223"/>
    <col min="12545" max="12545" width="13.81640625" style="223" customWidth="1"/>
    <col min="12546" max="12546" width="0.453125" style="223" customWidth="1"/>
    <col min="12547" max="12547" width="26.26953125" style="223" customWidth="1"/>
    <col min="12548" max="12548" width="1.453125" style="223" customWidth="1"/>
    <col min="12549" max="12549" width="13.54296875" style="223" customWidth="1"/>
    <col min="12550" max="12550" width="1.453125" style="223" customWidth="1"/>
    <col min="12551" max="12551" width="24.08984375" style="223" customWidth="1"/>
    <col min="12552" max="12552" width="1.453125" style="223" customWidth="1"/>
    <col min="12553" max="12555" width="13.54296875" style="223" customWidth="1"/>
    <col min="12556" max="12556" width="1.453125" style="223" customWidth="1"/>
    <col min="12557" max="12557" width="24.36328125" style="223" customWidth="1"/>
    <col min="12558" max="12800" width="8.6328125" style="223"/>
    <col min="12801" max="12801" width="13.81640625" style="223" customWidth="1"/>
    <col min="12802" max="12802" width="0.453125" style="223" customWidth="1"/>
    <col min="12803" max="12803" width="26.26953125" style="223" customWidth="1"/>
    <col min="12804" max="12804" width="1.453125" style="223" customWidth="1"/>
    <col min="12805" max="12805" width="13.54296875" style="223" customWidth="1"/>
    <col min="12806" max="12806" width="1.453125" style="223" customWidth="1"/>
    <col min="12807" max="12807" width="24.08984375" style="223" customWidth="1"/>
    <col min="12808" max="12808" width="1.453125" style="223" customWidth="1"/>
    <col min="12809" max="12811" width="13.54296875" style="223" customWidth="1"/>
    <col min="12812" max="12812" width="1.453125" style="223" customWidth="1"/>
    <col min="12813" max="12813" width="24.36328125" style="223" customWidth="1"/>
    <col min="12814" max="13056" width="8.6328125" style="223"/>
    <col min="13057" max="13057" width="13.81640625" style="223" customWidth="1"/>
    <col min="13058" max="13058" width="0.453125" style="223" customWidth="1"/>
    <col min="13059" max="13059" width="26.26953125" style="223" customWidth="1"/>
    <col min="13060" max="13060" width="1.453125" style="223" customWidth="1"/>
    <col min="13061" max="13061" width="13.54296875" style="223" customWidth="1"/>
    <col min="13062" max="13062" width="1.453125" style="223" customWidth="1"/>
    <col min="13063" max="13063" width="24.08984375" style="223" customWidth="1"/>
    <col min="13064" max="13064" width="1.453125" style="223" customWidth="1"/>
    <col min="13065" max="13067" width="13.54296875" style="223" customWidth="1"/>
    <col min="13068" max="13068" width="1.453125" style="223" customWidth="1"/>
    <col min="13069" max="13069" width="24.36328125" style="223" customWidth="1"/>
    <col min="13070" max="13312" width="8.6328125" style="223"/>
    <col min="13313" max="13313" width="13.81640625" style="223" customWidth="1"/>
    <col min="13314" max="13314" width="0.453125" style="223" customWidth="1"/>
    <col min="13315" max="13315" width="26.26953125" style="223" customWidth="1"/>
    <col min="13316" max="13316" width="1.453125" style="223" customWidth="1"/>
    <col min="13317" max="13317" width="13.54296875" style="223" customWidth="1"/>
    <col min="13318" max="13318" width="1.453125" style="223" customWidth="1"/>
    <col min="13319" max="13319" width="24.08984375" style="223" customWidth="1"/>
    <col min="13320" max="13320" width="1.453125" style="223" customWidth="1"/>
    <col min="13321" max="13323" width="13.54296875" style="223" customWidth="1"/>
    <col min="13324" max="13324" width="1.453125" style="223" customWidth="1"/>
    <col min="13325" max="13325" width="24.36328125" style="223" customWidth="1"/>
    <col min="13326" max="13568" width="8.6328125" style="223"/>
    <col min="13569" max="13569" width="13.81640625" style="223" customWidth="1"/>
    <col min="13570" max="13570" width="0.453125" style="223" customWidth="1"/>
    <col min="13571" max="13571" width="26.26953125" style="223" customWidth="1"/>
    <col min="13572" max="13572" width="1.453125" style="223" customWidth="1"/>
    <col min="13573" max="13573" width="13.54296875" style="223" customWidth="1"/>
    <col min="13574" max="13574" width="1.453125" style="223" customWidth="1"/>
    <col min="13575" max="13575" width="24.08984375" style="223" customWidth="1"/>
    <col min="13576" max="13576" width="1.453125" style="223" customWidth="1"/>
    <col min="13577" max="13579" width="13.54296875" style="223" customWidth="1"/>
    <col min="13580" max="13580" width="1.453125" style="223" customWidth="1"/>
    <col min="13581" max="13581" width="24.36328125" style="223" customWidth="1"/>
    <col min="13582" max="13824" width="8.6328125" style="223"/>
    <col min="13825" max="13825" width="13.81640625" style="223" customWidth="1"/>
    <col min="13826" max="13826" width="0.453125" style="223" customWidth="1"/>
    <col min="13827" max="13827" width="26.26953125" style="223" customWidth="1"/>
    <col min="13828" max="13828" width="1.453125" style="223" customWidth="1"/>
    <col min="13829" max="13829" width="13.54296875" style="223" customWidth="1"/>
    <col min="13830" max="13830" width="1.453125" style="223" customWidth="1"/>
    <col min="13831" max="13831" width="24.08984375" style="223" customWidth="1"/>
    <col min="13832" max="13832" width="1.453125" style="223" customWidth="1"/>
    <col min="13833" max="13835" width="13.54296875" style="223" customWidth="1"/>
    <col min="13836" max="13836" width="1.453125" style="223" customWidth="1"/>
    <col min="13837" max="13837" width="24.36328125" style="223" customWidth="1"/>
    <col min="13838" max="14080" width="8.6328125" style="223"/>
    <col min="14081" max="14081" width="13.81640625" style="223" customWidth="1"/>
    <col min="14082" max="14082" width="0.453125" style="223" customWidth="1"/>
    <col min="14083" max="14083" width="26.26953125" style="223" customWidth="1"/>
    <col min="14084" max="14084" width="1.453125" style="223" customWidth="1"/>
    <col min="14085" max="14085" width="13.54296875" style="223" customWidth="1"/>
    <col min="14086" max="14086" width="1.453125" style="223" customWidth="1"/>
    <col min="14087" max="14087" width="24.08984375" style="223" customWidth="1"/>
    <col min="14088" max="14088" width="1.453125" style="223" customWidth="1"/>
    <col min="14089" max="14091" width="13.54296875" style="223" customWidth="1"/>
    <col min="14092" max="14092" width="1.453125" style="223" customWidth="1"/>
    <col min="14093" max="14093" width="24.36328125" style="223" customWidth="1"/>
    <col min="14094" max="14336" width="8.6328125" style="223"/>
    <col min="14337" max="14337" width="13.81640625" style="223" customWidth="1"/>
    <col min="14338" max="14338" width="0.453125" style="223" customWidth="1"/>
    <col min="14339" max="14339" width="26.26953125" style="223" customWidth="1"/>
    <col min="14340" max="14340" width="1.453125" style="223" customWidth="1"/>
    <col min="14341" max="14341" width="13.54296875" style="223" customWidth="1"/>
    <col min="14342" max="14342" width="1.453125" style="223" customWidth="1"/>
    <col min="14343" max="14343" width="24.08984375" style="223" customWidth="1"/>
    <col min="14344" max="14344" width="1.453125" style="223" customWidth="1"/>
    <col min="14345" max="14347" width="13.54296875" style="223" customWidth="1"/>
    <col min="14348" max="14348" width="1.453125" style="223" customWidth="1"/>
    <col min="14349" max="14349" width="24.36328125" style="223" customWidth="1"/>
    <col min="14350" max="14592" width="8.6328125" style="223"/>
    <col min="14593" max="14593" width="13.81640625" style="223" customWidth="1"/>
    <col min="14594" max="14594" width="0.453125" style="223" customWidth="1"/>
    <col min="14595" max="14595" width="26.26953125" style="223" customWidth="1"/>
    <col min="14596" max="14596" width="1.453125" style="223" customWidth="1"/>
    <col min="14597" max="14597" width="13.54296875" style="223" customWidth="1"/>
    <col min="14598" max="14598" width="1.453125" style="223" customWidth="1"/>
    <col min="14599" max="14599" width="24.08984375" style="223" customWidth="1"/>
    <col min="14600" max="14600" width="1.453125" style="223" customWidth="1"/>
    <col min="14601" max="14603" width="13.54296875" style="223" customWidth="1"/>
    <col min="14604" max="14604" width="1.453125" style="223" customWidth="1"/>
    <col min="14605" max="14605" width="24.36328125" style="223" customWidth="1"/>
    <col min="14606" max="14848" width="8.6328125" style="223"/>
    <col min="14849" max="14849" width="13.81640625" style="223" customWidth="1"/>
    <col min="14850" max="14850" width="0.453125" style="223" customWidth="1"/>
    <col min="14851" max="14851" width="26.26953125" style="223" customWidth="1"/>
    <col min="14852" max="14852" width="1.453125" style="223" customWidth="1"/>
    <col min="14853" max="14853" width="13.54296875" style="223" customWidth="1"/>
    <col min="14854" max="14854" width="1.453125" style="223" customWidth="1"/>
    <col min="14855" max="14855" width="24.08984375" style="223" customWidth="1"/>
    <col min="14856" max="14856" width="1.453125" style="223" customWidth="1"/>
    <col min="14857" max="14859" width="13.54296875" style="223" customWidth="1"/>
    <col min="14860" max="14860" width="1.453125" style="223" customWidth="1"/>
    <col min="14861" max="14861" width="24.36328125" style="223" customWidth="1"/>
    <col min="14862" max="15104" width="8.6328125" style="223"/>
    <col min="15105" max="15105" width="13.81640625" style="223" customWidth="1"/>
    <col min="15106" max="15106" width="0.453125" style="223" customWidth="1"/>
    <col min="15107" max="15107" width="26.26953125" style="223" customWidth="1"/>
    <col min="15108" max="15108" width="1.453125" style="223" customWidth="1"/>
    <col min="15109" max="15109" width="13.54296875" style="223" customWidth="1"/>
    <col min="15110" max="15110" width="1.453125" style="223" customWidth="1"/>
    <col min="15111" max="15111" width="24.08984375" style="223" customWidth="1"/>
    <col min="15112" max="15112" width="1.453125" style="223" customWidth="1"/>
    <col min="15113" max="15115" width="13.54296875" style="223" customWidth="1"/>
    <col min="15116" max="15116" width="1.453125" style="223" customWidth="1"/>
    <col min="15117" max="15117" width="24.36328125" style="223" customWidth="1"/>
    <col min="15118" max="15360" width="8.6328125" style="223"/>
    <col min="15361" max="15361" width="13.81640625" style="223" customWidth="1"/>
    <col min="15362" max="15362" width="0.453125" style="223" customWidth="1"/>
    <col min="15363" max="15363" width="26.26953125" style="223" customWidth="1"/>
    <col min="15364" max="15364" width="1.453125" style="223" customWidth="1"/>
    <col min="15365" max="15365" width="13.54296875" style="223" customWidth="1"/>
    <col min="15366" max="15366" width="1.453125" style="223" customWidth="1"/>
    <col min="15367" max="15367" width="24.08984375" style="223" customWidth="1"/>
    <col min="15368" max="15368" width="1.453125" style="223" customWidth="1"/>
    <col min="15369" max="15371" width="13.54296875" style="223" customWidth="1"/>
    <col min="15372" max="15372" width="1.453125" style="223" customWidth="1"/>
    <col min="15373" max="15373" width="24.36328125" style="223" customWidth="1"/>
    <col min="15374" max="15616" width="8.6328125" style="223"/>
    <col min="15617" max="15617" width="13.81640625" style="223" customWidth="1"/>
    <col min="15618" max="15618" width="0.453125" style="223" customWidth="1"/>
    <col min="15619" max="15619" width="26.26953125" style="223" customWidth="1"/>
    <col min="15620" max="15620" width="1.453125" style="223" customWidth="1"/>
    <col min="15621" max="15621" width="13.54296875" style="223" customWidth="1"/>
    <col min="15622" max="15622" width="1.453125" style="223" customWidth="1"/>
    <col min="15623" max="15623" width="24.08984375" style="223" customWidth="1"/>
    <col min="15624" max="15624" width="1.453125" style="223" customWidth="1"/>
    <col min="15625" max="15627" width="13.54296875" style="223" customWidth="1"/>
    <col min="15628" max="15628" width="1.453125" style="223" customWidth="1"/>
    <col min="15629" max="15629" width="24.36328125" style="223" customWidth="1"/>
    <col min="15630" max="15872" width="8.6328125" style="223"/>
    <col min="15873" max="15873" width="13.81640625" style="223" customWidth="1"/>
    <col min="15874" max="15874" width="0.453125" style="223" customWidth="1"/>
    <col min="15875" max="15875" width="26.26953125" style="223" customWidth="1"/>
    <col min="15876" max="15876" width="1.453125" style="223" customWidth="1"/>
    <col min="15877" max="15877" width="13.54296875" style="223" customWidth="1"/>
    <col min="15878" max="15878" width="1.453125" style="223" customWidth="1"/>
    <col min="15879" max="15879" width="24.08984375" style="223" customWidth="1"/>
    <col min="15880" max="15880" width="1.453125" style="223" customWidth="1"/>
    <col min="15881" max="15883" width="13.54296875" style="223" customWidth="1"/>
    <col min="15884" max="15884" width="1.453125" style="223" customWidth="1"/>
    <col min="15885" max="15885" width="24.36328125" style="223" customWidth="1"/>
    <col min="15886" max="16128" width="8.6328125" style="223"/>
    <col min="16129" max="16129" width="13.81640625" style="223" customWidth="1"/>
    <col min="16130" max="16130" width="0.453125" style="223" customWidth="1"/>
    <col min="16131" max="16131" width="26.26953125" style="223" customWidth="1"/>
    <col min="16132" max="16132" width="1.453125" style="223" customWidth="1"/>
    <col min="16133" max="16133" width="13.54296875" style="223" customWidth="1"/>
    <col min="16134" max="16134" width="1.453125" style="223" customWidth="1"/>
    <col min="16135" max="16135" width="24.08984375" style="223" customWidth="1"/>
    <col min="16136" max="16136" width="1.453125" style="223" customWidth="1"/>
    <col min="16137" max="16139" width="13.54296875" style="223" customWidth="1"/>
    <col min="16140" max="16140" width="1.453125" style="223" customWidth="1"/>
    <col min="16141" max="16141" width="24.36328125" style="223" customWidth="1"/>
    <col min="16142" max="16384" width="8.6328125" style="223"/>
  </cols>
  <sheetData>
    <row r="1" spans="1:15" s="222" customFormat="1" ht="21.5" thickBot="1" x14ac:dyDescent="0.55000000000000004">
      <c r="A1" s="220" t="s">
        <v>173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</row>
    <row r="2" spans="1:15" ht="14.25" customHeight="1" x14ac:dyDescent="0.3"/>
    <row r="3" spans="1:15" ht="14.25" customHeight="1" x14ac:dyDescent="0.3"/>
    <row r="4" spans="1:15" ht="22.5" customHeight="1" x14ac:dyDescent="0.3">
      <c r="E4" s="487" t="s">
        <v>139</v>
      </c>
      <c r="F4" s="488"/>
      <c r="G4" s="488"/>
      <c r="I4" s="224" t="s">
        <v>322</v>
      </c>
      <c r="J4" s="225"/>
      <c r="K4" s="225"/>
      <c r="L4" s="225"/>
      <c r="M4" s="225"/>
    </row>
    <row r="5" spans="1:15" ht="25.75" customHeight="1" x14ac:dyDescent="0.3">
      <c r="E5" s="226" t="str">
        <f>"DEBT "&amp;TEXT(E8,"#%")&amp;""</f>
        <v>DEBT 26%</v>
      </c>
      <c r="F5" s="227"/>
      <c r="G5" s="262" t="s">
        <v>114</v>
      </c>
      <c r="I5" s="226" t="str">
        <f>"DEBT "&amp;TEXT(I8,"#%")&amp;""</f>
        <v>DEBT 70%</v>
      </c>
      <c r="J5" s="226" t="str">
        <f>"DEBT "&amp;TEXT(J8,"#%")&amp;""</f>
        <v>DEBT 65%</v>
      </c>
      <c r="K5" s="226" t="str">
        <f>"DEBT "&amp;TEXT(K8,"#%")&amp;""</f>
        <v>DEBT 60%</v>
      </c>
      <c r="M5" s="262" t="s">
        <v>114</v>
      </c>
    </row>
    <row r="6" spans="1:15" ht="9" customHeight="1" x14ac:dyDescent="0.3"/>
    <row r="7" spans="1:15" ht="18" customHeight="1" x14ac:dyDescent="0.45">
      <c r="A7" s="494" t="s">
        <v>115</v>
      </c>
      <c r="C7" s="228" t="s">
        <v>138</v>
      </c>
      <c r="D7" s="229"/>
      <c r="E7" s="230">
        <f>E8/E9</f>
        <v>0.35</v>
      </c>
      <c r="F7" s="231"/>
      <c r="G7" s="233" t="s">
        <v>168</v>
      </c>
      <c r="H7" s="231"/>
      <c r="I7" s="230">
        <f>I8/I9</f>
        <v>2.333333333333333</v>
      </c>
      <c r="J7" s="230">
        <f>J8/J9</f>
        <v>1.8571428571428574</v>
      </c>
      <c r="K7" s="230">
        <f>K8/K9</f>
        <v>1.4999999999999998</v>
      </c>
      <c r="L7" s="232"/>
      <c r="M7" s="233" t="s">
        <v>169</v>
      </c>
    </row>
    <row r="8" spans="1:15" ht="18" customHeight="1" x14ac:dyDescent="0.45">
      <c r="A8" s="495"/>
      <c r="C8" s="228" t="s">
        <v>116</v>
      </c>
      <c r="D8" s="229"/>
      <c r="E8" s="234">
        <f>0.35/(1+0.35)</f>
        <v>0.25925925925925924</v>
      </c>
      <c r="F8" s="231"/>
      <c r="G8" s="233" t="s">
        <v>168</v>
      </c>
      <c r="H8" s="231"/>
      <c r="I8" s="234">
        <v>0.7</v>
      </c>
      <c r="J8" s="234">
        <v>0.65</v>
      </c>
      <c r="K8" s="234">
        <v>0.6</v>
      </c>
      <c r="L8" s="232"/>
      <c r="M8" s="233" t="s">
        <v>169</v>
      </c>
      <c r="O8" s="223" t="s">
        <v>172</v>
      </c>
    </row>
    <row r="9" spans="1:15" ht="18" customHeight="1" x14ac:dyDescent="0.45">
      <c r="A9" s="495"/>
      <c r="C9" s="228" t="s">
        <v>117</v>
      </c>
      <c r="D9" s="229"/>
      <c r="E9" s="230">
        <f>1-E8</f>
        <v>0.7407407407407407</v>
      </c>
      <c r="F9" s="231"/>
      <c r="G9" s="233" t="s">
        <v>168</v>
      </c>
      <c r="H9" s="231"/>
      <c r="I9" s="230">
        <f>1-I8</f>
        <v>0.30000000000000004</v>
      </c>
      <c r="J9" s="230">
        <f>1-J8</f>
        <v>0.35</v>
      </c>
      <c r="K9" s="230">
        <f>1-K8</f>
        <v>0.4</v>
      </c>
      <c r="L9" s="232"/>
      <c r="M9" s="233" t="s">
        <v>169</v>
      </c>
    </row>
    <row r="10" spans="1:15" ht="7" customHeight="1" x14ac:dyDescent="0.35">
      <c r="G10" s="232"/>
      <c r="M10" s="232"/>
    </row>
    <row r="11" spans="1:15" ht="18" customHeight="1" x14ac:dyDescent="0.4">
      <c r="A11" s="494" t="s">
        <v>118</v>
      </c>
      <c r="B11" s="232"/>
      <c r="C11" s="235" t="s">
        <v>119</v>
      </c>
      <c r="D11" s="232"/>
      <c r="E11" s="236">
        <v>0.08</v>
      </c>
      <c r="F11" s="232"/>
      <c r="G11" s="233" t="s">
        <v>134</v>
      </c>
      <c r="H11" s="232"/>
      <c r="I11" s="236">
        <v>0.12</v>
      </c>
      <c r="J11" s="237">
        <f>I11</f>
        <v>0.12</v>
      </c>
      <c r="K11" s="237">
        <f>J11</f>
        <v>0.12</v>
      </c>
      <c r="L11" s="232"/>
      <c r="M11" s="232" t="s">
        <v>133</v>
      </c>
      <c r="O11" s="223" t="s">
        <v>209</v>
      </c>
    </row>
    <row r="12" spans="1:15" ht="18" customHeight="1" x14ac:dyDescent="0.4">
      <c r="A12" s="494"/>
      <c r="B12" s="232"/>
      <c r="C12" s="232" t="s">
        <v>120</v>
      </c>
      <c r="D12" s="232"/>
      <c r="E12" s="238">
        <v>0.16</v>
      </c>
      <c r="F12" s="232"/>
      <c r="G12" s="233" t="s">
        <v>163</v>
      </c>
      <c r="H12" s="232"/>
      <c r="I12" s="239">
        <f t="shared" ref="I12:K12" si="0">$E12</f>
        <v>0.16</v>
      </c>
      <c r="J12" s="239">
        <f t="shared" si="0"/>
        <v>0.16</v>
      </c>
      <c r="K12" s="239">
        <f t="shared" si="0"/>
        <v>0.16</v>
      </c>
      <c r="L12" s="232"/>
      <c r="M12" s="233" t="s">
        <v>163</v>
      </c>
    </row>
    <row r="13" spans="1:15" ht="18" customHeight="1" x14ac:dyDescent="0.45">
      <c r="A13" s="494"/>
      <c r="B13" s="232"/>
      <c r="C13" s="240" t="s">
        <v>121</v>
      </c>
      <c r="D13" s="241"/>
      <c r="E13" s="242">
        <f>E11*(1-E12)</f>
        <v>6.7199999999999996E-2</v>
      </c>
      <c r="F13" s="243"/>
      <c r="G13" s="243"/>
      <c r="H13" s="243"/>
      <c r="I13" s="242">
        <f>I11*(1-I12)</f>
        <v>0.10079999999999999</v>
      </c>
      <c r="J13" s="242">
        <f>J11*(1-J12)</f>
        <v>0.10079999999999999</v>
      </c>
      <c r="K13" s="242">
        <f>K11*(1-K12)</f>
        <v>0.10079999999999999</v>
      </c>
      <c r="L13" s="232"/>
      <c r="M13" s="232"/>
    </row>
    <row r="14" spans="1:15" ht="7" customHeight="1" x14ac:dyDescent="0.35">
      <c r="A14" s="232"/>
      <c r="B14" s="232"/>
      <c r="C14" s="232"/>
      <c r="D14" s="232"/>
      <c r="E14" s="244"/>
      <c r="F14" s="232"/>
      <c r="G14" s="232"/>
      <c r="H14" s="232"/>
      <c r="I14" s="244"/>
      <c r="J14" s="244"/>
      <c r="K14" s="244"/>
      <c r="L14" s="232"/>
      <c r="M14" s="232"/>
    </row>
    <row r="15" spans="1:15" ht="18" customHeight="1" x14ac:dyDescent="0.4">
      <c r="A15" s="494" t="s">
        <v>122</v>
      </c>
      <c r="C15" s="232" t="s">
        <v>137</v>
      </c>
      <c r="D15" s="232"/>
      <c r="E15" s="236">
        <v>3.5369999999999999E-2</v>
      </c>
      <c r="F15" s="232"/>
      <c r="G15" s="233" t="s">
        <v>134</v>
      </c>
      <c r="H15" s="232"/>
      <c r="I15" s="236">
        <v>3.5369999999999999E-2</v>
      </c>
      <c r="J15" s="236">
        <v>3.5369999999999999E-2</v>
      </c>
      <c r="K15" s="236">
        <v>3.5369999999999999E-2</v>
      </c>
      <c r="L15" s="232"/>
      <c r="M15" s="233" t="s">
        <v>134</v>
      </c>
    </row>
    <row r="16" spans="1:15" ht="18" customHeight="1" x14ac:dyDescent="0.4">
      <c r="A16" s="494"/>
      <c r="C16" s="232" t="s">
        <v>136</v>
      </c>
      <c r="D16" s="232"/>
      <c r="E16" s="236">
        <f>0.07013-E15</f>
        <v>3.4759999999999999E-2</v>
      </c>
      <c r="F16" s="232"/>
      <c r="G16" s="233" t="s">
        <v>134</v>
      </c>
      <c r="H16" s="232"/>
      <c r="I16" s="236">
        <f>0.07013-I15</f>
        <v>3.4759999999999999E-2</v>
      </c>
      <c r="J16" s="236">
        <f>0.07013-J15</f>
        <v>3.4759999999999999E-2</v>
      </c>
      <c r="K16" s="236">
        <f>0.07013-K15</f>
        <v>3.4759999999999999E-2</v>
      </c>
      <c r="L16" s="232"/>
      <c r="M16" s="233" t="s">
        <v>134</v>
      </c>
    </row>
    <row r="17" spans="1:36" ht="7.75" customHeight="1" x14ac:dyDescent="0.4">
      <c r="A17" s="494"/>
      <c r="C17" s="232"/>
      <c r="D17" s="232"/>
      <c r="E17" s="237"/>
      <c r="F17" s="232"/>
      <c r="G17" s="233"/>
      <c r="H17" s="232"/>
      <c r="I17" s="237"/>
      <c r="J17" s="237"/>
      <c r="K17" s="237"/>
      <c r="L17" s="232"/>
      <c r="M17" s="233"/>
    </row>
    <row r="18" spans="1:36" ht="18" customHeight="1" x14ac:dyDescent="0.4">
      <c r="A18" s="495"/>
      <c r="C18" s="232" t="s">
        <v>123</v>
      </c>
      <c r="D18" s="232"/>
      <c r="E18" s="245">
        <f>E28</f>
        <v>0.87</v>
      </c>
      <c r="F18" s="232"/>
      <c r="G18" s="233" t="s">
        <v>135</v>
      </c>
      <c r="H18" s="232"/>
      <c r="I18" s="245">
        <f>I28</f>
        <v>2.0892323544564659</v>
      </c>
      <c r="J18" s="245">
        <f>J28</f>
        <v>1.8069036579082951</v>
      </c>
      <c r="K18" s="245">
        <f>K28</f>
        <v>1.5951571354971663</v>
      </c>
      <c r="L18" s="232"/>
      <c r="M18" s="233" t="s">
        <v>135</v>
      </c>
    </row>
    <row r="19" spans="1:36" ht="18" customHeight="1" x14ac:dyDescent="0.4">
      <c r="A19" s="495"/>
      <c r="C19" s="246" t="s">
        <v>124</v>
      </c>
      <c r="D19" s="246"/>
      <c r="E19" s="236">
        <v>0.06</v>
      </c>
      <c r="F19" s="246"/>
      <c r="G19" s="233" t="s">
        <v>134</v>
      </c>
      <c r="H19" s="246"/>
      <c r="I19" s="237">
        <f>$E19</f>
        <v>0.06</v>
      </c>
      <c r="J19" s="237">
        <f>$E19</f>
        <v>0.06</v>
      </c>
      <c r="K19" s="237">
        <f>$E19</f>
        <v>0.06</v>
      </c>
      <c r="L19" s="246"/>
      <c r="M19" s="233" t="s">
        <v>134</v>
      </c>
    </row>
    <row r="20" spans="1:36" ht="4.5" customHeight="1" x14ac:dyDescent="0.4">
      <c r="A20" s="495"/>
      <c r="C20" s="246"/>
      <c r="D20" s="246"/>
      <c r="E20" s="236"/>
      <c r="F20" s="246"/>
      <c r="G20" s="233"/>
      <c r="H20" s="246"/>
      <c r="I20" s="236"/>
      <c r="J20" s="236"/>
      <c r="K20" s="236"/>
      <c r="L20" s="246"/>
      <c r="M20" s="233"/>
    </row>
    <row r="21" spans="1:36" s="247" customFormat="1" ht="18" customHeight="1" x14ac:dyDescent="0.45">
      <c r="A21" s="495"/>
      <c r="C21" s="248" t="s">
        <v>125</v>
      </c>
      <c r="D21" s="249"/>
      <c r="E21" s="250">
        <f>E15+E16+(E18*E19)</f>
        <v>0.12232999999999999</v>
      </c>
      <c r="F21" s="243"/>
      <c r="G21" s="243"/>
      <c r="H21" s="251"/>
      <c r="I21" s="250">
        <f>I15+I16+(I18*I19)</f>
        <v>0.19548394126738794</v>
      </c>
      <c r="J21" s="250">
        <f>J15+J16+(J18*J19)</f>
        <v>0.1785442194744977</v>
      </c>
      <c r="K21" s="250">
        <f>K15+K16+(K18*K19)</f>
        <v>0.16583942812982999</v>
      </c>
      <c r="L21" s="232"/>
      <c r="M21" s="232"/>
    </row>
    <row r="22" spans="1:36" s="247" customFormat="1" ht="9" customHeight="1" x14ac:dyDescent="0.35">
      <c r="A22" s="495"/>
      <c r="C22" s="252"/>
      <c r="D22" s="246"/>
      <c r="E22" s="253"/>
      <c r="F22" s="246"/>
      <c r="G22" s="253"/>
      <c r="H22" s="246"/>
      <c r="I22" s="253"/>
      <c r="J22" s="253"/>
      <c r="K22" s="253"/>
      <c r="L22" s="246"/>
      <c r="M22" s="253"/>
    </row>
    <row r="23" spans="1:36" s="247" customFormat="1" ht="14.15" customHeight="1" x14ac:dyDescent="0.3">
      <c r="A23" s="495"/>
      <c r="C23" s="254" t="s">
        <v>126</v>
      </c>
      <c r="D23" s="246"/>
      <c r="E23" s="253"/>
      <c r="F23" s="246"/>
      <c r="G23" s="253"/>
      <c r="H23" s="246"/>
      <c r="I23" s="253"/>
      <c r="J23" s="253"/>
      <c r="K23" s="253"/>
      <c r="L23" s="246"/>
      <c r="M23" s="253"/>
    </row>
    <row r="24" spans="1:36" s="247" customFormat="1" ht="14.15" customHeight="1" x14ac:dyDescent="0.35">
      <c r="A24" s="495"/>
      <c r="C24" s="247" t="s">
        <v>171</v>
      </c>
      <c r="D24" s="246"/>
      <c r="E24" s="255">
        <v>0.87</v>
      </c>
      <c r="F24" s="246"/>
      <c r="G24" s="233" t="s">
        <v>134</v>
      </c>
      <c r="H24" s="246"/>
      <c r="I24" s="255">
        <f>'Comparables (Exhibit 9)'!$V$17</f>
        <v>0.91333333333333344</v>
      </c>
      <c r="J24" s="255">
        <f>'Comparables (Exhibit 9)'!$V$17</f>
        <v>0.91333333333333344</v>
      </c>
      <c r="K24" s="255">
        <f>'Comparables (Exhibit 9)'!$V$17</f>
        <v>0.91333333333333344</v>
      </c>
      <c r="L24" s="246"/>
      <c r="M24" s="233" t="s">
        <v>170</v>
      </c>
    </row>
    <row r="25" spans="1:36" s="247" customFormat="1" ht="14.15" customHeight="1" x14ac:dyDescent="0.35">
      <c r="A25" s="495"/>
      <c r="C25" s="247" t="s">
        <v>140</v>
      </c>
      <c r="D25" s="246"/>
      <c r="E25" s="263">
        <f>E7</f>
        <v>0.35</v>
      </c>
      <c r="F25" s="246"/>
      <c r="G25" s="233" t="s">
        <v>168</v>
      </c>
      <c r="H25" s="246"/>
      <c r="I25" s="263">
        <f>$E$25</f>
        <v>0.35</v>
      </c>
      <c r="J25" s="263">
        <f>$E$25</f>
        <v>0.35</v>
      </c>
      <c r="K25" s="263">
        <f>$E$25</f>
        <v>0.35</v>
      </c>
      <c r="L25" s="263"/>
      <c r="M25" s="233" t="s">
        <v>168</v>
      </c>
    </row>
    <row r="26" spans="1:36" s="247" customFormat="1" ht="13.5" customHeight="1" x14ac:dyDescent="0.35">
      <c r="A26" s="495"/>
      <c r="C26" s="247" t="s">
        <v>127</v>
      </c>
      <c r="E26" s="256">
        <f>E24/(1+((1-E12)*E25))</f>
        <v>0.67233384853168465</v>
      </c>
      <c r="F26" s="246"/>
      <c r="G26" s="264" t="s">
        <v>141</v>
      </c>
      <c r="I26" s="256">
        <f>I24/(1+((1-I12)*I25))</f>
        <v>0.70582174137042764</v>
      </c>
      <c r="J26" s="256">
        <f>I26</f>
        <v>0.70582174137042764</v>
      </c>
      <c r="K26" s="256">
        <f>I26</f>
        <v>0.70582174137042764</v>
      </c>
      <c r="L26" s="246"/>
      <c r="M26" s="264" t="s">
        <v>141</v>
      </c>
    </row>
    <row r="27" spans="1:36" s="247" customFormat="1" ht="13.5" customHeight="1" x14ac:dyDescent="0.35">
      <c r="A27" s="495"/>
      <c r="C27" s="247" t="s">
        <v>128</v>
      </c>
      <c r="E27" s="257">
        <f>E7</f>
        <v>0.35</v>
      </c>
      <c r="F27" s="246"/>
      <c r="G27" s="233" t="s">
        <v>168</v>
      </c>
      <c r="I27" s="257">
        <f>I7</f>
        <v>2.333333333333333</v>
      </c>
      <c r="J27" s="257">
        <f>J7</f>
        <v>1.8571428571428574</v>
      </c>
      <c r="K27" s="257">
        <f>K7</f>
        <v>1.4999999999999998</v>
      </c>
      <c r="L27" s="246"/>
      <c r="M27" s="233" t="s">
        <v>169</v>
      </c>
    </row>
    <row r="28" spans="1:36" s="247" customFormat="1" ht="13.5" customHeight="1" x14ac:dyDescent="0.35">
      <c r="A28" s="495"/>
      <c r="C28" s="247" t="s">
        <v>129</v>
      </c>
      <c r="E28" s="258">
        <f>E26*(1+((1-E12)*E27))</f>
        <v>0.87</v>
      </c>
      <c r="G28" s="259" t="s">
        <v>130</v>
      </c>
      <c r="I28" s="258">
        <f>I26*(1+((1-I12)*I27))</f>
        <v>2.0892323544564659</v>
      </c>
      <c r="J28" s="258">
        <f>J26*(1+((1-J12)*J27))</f>
        <v>1.8069036579082951</v>
      </c>
      <c r="K28" s="258">
        <f>K26*(1+((1-K12)*K27))</f>
        <v>1.5951571354971663</v>
      </c>
      <c r="M28" s="259" t="s">
        <v>130</v>
      </c>
    </row>
    <row r="29" spans="1:36" ht="14.15" customHeight="1" x14ac:dyDescent="0.3"/>
    <row r="30" spans="1:36" s="247" customFormat="1" ht="19.5" customHeight="1" x14ac:dyDescent="0.35">
      <c r="A30" s="260" t="s">
        <v>131</v>
      </c>
      <c r="B30" s="251"/>
      <c r="C30" s="248" t="s">
        <v>132</v>
      </c>
      <c r="D30" s="248"/>
      <c r="E30" s="250">
        <f>E13*E8+E21*E9</f>
        <v>0.10803703703703701</v>
      </c>
      <c r="F30" s="232"/>
      <c r="G30" s="232"/>
      <c r="H30" s="261"/>
      <c r="I30" s="250">
        <f>I13*I8+I21*I9</f>
        <v>0.12920518238021639</v>
      </c>
      <c r="J30" s="250">
        <f>J13*J8+J21*J9</f>
        <v>0.12801047681607419</v>
      </c>
      <c r="K30" s="250">
        <f>K13*K8+K21*K9</f>
        <v>0.126815771251932</v>
      </c>
      <c r="L30" s="232"/>
      <c r="M30" s="232"/>
    </row>
    <row r="31" spans="1:36" x14ac:dyDescent="0.3"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</row>
    <row r="32" spans="1:36" ht="14.5" x14ac:dyDescent="0.35">
      <c r="E32" s="265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</row>
    <row r="33" spans="15:36" x14ac:dyDescent="0.3"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</row>
    <row r="34" spans="15:36" x14ac:dyDescent="0.3"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</row>
    <row r="35" spans="15:36" x14ac:dyDescent="0.3"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</row>
    <row r="36" spans="15:36" x14ac:dyDescent="0.3"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</row>
    <row r="37" spans="15:36" x14ac:dyDescent="0.3"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</row>
    <row r="38" spans="15:36" x14ac:dyDescent="0.3"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</row>
    <row r="39" spans="15:36" x14ac:dyDescent="0.3"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</row>
    <row r="40" spans="15:36" x14ac:dyDescent="0.3"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</row>
    <row r="41" spans="15:36" x14ac:dyDescent="0.3"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</row>
    <row r="42" spans="15:36" x14ac:dyDescent="0.3"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</row>
    <row r="43" spans="15:36" x14ac:dyDescent="0.3"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</row>
    <row r="44" spans="15:36" x14ac:dyDescent="0.3"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</row>
    <row r="45" spans="15:36" x14ac:dyDescent="0.3"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</row>
    <row r="46" spans="15:36" x14ac:dyDescent="0.3"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</row>
    <row r="47" spans="15:36" x14ac:dyDescent="0.3"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</row>
    <row r="48" spans="15:36" x14ac:dyDescent="0.3"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</row>
    <row r="49" spans="15:36" x14ac:dyDescent="0.3"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</row>
    <row r="50" spans="15:36" x14ac:dyDescent="0.3"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</row>
    <row r="51" spans="15:36" x14ac:dyDescent="0.3"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</row>
    <row r="52" spans="15:36" x14ac:dyDescent="0.3"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</row>
    <row r="53" spans="15:36" x14ac:dyDescent="0.3"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</row>
    <row r="54" spans="15:36" x14ac:dyDescent="0.3"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</row>
    <row r="55" spans="15:36" x14ac:dyDescent="0.3"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</row>
    <row r="56" spans="15:36" x14ac:dyDescent="0.3"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</row>
    <row r="57" spans="15:36" x14ac:dyDescent="0.3"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</row>
    <row r="58" spans="15:36" x14ac:dyDescent="0.3"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</row>
    <row r="59" spans="15:36" x14ac:dyDescent="0.3"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</row>
    <row r="60" spans="15:36" x14ac:dyDescent="0.3"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</row>
    <row r="61" spans="15:36" x14ac:dyDescent="0.3"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</row>
    <row r="62" spans="15:36" x14ac:dyDescent="0.3">
      <c r="O62" s="341" t="s">
        <v>208</v>
      </c>
    </row>
  </sheetData>
  <mergeCells count="3">
    <mergeCell ref="A7:A9"/>
    <mergeCell ref="A11:A13"/>
    <mergeCell ref="A15:A28"/>
  </mergeCells>
  <pageMargins left="0.4" right="0.22" top="0.9" bottom="0.89" header="0.5" footer="0.5"/>
  <pageSetup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23F1-084A-4779-A690-4BC3AD8EE67C}">
  <dimension ref="A1:Z221"/>
  <sheetViews>
    <sheetView showGridLines="0" tabSelected="1" zoomScale="70" zoomScaleNormal="70" workbookViewId="0">
      <selection activeCell="B12" sqref="B12"/>
    </sheetView>
  </sheetViews>
  <sheetFormatPr baseColWidth="10" defaultColWidth="8.81640625" defaultRowHeight="14.5" outlineLevelRow="1" outlineLevelCol="1" x14ac:dyDescent="0.35"/>
  <cols>
    <col min="1" max="1" width="1.54296875" customWidth="1"/>
    <col min="2" max="2" width="43.1796875" customWidth="1"/>
    <col min="3" max="6" width="7.6328125" customWidth="1"/>
    <col min="7" max="16" width="7.81640625" customWidth="1"/>
    <col min="17" max="17" width="8.54296875" customWidth="1"/>
    <col min="18" max="18" width="7.81640625" customWidth="1"/>
    <col min="19" max="19" width="8.08984375" hidden="1" customWidth="1" outlineLevel="1"/>
    <col min="20" max="20" width="8" hidden="1" customWidth="1" outlineLevel="1"/>
    <col min="21" max="21" width="7.90625" hidden="1" customWidth="1" outlineLevel="1"/>
    <col min="22" max="22" width="12.453125" bestFit="1" customWidth="1" collapsed="1"/>
  </cols>
  <sheetData>
    <row r="1" spans="2:21" ht="15" thickBot="1" x14ac:dyDescent="0.4"/>
    <row r="2" spans="2:21" ht="12" customHeight="1" thickBot="1" x14ac:dyDescent="0.4">
      <c r="B2" s="377" t="s">
        <v>258</v>
      </c>
      <c r="C2" s="378"/>
      <c r="E2" s="377" t="s">
        <v>261</v>
      </c>
      <c r="F2" s="380"/>
      <c r="G2" s="380"/>
      <c r="H2" s="380"/>
      <c r="I2" s="380"/>
      <c r="J2" s="379"/>
      <c r="L2" s="377" t="s">
        <v>293</v>
      </c>
      <c r="M2" s="380"/>
      <c r="N2" s="380"/>
      <c r="O2" s="380"/>
      <c r="P2" s="380"/>
      <c r="Q2" s="380"/>
      <c r="R2" s="379"/>
      <c r="S2" s="34"/>
    </row>
    <row r="3" spans="2:21" ht="12" customHeight="1" x14ac:dyDescent="0.35">
      <c r="B3" s="59" t="s">
        <v>15</v>
      </c>
      <c r="C3" s="388">
        <v>300</v>
      </c>
      <c r="E3" s="381" t="s">
        <v>251</v>
      </c>
      <c r="F3" s="384"/>
      <c r="G3" s="384"/>
      <c r="H3" s="384"/>
      <c r="I3" s="384"/>
      <c r="J3" s="376">
        <v>0.69985569985569995</v>
      </c>
      <c r="K3" s="34"/>
      <c r="L3" s="433" t="s">
        <v>291</v>
      </c>
      <c r="M3" s="384"/>
      <c r="N3" s="34">
        <v>2010</v>
      </c>
      <c r="O3">
        <v>2011</v>
      </c>
      <c r="P3">
        <v>2012</v>
      </c>
      <c r="Q3" s="434" t="s">
        <v>290</v>
      </c>
      <c r="R3" s="435" t="s">
        <v>292</v>
      </c>
    </row>
    <row r="4" spans="2:21" ht="12" customHeight="1" thickBot="1" x14ac:dyDescent="0.4">
      <c r="B4" s="66" t="s">
        <v>16</v>
      </c>
      <c r="C4" s="452">
        <v>0.85</v>
      </c>
      <c r="E4" s="383" t="s">
        <v>263</v>
      </c>
      <c r="F4" s="386"/>
      <c r="G4" s="386"/>
      <c r="H4" s="386"/>
      <c r="I4" s="386"/>
      <c r="J4" s="445">
        <v>0.12</v>
      </c>
      <c r="L4" s="382" t="s">
        <v>288</v>
      </c>
      <c r="M4" s="436"/>
      <c r="N4" s="202">
        <f>Q4*N5</f>
        <v>2420.0000000000005</v>
      </c>
      <c r="O4" s="202">
        <f>Q4*O5</f>
        <v>3870.0000000000009</v>
      </c>
      <c r="P4" s="202">
        <f>Q4*P5</f>
        <v>3410.0000000000005</v>
      </c>
      <c r="Q4" s="202">
        <f>R4*Q8</f>
        <v>9700.0000000000018</v>
      </c>
      <c r="R4" s="437">
        <f>J3</f>
        <v>0.69985569985569995</v>
      </c>
    </row>
    <row r="5" spans="2:21" ht="12" customHeight="1" x14ac:dyDescent="0.35">
      <c r="B5" s="31" t="s">
        <v>111</v>
      </c>
      <c r="C5" s="451">
        <v>3.3</v>
      </c>
      <c r="E5" s="381" t="s">
        <v>252</v>
      </c>
      <c r="F5" s="443"/>
      <c r="G5" s="443"/>
      <c r="H5" s="443"/>
      <c r="I5" s="443"/>
      <c r="J5" s="444">
        <f>C162</f>
        <v>0.1608925402717154</v>
      </c>
      <c r="K5" s="269"/>
      <c r="L5" s="382"/>
      <c r="M5" s="436"/>
      <c r="N5" s="439">
        <v>0.24948453608247423</v>
      </c>
      <c r="O5" s="439">
        <v>0.39896907216494848</v>
      </c>
      <c r="P5" s="439">
        <v>0.35154639175257729</v>
      </c>
      <c r="Q5" s="438">
        <f>Q4/Q4</f>
        <v>1</v>
      </c>
      <c r="R5" s="437"/>
    </row>
    <row r="6" spans="2:21" ht="12" customHeight="1" thickBot="1" x14ac:dyDescent="0.4">
      <c r="B6" s="66" t="s">
        <v>262</v>
      </c>
      <c r="C6" s="455">
        <v>0.01</v>
      </c>
      <c r="E6" s="383" t="s">
        <v>131</v>
      </c>
      <c r="F6" s="386"/>
      <c r="G6" s="386"/>
      <c r="H6" s="386"/>
      <c r="I6" s="386"/>
      <c r="J6" s="404">
        <f>WACC!I30</f>
        <v>0.12920518238021639</v>
      </c>
      <c r="L6" s="382" t="s">
        <v>289</v>
      </c>
      <c r="M6" s="385"/>
      <c r="N6" s="202">
        <f>Q6*N7</f>
        <v>1039.9999999999998</v>
      </c>
      <c r="O6" s="202">
        <f>Q6*O7</f>
        <v>1649.9999999999995</v>
      </c>
      <c r="P6" s="202">
        <f>Q6*P7</f>
        <v>1469.9999999999998</v>
      </c>
      <c r="Q6" s="202">
        <f>R6*Q8</f>
        <v>4159.9999999999991</v>
      </c>
      <c r="R6" s="437">
        <f>1-R4</f>
        <v>0.30014430014430005</v>
      </c>
    </row>
    <row r="7" spans="2:21" ht="12" customHeight="1" thickBot="1" x14ac:dyDescent="0.4">
      <c r="B7" s="453" t="s">
        <v>68</v>
      </c>
      <c r="C7" s="454">
        <f>'Operating Data'!C23</f>
        <v>2947.3638769273243</v>
      </c>
      <c r="E7" s="381" t="s">
        <v>259</v>
      </c>
      <c r="F7" s="443"/>
      <c r="G7" s="443"/>
      <c r="H7" s="443"/>
      <c r="I7" s="443"/>
      <c r="J7" s="444">
        <f>C181</f>
        <v>0.22443557949927451</v>
      </c>
      <c r="K7" s="269"/>
      <c r="L7" s="383"/>
      <c r="M7" s="458"/>
      <c r="N7" s="448">
        <v>0.25</v>
      </c>
      <c r="O7" s="449">
        <v>0.39663461538461536</v>
      </c>
      <c r="P7" s="449">
        <v>0.35336538461538464</v>
      </c>
      <c r="Q7" s="450">
        <f>Q6/Q6</f>
        <v>1</v>
      </c>
      <c r="R7" s="459"/>
    </row>
    <row r="8" spans="2:21" ht="12" customHeight="1" thickBot="1" x14ac:dyDescent="0.4">
      <c r="B8" s="66" t="s">
        <v>304</v>
      </c>
      <c r="C8" s="389">
        <v>1</v>
      </c>
      <c r="E8" s="383" t="s">
        <v>260</v>
      </c>
      <c r="F8" s="386"/>
      <c r="G8" s="386"/>
      <c r="H8" s="386"/>
      <c r="I8" s="386"/>
      <c r="J8" s="404">
        <f>WACC!I21</f>
        <v>0.19548394126738794</v>
      </c>
      <c r="L8" s="456" t="s">
        <v>166</v>
      </c>
      <c r="M8" s="457"/>
      <c r="N8" s="446">
        <f>N4+N6</f>
        <v>3460</v>
      </c>
      <c r="O8" s="446">
        <f>O4+O6</f>
        <v>5520</v>
      </c>
      <c r="P8" s="446">
        <f>P4+P6</f>
        <v>4880</v>
      </c>
      <c r="Q8" s="447">
        <v>13860</v>
      </c>
      <c r="R8" s="460">
        <f>Q8/Q8</f>
        <v>1</v>
      </c>
    </row>
    <row r="9" spans="2:21" ht="6.25" customHeight="1" x14ac:dyDescent="0.35">
      <c r="E9" s="318"/>
      <c r="F9" s="318"/>
      <c r="G9" s="318"/>
      <c r="H9" s="392"/>
    </row>
    <row r="10" spans="2:21" ht="6.25" customHeight="1" thickBot="1" x14ac:dyDescent="0.4"/>
    <row r="11" spans="2:21" ht="12" customHeight="1" thickBot="1" x14ac:dyDescent="0.4">
      <c r="B11" s="302" t="s">
        <v>106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8"/>
    </row>
    <row r="12" spans="2:21" s="68" customFormat="1" ht="12" customHeight="1" thickBot="1" x14ac:dyDescent="0.4">
      <c r="B12" s="306" t="s">
        <v>110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  <c r="I12" s="2">
        <v>2015</v>
      </c>
      <c r="J12" s="2">
        <v>2016</v>
      </c>
      <c r="K12" s="2">
        <v>2017</v>
      </c>
      <c r="L12" s="2">
        <v>2018</v>
      </c>
      <c r="M12" s="2">
        <v>2019</v>
      </c>
      <c r="N12" s="2">
        <v>2020</v>
      </c>
      <c r="O12" s="2">
        <v>2021</v>
      </c>
      <c r="P12" s="2">
        <v>2022</v>
      </c>
      <c r="Q12" s="2">
        <v>2023</v>
      </c>
      <c r="R12" s="2">
        <v>2024</v>
      </c>
      <c r="S12" s="2">
        <v>2025</v>
      </c>
      <c r="T12" s="2">
        <v>2026</v>
      </c>
      <c r="U12" s="3">
        <v>2027</v>
      </c>
    </row>
    <row r="13" spans="2:21" s="34" customFormat="1" ht="12" customHeight="1" x14ac:dyDescent="0.35">
      <c r="B13" s="303" t="s">
        <v>175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</row>
    <row r="14" spans="2:21" s="34" customFormat="1" ht="12" customHeight="1" x14ac:dyDescent="0.35">
      <c r="B14" s="31" t="s">
        <v>15</v>
      </c>
      <c r="C14" s="178">
        <v>0</v>
      </c>
      <c r="D14" s="178">
        <v>0</v>
      </c>
      <c r="E14" s="178">
        <v>0</v>
      </c>
      <c r="F14" s="178">
        <v>0</v>
      </c>
      <c r="G14" s="178">
        <v>300</v>
      </c>
      <c r="H14" s="178">
        <v>300</v>
      </c>
      <c r="I14" s="178">
        <v>300</v>
      </c>
      <c r="J14" s="178">
        <v>300</v>
      </c>
      <c r="K14" s="178">
        <v>300</v>
      </c>
      <c r="L14" s="178">
        <v>300</v>
      </c>
      <c r="M14" s="178">
        <v>300</v>
      </c>
      <c r="N14" s="178">
        <v>300</v>
      </c>
      <c r="O14" s="178">
        <v>300</v>
      </c>
      <c r="P14" s="178">
        <v>300</v>
      </c>
      <c r="Q14" s="178">
        <v>300</v>
      </c>
      <c r="R14" s="178">
        <v>300</v>
      </c>
      <c r="S14" s="178">
        <v>300</v>
      </c>
      <c r="T14" s="178">
        <v>300</v>
      </c>
      <c r="U14" s="179">
        <v>300</v>
      </c>
    </row>
    <row r="15" spans="2:21" s="34" customFormat="1" ht="12" customHeight="1" x14ac:dyDescent="0.35">
      <c r="B15" s="35" t="s">
        <v>16</v>
      </c>
      <c r="C15" s="72">
        <v>0</v>
      </c>
      <c r="D15" s="72">
        <v>0</v>
      </c>
      <c r="E15" s="72">
        <v>0</v>
      </c>
      <c r="F15" s="72">
        <v>0</v>
      </c>
      <c r="G15" s="72">
        <f t="shared" ref="G15:U15" si="0">$C$4</f>
        <v>0.85</v>
      </c>
      <c r="H15" s="72">
        <f t="shared" si="0"/>
        <v>0.85</v>
      </c>
      <c r="I15" s="72">
        <f t="shared" si="0"/>
        <v>0.85</v>
      </c>
      <c r="J15" s="72">
        <f t="shared" si="0"/>
        <v>0.85</v>
      </c>
      <c r="K15" s="72">
        <f t="shared" si="0"/>
        <v>0.85</v>
      </c>
      <c r="L15" s="72">
        <f t="shared" si="0"/>
        <v>0.85</v>
      </c>
      <c r="M15" s="72">
        <f t="shared" si="0"/>
        <v>0.85</v>
      </c>
      <c r="N15" s="72">
        <f t="shared" si="0"/>
        <v>0.85</v>
      </c>
      <c r="O15" s="72">
        <f t="shared" si="0"/>
        <v>0.85</v>
      </c>
      <c r="P15" s="72">
        <f t="shared" si="0"/>
        <v>0.85</v>
      </c>
      <c r="Q15" s="72">
        <f t="shared" si="0"/>
        <v>0.85</v>
      </c>
      <c r="R15" s="72">
        <f t="shared" si="0"/>
        <v>0.85</v>
      </c>
      <c r="S15" s="72">
        <f t="shared" si="0"/>
        <v>0.85</v>
      </c>
      <c r="T15" s="72">
        <f t="shared" si="0"/>
        <v>0.85</v>
      </c>
      <c r="U15" s="73">
        <f t="shared" si="0"/>
        <v>0.85</v>
      </c>
    </row>
    <row r="16" spans="2:21" s="34" customFormat="1" ht="12" customHeight="1" x14ac:dyDescent="0.35">
      <c r="B16" s="35" t="s">
        <v>80</v>
      </c>
      <c r="C16" s="180">
        <v>0</v>
      </c>
      <c r="D16" s="180">
        <v>0</v>
      </c>
      <c r="E16" s="180">
        <v>0</v>
      </c>
      <c r="F16" s="180">
        <v>0</v>
      </c>
      <c r="G16" s="180">
        <f t="shared" ref="G16:U16" si="1">G14*1000*24*365*G15/1000000</f>
        <v>2233.8000000000002</v>
      </c>
      <c r="H16" s="180">
        <f t="shared" si="1"/>
        <v>2233.8000000000002</v>
      </c>
      <c r="I16" s="180">
        <f t="shared" si="1"/>
        <v>2233.8000000000002</v>
      </c>
      <c r="J16" s="180">
        <f t="shared" si="1"/>
        <v>2233.8000000000002</v>
      </c>
      <c r="K16" s="180">
        <f t="shared" si="1"/>
        <v>2233.8000000000002</v>
      </c>
      <c r="L16" s="180">
        <f t="shared" si="1"/>
        <v>2233.8000000000002</v>
      </c>
      <c r="M16" s="180">
        <f t="shared" si="1"/>
        <v>2233.8000000000002</v>
      </c>
      <c r="N16" s="180">
        <f t="shared" si="1"/>
        <v>2233.8000000000002</v>
      </c>
      <c r="O16" s="180">
        <f t="shared" si="1"/>
        <v>2233.8000000000002</v>
      </c>
      <c r="P16" s="180">
        <f t="shared" si="1"/>
        <v>2233.8000000000002</v>
      </c>
      <c r="Q16" s="180">
        <f t="shared" si="1"/>
        <v>2233.8000000000002</v>
      </c>
      <c r="R16" s="180">
        <f t="shared" si="1"/>
        <v>2233.8000000000002</v>
      </c>
      <c r="S16" s="180">
        <f t="shared" si="1"/>
        <v>2233.8000000000002</v>
      </c>
      <c r="T16" s="180">
        <f t="shared" si="1"/>
        <v>2233.8000000000002</v>
      </c>
      <c r="U16" s="181">
        <f t="shared" si="1"/>
        <v>2233.8000000000002</v>
      </c>
    </row>
    <row r="17" spans="2:22" s="34" customFormat="1" ht="12" customHeight="1" x14ac:dyDescent="0.35">
      <c r="B17" s="35" t="s">
        <v>81</v>
      </c>
      <c r="C17" s="180">
        <v>0</v>
      </c>
      <c r="D17" s="180">
        <v>0</v>
      </c>
      <c r="E17" s="180">
        <v>0</v>
      </c>
      <c r="F17" s="180">
        <v>0</v>
      </c>
      <c r="G17" s="180">
        <v>201</v>
      </c>
      <c r="H17" s="180">
        <v>201</v>
      </c>
      <c r="I17" s="180">
        <v>201</v>
      </c>
      <c r="J17" s="180">
        <v>201</v>
      </c>
      <c r="K17" s="180">
        <v>201</v>
      </c>
      <c r="L17" s="180">
        <v>201</v>
      </c>
      <c r="M17" s="180">
        <v>201</v>
      </c>
      <c r="N17" s="180">
        <v>201</v>
      </c>
      <c r="O17" s="180">
        <v>201</v>
      </c>
      <c r="P17" s="180">
        <v>201</v>
      </c>
      <c r="Q17" s="180">
        <v>201</v>
      </c>
      <c r="R17" s="180">
        <v>201</v>
      </c>
      <c r="S17" s="180">
        <v>201</v>
      </c>
      <c r="T17" s="180">
        <v>201</v>
      </c>
      <c r="U17" s="181">
        <v>201</v>
      </c>
    </row>
    <row r="18" spans="2:22" s="34" customFormat="1" ht="12" customHeight="1" x14ac:dyDescent="0.35">
      <c r="B18" s="78" t="s">
        <v>82</v>
      </c>
      <c r="C18" s="180">
        <v>0</v>
      </c>
      <c r="D18" s="180">
        <v>0</v>
      </c>
      <c r="E18" s="180">
        <v>0</v>
      </c>
      <c r="F18" s="180">
        <v>0</v>
      </c>
      <c r="G18" s="180">
        <f t="shared" ref="G18:U18" si="2">G16-G17</f>
        <v>2032.8000000000002</v>
      </c>
      <c r="H18" s="180">
        <f t="shared" si="2"/>
        <v>2032.8000000000002</v>
      </c>
      <c r="I18" s="180">
        <f t="shared" si="2"/>
        <v>2032.8000000000002</v>
      </c>
      <c r="J18" s="180">
        <f t="shared" si="2"/>
        <v>2032.8000000000002</v>
      </c>
      <c r="K18" s="180">
        <f t="shared" si="2"/>
        <v>2032.8000000000002</v>
      </c>
      <c r="L18" s="180">
        <f t="shared" si="2"/>
        <v>2032.8000000000002</v>
      </c>
      <c r="M18" s="180">
        <f t="shared" si="2"/>
        <v>2032.8000000000002</v>
      </c>
      <c r="N18" s="180">
        <f t="shared" si="2"/>
        <v>2032.8000000000002</v>
      </c>
      <c r="O18" s="180">
        <f t="shared" si="2"/>
        <v>2032.8000000000002</v>
      </c>
      <c r="P18" s="180">
        <f t="shared" si="2"/>
        <v>2032.8000000000002</v>
      </c>
      <c r="Q18" s="180">
        <f t="shared" si="2"/>
        <v>2032.8000000000002</v>
      </c>
      <c r="R18" s="180">
        <f t="shared" si="2"/>
        <v>2032.8000000000002</v>
      </c>
      <c r="S18" s="180">
        <f t="shared" si="2"/>
        <v>2032.8000000000002</v>
      </c>
      <c r="T18" s="180">
        <f t="shared" si="2"/>
        <v>2032.8000000000002</v>
      </c>
      <c r="U18" s="181">
        <f t="shared" si="2"/>
        <v>2032.8000000000002</v>
      </c>
    </row>
    <row r="19" spans="2:22" s="34" customFormat="1" ht="12" customHeight="1" x14ac:dyDescent="0.35">
      <c r="B19" s="35" t="s">
        <v>111</v>
      </c>
      <c r="C19" s="195">
        <v>0</v>
      </c>
      <c r="D19" s="195">
        <v>0</v>
      </c>
      <c r="E19" s="195">
        <v>0</v>
      </c>
      <c r="F19" s="195">
        <v>0</v>
      </c>
      <c r="G19" s="195">
        <f>C5</f>
        <v>3.3</v>
      </c>
      <c r="H19" s="195">
        <f t="shared" ref="H19:U19" si="3">G19*(1+$C$6)</f>
        <v>3.3329999999999997</v>
      </c>
      <c r="I19" s="195">
        <f t="shared" si="3"/>
        <v>3.3663299999999996</v>
      </c>
      <c r="J19" s="195">
        <f t="shared" si="3"/>
        <v>3.3999932999999998</v>
      </c>
      <c r="K19" s="195">
        <f t="shared" si="3"/>
        <v>3.4339932329999998</v>
      </c>
      <c r="L19" s="195">
        <f t="shared" si="3"/>
        <v>3.4683331653299998</v>
      </c>
      <c r="M19" s="195">
        <f t="shared" si="3"/>
        <v>3.5030164969833</v>
      </c>
      <c r="N19" s="195">
        <f t="shared" si="3"/>
        <v>3.5380466619531332</v>
      </c>
      <c r="O19" s="195">
        <f t="shared" si="3"/>
        <v>3.5734271285726646</v>
      </c>
      <c r="P19" s="195">
        <f t="shared" si="3"/>
        <v>3.6091613998583911</v>
      </c>
      <c r="Q19" s="195">
        <f t="shared" si="3"/>
        <v>3.645253013856975</v>
      </c>
      <c r="R19" s="195">
        <f t="shared" si="3"/>
        <v>3.6817055439955446</v>
      </c>
      <c r="S19" s="195">
        <f t="shared" si="3"/>
        <v>3.7185225994355</v>
      </c>
      <c r="T19" s="195">
        <f t="shared" si="3"/>
        <v>3.7557078254298553</v>
      </c>
      <c r="U19" s="196">
        <f t="shared" si="3"/>
        <v>3.7932649036841539</v>
      </c>
    </row>
    <row r="20" spans="2:22" s="34" customFormat="1" ht="12" customHeight="1" x14ac:dyDescent="0.35">
      <c r="B20" s="303" t="s">
        <v>174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</row>
    <row r="21" spans="2:22" s="34" customFormat="1" ht="12" customHeight="1" x14ac:dyDescent="0.35">
      <c r="B21" s="82" t="s">
        <v>21</v>
      </c>
      <c r="C21" s="182">
        <f>C18*C19</f>
        <v>0</v>
      </c>
      <c r="D21" s="182">
        <f>D18*D19</f>
        <v>0</v>
      </c>
      <c r="E21" s="182">
        <f>E18*E19</f>
        <v>0</v>
      </c>
      <c r="F21" s="182">
        <f>F18*F19</f>
        <v>0</v>
      </c>
      <c r="G21" s="182">
        <f>G18*G19</f>
        <v>6708.2400000000007</v>
      </c>
      <c r="H21" s="182">
        <f t="shared" ref="H21:U21" si="4">H18*H19</f>
        <v>6775.3224</v>
      </c>
      <c r="I21" s="182">
        <f t="shared" si="4"/>
        <v>6843.0756240000001</v>
      </c>
      <c r="J21" s="182">
        <f t="shared" si="4"/>
        <v>6911.50638024</v>
      </c>
      <c r="K21" s="182">
        <f t="shared" si="4"/>
        <v>6980.6214440424001</v>
      </c>
      <c r="L21" s="182">
        <f t="shared" si="4"/>
        <v>7050.427658482824</v>
      </c>
      <c r="M21" s="182">
        <f t="shared" si="4"/>
        <v>7120.9319350676524</v>
      </c>
      <c r="N21" s="182">
        <f t="shared" si="4"/>
        <v>7192.1412544183295</v>
      </c>
      <c r="O21" s="182">
        <f t="shared" si="4"/>
        <v>7264.0626669625135</v>
      </c>
      <c r="P21" s="182">
        <f t="shared" si="4"/>
        <v>7336.7032936321384</v>
      </c>
      <c r="Q21" s="182">
        <f t="shared" si="4"/>
        <v>7410.0703265684597</v>
      </c>
      <c r="R21" s="182">
        <f t="shared" si="4"/>
        <v>7484.1710298341441</v>
      </c>
      <c r="S21" s="182">
        <f t="shared" si="4"/>
        <v>7559.0127401324853</v>
      </c>
      <c r="T21" s="182">
        <f t="shared" si="4"/>
        <v>7634.6028675338102</v>
      </c>
      <c r="U21" s="183">
        <f t="shared" si="4"/>
        <v>7710.9488962091491</v>
      </c>
    </row>
    <row r="22" spans="2:22" s="34" customFormat="1" ht="12" customHeight="1" x14ac:dyDescent="0.35">
      <c r="B22" s="323" t="s">
        <v>189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5"/>
    </row>
    <row r="23" spans="2:22" s="34" customFormat="1" ht="12" customHeight="1" x14ac:dyDescent="0.35">
      <c r="B23" s="35" t="s">
        <v>41</v>
      </c>
      <c r="C23" s="180">
        <v>0</v>
      </c>
      <c r="D23" s="180">
        <v>0</v>
      </c>
      <c r="E23" s="180">
        <v>0</v>
      </c>
      <c r="F23" s="180">
        <v>0</v>
      </c>
      <c r="G23" s="180">
        <f>($C$7*$C$8)*((1.03^(G12-2012)))</f>
        <v>3035.7847932351442</v>
      </c>
      <c r="H23" s="180">
        <f t="shared" ref="H23:U23" si="5">($C$7*((1.03^(H12-2012))))*$C$8</f>
        <v>3126.8583370321981</v>
      </c>
      <c r="I23" s="180">
        <f t="shared" si="5"/>
        <v>3220.6640871431641</v>
      </c>
      <c r="J23" s="180">
        <f t="shared" si="5"/>
        <v>3317.284009757459</v>
      </c>
      <c r="K23" s="180">
        <f t="shared" si="5"/>
        <v>3416.8025300501827</v>
      </c>
      <c r="L23" s="180">
        <f t="shared" si="5"/>
        <v>3519.3066059516882</v>
      </c>
      <c r="M23" s="180">
        <f t="shared" si="5"/>
        <v>3624.8858041302392</v>
      </c>
      <c r="N23" s="180">
        <f t="shared" si="5"/>
        <v>3733.6323782541458</v>
      </c>
      <c r="O23" s="180">
        <f t="shared" si="5"/>
        <v>3845.6413496017703</v>
      </c>
      <c r="P23" s="180">
        <f t="shared" si="5"/>
        <v>3961.0105900898234</v>
      </c>
      <c r="Q23" s="180">
        <f t="shared" si="5"/>
        <v>4079.8409077925185</v>
      </c>
      <c r="R23" s="180">
        <f t="shared" si="5"/>
        <v>4202.2361350262936</v>
      </c>
      <c r="S23" s="180">
        <f t="shared" si="5"/>
        <v>4328.3032190770818</v>
      </c>
      <c r="T23" s="180">
        <f t="shared" si="5"/>
        <v>4458.152315649395</v>
      </c>
      <c r="U23" s="181">
        <f t="shared" si="5"/>
        <v>4591.8968851188765</v>
      </c>
    </row>
    <row r="24" spans="2:22" s="34" customFormat="1" ht="12" customHeight="1" x14ac:dyDescent="0.35">
      <c r="B24" s="35" t="s">
        <v>84</v>
      </c>
      <c r="C24" s="180">
        <v>0</v>
      </c>
      <c r="D24" s="180">
        <v>0</v>
      </c>
      <c r="E24" s="180">
        <v>0</v>
      </c>
      <c r="F24" s="180">
        <v>0</v>
      </c>
      <c r="G24" s="180">
        <f t="shared" ref="G24:U24" si="6">((1.55*G14*((1.04)^(G12-2012))))*($C$4/85%)</f>
        <v>483.6</v>
      </c>
      <c r="H24" s="180">
        <f t="shared" si="6"/>
        <v>502.94400000000007</v>
      </c>
      <c r="I24" s="180">
        <f t="shared" si="6"/>
        <v>523.06176000000005</v>
      </c>
      <c r="J24" s="180">
        <f t="shared" si="6"/>
        <v>543.98423040000011</v>
      </c>
      <c r="K24" s="180">
        <f t="shared" si="6"/>
        <v>565.74359961600021</v>
      </c>
      <c r="L24" s="180">
        <f t="shared" si="6"/>
        <v>588.37334360064017</v>
      </c>
      <c r="M24" s="180">
        <f t="shared" si="6"/>
        <v>611.90827734466575</v>
      </c>
      <c r="N24" s="180">
        <f t="shared" si="6"/>
        <v>636.38460843845246</v>
      </c>
      <c r="O24" s="180">
        <f t="shared" si="6"/>
        <v>661.83999277599059</v>
      </c>
      <c r="P24" s="180">
        <f t="shared" si="6"/>
        <v>688.31359248703018</v>
      </c>
      <c r="Q24" s="180">
        <f t="shared" si="6"/>
        <v>715.84613618651144</v>
      </c>
      <c r="R24" s="180">
        <f t="shared" si="6"/>
        <v>744.47998163397199</v>
      </c>
      <c r="S24" s="180">
        <f t="shared" si="6"/>
        <v>774.25918089933089</v>
      </c>
      <c r="T24" s="180">
        <f t="shared" si="6"/>
        <v>805.22954813530419</v>
      </c>
      <c r="U24" s="181">
        <f t="shared" si="6"/>
        <v>837.43873006071624</v>
      </c>
    </row>
    <row r="25" spans="2:22" s="34" customFormat="1" ht="12" customHeight="1" x14ac:dyDescent="0.35">
      <c r="B25" s="82" t="s">
        <v>25</v>
      </c>
      <c r="C25" s="180">
        <v>0</v>
      </c>
      <c r="D25" s="180">
        <v>0</v>
      </c>
      <c r="E25" s="180">
        <v>0</v>
      </c>
      <c r="F25" s="180">
        <v>0</v>
      </c>
      <c r="G25" s="393">
        <f t="shared" ref="G25:U25" si="7">SUM(G23:G24)</f>
        <v>3519.3847932351441</v>
      </c>
      <c r="H25" s="393">
        <f t="shared" si="7"/>
        <v>3629.802337032198</v>
      </c>
      <c r="I25" s="393">
        <f t="shared" si="7"/>
        <v>3743.7258471431642</v>
      </c>
      <c r="J25" s="393">
        <f t="shared" si="7"/>
        <v>3861.2682401574593</v>
      </c>
      <c r="K25" s="393">
        <f t="shared" si="7"/>
        <v>3982.5461296661829</v>
      </c>
      <c r="L25" s="393">
        <f t="shared" si="7"/>
        <v>4107.6799495523283</v>
      </c>
      <c r="M25" s="393">
        <f t="shared" si="7"/>
        <v>4236.7940814749054</v>
      </c>
      <c r="N25" s="393">
        <f t="shared" si="7"/>
        <v>4370.016986692598</v>
      </c>
      <c r="O25" s="393">
        <f t="shared" si="7"/>
        <v>4507.4813423777614</v>
      </c>
      <c r="P25" s="393">
        <f t="shared" si="7"/>
        <v>4649.3241825768537</v>
      </c>
      <c r="Q25" s="393">
        <f t="shared" si="7"/>
        <v>4795.68704397903</v>
      </c>
      <c r="R25" s="393">
        <f t="shared" si="7"/>
        <v>4946.7161166602655</v>
      </c>
      <c r="S25" s="393">
        <f t="shared" si="7"/>
        <v>5102.562399976413</v>
      </c>
      <c r="T25" s="393">
        <f t="shared" si="7"/>
        <v>5263.3818637846989</v>
      </c>
      <c r="U25" s="394">
        <f t="shared" si="7"/>
        <v>5429.3356151795924</v>
      </c>
      <c r="V25" s="145"/>
    </row>
    <row r="26" spans="2:22" s="34" customFormat="1" ht="12" customHeight="1" x14ac:dyDescent="0.35">
      <c r="B26" s="85" t="s">
        <v>272</v>
      </c>
      <c r="C26" s="182">
        <f t="shared" ref="C26:U26" si="8">C21-C25</f>
        <v>0</v>
      </c>
      <c r="D26" s="182">
        <f t="shared" si="8"/>
        <v>0</v>
      </c>
      <c r="E26" s="182">
        <f t="shared" si="8"/>
        <v>0</v>
      </c>
      <c r="F26" s="182">
        <f t="shared" si="8"/>
        <v>0</v>
      </c>
      <c r="G26" s="182">
        <f t="shared" si="8"/>
        <v>3188.8552067648566</v>
      </c>
      <c r="H26" s="182">
        <f t="shared" si="8"/>
        <v>3145.520062967802</v>
      </c>
      <c r="I26" s="182">
        <f t="shared" si="8"/>
        <v>3099.3497768568359</v>
      </c>
      <c r="J26" s="182">
        <f t="shared" si="8"/>
        <v>3050.2381400825407</v>
      </c>
      <c r="K26" s="182">
        <f t="shared" si="8"/>
        <v>2998.0753143762172</v>
      </c>
      <c r="L26" s="182">
        <f t="shared" si="8"/>
        <v>2942.7477089304957</v>
      </c>
      <c r="M26" s="182">
        <f t="shared" si="8"/>
        <v>2884.137853592747</v>
      </c>
      <c r="N26" s="182">
        <f t="shared" si="8"/>
        <v>2822.1242677257314</v>
      </c>
      <c r="O26" s="182">
        <f t="shared" si="8"/>
        <v>2756.5813245847521</v>
      </c>
      <c r="P26" s="182">
        <f t="shared" si="8"/>
        <v>2687.3791110552847</v>
      </c>
      <c r="Q26" s="182">
        <f t="shared" si="8"/>
        <v>2614.3832825894297</v>
      </c>
      <c r="R26" s="182">
        <f t="shared" si="8"/>
        <v>2537.4549131738786</v>
      </c>
      <c r="S26" s="182">
        <f t="shared" si="8"/>
        <v>2456.4503401560723</v>
      </c>
      <c r="T26" s="182">
        <f t="shared" si="8"/>
        <v>2371.2210037491113</v>
      </c>
      <c r="U26" s="183">
        <f t="shared" si="8"/>
        <v>2281.6132810295567</v>
      </c>
    </row>
    <row r="27" spans="2:22" s="34" customFormat="1" ht="12" customHeight="1" x14ac:dyDescent="0.35">
      <c r="B27" s="323" t="s">
        <v>145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2:22" s="34" customFormat="1" ht="12" customHeight="1" x14ac:dyDescent="0.35">
      <c r="B28" s="35" t="s">
        <v>187</v>
      </c>
      <c r="C28" s="180">
        <v>0</v>
      </c>
      <c r="D28" s="180">
        <v>0</v>
      </c>
      <c r="E28" s="180">
        <v>0</v>
      </c>
      <c r="F28" s="410">
        <v>0</v>
      </c>
      <c r="G28" s="410">
        <f t="shared" ref="G28:U28" si="9">$J$4*((G109+G112)/2)</f>
        <v>1067</v>
      </c>
      <c r="H28" s="410">
        <f t="shared" si="9"/>
        <v>937.66666666666686</v>
      </c>
      <c r="I28" s="410">
        <f t="shared" si="9"/>
        <v>808.33333333333337</v>
      </c>
      <c r="J28" s="410">
        <f t="shared" si="9"/>
        <v>679</v>
      </c>
      <c r="K28" s="410">
        <f t="shared" si="9"/>
        <v>549.66666666666652</v>
      </c>
      <c r="L28" s="410">
        <f t="shared" si="9"/>
        <v>420.3333333333332</v>
      </c>
      <c r="M28" s="410">
        <f t="shared" si="9"/>
        <v>290.99999999999983</v>
      </c>
      <c r="N28" s="410">
        <f t="shared" si="9"/>
        <v>161.66666666666649</v>
      </c>
      <c r="O28" s="410">
        <f t="shared" si="9"/>
        <v>48.499999999999787</v>
      </c>
      <c r="P28" s="410">
        <f t="shared" si="9"/>
        <v>-2.1827872842550277E-13</v>
      </c>
      <c r="Q28" s="410">
        <f t="shared" si="9"/>
        <v>-2.1827872842550277E-13</v>
      </c>
      <c r="R28" s="410">
        <f t="shared" si="9"/>
        <v>-2.1827872842550277E-13</v>
      </c>
      <c r="S28" s="410">
        <f t="shared" si="9"/>
        <v>-2.1827872842550277E-13</v>
      </c>
      <c r="T28" s="410">
        <f t="shared" si="9"/>
        <v>-2.1827872842550277E-13</v>
      </c>
      <c r="U28" s="441">
        <f t="shared" si="9"/>
        <v>-2.1827872842550277E-13</v>
      </c>
    </row>
    <row r="29" spans="2:22" s="34" customFormat="1" ht="12" customHeight="1" x14ac:dyDescent="0.35">
      <c r="B29" s="35" t="s">
        <v>188</v>
      </c>
      <c r="C29" s="180">
        <v>0</v>
      </c>
      <c r="D29" s="180">
        <v>0</v>
      </c>
      <c r="E29" s="180">
        <v>0</v>
      </c>
      <c r="F29" s="180">
        <v>0</v>
      </c>
      <c r="G29" s="187">
        <f>$J$4*G60</f>
        <v>111.6</v>
      </c>
      <c r="H29" s="187">
        <f t="shared" ref="H29:U29" si="10">$J$4*((G60+H60)/2)</f>
        <v>112.2</v>
      </c>
      <c r="I29" s="187">
        <f t="shared" si="10"/>
        <v>114</v>
      </c>
      <c r="J29" s="187">
        <f t="shared" si="10"/>
        <v>116.39999999999999</v>
      </c>
      <c r="K29" s="187">
        <f t="shared" si="10"/>
        <v>118.19999999999999</v>
      </c>
      <c r="L29" s="187">
        <f t="shared" si="10"/>
        <v>120</v>
      </c>
      <c r="M29" s="187">
        <f t="shared" si="10"/>
        <v>122.39999999999999</v>
      </c>
      <c r="N29" s="187">
        <f t="shared" si="10"/>
        <v>124.8</v>
      </c>
      <c r="O29" s="187">
        <f t="shared" si="10"/>
        <v>127.19999999999999</v>
      </c>
      <c r="P29" s="187">
        <f t="shared" si="10"/>
        <v>129.6</v>
      </c>
      <c r="Q29" s="187">
        <f t="shared" si="10"/>
        <v>132</v>
      </c>
      <c r="R29" s="187">
        <f t="shared" si="10"/>
        <v>134.4</v>
      </c>
      <c r="S29" s="187">
        <f t="shared" si="10"/>
        <v>137.4</v>
      </c>
      <c r="T29" s="187">
        <f t="shared" si="10"/>
        <v>140.4</v>
      </c>
      <c r="U29" s="340">
        <f t="shared" si="10"/>
        <v>142.79999999999998</v>
      </c>
    </row>
    <row r="30" spans="2:22" s="34" customFormat="1" ht="12" customHeight="1" x14ac:dyDescent="0.35">
      <c r="B30" s="35" t="s">
        <v>30</v>
      </c>
      <c r="C30" s="180">
        <v>0</v>
      </c>
      <c r="D30" s="180">
        <v>0</v>
      </c>
      <c r="E30" s="180">
        <v>0</v>
      </c>
      <c r="F30" s="180">
        <v>0</v>
      </c>
      <c r="G30" s="187">
        <v>680</v>
      </c>
      <c r="H30" s="187">
        <v>680</v>
      </c>
      <c r="I30" s="187">
        <v>680</v>
      </c>
      <c r="J30" s="187">
        <v>680</v>
      </c>
      <c r="K30" s="187">
        <v>680</v>
      </c>
      <c r="L30" s="187">
        <v>680</v>
      </c>
      <c r="M30" s="187">
        <v>680</v>
      </c>
      <c r="N30" s="187">
        <v>680</v>
      </c>
      <c r="O30" s="187">
        <v>680</v>
      </c>
      <c r="P30" s="187">
        <v>680</v>
      </c>
      <c r="Q30" s="187">
        <v>680</v>
      </c>
      <c r="R30" s="187">
        <v>680</v>
      </c>
      <c r="S30" s="187">
        <v>680</v>
      </c>
      <c r="T30" s="187">
        <v>680</v>
      </c>
      <c r="U30" s="340">
        <v>680</v>
      </c>
    </row>
    <row r="31" spans="2:22" s="34" customFormat="1" ht="12" hidden="1" customHeight="1" outlineLevel="1" x14ac:dyDescent="0.35">
      <c r="B31" s="52" t="s">
        <v>86</v>
      </c>
      <c r="C31" s="186">
        <f t="shared" ref="C31:U31" si="11">C26-C28-C29-C30</f>
        <v>0</v>
      </c>
      <c r="D31" s="186">
        <f t="shared" si="11"/>
        <v>0</v>
      </c>
      <c r="E31" s="186">
        <f t="shared" si="11"/>
        <v>0</v>
      </c>
      <c r="F31" s="186">
        <f t="shared" si="11"/>
        <v>0</v>
      </c>
      <c r="G31" s="186">
        <f t="shared" si="11"/>
        <v>1330.2552067648567</v>
      </c>
      <c r="H31" s="186">
        <f t="shared" si="11"/>
        <v>1415.6533963011352</v>
      </c>
      <c r="I31" s="186">
        <f t="shared" si="11"/>
        <v>1497.0164435235024</v>
      </c>
      <c r="J31" s="186">
        <f t="shared" si="11"/>
        <v>1574.8381400825406</v>
      </c>
      <c r="K31" s="186">
        <f t="shared" si="11"/>
        <v>1650.2086477095509</v>
      </c>
      <c r="L31" s="186">
        <f t="shared" si="11"/>
        <v>1722.4143755971627</v>
      </c>
      <c r="M31" s="186">
        <f t="shared" si="11"/>
        <v>1790.7378535927469</v>
      </c>
      <c r="N31" s="186">
        <f t="shared" si="11"/>
        <v>1855.6576010590647</v>
      </c>
      <c r="O31" s="186">
        <f t="shared" si="11"/>
        <v>1900.8813245847523</v>
      </c>
      <c r="P31" s="186">
        <f t="shared" si="11"/>
        <v>1877.7791110552848</v>
      </c>
      <c r="Q31" s="186">
        <f t="shared" si="11"/>
        <v>1802.3832825894297</v>
      </c>
      <c r="R31" s="186">
        <f t="shared" si="11"/>
        <v>1723.0549131738785</v>
      </c>
      <c r="S31" s="186">
        <f t="shared" si="11"/>
        <v>1639.0503401560723</v>
      </c>
      <c r="T31" s="186">
        <f t="shared" si="11"/>
        <v>1550.8210037491112</v>
      </c>
      <c r="U31" s="183">
        <f t="shared" si="11"/>
        <v>1458.8132810295565</v>
      </c>
    </row>
    <row r="32" spans="2:22" s="34" customFormat="1" ht="12" hidden="1" customHeight="1" outlineLevel="1" x14ac:dyDescent="0.35">
      <c r="B32" s="323" t="s">
        <v>32</v>
      </c>
      <c r="C32" s="46"/>
      <c r="D32" s="46"/>
      <c r="E32" s="46"/>
      <c r="F32" s="46"/>
      <c r="G32" s="4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</row>
    <row r="33" spans="2:21" s="34" customFormat="1" ht="12" hidden="1" customHeight="1" outlineLevel="1" x14ac:dyDescent="0.35">
      <c r="B33" s="35" t="s">
        <v>195</v>
      </c>
      <c r="C33" s="180">
        <v>0</v>
      </c>
      <c r="D33" s="180">
        <v>0</v>
      </c>
      <c r="E33" s="180">
        <v>0</v>
      </c>
      <c r="F33" s="187">
        <f>F127</f>
        <v>0</v>
      </c>
      <c r="G33" s="187">
        <f>G127</f>
        <v>210.20815142302843</v>
      </c>
      <c r="H33" s="187">
        <f t="shared" ref="H33:U33" si="12">H127</f>
        <v>225.19710256876024</v>
      </c>
      <c r="I33" s="187">
        <f t="shared" si="12"/>
        <v>234.85126393598222</v>
      </c>
      <c r="J33" s="187">
        <f t="shared" si="12"/>
        <v>255.40709039890558</v>
      </c>
      <c r="K33" s="187">
        <f t="shared" si="12"/>
        <v>265.32813153117348</v>
      </c>
      <c r="L33" s="187">
        <f t="shared" si="12"/>
        <v>275.29022183143962</v>
      </c>
      <c r="M33" s="187">
        <f t="shared" si="12"/>
        <v>285.2944008095713</v>
      </c>
      <c r="N33" s="187">
        <f t="shared" si="12"/>
        <v>295.331643988633</v>
      </c>
      <c r="O33" s="187">
        <f t="shared" si="12"/>
        <v>302.82423615575448</v>
      </c>
      <c r="P33" s="187">
        <f t="shared" si="12"/>
        <v>305.26721037523919</v>
      </c>
      <c r="Q33" s="187">
        <f t="shared" si="12"/>
        <v>290</v>
      </c>
      <c r="R33" s="187">
        <f t="shared" si="12"/>
        <v>280</v>
      </c>
      <c r="S33" s="187">
        <f t="shared" si="12"/>
        <v>260</v>
      </c>
      <c r="T33" s="187">
        <f t="shared" si="12"/>
        <v>250.00000000000003</v>
      </c>
      <c r="U33" s="51">
        <f t="shared" si="12"/>
        <v>230</v>
      </c>
    </row>
    <row r="34" spans="2:21" s="34" customFormat="1" ht="12" hidden="1" customHeight="1" outlineLevel="1" x14ac:dyDescent="0.35">
      <c r="B34" s="35" t="s">
        <v>196</v>
      </c>
      <c r="C34" s="180">
        <v>0</v>
      </c>
      <c r="D34" s="180">
        <v>0</v>
      </c>
      <c r="E34" s="180">
        <v>0</v>
      </c>
      <c r="F34" s="180">
        <v>0</v>
      </c>
      <c r="G34" s="187">
        <v>0</v>
      </c>
      <c r="H34" s="187">
        <v>0</v>
      </c>
      <c r="I34" s="187">
        <v>0</v>
      </c>
      <c r="J34" s="187">
        <v>0</v>
      </c>
      <c r="K34" s="187">
        <v>0</v>
      </c>
      <c r="L34" s="187">
        <v>0</v>
      </c>
      <c r="M34" s="187">
        <v>0</v>
      </c>
      <c r="N34" s="187">
        <v>-10</v>
      </c>
      <c r="O34" s="187">
        <v>-40</v>
      </c>
      <c r="P34" s="187">
        <v>-70</v>
      </c>
      <c r="Q34" s="187">
        <v>-90</v>
      </c>
      <c r="R34" s="187">
        <v>-110</v>
      </c>
      <c r="S34" s="187">
        <v>-130</v>
      </c>
      <c r="T34" s="187">
        <v>-140</v>
      </c>
      <c r="U34" s="188">
        <v>-150</v>
      </c>
    </row>
    <row r="35" spans="2:21" s="34" customFormat="1" ht="12" customHeight="1" collapsed="1" x14ac:dyDescent="0.35">
      <c r="B35" s="86" t="s">
        <v>87</v>
      </c>
      <c r="C35" s="186">
        <f t="shared" ref="C35:U35" si="13">C31-C33-C34</f>
        <v>0</v>
      </c>
      <c r="D35" s="186">
        <f t="shared" si="13"/>
        <v>0</v>
      </c>
      <c r="E35" s="186">
        <f t="shared" si="13"/>
        <v>0</v>
      </c>
      <c r="F35" s="186">
        <f t="shared" si="13"/>
        <v>0</v>
      </c>
      <c r="G35" s="186">
        <f t="shared" si="13"/>
        <v>1120.0470553418281</v>
      </c>
      <c r="H35" s="182">
        <f t="shared" si="13"/>
        <v>1190.4562937323749</v>
      </c>
      <c r="I35" s="182">
        <f t="shared" si="13"/>
        <v>1262.1651795875202</v>
      </c>
      <c r="J35" s="182">
        <f t="shared" si="13"/>
        <v>1319.4310496836349</v>
      </c>
      <c r="K35" s="182">
        <f t="shared" si="13"/>
        <v>1384.8805161783773</v>
      </c>
      <c r="L35" s="182">
        <f t="shared" si="13"/>
        <v>1447.1241537657231</v>
      </c>
      <c r="M35" s="182">
        <f t="shared" si="13"/>
        <v>1505.4434527831756</v>
      </c>
      <c r="N35" s="182">
        <f t="shared" si="13"/>
        <v>1570.3259570704317</v>
      </c>
      <c r="O35" s="182">
        <f t="shared" si="13"/>
        <v>1638.0570884289978</v>
      </c>
      <c r="P35" s="182">
        <f t="shared" si="13"/>
        <v>1642.5119006800455</v>
      </c>
      <c r="Q35" s="182">
        <f t="shared" si="13"/>
        <v>1602.3832825894297</v>
      </c>
      <c r="R35" s="182">
        <f t="shared" si="13"/>
        <v>1553.0549131738785</v>
      </c>
      <c r="S35" s="182">
        <f t="shared" si="13"/>
        <v>1509.0503401560723</v>
      </c>
      <c r="T35" s="182">
        <f t="shared" si="13"/>
        <v>1440.8210037491112</v>
      </c>
      <c r="U35" s="183">
        <f t="shared" si="13"/>
        <v>1378.8132810295565</v>
      </c>
    </row>
    <row r="36" spans="2:21" s="34" customFormat="1" ht="3.65" customHeight="1" x14ac:dyDescent="0.35">
      <c r="B36" s="86"/>
      <c r="C36" s="186"/>
      <c r="D36" s="186"/>
      <c r="E36" s="186"/>
      <c r="F36" s="186"/>
      <c r="G36" s="186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3"/>
    </row>
    <row r="37" spans="2:21" s="34" customFormat="1" ht="12" customHeight="1" x14ac:dyDescent="0.35">
      <c r="B37" s="86" t="s">
        <v>88</v>
      </c>
      <c r="C37" s="189">
        <f t="shared" ref="C37:U37" si="14">C35+C30+C34</f>
        <v>0</v>
      </c>
      <c r="D37" s="189">
        <f t="shared" si="14"/>
        <v>0</v>
      </c>
      <c r="E37" s="189">
        <f t="shared" si="14"/>
        <v>0</v>
      </c>
      <c r="F37" s="189">
        <f t="shared" si="14"/>
        <v>0</v>
      </c>
      <c r="G37" s="189">
        <f t="shared" si="14"/>
        <v>1800.0470553418281</v>
      </c>
      <c r="H37" s="190">
        <f t="shared" si="14"/>
        <v>1870.4562937323749</v>
      </c>
      <c r="I37" s="190">
        <f t="shared" si="14"/>
        <v>1942.1651795875202</v>
      </c>
      <c r="J37" s="190">
        <f t="shared" si="14"/>
        <v>1999.4310496836349</v>
      </c>
      <c r="K37" s="190">
        <f t="shared" si="14"/>
        <v>2064.8805161783775</v>
      </c>
      <c r="L37" s="190">
        <f t="shared" si="14"/>
        <v>2127.1241537657233</v>
      </c>
      <c r="M37" s="190">
        <f t="shared" si="14"/>
        <v>2185.4434527831754</v>
      </c>
      <c r="N37" s="190">
        <f t="shared" si="14"/>
        <v>2240.3259570704317</v>
      </c>
      <c r="O37" s="190">
        <f t="shared" si="14"/>
        <v>2278.0570884289978</v>
      </c>
      <c r="P37" s="190">
        <f t="shared" si="14"/>
        <v>2252.5119006800455</v>
      </c>
      <c r="Q37" s="190">
        <f t="shared" si="14"/>
        <v>2192.3832825894297</v>
      </c>
      <c r="R37" s="190">
        <f t="shared" si="14"/>
        <v>2123.0549131738785</v>
      </c>
      <c r="S37" s="190">
        <f t="shared" si="14"/>
        <v>2059.0503401560723</v>
      </c>
      <c r="T37" s="190">
        <f t="shared" si="14"/>
        <v>1980.8210037491112</v>
      </c>
      <c r="U37" s="191">
        <f t="shared" si="14"/>
        <v>1908.8132810295565</v>
      </c>
    </row>
    <row r="38" spans="2:21" s="34" customFormat="1" ht="12" customHeight="1" x14ac:dyDescent="0.35">
      <c r="B38" s="86" t="s">
        <v>266</v>
      </c>
      <c r="C38" s="398">
        <v>0</v>
      </c>
      <c r="D38" s="398">
        <v>0</v>
      </c>
      <c r="E38" s="398">
        <v>0</v>
      </c>
      <c r="F38" s="398">
        <v>0</v>
      </c>
      <c r="G38" s="398">
        <f>+G31+G30+G29+G28</f>
        <v>3188.8552067648566</v>
      </c>
      <c r="H38" s="398">
        <f t="shared" ref="H38:U38" si="15">+H31+H30+H29+H28</f>
        <v>3145.520062967802</v>
      </c>
      <c r="I38" s="398">
        <f t="shared" si="15"/>
        <v>3099.3497768568359</v>
      </c>
      <c r="J38" s="398">
        <f t="shared" si="15"/>
        <v>3050.2381400825407</v>
      </c>
      <c r="K38" s="398">
        <f t="shared" si="15"/>
        <v>2998.0753143762172</v>
      </c>
      <c r="L38" s="398">
        <f t="shared" si="15"/>
        <v>2942.7477089304957</v>
      </c>
      <c r="M38" s="398">
        <f t="shared" si="15"/>
        <v>2884.137853592747</v>
      </c>
      <c r="N38" s="398">
        <f t="shared" si="15"/>
        <v>2822.1242677257314</v>
      </c>
      <c r="O38" s="398">
        <f t="shared" si="15"/>
        <v>2756.5813245847521</v>
      </c>
      <c r="P38" s="398">
        <f t="shared" si="15"/>
        <v>2687.3791110552847</v>
      </c>
      <c r="Q38" s="398">
        <f t="shared" si="15"/>
        <v>2614.3832825894297</v>
      </c>
      <c r="R38" s="398">
        <f t="shared" si="15"/>
        <v>2537.4549131738786</v>
      </c>
      <c r="S38" s="398">
        <f t="shared" si="15"/>
        <v>2456.4503401560723</v>
      </c>
      <c r="T38" s="398">
        <f t="shared" si="15"/>
        <v>2371.2210037491113</v>
      </c>
      <c r="U38" s="191">
        <f t="shared" si="15"/>
        <v>2281.6132810295567</v>
      </c>
    </row>
    <row r="39" spans="2:21" s="34" customFormat="1" ht="5.75" customHeight="1" x14ac:dyDescent="0.35">
      <c r="B39" s="86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51"/>
    </row>
    <row r="40" spans="2:21" s="34" customFormat="1" ht="12" customHeight="1" x14ac:dyDescent="0.35">
      <c r="B40" s="399" t="s">
        <v>264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397"/>
    </row>
    <row r="41" spans="2:21" s="34" customFormat="1" ht="12" customHeight="1" x14ac:dyDescent="0.35">
      <c r="B41" s="461" t="s">
        <v>265</v>
      </c>
      <c r="C41" s="462"/>
      <c r="D41" s="463">
        <f>D61/D62</f>
        <v>0.69942196531791923</v>
      </c>
      <c r="E41" s="463">
        <f>E61/E62</f>
        <v>0.70044543429844108</v>
      </c>
      <c r="F41" s="463">
        <f>F61/F62</f>
        <v>0.69390508114295069</v>
      </c>
      <c r="G41" s="463">
        <f>G61/G62</f>
        <v>0.64186097104849071</v>
      </c>
      <c r="H41" s="463">
        <f t="shared" ref="H41:U41" si="16">H61/H62</f>
        <v>0.56700830141012903</v>
      </c>
      <c r="I41" s="463">
        <f t="shared" si="16"/>
        <v>0.49041795844690811</v>
      </c>
      <c r="J41" s="463">
        <f t="shared" si="16"/>
        <v>0.4132365833806419</v>
      </c>
      <c r="K41" s="463">
        <f t="shared" si="16"/>
        <v>0.3359688748447614</v>
      </c>
      <c r="L41" s="463">
        <f t="shared" si="16"/>
        <v>0.26035249017012163</v>
      </c>
      <c r="M41" s="463">
        <f t="shared" si="16"/>
        <v>0.18679781076500682</v>
      </c>
      <c r="N41" s="463">
        <f t="shared" si="16"/>
        <v>0.11600895737944499</v>
      </c>
      <c r="O41" s="463">
        <f t="shared" si="16"/>
        <v>6.3827650664191438E-2</v>
      </c>
      <c r="P41" s="463">
        <f t="shared" si="16"/>
        <v>5.9434251838632234E-2</v>
      </c>
      <c r="Q41" s="463">
        <f t="shared" si="16"/>
        <v>5.5892383576880512E-2</v>
      </c>
      <c r="R41" s="463">
        <f t="shared" si="16"/>
        <v>5.2953211909041412E-2</v>
      </c>
      <c r="S41" s="463">
        <f t="shared" si="16"/>
        <v>5.0945135055950434E-2</v>
      </c>
      <c r="T41" s="463">
        <f t="shared" si="16"/>
        <v>4.8902606477147718E-2</v>
      </c>
      <c r="U41" s="464">
        <f t="shared" si="16"/>
        <v>4.7189115108938029E-2</v>
      </c>
    </row>
    <row r="42" spans="2:21" s="34" customFormat="1" ht="12" customHeight="1" x14ac:dyDescent="0.35">
      <c r="B42" s="336" t="s">
        <v>267</v>
      </c>
      <c r="C42" s="90"/>
      <c r="D42" s="398">
        <v>0</v>
      </c>
      <c r="E42" s="398">
        <v>0</v>
      </c>
      <c r="F42" s="398">
        <v>0</v>
      </c>
      <c r="G42" s="176">
        <f>G61/G38</f>
        <v>2.9110063567907503</v>
      </c>
      <c r="H42" s="176">
        <f t="shared" ref="H42:U42" si="17">H61/H38</f>
        <v>2.6116508035396655</v>
      </c>
      <c r="I42" s="176">
        <f t="shared" si="17"/>
        <v>2.3092657291106473</v>
      </c>
      <c r="J42" s="176">
        <f t="shared" si="17"/>
        <v>1.9996617196188462</v>
      </c>
      <c r="K42" s="176">
        <f t="shared" si="17"/>
        <v>1.6782989548458225</v>
      </c>
      <c r="L42" s="176">
        <f t="shared" si="17"/>
        <v>1.3504008097021498</v>
      </c>
      <c r="M42" s="176">
        <f t="shared" si="17"/>
        <v>1.0110858978112067</v>
      </c>
      <c r="N42" s="176">
        <f t="shared" si="17"/>
        <v>0.65848742189900411</v>
      </c>
      <c r="O42" s="176">
        <f t="shared" si="17"/>
        <v>0.38816195642665524</v>
      </c>
      <c r="P42" s="176">
        <f t="shared" si="17"/>
        <v>0.4055996400046345</v>
      </c>
      <c r="Q42" s="176">
        <f t="shared" si="17"/>
        <v>0.42457431830752562</v>
      </c>
      <c r="R42" s="176">
        <f t="shared" si="17"/>
        <v>0.44532810972652154</v>
      </c>
      <c r="S42" s="176">
        <f t="shared" si="17"/>
        <v>0.47222611466523551</v>
      </c>
      <c r="T42" s="176">
        <f t="shared" si="17"/>
        <v>0.49763391861590006</v>
      </c>
      <c r="U42" s="402">
        <f t="shared" si="17"/>
        <v>0.5259436425871914</v>
      </c>
    </row>
    <row r="43" spans="2:21" s="34" customFormat="1" ht="12" customHeight="1" x14ac:dyDescent="0.35">
      <c r="B43" s="461" t="s">
        <v>270</v>
      </c>
      <c r="C43" s="465"/>
      <c r="D43" s="466">
        <v>0</v>
      </c>
      <c r="E43" s="466">
        <v>0</v>
      </c>
      <c r="F43" s="466">
        <v>0</v>
      </c>
      <c r="G43" s="467">
        <f t="shared" ref="G43:U43" si="18">(G35+G28+G29+G30)/(G28+G29-G87)</f>
        <v>1.3201012191652528</v>
      </c>
      <c r="H43" s="467">
        <f t="shared" si="18"/>
        <v>1.372561551825251</v>
      </c>
      <c r="I43" s="467">
        <f t="shared" si="18"/>
        <v>1.4321696914775668</v>
      </c>
      <c r="J43" s="468">
        <f t="shared" si="18"/>
        <v>1.4920265886344484</v>
      </c>
      <c r="K43" s="468">
        <f t="shared" si="18"/>
        <v>1.5654660899257449</v>
      </c>
      <c r="L43" s="468">
        <f t="shared" si="18"/>
        <v>1.6485008160332009</v>
      </c>
      <c r="M43" s="468">
        <f t="shared" si="18"/>
        <v>1.7428126220175386</v>
      </c>
      <c r="N43" s="468">
        <f t="shared" si="18"/>
        <v>1.8594853979926931</v>
      </c>
      <c r="O43" s="468">
        <f t="shared" si="18"/>
        <v>2.5342201366102075</v>
      </c>
      <c r="P43" s="468">
        <f t="shared" si="18"/>
        <v>18.920616517592975</v>
      </c>
      <c r="Q43" s="468">
        <f t="shared" si="18"/>
        <v>18.290782443859346</v>
      </c>
      <c r="R43" s="468">
        <f t="shared" si="18"/>
        <v>17.614991913496148</v>
      </c>
      <c r="S43" s="468">
        <f t="shared" si="18"/>
        <v>16.93195298512428</v>
      </c>
      <c r="T43" s="468">
        <f t="shared" si="18"/>
        <v>16.105562704765777</v>
      </c>
      <c r="U43" s="469">
        <f t="shared" si="18"/>
        <v>15.417459951187395</v>
      </c>
    </row>
    <row r="44" spans="2:21" s="34" customFormat="1" ht="12" customHeight="1" x14ac:dyDescent="0.35">
      <c r="B44" s="336" t="s">
        <v>271</v>
      </c>
      <c r="C44" s="173"/>
      <c r="D44" s="398">
        <v>0</v>
      </c>
      <c r="E44" s="398">
        <v>0</v>
      </c>
      <c r="F44" s="398">
        <v>0</v>
      </c>
      <c r="G44" s="176">
        <f t="shared" ref="G44:U44" si="19">G83/(G28+G29-G87)</f>
        <v>0.77054785438197171</v>
      </c>
      <c r="H44" s="176">
        <f t="shared" si="19"/>
        <v>1.3678615184027911</v>
      </c>
      <c r="I44" s="176">
        <f t="shared" si="19"/>
        <v>1.4171705247646063</v>
      </c>
      <c r="J44" s="176">
        <f t="shared" si="19"/>
        <v>1.4813495454636039</v>
      </c>
      <c r="K44" s="176">
        <f t="shared" si="19"/>
        <v>1.5540090030810267</v>
      </c>
      <c r="L44" s="176">
        <f t="shared" si="19"/>
        <v>1.6299606800722037</v>
      </c>
      <c r="M44" s="176">
        <f t="shared" si="19"/>
        <v>1.7294004049780616</v>
      </c>
      <c r="N44" s="176">
        <f t="shared" si="19"/>
        <v>1.8301651393228555</v>
      </c>
      <c r="O44" s="176">
        <f t="shared" si="19"/>
        <v>2.4630843349774714</v>
      </c>
      <c r="P44" s="176">
        <f t="shared" si="19"/>
        <v>18.226172073148533</v>
      </c>
      <c r="Q44" s="176">
        <f t="shared" si="19"/>
        <v>17.381691534768436</v>
      </c>
      <c r="R44" s="176">
        <f t="shared" si="19"/>
        <v>16.573325246829476</v>
      </c>
      <c r="S44" s="176">
        <f t="shared" si="19"/>
        <v>15.767469724571145</v>
      </c>
      <c r="T44" s="176">
        <f t="shared" si="19"/>
        <v>14.894736493939559</v>
      </c>
      <c r="U44" s="402">
        <f t="shared" si="19"/>
        <v>14.15695574950672</v>
      </c>
    </row>
    <row r="45" spans="2:21" s="34" customFormat="1" ht="12" customHeight="1" x14ac:dyDescent="0.35">
      <c r="B45" s="461" t="s">
        <v>326</v>
      </c>
      <c r="C45" s="465"/>
      <c r="D45" s="466">
        <v>0</v>
      </c>
      <c r="E45" s="466">
        <v>0</v>
      </c>
      <c r="F45" s="466">
        <v>0</v>
      </c>
      <c r="G45" s="468">
        <f t="shared" ref="G45:U45" si="20">G26/(G28+G29)</f>
        <v>2.7056297359280985</v>
      </c>
      <c r="H45" s="468">
        <f t="shared" si="20"/>
        <v>2.9961138522045356</v>
      </c>
      <c r="I45" s="468">
        <f t="shared" si="20"/>
        <v>3.3603358621505266</v>
      </c>
      <c r="J45" s="468">
        <f t="shared" si="20"/>
        <v>3.8348480513987186</v>
      </c>
      <c r="K45" s="468">
        <f t="shared" si="20"/>
        <v>4.4890327126814995</v>
      </c>
      <c r="L45" s="468">
        <f t="shared" si="20"/>
        <v>5.4461709603895674</v>
      </c>
      <c r="M45" s="468">
        <f t="shared" si="20"/>
        <v>6.9766276090777657</v>
      </c>
      <c r="N45" s="468">
        <f t="shared" si="20"/>
        <v>9.8514926730011645</v>
      </c>
      <c r="O45" s="468">
        <f t="shared" si="20"/>
        <v>15.689136736395879</v>
      </c>
      <c r="P45" s="468">
        <f t="shared" si="20"/>
        <v>20.735949930982173</v>
      </c>
      <c r="Q45" s="468">
        <f t="shared" si="20"/>
        <v>19.805933959010865</v>
      </c>
      <c r="R45" s="468">
        <f t="shared" si="20"/>
        <v>18.879872865877104</v>
      </c>
      <c r="S45" s="468">
        <f t="shared" si="20"/>
        <v>17.878095634323699</v>
      </c>
      <c r="T45" s="468">
        <f t="shared" si="20"/>
        <v>16.88903848824156</v>
      </c>
      <c r="U45" s="469">
        <f t="shared" si="20"/>
        <v>15.977684040823254</v>
      </c>
    </row>
    <row r="46" spans="2:21" s="34" customFormat="1" ht="12" customHeight="1" thickBot="1" x14ac:dyDescent="0.4">
      <c r="B46" s="54" t="s">
        <v>269</v>
      </c>
      <c r="C46" s="175"/>
      <c r="D46" s="175">
        <v>0</v>
      </c>
      <c r="E46" s="175">
        <v>0</v>
      </c>
      <c r="F46" s="175">
        <v>0</v>
      </c>
      <c r="G46" s="177">
        <f t="shared" ref="G46:U46" si="21">G83/(G28+G29)</f>
        <v>1.4751799213828509</v>
      </c>
      <c r="H46" s="177">
        <f t="shared" si="21"/>
        <v>2.7720881639564148</v>
      </c>
      <c r="I46" s="177">
        <f t="shared" si="21"/>
        <v>3.0731823414393062</v>
      </c>
      <c r="J46" s="177">
        <f t="shared" si="21"/>
        <v>3.4885982520538534</v>
      </c>
      <c r="K46" s="177">
        <f t="shared" si="21"/>
        <v>4.0618095171367212</v>
      </c>
      <c r="L46" s="177">
        <f t="shared" si="21"/>
        <v>4.8811674653282973</v>
      </c>
      <c r="M46" s="177">
        <f t="shared" si="21"/>
        <v>6.2381312355664642</v>
      </c>
      <c r="N46" s="177">
        <f t="shared" si="21"/>
        <v>8.7158225171181058</v>
      </c>
      <c r="O46" s="177">
        <f t="shared" si="21"/>
        <v>13.794861061064319</v>
      </c>
      <c r="P46" s="177">
        <f t="shared" si="21"/>
        <v>18.226172073148533</v>
      </c>
      <c r="Q46" s="177">
        <f t="shared" si="21"/>
        <v>17.381691534768436</v>
      </c>
      <c r="R46" s="177">
        <f t="shared" si="21"/>
        <v>16.573325246829476</v>
      </c>
      <c r="S46" s="177">
        <f t="shared" si="21"/>
        <v>15.767469724571145</v>
      </c>
      <c r="T46" s="177">
        <f t="shared" si="21"/>
        <v>14.894736493939559</v>
      </c>
      <c r="U46" s="403">
        <f t="shared" si="21"/>
        <v>14.15695574950672</v>
      </c>
    </row>
    <row r="47" spans="2:21" s="34" customFormat="1" outlineLevel="1" x14ac:dyDescent="0.35">
      <c r="B47" s="34" t="s">
        <v>325</v>
      </c>
      <c r="D47" s="309"/>
      <c r="G47" s="489">
        <f>G67/G61</f>
        <v>1.3864384463462802</v>
      </c>
      <c r="H47" s="489">
        <f t="shared" ref="H47:U47" si="22">H67/H61</f>
        <v>1.4838709677419355</v>
      </c>
      <c r="I47" s="489">
        <f t="shared" si="22"/>
        <v>1.6081657998913295</v>
      </c>
      <c r="J47" s="489">
        <f t="shared" si="22"/>
        <v>1.7755715456781127</v>
      </c>
      <c r="K47" s="489">
        <f t="shared" si="22"/>
        <v>2.0172242464392185</v>
      </c>
      <c r="L47" s="489">
        <f t="shared" si="22"/>
        <v>2.383056060394241</v>
      </c>
      <c r="M47" s="489">
        <f t="shared" si="22"/>
        <v>3.0142884358925528</v>
      </c>
      <c r="N47" s="489">
        <f t="shared" si="22"/>
        <v>4.3641255605381204</v>
      </c>
      <c r="O47" s="489">
        <f t="shared" si="22"/>
        <v>6.9439252336448716</v>
      </c>
      <c r="P47" s="489">
        <f t="shared" si="22"/>
        <v>6.1926605504587258</v>
      </c>
      <c r="Q47" s="489">
        <f t="shared" si="22"/>
        <v>5.468468468468477</v>
      </c>
      <c r="R47" s="489">
        <f t="shared" si="22"/>
        <v>4.7699115044247868</v>
      </c>
      <c r="S47" s="489">
        <f t="shared" si="22"/>
        <v>4.0603448275862135</v>
      </c>
      <c r="T47" s="489">
        <f t="shared" si="22"/>
        <v>3.4152542372881407</v>
      </c>
      <c r="U47" s="489">
        <f t="shared" si="22"/>
        <v>2.791666666666671</v>
      </c>
    </row>
    <row r="48" spans="2:21" ht="15" thickBot="1" x14ac:dyDescent="0.4">
      <c r="G48" s="408"/>
      <c r="H48" s="408"/>
    </row>
    <row r="49" spans="2:21" ht="16" thickBot="1" x14ac:dyDescent="0.4">
      <c r="B49" s="299" t="s">
        <v>106</v>
      </c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1"/>
    </row>
    <row r="50" spans="2:21" ht="16" thickBot="1" x14ac:dyDescent="0.4">
      <c r="B50" s="306" t="s">
        <v>110</v>
      </c>
      <c r="C50" s="2">
        <v>2009</v>
      </c>
      <c r="D50" s="2">
        <v>2010</v>
      </c>
      <c r="E50" s="2">
        <v>2011</v>
      </c>
      <c r="F50" s="2">
        <v>2012</v>
      </c>
      <c r="G50" s="2">
        <v>2013</v>
      </c>
      <c r="H50" s="2">
        <v>2014</v>
      </c>
      <c r="I50" s="2">
        <v>2015</v>
      </c>
      <c r="J50" s="2">
        <v>2016</v>
      </c>
      <c r="K50" s="2">
        <v>2017</v>
      </c>
      <c r="L50" s="2">
        <v>2018</v>
      </c>
      <c r="M50" s="2">
        <v>2019</v>
      </c>
      <c r="N50" s="2">
        <v>2020</v>
      </c>
      <c r="O50" s="2">
        <v>2021</v>
      </c>
      <c r="P50" s="2">
        <v>2022</v>
      </c>
      <c r="Q50" s="2">
        <v>2023</v>
      </c>
      <c r="R50" s="2">
        <v>2024</v>
      </c>
      <c r="S50" s="2">
        <v>2025</v>
      </c>
      <c r="T50" s="2">
        <v>2026</v>
      </c>
      <c r="U50" s="3">
        <v>2027</v>
      </c>
    </row>
    <row r="51" spans="2:21" ht="15.5" x14ac:dyDescent="0.35">
      <c r="B51" s="305" t="s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2:21" ht="15.5" x14ac:dyDescent="0.35">
      <c r="B52" s="304" t="s">
        <v>107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 ht="15.5" x14ac:dyDescent="0.35">
      <c r="B53" s="313" t="s">
        <v>2</v>
      </c>
      <c r="C53" s="202">
        <v>0</v>
      </c>
      <c r="D53" s="407">
        <f>C53+D92+D91</f>
        <v>1082.4499999999998</v>
      </c>
      <c r="E53" s="407">
        <f>D53+E92+E91</f>
        <v>2740.9749999999995</v>
      </c>
      <c r="F53" s="202">
        <f t="shared" ref="F53:U53" si="23">E53+F92</f>
        <v>4210.9749999999995</v>
      </c>
      <c r="G53" s="202">
        <f t="shared" si="23"/>
        <v>4210.9749999999995</v>
      </c>
      <c r="H53" s="202">
        <f t="shared" si="23"/>
        <v>4210.9749999999995</v>
      </c>
      <c r="I53" s="202">
        <f t="shared" si="23"/>
        <v>4210.9749999999995</v>
      </c>
      <c r="J53" s="202">
        <f t="shared" si="23"/>
        <v>4210.9749999999995</v>
      </c>
      <c r="K53" s="202">
        <f t="shared" si="23"/>
        <v>4210.9749999999995</v>
      </c>
      <c r="L53" s="202">
        <f t="shared" si="23"/>
        <v>4210.9749999999995</v>
      </c>
      <c r="M53" s="202">
        <f t="shared" si="23"/>
        <v>4210.9749999999995</v>
      </c>
      <c r="N53" s="202">
        <f t="shared" si="23"/>
        <v>4210.9749999999995</v>
      </c>
      <c r="O53" s="202">
        <f t="shared" si="23"/>
        <v>4210.9749999999995</v>
      </c>
      <c r="P53" s="202">
        <f t="shared" si="23"/>
        <v>4210.9749999999995</v>
      </c>
      <c r="Q53" s="202">
        <f t="shared" si="23"/>
        <v>4210.9749999999995</v>
      </c>
      <c r="R53" s="202">
        <f t="shared" si="23"/>
        <v>4210.9749999999995</v>
      </c>
      <c r="S53" s="202">
        <f t="shared" si="23"/>
        <v>4210.9749999999995</v>
      </c>
      <c r="T53" s="202">
        <f t="shared" si="23"/>
        <v>4210.9749999999995</v>
      </c>
      <c r="U53" s="203">
        <f t="shared" si="23"/>
        <v>4210.9749999999995</v>
      </c>
    </row>
    <row r="54" spans="2:21" ht="15.5" x14ac:dyDescent="0.35">
      <c r="B54" s="313" t="s">
        <v>76</v>
      </c>
      <c r="C54" s="202">
        <v>0</v>
      </c>
      <c r="D54" s="202">
        <f t="shared" ref="D54:U54" si="24">D136</f>
        <v>-42.45000000000001</v>
      </c>
      <c r="E54" s="202">
        <f t="shared" si="24"/>
        <v>-50.975000000000009</v>
      </c>
      <c r="F54" s="202">
        <f t="shared" si="24"/>
        <v>-50.975000000000009</v>
      </c>
      <c r="G54" s="202">
        <f t="shared" si="24"/>
        <v>968.53453440168778</v>
      </c>
      <c r="H54" s="202">
        <f t="shared" si="24"/>
        <v>2062.3490325928092</v>
      </c>
      <c r="I54" s="202">
        <f t="shared" si="24"/>
        <v>3225.9302948210843</v>
      </c>
      <c r="J54" s="202">
        <f t="shared" si="24"/>
        <v>4449.7559363158407</v>
      </c>
      <c r="K54" s="202">
        <f t="shared" si="24"/>
        <v>5733.9440929267203</v>
      </c>
      <c r="L54" s="202">
        <f t="shared" si="24"/>
        <v>7078.6309457187526</v>
      </c>
      <c r="M54" s="202">
        <f t="shared" si="24"/>
        <v>8483.9700311881224</v>
      </c>
      <c r="N54" s="202">
        <f t="shared" si="24"/>
        <v>9949.5696508472229</v>
      </c>
      <c r="O54" s="202">
        <f t="shared" si="24"/>
        <v>11482.919469960327</v>
      </c>
      <c r="P54" s="202">
        <f t="shared" si="24"/>
        <v>13038.61818541466</v>
      </c>
      <c r="Q54" s="202">
        <f t="shared" si="24"/>
        <v>14538.61818541466</v>
      </c>
      <c r="R54" s="202">
        <f t="shared" si="24"/>
        <v>15998.61818541466</v>
      </c>
      <c r="S54" s="202">
        <f t="shared" si="24"/>
        <v>17398.61818541466</v>
      </c>
      <c r="T54" s="202">
        <f t="shared" si="24"/>
        <v>18738.61818541466</v>
      </c>
      <c r="U54" s="203">
        <f t="shared" si="24"/>
        <v>20018.61818541466</v>
      </c>
    </row>
    <row r="55" spans="2:21" ht="15.5" x14ac:dyDescent="0.35">
      <c r="B55" s="7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3"/>
    </row>
    <row r="56" spans="2:21" ht="15.5" x14ac:dyDescent="0.35">
      <c r="B56" s="7" t="s">
        <v>108</v>
      </c>
      <c r="C56" s="307">
        <v>0</v>
      </c>
      <c r="D56" s="307">
        <f t="shared" ref="D56:U56" si="25">D53+D54</f>
        <v>1039.9999999999998</v>
      </c>
      <c r="E56" s="307">
        <f t="shared" si="25"/>
        <v>2689.9999999999995</v>
      </c>
      <c r="F56" s="307">
        <f t="shared" si="25"/>
        <v>4159.9999999999991</v>
      </c>
      <c r="G56" s="307">
        <f t="shared" si="25"/>
        <v>5179.5095344016872</v>
      </c>
      <c r="H56" s="307">
        <f t="shared" si="25"/>
        <v>6273.3240325928091</v>
      </c>
      <c r="I56" s="307">
        <f t="shared" si="25"/>
        <v>7436.9052948210838</v>
      </c>
      <c r="J56" s="307">
        <f t="shared" si="25"/>
        <v>8660.7309363158402</v>
      </c>
      <c r="K56" s="307">
        <f t="shared" si="25"/>
        <v>9944.9190929267206</v>
      </c>
      <c r="L56" s="307">
        <f t="shared" si="25"/>
        <v>11289.605945718751</v>
      </c>
      <c r="M56" s="307">
        <f t="shared" si="25"/>
        <v>12694.945031188123</v>
      </c>
      <c r="N56" s="307">
        <f t="shared" si="25"/>
        <v>14160.544650847223</v>
      </c>
      <c r="O56" s="307">
        <f t="shared" si="25"/>
        <v>15693.894469960327</v>
      </c>
      <c r="P56" s="307">
        <f t="shared" si="25"/>
        <v>17249.593185414658</v>
      </c>
      <c r="Q56" s="307">
        <f t="shared" si="25"/>
        <v>18749.593185414658</v>
      </c>
      <c r="R56" s="307">
        <f t="shared" si="25"/>
        <v>20209.593185414658</v>
      </c>
      <c r="S56" s="307">
        <f t="shared" si="25"/>
        <v>21609.593185414658</v>
      </c>
      <c r="T56" s="307">
        <f t="shared" si="25"/>
        <v>22949.593185414658</v>
      </c>
      <c r="U56" s="308">
        <f t="shared" si="25"/>
        <v>24229.593185414658</v>
      </c>
    </row>
    <row r="57" spans="2:21" ht="15.5" x14ac:dyDescent="0.35">
      <c r="B57" s="7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3"/>
    </row>
    <row r="58" spans="2:21" ht="15.5" x14ac:dyDescent="0.35">
      <c r="B58" s="304" t="s">
        <v>3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3"/>
    </row>
    <row r="59" spans="2:21" ht="15.5" x14ac:dyDescent="0.35">
      <c r="B59" s="7" t="s">
        <v>77</v>
      </c>
      <c r="C59" s="202">
        <v>0</v>
      </c>
      <c r="D59" s="202">
        <f t="shared" ref="D59:U59" si="26">C59+D86+D87</f>
        <v>2420.0000000000005</v>
      </c>
      <c r="E59" s="202">
        <f t="shared" si="26"/>
        <v>6290.0000000000018</v>
      </c>
      <c r="F59" s="202">
        <f t="shared" si="26"/>
        <v>9430.5555555555566</v>
      </c>
      <c r="G59" s="202">
        <f t="shared" si="26"/>
        <v>8352.7777777777792</v>
      </c>
      <c r="H59" s="202">
        <f t="shared" si="26"/>
        <v>7275.0000000000009</v>
      </c>
      <c r="I59" s="202">
        <f t="shared" si="26"/>
        <v>6197.2222222222226</v>
      </c>
      <c r="J59" s="202">
        <f t="shared" si="26"/>
        <v>5119.4444444444443</v>
      </c>
      <c r="K59" s="202">
        <f t="shared" si="26"/>
        <v>4041.6666666666661</v>
      </c>
      <c r="L59" s="202">
        <f t="shared" si="26"/>
        <v>2963.8888888888878</v>
      </c>
      <c r="M59" s="202">
        <f t="shared" si="26"/>
        <v>1886.1111111111097</v>
      </c>
      <c r="N59" s="202">
        <f t="shared" si="26"/>
        <v>808.33333333333167</v>
      </c>
      <c r="O59" s="202">
        <f t="shared" si="26"/>
        <v>-1.8189894035458565E-12</v>
      </c>
      <c r="P59" s="202">
        <f t="shared" si="26"/>
        <v>-1.8189894035458565E-12</v>
      </c>
      <c r="Q59" s="202">
        <f t="shared" si="26"/>
        <v>-1.8189894035458565E-12</v>
      </c>
      <c r="R59" s="202">
        <f t="shared" si="26"/>
        <v>-1.8189894035458565E-12</v>
      </c>
      <c r="S59" s="202">
        <f t="shared" si="26"/>
        <v>-1.8189894035458565E-12</v>
      </c>
      <c r="T59" s="202">
        <f t="shared" si="26"/>
        <v>-1.8189894035458565E-12</v>
      </c>
      <c r="U59" s="203">
        <f t="shared" si="26"/>
        <v>-1.8189894035458565E-12</v>
      </c>
    </row>
    <row r="60" spans="2:21" ht="15.5" x14ac:dyDescent="0.35">
      <c r="B60" s="7" t="s">
        <v>78</v>
      </c>
      <c r="C60" s="202">
        <v>0</v>
      </c>
      <c r="D60" s="202">
        <f>C60+D88</f>
        <v>0</v>
      </c>
      <c r="E60" s="202">
        <f>D60+E88</f>
        <v>0</v>
      </c>
      <c r="F60" s="202">
        <f t="shared" ref="F60:U60" si="27">E60+F88+F89</f>
        <v>0</v>
      </c>
      <c r="G60" s="202">
        <f t="shared" si="27"/>
        <v>930</v>
      </c>
      <c r="H60" s="202">
        <f t="shared" si="27"/>
        <v>940</v>
      </c>
      <c r="I60" s="202">
        <f t="shared" si="27"/>
        <v>960</v>
      </c>
      <c r="J60" s="202">
        <f t="shared" si="27"/>
        <v>980</v>
      </c>
      <c r="K60" s="202">
        <f t="shared" si="27"/>
        <v>990</v>
      </c>
      <c r="L60" s="202">
        <f t="shared" si="27"/>
        <v>1010</v>
      </c>
      <c r="M60" s="202">
        <f t="shared" si="27"/>
        <v>1030</v>
      </c>
      <c r="N60" s="202">
        <f t="shared" si="27"/>
        <v>1050</v>
      </c>
      <c r="O60" s="202">
        <f t="shared" si="27"/>
        <v>1070</v>
      </c>
      <c r="P60" s="202">
        <f t="shared" si="27"/>
        <v>1090</v>
      </c>
      <c r="Q60" s="202">
        <f t="shared" si="27"/>
        <v>1110</v>
      </c>
      <c r="R60" s="202">
        <f t="shared" si="27"/>
        <v>1130</v>
      </c>
      <c r="S60" s="202">
        <f t="shared" si="27"/>
        <v>1160</v>
      </c>
      <c r="T60" s="202">
        <f t="shared" si="27"/>
        <v>1180</v>
      </c>
      <c r="U60" s="203">
        <f t="shared" si="27"/>
        <v>1200</v>
      </c>
    </row>
    <row r="61" spans="2:21" ht="15.5" x14ac:dyDescent="0.35">
      <c r="B61" s="7" t="s">
        <v>4</v>
      </c>
      <c r="C61" s="307">
        <v>0</v>
      </c>
      <c r="D61" s="307">
        <f t="shared" ref="D61:U61" si="28">D59+D60</f>
        <v>2420.0000000000005</v>
      </c>
      <c r="E61" s="307">
        <f t="shared" si="28"/>
        <v>6290.0000000000018</v>
      </c>
      <c r="F61" s="307">
        <f t="shared" si="28"/>
        <v>9430.5555555555566</v>
      </c>
      <c r="G61" s="307">
        <f t="shared" si="28"/>
        <v>9282.7777777777792</v>
      </c>
      <c r="H61" s="307">
        <f t="shared" si="28"/>
        <v>8215</v>
      </c>
      <c r="I61" s="307">
        <f t="shared" si="28"/>
        <v>7157.2222222222226</v>
      </c>
      <c r="J61" s="307">
        <f t="shared" si="28"/>
        <v>6099.4444444444443</v>
      </c>
      <c r="K61" s="307">
        <f t="shared" si="28"/>
        <v>5031.6666666666661</v>
      </c>
      <c r="L61" s="307">
        <f t="shared" si="28"/>
        <v>3973.8888888888878</v>
      </c>
      <c r="M61" s="307">
        <f t="shared" si="28"/>
        <v>2916.1111111111095</v>
      </c>
      <c r="N61" s="307">
        <f t="shared" si="28"/>
        <v>1858.3333333333317</v>
      </c>
      <c r="O61" s="307">
        <f t="shared" si="28"/>
        <v>1069.9999999999982</v>
      </c>
      <c r="P61" s="307">
        <f t="shared" si="28"/>
        <v>1089.9999999999982</v>
      </c>
      <c r="Q61" s="307">
        <f t="shared" si="28"/>
        <v>1109.9999999999982</v>
      </c>
      <c r="R61" s="307">
        <f t="shared" si="28"/>
        <v>1129.9999999999982</v>
      </c>
      <c r="S61" s="307">
        <f t="shared" si="28"/>
        <v>1159.9999999999982</v>
      </c>
      <c r="T61" s="307">
        <f t="shared" si="28"/>
        <v>1179.9999999999982</v>
      </c>
      <c r="U61" s="308">
        <f t="shared" si="28"/>
        <v>1199.9999999999982</v>
      </c>
    </row>
    <row r="62" spans="2:21" ht="15.5" x14ac:dyDescent="0.35">
      <c r="B62" s="7" t="s">
        <v>5</v>
      </c>
      <c r="C62" s="307">
        <v>0</v>
      </c>
      <c r="D62" s="307">
        <f t="shared" ref="D62:U62" si="29">D56+D61</f>
        <v>3460</v>
      </c>
      <c r="E62" s="307">
        <f t="shared" si="29"/>
        <v>8980.0000000000018</v>
      </c>
      <c r="F62" s="307">
        <f t="shared" si="29"/>
        <v>13590.555555555555</v>
      </c>
      <c r="G62" s="307">
        <f t="shared" si="29"/>
        <v>14462.287312179466</v>
      </c>
      <c r="H62" s="307">
        <f t="shared" si="29"/>
        <v>14488.324032592809</v>
      </c>
      <c r="I62" s="307">
        <f t="shared" si="29"/>
        <v>14594.127517043307</v>
      </c>
      <c r="J62" s="307">
        <f t="shared" si="29"/>
        <v>14760.175380760284</v>
      </c>
      <c r="K62" s="307">
        <f t="shared" si="29"/>
        <v>14976.585759593387</v>
      </c>
      <c r="L62" s="307">
        <f t="shared" si="29"/>
        <v>15263.494834607638</v>
      </c>
      <c r="M62" s="307">
        <f t="shared" si="29"/>
        <v>15611.056142299232</v>
      </c>
      <c r="N62" s="307">
        <f t="shared" si="29"/>
        <v>16018.877984180555</v>
      </c>
      <c r="O62" s="307">
        <f t="shared" si="29"/>
        <v>16763.894469960323</v>
      </c>
      <c r="P62" s="307">
        <f t="shared" si="29"/>
        <v>18339.593185414655</v>
      </c>
      <c r="Q62" s="307">
        <f t="shared" si="29"/>
        <v>19859.593185414655</v>
      </c>
      <c r="R62" s="307">
        <f t="shared" si="29"/>
        <v>21339.593185414655</v>
      </c>
      <c r="S62" s="307">
        <f t="shared" si="29"/>
        <v>22769.593185414655</v>
      </c>
      <c r="T62" s="307">
        <f t="shared" si="29"/>
        <v>24129.593185414655</v>
      </c>
      <c r="U62" s="308">
        <f t="shared" si="29"/>
        <v>25429.593185414655</v>
      </c>
    </row>
    <row r="63" spans="2:21" ht="15.5" x14ac:dyDescent="0.35">
      <c r="B63" s="7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3"/>
    </row>
    <row r="64" spans="2:21" ht="15.5" x14ac:dyDescent="0.35">
      <c r="B64" s="304" t="s">
        <v>6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3"/>
    </row>
    <row r="65" spans="2:26" ht="15.5" x14ac:dyDescent="0.35">
      <c r="B65" s="7" t="s">
        <v>197</v>
      </c>
      <c r="C65" s="202">
        <v>0</v>
      </c>
      <c r="D65" s="202">
        <v>3460</v>
      </c>
      <c r="E65" s="202">
        <v>8980</v>
      </c>
      <c r="F65" s="202">
        <v>13550</v>
      </c>
      <c r="G65" s="202">
        <v>13550</v>
      </c>
      <c r="H65" s="202">
        <v>13550</v>
      </c>
      <c r="I65" s="202">
        <v>13550</v>
      </c>
      <c r="J65" s="202">
        <v>13550</v>
      </c>
      <c r="K65" s="202">
        <v>13550</v>
      </c>
      <c r="L65" s="202">
        <v>13550</v>
      </c>
      <c r="M65" s="202">
        <v>13550</v>
      </c>
      <c r="N65" s="202">
        <v>13550</v>
      </c>
      <c r="O65" s="202">
        <v>13550</v>
      </c>
      <c r="P65" s="202">
        <v>13550</v>
      </c>
      <c r="Q65" s="202">
        <v>13550</v>
      </c>
      <c r="R65" s="202">
        <v>13550</v>
      </c>
      <c r="S65" s="202">
        <v>13550</v>
      </c>
      <c r="T65" s="202">
        <v>13550</v>
      </c>
      <c r="U65" s="203">
        <v>13550</v>
      </c>
    </row>
    <row r="66" spans="2:26" ht="15.5" x14ac:dyDescent="0.35">
      <c r="B66" s="7" t="s">
        <v>7</v>
      </c>
      <c r="C66" s="202">
        <v>0</v>
      </c>
      <c r="D66" s="202">
        <f>D30</f>
        <v>0</v>
      </c>
      <c r="E66" s="202">
        <f t="shared" ref="E66:U66" si="30">D66+E30</f>
        <v>0</v>
      </c>
      <c r="F66" s="202">
        <f t="shared" si="30"/>
        <v>0</v>
      </c>
      <c r="G66" s="202">
        <f t="shared" si="30"/>
        <v>680</v>
      </c>
      <c r="H66" s="202">
        <f t="shared" si="30"/>
        <v>1360</v>
      </c>
      <c r="I66" s="202">
        <f t="shared" si="30"/>
        <v>2040</v>
      </c>
      <c r="J66" s="202">
        <f t="shared" si="30"/>
        <v>2720</v>
      </c>
      <c r="K66" s="202">
        <f t="shared" si="30"/>
        <v>3400</v>
      </c>
      <c r="L66" s="202">
        <f t="shared" si="30"/>
        <v>4080</v>
      </c>
      <c r="M66" s="202">
        <f t="shared" si="30"/>
        <v>4760</v>
      </c>
      <c r="N66" s="202">
        <f t="shared" si="30"/>
        <v>5440</v>
      </c>
      <c r="O66" s="202">
        <f t="shared" si="30"/>
        <v>6120</v>
      </c>
      <c r="P66" s="202">
        <f t="shared" si="30"/>
        <v>6800</v>
      </c>
      <c r="Q66" s="202">
        <f t="shared" si="30"/>
        <v>7480</v>
      </c>
      <c r="R66" s="202">
        <f t="shared" si="30"/>
        <v>8160</v>
      </c>
      <c r="S66" s="202">
        <f t="shared" si="30"/>
        <v>8840</v>
      </c>
      <c r="T66" s="202">
        <f t="shared" si="30"/>
        <v>9520</v>
      </c>
      <c r="U66" s="203">
        <f t="shared" si="30"/>
        <v>10200</v>
      </c>
    </row>
    <row r="67" spans="2:26" ht="15.5" x14ac:dyDescent="0.35">
      <c r="B67" s="7" t="s">
        <v>8</v>
      </c>
      <c r="C67" s="202">
        <v>0</v>
      </c>
      <c r="D67" s="187">
        <f>D65-D66</f>
        <v>3460</v>
      </c>
      <c r="E67" s="187">
        <f>E65-E66</f>
        <v>8980</v>
      </c>
      <c r="F67" s="187">
        <f>F65-F66</f>
        <v>13550</v>
      </c>
      <c r="G67" s="187">
        <f>G65-G66</f>
        <v>12870</v>
      </c>
      <c r="H67" s="187">
        <f t="shared" ref="H67:U67" si="31">H65-H66</f>
        <v>12190</v>
      </c>
      <c r="I67" s="202">
        <f t="shared" si="31"/>
        <v>11510</v>
      </c>
      <c r="J67" s="202">
        <f t="shared" si="31"/>
        <v>10830</v>
      </c>
      <c r="K67" s="202">
        <f t="shared" si="31"/>
        <v>10150</v>
      </c>
      <c r="L67" s="202">
        <f t="shared" si="31"/>
        <v>9470</v>
      </c>
      <c r="M67" s="202">
        <f t="shared" si="31"/>
        <v>8790</v>
      </c>
      <c r="N67" s="202">
        <f t="shared" si="31"/>
        <v>8110</v>
      </c>
      <c r="O67" s="202">
        <f t="shared" si="31"/>
        <v>7430</v>
      </c>
      <c r="P67" s="202">
        <f t="shared" si="31"/>
        <v>6750</v>
      </c>
      <c r="Q67" s="202">
        <f t="shared" si="31"/>
        <v>6070</v>
      </c>
      <c r="R67" s="202">
        <f t="shared" si="31"/>
        <v>5390</v>
      </c>
      <c r="S67" s="202">
        <f t="shared" si="31"/>
        <v>4710</v>
      </c>
      <c r="T67" s="202">
        <f t="shared" si="31"/>
        <v>4030</v>
      </c>
      <c r="U67" s="203">
        <f t="shared" si="31"/>
        <v>3350</v>
      </c>
    </row>
    <row r="68" spans="2:26" ht="15.5" x14ac:dyDescent="0.35">
      <c r="B68" s="7" t="s">
        <v>57</v>
      </c>
      <c r="C68" s="202">
        <v>0</v>
      </c>
      <c r="D68" s="202">
        <v>0</v>
      </c>
      <c r="E68" s="202">
        <v>0</v>
      </c>
      <c r="F68" s="202">
        <v>0</v>
      </c>
      <c r="G68" s="202">
        <f>G105</f>
        <v>1240</v>
      </c>
      <c r="H68" s="202">
        <f t="shared" ref="H68:U68" si="32">H105</f>
        <v>1250</v>
      </c>
      <c r="I68" s="202">
        <f t="shared" si="32"/>
        <v>1280</v>
      </c>
      <c r="J68" s="202">
        <f t="shared" si="32"/>
        <v>1300</v>
      </c>
      <c r="K68" s="202">
        <f t="shared" si="32"/>
        <v>1320</v>
      </c>
      <c r="L68" s="202">
        <f t="shared" si="32"/>
        <v>1350</v>
      </c>
      <c r="M68" s="202">
        <f t="shared" si="32"/>
        <v>1370</v>
      </c>
      <c r="N68" s="202">
        <f t="shared" si="32"/>
        <v>1400</v>
      </c>
      <c r="O68" s="202">
        <f t="shared" si="32"/>
        <v>1430</v>
      </c>
      <c r="P68" s="202">
        <f t="shared" si="32"/>
        <v>1450</v>
      </c>
      <c r="Q68" s="202">
        <f t="shared" si="32"/>
        <v>1480</v>
      </c>
      <c r="R68" s="202">
        <f t="shared" si="32"/>
        <v>1510</v>
      </c>
      <c r="S68" s="202">
        <f t="shared" si="32"/>
        <v>1540</v>
      </c>
      <c r="T68" s="202">
        <f t="shared" si="32"/>
        <v>1570</v>
      </c>
      <c r="U68" s="203">
        <f t="shared" si="32"/>
        <v>1600</v>
      </c>
    </row>
    <row r="69" spans="2:26" ht="15.5" x14ac:dyDescent="0.35">
      <c r="B69" s="7" t="s">
        <v>112</v>
      </c>
      <c r="C69" s="202">
        <v>0</v>
      </c>
      <c r="D69" s="202">
        <v>0</v>
      </c>
      <c r="E69" s="202">
        <v>0</v>
      </c>
      <c r="F69" s="202">
        <v>0</v>
      </c>
      <c r="G69" s="202">
        <v>0</v>
      </c>
      <c r="H69" s="202">
        <v>0</v>
      </c>
      <c r="I69" s="202">
        <v>0</v>
      </c>
      <c r="J69" s="202">
        <v>0</v>
      </c>
      <c r="K69" s="202">
        <v>0</v>
      </c>
      <c r="L69" s="202">
        <v>0</v>
      </c>
      <c r="M69" s="202">
        <v>0</v>
      </c>
      <c r="N69" s="202">
        <v>10</v>
      </c>
      <c r="O69" s="202">
        <v>50</v>
      </c>
      <c r="P69" s="202">
        <v>120</v>
      </c>
      <c r="Q69" s="202">
        <v>210</v>
      </c>
      <c r="R69" s="202">
        <v>320</v>
      </c>
      <c r="S69" s="187">
        <v>450</v>
      </c>
      <c r="T69" s="202">
        <v>590</v>
      </c>
      <c r="U69" s="203">
        <v>740</v>
      </c>
    </row>
    <row r="70" spans="2:26" ht="15.5" x14ac:dyDescent="0.35">
      <c r="B70" s="7" t="s">
        <v>9</v>
      </c>
      <c r="C70" s="202">
        <v>0</v>
      </c>
      <c r="D70" s="202">
        <f t="shared" ref="D70:U70" si="33">D99</f>
        <v>0</v>
      </c>
      <c r="E70" s="202">
        <f t="shared" si="33"/>
        <v>0</v>
      </c>
      <c r="F70" s="202">
        <f t="shared" si="33"/>
        <v>40.555555555555657</v>
      </c>
      <c r="G70" s="202">
        <f t="shared" si="33"/>
        <v>352.28731217946529</v>
      </c>
      <c r="H70" s="202">
        <f t="shared" si="33"/>
        <v>1048.3240325928084</v>
      </c>
      <c r="I70" s="202">
        <f t="shared" si="33"/>
        <v>1804.1275170433057</v>
      </c>
      <c r="J70" s="202">
        <f t="shared" si="33"/>
        <v>2630.1753807602836</v>
      </c>
      <c r="K70" s="202">
        <f t="shared" si="33"/>
        <v>3506.5857595933858</v>
      </c>
      <c r="L70" s="202">
        <f t="shared" si="33"/>
        <v>4443.4948346076399</v>
      </c>
      <c r="M70" s="202">
        <f t="shared" si="33"/>
        <v>5451.0561422992305</v>
      </c>
      <c r="N70" s="202">
        <f t="shared" si="33"/>
        <v>6498.8779841805535</v>
      </c>
      <c r="O70" s="202">
        <f t="shared" si="33"/>
        <v>7853.8944699603244</v>
      </c>
      <c r="P70" s="202">
        <f t="shared" si="33"/>
        <v>10019.593185414658</v>
      </c>
      <c r="Q70" s="202">
        <f t="shared" si="33"/>
        <v>12099.593185414658</v>
      </c>
      <c r="R70" s="202">
        <f t="shared" si="33"/>
        <v>14119.593185414658</v>
      </c>
      <c r="S70" s="202">
        <f t="shared" si="33"/>
        <v>16069.593185414658</v>
      </c>
      <c r="T70" s="202">
        <f t="shared" si="33"/>
        <v>17939.593185414658</v>
      </c>
      <c r="U70" s="203">
        <f t="shared" si="33"/>
        <v>19739.593185414658</v>
      </c>
    </row>
    <row r="71" spans="2:26" ht="15.5" x14ac:dyDescent="0.35">
      <c r="B71" s="7" t="s">
        <v>10</v>
      </c>
      <c r="C71" s="202">
        <v>0</v>
      </c>
      <c r="D71" s="186">
        <f t="shared" ref="D71:U71" si="34">SUM(D67:D70)</f>
        <v>3460</v>
      </c>
      <c r="E71" s="186">
        <f t="shared" si="34"/>
        <v>8980</v>
      </c>
      <c r="F71" s="186">
        <f t="shared" si="34"/>
        <v>13590.555555555555</v>
      </c>
      <c r="G71" s="186">
        <f t="shared" si="34"/>
        <v>14462.287312179466</v>
      </c>
      <c r="H71" s="307">
        <f t="shared" si="34"/>
        <v>14488.324032592809</v>
      </c>
      <c r="I71" s="307">
        <f t="shared" si="34"/>
        <v>14594.127517043305</v>
      </c>
      <c r="J71" s="307">
        <f t="shared" si="34"/>
        <v>14760.175380760284</v>
      </c>
      <c r="K71" s="307">
        <f t="shared" si="34"/>
        <v>14976.585759593385</v>
      </c>
      <c r="L71" s="307">
        <f t="shared" si="34"/>
        <v>15263.49483460764</v>
      </c>
      <c r="M71" s="307">
        <f t="shared" si="34"/>
        <v>15611.05614229923</v>
      </c>
      <c r="N71" s="307">
        <f t="shared" si="34"/>
        <v>16018.877984180554</v>
      </c>
      <c r="O71" s="307">
        <f t="shared" si="34"/>
        <v>16763.894469960323</v>
      </c>
      <c r="P71" s="307">
        <f t="shared" si="34"/>
        <v>18339.593185414658</v>
      </c>
      <c r="Q71" s="307">
        <f t="shared" si="34"/>
        <v>19859.593185414658</v>
      </c>
      <c r="R71" s="307">
        <f t="shared" si="34"/>
        <v>21339.593185414658</v>
      </c>
      <c r="S71" s="307">
        <f t="shared" si="34"/>
        <v>22769.593185414658</v>
      </c>
      <c r="T71" s="307">
        <f t="shared" si="34"/>
        <v>24129.593185414658</v>
      </c>
      <c r="U71" s="308">
        <f t="shared" si="34"/>
        <v>25429.593185414658</v>
      </c>
      <c r="W71" s="34"/>
      <c r="X71" s="34"/>
      <c r="Y71" s="34"/>
      <c r="Z71" s="34"/>
    </row>
    <row r="72" spans="2:26" x14ac:dyDescent="0.35">
      <c r="B72" s="329" t="s">
        <v>185</v>
      </c>
      <c r="C72" s="16"/>
      <c r="D72" s="269">
        <f t="shared" ref="D72:U72" si="35">D62-D71</f>
        <v>0</v>
      </c>
      <c r="E72" s="269">
        <f t="shared" si="35"/>
        <v>0</v>
      </c>
      <c r="F72" s="269">
        <f t="shared" si="35"/>
        <v>0</v>
      </c>
      <c r="G72" s="269">
        <f t="shared" si="35"/>
        <v>0</v>
      </c>
      <c r="H72" s="269">
        <f t="shared" si="35"/>
        <v>0</v>
      </c>
      <c r="I72" s="269">
        <f t="shared" si="35"/>
        <v>0</v>
      </c>
      <c r="J72" s="269">
        <f t="shared" si="35"/>
        <v>0</v>
      </c>
      <c r="K72" s="269">
        <f t="shared" si="35"/>
        <v>0</v>
      </c>
      <c r="L72" s="269">
        <f t="shared" si="35"/>
        <v>0</v>
      </c>
      <c r="M72" s="269">
        <f t="shared" si="35"/>
        <v>0</v>
      </c>
      <c r="N72" s="269">
        <f t="shared" si="35"/>
        <v>0</v>
      </c>
      <c r="O72" s="269">
        <f t="shared" si="35"/>
        <v>0</v>
      </c>
      <c r="P72" s="269">
        <f t="shared" si="35"/>
        <v>0</v>
      </c>
      <c r="Q72" s="269">
        <f t="shared" si="35"/>
        <v>0</v>
      </c>
      <c r="R72" s="269">
        <f t="shared" si="35"/>
        <v>0</v>
      </c>
      <c r="S72" s="269">
        <f t="shared" si="35"/>
        <v>0</v>
      </c>
      <c r="T72" s="269">
        <f t="shared" si="35"/>
        <v>0</v>
      </c>
      <c r="U72" s="269">
        <f t="shared" si="35"/>
        <v>0</v>
      </c>
    </row>
    <row r="73" spans="2:26" ht="15" thickBot="1" x14ac:dyDescent="0.4">
      <c r="B73" s="15"/>
      <c r="C73" s="16"/>
      <c r="D73" s="17"/>
      <c r="E73" s="17"/>
      <c r="F73" s="17"/>
      <c r="G73" s="13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2:26" ht="16" thickBot="1" x14ac:dyDescent="0.4">
      <c r="B74" s="299" t="s">
        <v>176</v>
      </c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1"/>
    </row>
    <row r="75" spans="2:26" ht="16" thickBot="1" x14ac:dyDescent="0.4">
      <c r="B75" s="306" t="s">
        <v>110</v>
      </c>
      <c r="C75" s="2">
        <v>2009</v>
      </c>
      <c r="D75" s="2">
        <v>2010</v>
      </c>
      <c r="E75" s="2">
        <v>2011</v>
      </c>
      <c r="F75" s="2">
        <v>2012</v>
      </c>
      <c r="G75" s="2">
        <v>2013</v>
      </c>
      <c r="H75" s="2">
        <v>2014</v>
      </c>
      <c r="I75" s="2">
        <v>2015</v>
      </c>
      <c r="J75" s="2">
        <v>2016</v>
      </c>
      <c r="K75" s="2">
        <v>2017</v>
      </c>
      <c r="L75" s="2">
        <v>2018</v>
      </c>
      <c r="M75" s="2">
        <v>2019</v>
      </c>
      <c r="N75" s="2">
        <v>2020</v>
      </c>
      <c r="O75" s="2">
        <v>2021</v>
      </c>
      <c r="P75" s="2">
        <v>2022</v>
      </c>
      <c r="Q75" s="2">
        <v>2023</v>
      </c>
      <c r="R75" s="2">
        <v>2024</v>
      </c>
      <c r="S75" s="2">
        <v>2025</v>
      </c>
      <c r="T75" s="2">
        <v>2026</v>
      </c>
      <c r="U75" s="3">
        <v>2027</v>
      </c>
    </row>
    <row r="76" spans="2:26" ht="15.5" x14ac:dyDescent="0.35">
      <c r="B76" s="305" t="s">
        <v>180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2:26" ht="15.5" x14ac:dyDescent="0.35">
      <c r="B77" s="336" t="s">
        <v>87</v>
      </c>
      <c r="C77" s="202"/>
      <c r="D77" s="202">
        <f t="shared" ref="D77:U77" si="36">D35</f>
        <v>0</v>
      </c>
      <c r="E77" s="202">
        <f t="shared" si="36"/>
        <v>0</v>
      </c>
      <c r="F77" s="202">
        <f t="shared" si="36"/>
        <v>0</v>
      </c>
      <c r="G77" s="202">
        <f t="shared" si="36"/>
        <v>1120.0470553418281</v>
      </c>
      <c r="H77" s="202">
        <f t="shared" si="36"/>
        <v>1190.4562937323749</v>
      </c>
      <c r="I77" s="202">
        <f t="shared" si="36"/>
        <v>1262.1651795875202</v>
      </c>
      <c r="J77" s="202">
        <f t="shared" si="36"/>
        <v>1319.4310496836349</v>
      </c>
      <c r="K77" s="202">
        <f t="shared" si="36"/>
        <v>1384.8805161783773</v>
      </c>
      <c r="L77" s="202">
        <f t="shared" si="36"/>
        <v>1447.1241537657231</v>
      </c>
      <c r="M77" s="202">
        <f t="shared" si="36"/>
        <v>1505.4434527831756</v>
      </c>
      <c r="N77" s="202">
        <f t="shared" si="36"/>
        <v>1570.3259570704317</v>
      </c>
      <c r="O77" s="202">
        <f t="shared" si="36"/>
        <v>1638.0570884289978</v>
      </c>
      <c r="P77" s="202">
        <f t="shared" si="36"/>
        <v>1642.5119006800455</v>
      </c>
      <c r="Q77" s="202">
        <f t="shared" si="36"/>
        <v>1602.3832825894297</v>
      </c>
      <c r="R77" s="202">
        <f t="shared" si="36"/>
        <v>1553.0549131738785</v>
      </c>
      <c r="S77" s="202">
        <f t="shared" si="36"/>
        <v>1509.0503401560723</v>
      </c>
      <c r="T77" s="202">
        <f t="shared" si="36"/>
        <v>1440.8210037491112</v>
      </c>
      <c r="U77" s="203">
        <f t="shared" si="36"/>
        <v>1378.8132810295565</v>
      </c>
    </row>
    <row r="78" spans="2:26" ht="15.5" x14ac:dyDescent="0.35">
      <c r="B78" s="313" t="s">
        <v>30</v>
      </c>
      <c r="C78" s="202"/>
      <c r="D78" s="202">
        <f t="shared" ref="D78:U78" si="37">D30</f>
        <v>0</v>
      </c>
      <c r="E78" s="202">
        <f t="shared" si="37"/>
        <v>0</v>
      </c>
      <c r="F78" s="202">
        <f t="shared" si="37"/>
        <v>0</v>
      </c>
      <c r="G78" s="202">
        <f t="shared" si="37"/>
        <v>680</v>
      </c>
      <c r="H78" s="202">
        <f t="shared" si="37"/>
        <v>680</v>
      </c>
      <c r="I78" s="202">
        <f t="shared" si="37"/>
        <v>680</v>
      </c>
      <c r="J78" s="202">
        <f t="shared" si="37"/>
        <v>680</v>
      </c>
      <c r="K78" s="202">
        <f t="shared" si="37"/>
        <v>680</v>
      </c>
      <c r="L78" s="202">
        <f t="shared" si="37"/>
        <v>680</v>
      </c>
      <c r="M78" s="202">
        <f t="shared" si="37"/>
        <v>680</v>
      </c>
      <c r="N78" s="202">
        <f t="shared" si="37"/>
        <v>680</v>
      </c>
      <c r="O78" s="202">
        <f t="shared" si="37"/>
        <v>680</v>
      </c>
      <c r="P78" s="202">
        <f t="shared" si="37"/>
        <v>680</v>
      </c>
      <c r="Q78" s="202">
        <f t="shared" si="37"/>
        <v>680</v>
      </c>
      <c r="R78" s="202">
        <f t="shared" si="37"/>
        <v>680</v>
      </c>
      <c r="S78" s="202">
        <f t="shared" si="37"/>
        <v>680</v>
      </c>
      <c r="T78" s="202">
        <f t="shared" si="37"/>
        <v>680</v>
      </c>
      <c r="U78" s="203">
        <f t="shared" si="37"/>
        <v>680</v>
      </c>
    </row>
    <row r="79" spans="2:26" ht="15.5" x14ac:dyDescent="0.35">
      <c r="B79" s="313" t="s">
        <v>184</v>
      </c>
      <c r="C79" s="202"/>
      <c r="D79" s="202">
        <f t="shared" ref="D79:U79" si="38">C65-D65</f>
        <v>-3460</v>
      </c>
      <c r="E79" s="202">
        <f t="shared" si="38"/>
        <v>-5520</v>
      </c>
      <c r="F79" s="202">
        <f t="shared" si="38"/>
        <v>-4570</v>
      </c>
      <c r="G79" s="202">
        <f t="shared" si="38"/>
        <v>0</v>
      </c>
      <c r="H79" s="202">
        <f t="shared" si="38"/>
        <v>0</v>
      </c>
      <c r="I79" s="202">
        <f t="shared" si="38"/>
        <v>0</v>
      </c>
      <c r="J79" s="202">
        <f t="shared" si="38"/>
        <v>0</v>
      </c>
      <c r="K79" s="202">
        <f t="shared" si="38"/>
        <v>0</v>
      </c>
      <c r="L79" s="202">
        <f t="shared" si="38"/>
        <v>0</v>
      </c>
      <c r="M79" s="202">
        <f t="shared" si="38"/>
        <v>0</v>
      </c>
      <c r="N79" s="202">
        <f t="shared" si="38"/>
        <v>0</v>
      </c>
      <c r="O79" s="202">
        <f t="shared" si="38"/>
        <v>0</v>
      </c>
      <c r="P79" s="202">
        <f t="shared" si="38"/>
        <v>0</v>
      </c>
      <c r="Q79" s="202">
        <f t="shared" si="38"/>
        <v>0</v>
      </c>
      <c r="R79" s="202">
        <f t="shared" si="38"/>
        <v>0</v>
      </c>
      <c r="S79" s="202">
        <f t="shared" si="38"/>
        <v>0</v>
      </c>
      <c r="T79" s="202">
        <f t="shared" si="38"/>
        <v>0</v>
      </c>
      <c r="U79" s="203">
        <f t="shared" si="38"/>
        <v>0</v>
      </c>
    </row>
    <row r="80" spans="2:26" ht="15.5" x14ac:dyDescent="0.35">
      <c r="B80" s="313" t="s">
        <v>230</v>
      </c>
      <c r="C80" s="202"/>
      <c r="D80" s="202">
        <f t="shared" ref="D80:U80" si="39">C68-D68</f>
        <v>0</v>
      </c>
      <c r="E80" s="202">
        <f t="shared" si="39"/>
        <v>0</v>
      </c>
      <c r="F80" s="202">
        <f t="shared" si="39"/>
        <v>0</v>
      </c>
      <c r="G80" s="202">
        <f t="shared" si="39"/>
        <v>-1240</v>
      </c>
      <c r="H80" s="202">
        <f t="shared" si="39"/>
        <v>-10</v>
      </c>
      <c r="I80" s="202">
        <f t="shared" si="39"/>
        <v>-30</v>
      </c>
      <c r="J80" s="202">
        <f t="shared" si="39"/>
        <v>-20</v>
      </c>
      <c r="K80" s="202">
        <f t="shared" si="39"/>
        <v>-20</v>
      </c>
      <c r="L80" s="202">
        <f t="shared" si="39"/>
        <v>-30</v>
      </c>
      <c r="M80" s="202">
        <f t="shared" si="39"/>
        <v>-20</v>
      </c>
      <c r="N80" s="202">
        <f t="shared" si="39"/>
        <v>-30</v>
      </c>
      <c r="O80" s="202">
        <f t="shared" si="39"/>
        <v>-30</v>
      </c>
      <c r="P80" s="202">
        <f t="shared" si="39"/>
        <v>-20</v>
      </c>
      <c r="Q80" s="202">
        <f t="shared" si="39"/>
        <v>-30</v>
      </c>
      <c r="R80" s="202">
        <f t="shared" si="39"/>
        <v>-30</v>
      </c>
      <c r="S80" s="202">
        <f t="shared" si="39"/>
        <v>-30</v>
      </c>
      <c r="T80" s="202">
        <f t="shared" si="39"/>
        <v>-30</v>
      </c>
      <c r="U80" s="203">
        <f t="shared" si="39"/>
        <v>-30</v>
      </c>
    </row>
    <row r="81" spans="2:24" ht="15.5" x14ac:dyDescent="0.35">
      <c r="B81" s="313" t="s">
        <v>231</v>
      </c>
      <c r="C81" s="202"/>
      <c r="D81" s="202">
        <f t="shared" ref="D81:U81" si="40">C69-D69</f>
        <v>0</v>
      </c>
      <c r="E81" s="202">
        <f t="shared" si="40"/>
        <v>0</v>
      </c>
      <c r="F81" s="202">
        <f t="shared" si="40"/>
        <v>0</v>
      </c>
      <c r="G81" s="202">
        <f t="shared" si="40"/>
        <v>0</v>
      </c>
      <c r="H81" s="202">
        <f t="shared" si="40"/>
        <v>0</v>
      </c>
      <c r="I81" s="202">
        <f t="shared" si="40"/>
        <v>0</v>
      </c>
      <c r="J81" s="202">
        <f t="shared" si="40"/>
        <v>0</v>
      </c>
      <c r="K81" s="202">
        <f t="shared" si="40"/>
        <v>0</v>
      </c>
      <c r="L81" s="202">
        <f t="shared" si="40"/>
        <v>0</v>
      </c>
      <c r="M81" s="202">
        <f t="shared" si="40"/>
        <v>0</v>
      </c>
      <c r="N81" s="202">
        <f t="shared" si="40"/>
        <v>-10</v>
      </c>
      <c r="O81" s="202">
        <f t="shared" si="40"/>
        <v>-40</v>
      </c>
      <c r="P81" s="202">
        <f t="shared" si="40"/>
        <v>-70</v>
      </c>
      <c r="Q81" s="202">
        <f t="shared" si="40"/>
        <v>-90</v>
      </c>
      <c r="R81" s="202">
        <f t="shared" si="40"/>
        <v>-110</v>
      </c>
      <c r="S81" s="202">
        <f t="shared" si="40"/>
        <v>-130</v>
      </c>
      <c r="T81" s="202">
        <f t="shared" si="40"/>
        <v>-140</v>
      </c>
      <c r="U81" s="203">
        <f t="shared" si="40"/>
        <v>-150</v>
      </c>
    </row>
    <row r="82" spans="2:24" ht="15.5" x14ac:dyDescent="0.35">
      <c r="B82" s="313" t="s">
        <v>145</v>
      </c>
      <c r="C82" s="202"/>
      <c r="D82" s="202">
        <f t="shared" ref="D82:U82" si="41">D28+D29</f>
        <v>0</v>
      </c>
      <c r="E82" s="202">
        <f t="shared" si="41"/>
        <v>0</v>
      </c>
      <c r="F82" s="202">
        <f t="shared" si="41"/>
        <v>0</v>
      </c>
      <c r="G82" s="202">
        <f t="shared" si="41"/>
        <v>1178.5999999999999</v>
      </c>
      <c r="H82" s="202">
        <f t="shared" si="41"/>
        <v>1049.8666666666668</v>
      </c>
      <c r="I82" s="202">
        <f t="shared" si="41"/>
        <v>922.33333333333337</v>
      </c>
      <c r="J82" s="202">
        <f t="shared" si="41"/>
        <v>795.4</v>
      </c>
      <c r="K82" s="202">
        <f t="shared" si="41"/>
        <v>667.86666666666656</v>
      </c>
      <c r="L82" s="202">
        <f t="shared" si="41"/>
        <v>540.33333333333326</v>
      </c>
      <c r="M82" s="202">
        <f t="shared" si="41"/>
        <v>413.39999999999981</v>
      </c>
      <c r="N82" s="202">
        <f t="shared" si="41"/>
        <v>286.46666666666647</v>
      </c>
      <c r="O82" s="202">
        <f t="shared" si="41"/>
        <v>175.69999999999976</v>
      </c>
      <c r="P82" s="202">
        <f t="shared" si="41"/>
        <v>129.59999999999977</v>
      </c>
      <c r="Q82" s="202">
        <f t="shared" si="41"/>
        <v>131.99999999999977</v>
      </c>
      <c r="R82" s="202">
        <f t="shared" si="41"/>
        <v>134.39999999999978</v>
      </c>
      <c r="S82" s="202">
        <f t="shared" si="41"/>
        <v>137.39999999999978</v>
      </c>
      <c r="T82" s="202">
        <f t="shared" si="41"/>
        <v>140.39999999999978</v>
      </c>
      <c r="U82" s="203">
        <f t="shared" si="41"/>
        <v>142.79999999999976</v>
      </c>
    </row>
    <row r="83" spans="2:24" ht="15.5" x14ac:dyDescent="0.35">
      <c r="B83" s="7" t="s">
        <v>183</v>
      </c>
      <c r="C83" s="307"/>
      <c r="D83" s="307">
        <f>SUM(D77:D82)</f>
        <v>-3460</v>
      </c>
      <c r="E83" s="307">
        <f t="shared" ref="E83:U83" si="42">SUM(E77:E82)</f>
        <v>-5520</v>
      </c>
      <c r="F83" s="307">
        <f t="shared" si="42"/>
        <v>-4570</v>
      </c>
      <c r="G83" s="307">
        <f t="shared" si="42"/>
        <v>1738.647055341828</v>
      </c>
      <c r="H83" s="307">
        <f t="shared" si="42"/>
        <v>2910.3229603990417</v>
      </c>
      <c r="I83" s="307">
        <f t="shared" si="42"/>
        <v>2834.4985129208535</v>
      </c>
      <c r="J83" s="307">
        <f t="shared" si="42"/>
        <v>2774.8310496836348</v>
      </c>
      <c r="K83" s="307">
        <f t="shared" si="42"/>
        <v>2712.7471828450443</v>
      </c>
      <c r="L83" s="307">
        <f t="shared" si="42"/>
        <v>2637.4574870990564</v>
      </c>
      <c r="M83" s="307">
        <f t="shared" si="42"/>
        <v>2578.8434527831751</v>
      </c>
      <c r="N83" s="307">
        <f t="shared" si="42"/>
        <v>2496.7926237370984</v>
      </c>
      <c r="O83" s="307">
        <f t="shared" si="42"/>
        <v>2423.7570884289976</v>
      </c>
      <c r="P83" s="307">
        <f t="shared" si="42"/>
        <v>2362.1119006800454</v>
      </c>
      <c r="Q83" s="307">
        <f t="shared" si="42"/>
        <v>2294.3832825894297</v>
      </c>
      <c r="R83" s="307">
        <f t="shared" si="42"/>
        <v>2227.4549131738781</v>
      </c>
      <c r="S83" s="307">
        <f t="shared" si="42"/>
        <v>2166.4503401560719</v>
      </c>
      <c r="T83" s="307">
        <f t="shared" si="42"/>
        <v>2091.2210037491109</v>
      </c>
      <c r="U83" s="308">
        <f t="shared" si="42"/>
        <v>2021.6132810295562</v>
      </c>
    </row>
    <row r="84" spans="2:24" ht="15.5" x14ac:dyDescent="0.35">
      <c r="B84" s="7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3"/>
    </row>
    <row r="85" spans="2:24" ht="15.5" x14ac:dyDescent="0.35">
      <c r="B85" s="304" t="s">
        <v>181</v>
      </c>
      <c r="C85" s="202"/>
      <c r="D85" s="202"/>
      <c r="E85" s="202"/>
      <c r="F85" s="202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203"/>
    </row>
    <row r="86" spans="2:24" ht="15.5" x14ac:dyDescent="0.35">
      <c r="B86" s="313" t="s">
        <v>190</v>
      </c>
      <c r="C86" s="202"/>
      <c r="D86" s="202">
        <f>N4</f>
        <v>2420.0000000000005</v>
      </c>
      <c r="E86" s="202">
        <f>O4</f>
        <v>3870.0000000000009</v>
      </c>
      <c r="F86" s="202">
        <f>P4</f>
        <v>3410.0000000000005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>
        <v>0</v>
      </c>
      <c r="T86" s="202">
        <v>0</v>
      </c>
      <c r="U86" s="203">
        <v>0</v>
      </c>
      <c r="W86" s="409">
        <f>SUM(D86:U86)</f>
        <v>9700.0000000000018</v>
      </c>
      <c r="X86" s="332" t="s">
        <v>273</v>
      </c>
    </row>
    <row r="87" spans="2:24" ht="15.5" x14ac:dyDescent="0.35">
      <c r="B87" s="313" t="s">
        <v>241</v>
      </c>
      <c r="C87" s="202"/>
      <c r="D87" s="202">
        <v>0</v>
      </c>
      <c r="E87" s="202">
        <v>0</v>
      </c>
      <c r="F87" s="407">
        <f>-(($D$86+$E$86+$F$86)/36)*1</f>
        <v>-269.44444444444451</v>
      </c>
      <c r="G87" s="407">
        <f t="shared" ref="G87:N87" si="43">-(($D$86+$E$86+$F$86)/36)*4</f>
        <v>-1077.7777777777781</v>
      </c>
      <c r="H87" s="407">
        <f t="shared" si="43"/>
        <v>-1077.7777777777781</v>
      </c>
      <c r="I87" s="407">
        <f t="shared" si="43"/>
        <v>-1077.7777777777781</v>
      </c>
      <c r="J87" s="407">
        <f t="shared" si="43"/>
        <v>-1077.7777777777781</v>
      </c>
      <c r="K87" s="407">
        <f t="shared" si="43"/>
        <v>-1077.7777777777781</v>
      </c>
      <c r="L87" s="407">
        <f t="shared" si="43"/>
        <v>-1077.7777777777781</v>
      </c>
      <c r="M87" s="407">
        <f t="shared" si="43"/>
        <v>-1077.7777777777781</v>
      </c>
      <c r="N87" s="407">
        <f t="shared" si="43"/>
        <v>-1077.7777777777781</v>
      </c>
      <c r="O87" s="407">
        <f>-(($D$86+$E$86+$F$86)/36)*3</f>
        <v>-808.33333333333348</v>
      </c>
      <c r="P87" s="407">
        <f>Loan!P22</f>
        <v>0</v>
      </c>
      <c r="Q87" s="407">
        <f>Loan!Q22</f>
        <v>0</v>
      </c>
      <c r="R87" s="202">
        <v>0</v>
      </c>
      <c r="S87" s="202">
        <v>0</v>
      </c>
      <c r="T87" s="202">
        <v>0</v>
      </c>
      <c r="U87" s="203">
        <v>0</v>
      </c>
      <c r="W87" s="409">
        <f>SUM(D87:U87)</f>
        <v>-9700.0000000000036</v>
      </c>
      <c r="X87" s="332" t="s">
        <v>273</v>
      </c>
    </row>
    <row r="88" spans="2:24" ht="15.5" x14ac:dyDescent="0.35">
      <c r="B88" s="313" t="s">
        <v>186</v>
      </c>
      <c r="C88" s="339"/>
      <c r="D88" s="202">
        <v>0</v>
      </c>
      <c r="E88" s="202">
        <v>0</v>
      </c>
      <c r="F88" s="202">
        <v>0</v>
      </c>
      <c r="G88" s="202">
        <v>930</v>
      </c>
      <c r="H88" s="202">
        <v>10</v>
      </c>
      <c r="I88" s="202">
        <v>20</v>
      </c>
      <c r="J88" s="202">
        <v>20</v>
      </c>
      <c r="K88" s="202">
        <v>10</v>
      </c>
      <c r="L88" s="202">
        <v>20</v>
      </c>
      <c r="M88" s="202">
        <v>20</v>
      </c>
      <c r="N88" s="202">
        <v>20</v>
      </c>
      <c r="O88" s="202">
        <v>20</v>
      </c>
      <c r="P88" s="202">
        <v>20</v>
      </c>
      <c r="Q88" s="202">
        <v>20</v>
      </c>
      <c r="R88" s="202">
        <v>20</v>
      </c>
      <c r="S88" s="202">
        <v>30</v>
      </c>
      <c r="T88" s="202">
        <v>20</v>
      </c>
      <c r="U88" s="203">
        <v>20</v>
      </c>
      <c r="V88" s="284"/>
    </row>
    <row r="89" spans="2:24" ht="15.5" x14ac:dyDescent="0.35">
      <c r="B89" s="313" t="s">
        <v>240</v>
      </c>
      <c r="C89" s="339"/>
      <c r="D89" s="202">
        <v>0</v>
      </c>
      <c r="E89" s="202">
        <v>0</v>
      </c>
      <c r="F89" s="202">
        <v>0</v>
      </c>
      <c r="G89" s="407">
        <f t="shared" ref="G89:U89" si="44">G123</f>
        <v>0</v>
      </c>
      <c r="H89" s="407">
        <f t="shared" si="44"/>
        <v>0</v>
      </c>
      <c r="I89" s="407">
        <f t="shared" si="44"/>
        <v>0</v>
      </c>
      <c r="J89" s="407">
        <f t="shared" si="44"/>
        <v>0</v>
      </c>
      <c r="K89" s="407">
        <f t="shared" si="44"/>
        <v>0</v>
      </c>
      <c r="L89" s="407">
        <f t="shared" si="44"/>
        <v>0</v>
      </c>
      <c r="M89" s="407">
        <f t="shared" si="44"/>
        <v>0</v>
      </c>
      <c r="N89" s="407">
        <f t="shared" si="44"/>
        <v>0</v>
      </c>
      <c r="O89" s="407">
        <f t="shared" si="44"/>
        <v>0</v>
      </c>
      <c r="P89" s="407">
        <f t="shared" si="44"/>
        <v>0</v>
      </c>
      <c r="Q89" s="407">
        <f t="shared" si="44"/>
        <v>0</v>
      </c>
      <c r="R89" s="407">
        <f t="shared" si="44"/>
        <v>0</v>
      </c>
      <c r="S89" s="407">
        <f t="shared" si="44"/>
        <v>0</v>
      </c>
      <c r="T89" s="407">
        <f t="shared" si="44"/>
        <v>0</v>
      </c>
      <c r="U89" s="417">
        <f t="shared" si="44"/>
        <v>0</v>
      </c>
      <c r="V89" s="284"/>
    </row>
    <row r="90" spans="2:24" ht="15.5" x14ac:dyDescent="0.35">
      <c r="B90" s="313" t="s">
        <v>145</v>
      </c>
      <c r="C90" s="202"/>
      <c r="D90" s="407">
        <f>-D117</f>
        <v>-42.45000000000001</v>
      </c>
      <c r="E90" s="407">
        <f>-E117</f>
        <v>-8.5250000000000021</v>
      </c>
      <c r="F90" s="407">
        <f>-F117</f>
        <v>0</v>
      </c>
      <c r="G90" s="202">
        <f t="shared" ref="G90:U90" si="45">-G82</f>
        <v>-1178.5999999999999</v>
      </c>
      <c r="H90" s="202">
        <f t="shared" si="45"/>
        <v>-1049.8666666666668</v>
      </c>
      <c r="I90" s="202">
        <f t="shared" si="45"/>
        <v>-922.33333333333337</v>
      </c>
      <c r="J90" s="202">
        <f t="shared" si="45"/>
        <v>-795.4</v>
      </c>
      <c r="K90" s="202">
        <f t="shared" si="45"/>
        <v>-667.86666666666656</v>
      </c>
      <c r="L90" s="202">
        <f t="shared" si="45"/>
        <v>-540.33333333333326</v>
      </c>
      <c r="M90" s="202">
        <f t="shared" si="45"/>
        <v>-413.39999999999981</v>
      </c>
      <c r="N90" s="202">
        <f t="shared" si="45"/>
        <v>-286.46666666666647</v>
      </c>
      <c r="O90" s="202">
        <f t="shared" si="45"/>
        <v>-175.69999999999976</v>
      </c>
      <c r="P90" s="202">
        <f t="shared" si="45"/>
        <v>-129.59999999999977</v>
      </c>
      <c r="Q90" s="202">
        <f t="shared" si="45"/>
        <v>-131.99999999999977</v>
      </c>
      <c r="R90" s="202">
        <f t="shared" si="45"/>
        <v>-134.39999999999978</v>
      </c>
      <c r="S90" s="202">
        <f t="shared" si="45"/>
        <v>-137.39999999999978</v>
      </c>
      <c r="T90" s="202">
        <f t="shared" si="45"/>
        <v>-140.39999999999978</v>
      </c>
      <c r="U90" s="203">
        <f t="shared" si="45"/>
        <v>-142.79999999999976</v>
      </c>
    </row>
    <row r="91" spans="2:24" ht="15.5" x14ac:dyDescent="0.35">
      <c r="B91" s="313" t="s">
        <v>303</v>
      </c>
      <c r="C91" s="202"/>
      <c r="D91" s="407">
        <f>-D90</f>
        <v>42.45000000000001</v>
      </c>
      <c r="E91" s="407">
        <f>-E90</f>
        <v>8.5250000000000021</v>
      </c>
      <c r="F91" s="407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3"/>
    </row>
    <row r="92" spans="2:24" ht="15.5" x14ac:dyDescent="0.35">
      <c r="B92" s="313" t="s">
        <v>191</v>
      </c>
      <c r="C92" s="202"/>
      <c r="D92" s="202">
        <f>N6</f>
        <v>1039.9999999999998</v>
      </c>
      <c r="E92" s="202">
        <f>O6</f>
        <v>1649.9999999999995</v>
      </c>
      <c r="F92" s="202">
        <f>P6</f>
        <v>1469.9999999999998</v>
      </c>
      <c r="G92" s="202">
        <v>0</v>
      </c>
      <c r="H92" s="202">
        <v>0</v>
      </c>
      <c r="I92" s="202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>
        <v>0</v>
      </c>
      <c r="T92" s="202">
        <v>0</v>
      </c>
      <c r="U92" s="203">
        <v>0</v>
      </c>
    </row>
    <row r="93" spans="2:24" ht="15.5" x14ac:dyDescent="0.35">
      <c r="B93" s="313" t="s">
        <v>255</v>
      </c>
      <c r="C93" s="202"/>
      <c r="D93" s="202">
        <v>0</v>
      </c>
      <c r="E93" s="202">
        <v>0</v>
      </c>
      <c r="F93" s="202">
        <v>0</v>
      </c>
      <c r="G93" s="202">
        <f t="shared" ref="G93:U93" si="46">G134</f>
        <v>-100.53752094014048</v>
      </c>
      <c r="H93" s="202">
        <f t="shared" si="46"/>
        <v>-96.641795541253671</v>
      </c>
      <c r="I93" s="202">
        <f t="shared" si="46"/>
        <v>-98.58391735924468</v>
      </c>
      <c r="J93" s="202">
        <f t="shared" si="46"/>
        <v>-95.605408188879096</v>
      </c>
      <c r="K93" s="202">
        <f t="shared" si="46"/>
        <v>-100.69235956749775</v>
      </c>
      <c r="L93" s="202">
        <f t="shared" si="46"/>
        <v>-102.43730097369121</v>
      </c>
      <c r="M93" s="202">
        <f t="shared" si="46"/>
        <v>-100.10436731380598</v>
      </c>
      <c r="N93" s="202">
        <f t="shared" si="46"/>
        <v>-104.72633741133124</v>
      </c>
      <c r="O93" s="202">
        <f t="shared" si="46"/>
        <v>-104.70726931589368</v>
      </c>
      <c r="P93" s="202">
        <f t="shared" si="46"/>
        <v>-86.813185225712004</v>
      </c>
      <c r="Q93" s="202">
        <f t="shared" si="46"/>
        <v>-102.38328258942964</v>
      </c>
      <c r="R93" s="202">
        <f t="shared" si="46"/>
        <v>-93.054913173878504</v>
      </c>
      <c r="S93" s="202">
        <f t="shared" si="46"/>
        <v>-109.05034015607225</v>
      </c>
      <c r="T93" s="202">
        <f t="shared" si="46"/>
        <v>-100.82100374911124</v>
      </c>
      <c r="U93" s="203">
        <f t="shared" si="46"/>
        <v>-98.813281029556506</v>
      </c>
    </row>
    <row r="94" spans="2:24" ht="15.5" x14ac:dyDescent="0.35">
      <c r="B94" s="7" t="s">
        <v>182</v>
      </c>
      <c r="C94" s="202"/>
      <c r="D94" s="307">
        <f>SUM(D86:D93)</f>
        <v>3460</v>
      </c>
      <c r="E94" s="307">
        <f t="shared" ref="E94:U94" si="47">SUM(E86:E93)</f>
        <v>5520</v>
      </c>
      <c r="F94" s="307">
        <f t="shared" si="47"/>
        <v>4610.5555555555557</v>
      </c>
      <c r="G94" s="307">
        <f t="shared" si="47"/>
        <v>-1426.9152987179184</v>
      </c>
      <c r="H94" s="307">
        <f t="shared" si="47"/>
        <v>-2214.2862399856986</v>
      </c>
      <c r="I94" s="307">
        <f t="shared" si="47"/>
        <v>-2078.6950284703562</v>
      </c>
      <c r="J94" s="307">
        <f t="shared" si="47"/>
        <v>-1948.7831859666571</v>
      </c>
      <c r="K94" s="307">
        <f t="shared" si="47"/>
        <v>-1836.3368040119424</v>
      </c>
      <c r="L94" s="307">
        <f t="shared" si="47"/>
        <v>-1700.5484120848025</v>
      </c>
      <c r="M94" s="307">
        <f t="shared" si="47"/>
        <v>-1571.282145091584</v>
      </c>
      <c r="N94" s="307">
        <f t="shared" si="47"/>
        <v>-1448.9707818557758</v>
      </c>
      <c r="O94" s="307">
        <f t="shared" si="47"/>
        <v>-1068.740602649227</v>
      </c>
      <c r="P94" s="307">
        <f t="shared" si="47"/>
        <v>-196.41318522571177</v>
      </c>
      <c r="Q94" s="307">
        <f t="shared" si="47"/>
        <v>-214.38328258942943</v>
      </c>
      <c r="R94" s="307">
        <f t="shared" si="47"/>
        <v>-207.45491317387828</v>
      </c>
      <c r="S94" s="307">
        <f t="shared" si="47"/>
        <v>-216.45034015607203</v>
      </c>
      <c r="T94" s="307">
        <f t="shared" si="47"/>
        <v>-221.22100374911102</v>
      </c>
      <c r="U94" s="308">
        <f t="shared" si="47"/>
        <v>-221.61328102955628</v>
      </c>
    </row>
    <row r="95" spans="2:24" ht="15.5" x14ac:dyDescent="0.35">
      <c r="B95" s="7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3"/>
    </row>
    <row r="96" spans="2:24" ht="15.5" x14ac:dyDescent="0.35">
      <c r="B96" s="7" t="s">
        <v>179</v>
      </c>
      <c r="C96" s="202"/>
      <c r="D96" s="186">
        <f>D83+D94</f>
        <v>0</v>
      </c>
      <c r="E96" s="186">
        <f t="shared" ref="E96:U96" si="48">E83+E94</f>
        <v>0</v>
      </c>
      <c r="F96" s="186">
        <f t="shared" si="48"/>
        <v>40.555555555555657</v>
      </c>
      <c r="G96" s="186">
        <f t="shared" si="48"/>
        <v>311.73175662390963</v>
      </c>
      <c r="H96" s="186">
        <f t="shared" si="48"/>
        <v>696.03672041334312</v>
      </c>
      <c r="I96" s="186">
        <f t="shared" si="48"/>
        <v>755.80348445049731</v>
      </c>
      <c r="J96" s="186">
        <f t="shared" si="48"/>
        <v>826.04786371697764</v>
      </c>
      <c r="K96" s="186">
        <f t="shared" si="48"/>
        <v>876.41037883310196</v>
      </c>
      <c r="L96" s="186">
        <f t="shared" si="48"/>
        <v>936.90907501425386</v>
      </c>
      <c r="M96" s="186">
        <f t="shared" si="48"/>
        <v>1007.5613076915911</v>
      </c>
      <c r="N96" s="186">
        <f t="shared" si="48"/>
        <v>1047.8218418813226</v>
      </c>
      <c r="O96" s="186">
        <f t="shared" si="48"/>
        <v>1355.0164857797706</v>
      </c>
      <c r="P96" s="186">
        <f t="shared" si="48"/>
        <v>2165.6987154543335</v>
      </c>
      <c r="Q96" s="186">
        <f t="shared" si="48"/>
        <v>2080</v>
      </c>
      <c r="R96" s="186">
        <f t="shared" si="48"/>
        <v>2019.9999999999998</v>
      </c>
      <c r="S96" s="186">
        <f t="shared" si="48"/>
        <v>1949.9999999999998</v>
      </c>
      <c r="T96" s="186">
        <f t="shared" si="48"/>
        <v>1869.9999999999998</v>
      </c>
      <c r="U96" s="308">
        <f t="shared" si="48"/>
        <v>1800</v>
      </c>
    </row>
    <row r="97" spans="1:21" ht="15.5" x14ac:dyDescent="0.35">
      <c r="B97" s="7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8" spans="1:21" ht="15.5" x14ac:dyDescent="0.35">
      <c r="B98" s="7" t="s">
        <v>177</v>
      </c>
      <c r="C98" s="202"/>
      <c r="D98" s="307">
        <v>0</v>
      </c>
      <c r="E98" s="307">
        <f t="shared" ref="E98:U98" si="49">D99</f>
        <v>0</v>
      </c>
      <c r="F98" s="307">
        <f t="shared" si="49"/>
        <v>0</v>
      </c>
      <c r="G98" s="307">
        <f t="shared" si="49"/>
        <v>40.555555555555657</v>
      </c>
      <c r="H98" s="307">
        <f t="shared" si="49"/>
        <v>352.28731217946529</v>
      </c>
      <c r="I98" s="307">
        <f t="shared" si="49"/>
        <v>1048.3240325928084</v>
      </c>
      <c r="J98" s="307">
        <f t="shared" si="49"/>
        <v>1804.1275170433057</v>
      </c>
      <c r="K98" s="307">
        <f t="shared" si="49"/>
        <v>2630.1753807602836</v>
      </c>
      <c r="L98" s="307">
        <f t="shared" si="49"/>
        <v>3506.5857595933858</v>
      </c>
      <c r="M98" s="307">
        <f t="shared" si="49"/>
        <v>4443.4948346076399</v>
      </c>
      <c r="N98" s="307">
        <f t="shared" si="49"/>
        <v>5451.0561422992305</v>
      </c>
      <c r="O98" s="307">
        <f t="shared" si="49"/>
        <v>6498.8779841805535</v>
      </c>
      <c r="P98" s="307">
        <f t="shared" si="49"/>
        <v>7853.8944699603244</v>
      </c>
      <c r="Q98" s="307">
        <f t="shared" si="49"/>
        <v>10019.593185414658</v>
      </c>
      <c r="R98" s="307">
        <f t="shared" si="49"/>
        <v>12099.593185414658</v>
      </c>
      <c r="S98" s="307">
        <f t="shared" si="49"/>
        <v>14119.593185414658</v>
      </c>
      <c r="T98" s="307">
        <f t="shared" si="49"/>
        <v>16069.593185414658</v>
      </c>
      <c r="U98" s="308">
        <f t="shared" si="49"/>
        <v>17939.593185414658</v>
      </c>
    </row>
    <row r="99" spans="1:21" ht="15.5" x14ac:dyDescent="0.35">
      <c r="B99" s="7" t="s">
        <v>178</v>
      </c>
      <c r="C99" s="202"/>
      <c r="D99" s="307">
        <f t="shared" ref="D99:U99" si="50">D96+D98</f>
        <v>0</v>
      </c>
      <c r="E99" s="307">
        <f t="shared" si="50"/>
        <v>0</v>
      </c>
      <c r="F99" s="307">
        <f t="shared" si="50"/>
        <v>40.555555555555657</v>
      </c>
      <c r="G99" s="307">
        <f t="shared" si="50"/>
        <v>352.28731217946529</v>
      </c>
      <c r="H99" s="307">
        <f t="shared" si="50"/>
        <v>1048.3240325928084</v>
      </c>
      <c r="I99" s="307">
        <f t="shared" si="50"/>
        <v>1804.1275170433057</v>
      </c>
      <c r="J99" s="307">
        <f t="shared" si="50"/>
        <v>2630.1753807602836</v>
      </c>
      <c r="K99" s="307">
        <f t="shared" si="50"/>
        <v>3506.5857595933858</v>
      </c>
      <c r="L99" s="307">
        <f t="shared" si="50"/>
        <v>4443.4948346076399</v>
      </c>
      <c r="M99" s="307">
        <f t="shared" si="50"/>
        <v>5451.0561422992305</v>
      </c>
      <c r="N99" s="307">
        <f t="shared" si="50"/>
        <v>6498.8779841805535</v>
      </c>
      <c r="O99" s="307">
        <f t="shared" si="50"/>
        <v>7853.8944699603244</v>
      </c>
      <c r="P99" s="307">
        <f t="shared" si="50"/>
        <v>10019.593185414658</v>
      </c>
      <c r="Q99" s="307">
        <f t="shared" si="50"/>
        <v>12099.593185414658</v>
      </c>
      <c r="R99" s="307">
        <f t="shared" si="50"/>
        <v>14119.593185414658</v>
      </c>
      <c r="S99" s="307">
        <f t="shared" si="50"/>
        <v>16069.593185414658</v>
      </c>
      <c r="T99" s="307">
        <f t="shared" si="50"/>
        <v>17939.593185414658</v>
      </c>
      <c r="U99" s="308">
        <f t="shared" si="50"/>
        <v>19739.593185414658</v>
      </c>
    </row>
    <row r="100" spans="1:21" x14ac:dyDescent="0.35">
      <c r="A100" s="332"/>
      <c r="B100" s="329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</row>
    <row r="101" spans="1:21" x14ac:dyDescent="0.35">
      <c r="B101" s="15"/>
      <c r="C101" s="16"/>
      <c r="D101" s="17"/>
      <c r="E101" s="17"/>
      <c r="F101" s="17"/>
      <c r="G101" s="13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5.5" x14ac:dyDescent="0.35">
      <c r="B102" s="315" t="s">
        <v>193</v>
      </c>
      <c r="C102" s="414">
        <v>2009</v>
      </c>
      <c r="D102" s="414">
        <v>2010</v>
      </c>
      <c r="E102" s="414">
        <v>2011</v>
      </c>
      <c r="F102" s="414">
        <v>2012</v>
      </c>
      <c r="G102" s="414">
        <v>2013</v>
      </c>
      <c r="H102" s="414">
        <v>2014</v>
      </c>
      <c r="I102" s="414">
        <v>2015</v>
      </c>
      <c r="J102" s="414">
        <v>2016</v>
      </c>
      <c r="K102" s="414">
        <v>2017</v>
      </c>
      <c r="L102" s="414">
        <v>2018</v>
      </c>
      <c r="M102" s="414">
        <v>2019</v>
      </c>
      <c r="N102" s="414">
        <v>2020</v>
      </c>
      <c r="O102" s="414">
        <v>2021</v>
      </c>
      <c r="P102" s="414">
        <v>2022</v>
      </c>
      <c r="Q102" s="414">
        <v>2023</v>
      </c>
      <c r="R102" s="414">
        <v>2024</v>
      </c>
      <c r="S102" s="414">
        <v>2025</v>
      </c>
      <c r="T102" s="414">
        <v>2026</v>
      </c>
      <c r="U102" s="414">
        <v>2027</v>
      </c>
    </row>
    <row r="103" spans="1:21" ht="6.25" customHeight="1" x14ac:dyDescent="0.35">
      <c r="B103" s="315"/>
      <c r="C103" s="16"/>
      <c r="D103" s="17"/>
      <c r="E103" s="17"/>
      <c r="F103" s="17"/>
    </row>
    <row r="104" spans="1:21" x14ac:dyDescent="0.35">
      <c r="B104" s="314" t="s">
        <v>232</v>
      </c>
      <c r="C104" s="16"/>
      <c r="D104" s="17"/>
      <c r="E104" s="17"/>
      <c r="F104" s="17"/>
      <c r="G104" s="13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35">
      <c r="B105" s="316" t="s">
        <v>57</v>
      </c>
      <c r="C105" s="317"/>
      <c r="D105" s="319">
        <v>0</v>
      </c>
      <c r="E105" s="319">
        <v>0</v>
      </c>
      <c r="F105" s="319">
        <v>0</v>
      </c>
      <c r="G105" s="319">
        <f t="shared" ref="G105:U105" si="51">G21*G106</f>
        <v>1240</v>
      </c>
      <c r="H105" s="319">
        <f t="shared" si="51"/>
        <v>1250</v>
      </c>
      <c r="I105" s="319">
        <f t="shared" si="51"/>
        <v>1280</v>
      </c>
      <c r="J105" s="319">
        <f t="shared" si="51"/>
        <v>1300</v>
      </c>
      <c r="K105" s="319">
        <f t="shared" si="51"/>
        <v>1320</v>
      </c>
      <c r="L105" s="319">
        <f t="shared" si="51"/>
        <v>1350</v>
      </c>
      <c r="M105" s="319">
        <f t="shared" si="51"/>
        <v>1370</v>
      </c>
      <c r="N105" s="319">
        <f t="shared" si="51"/>
        <v>1400</v>
      </c>
      <c r="O105" s="319">
        <f t="shared" si="51"/>
        <v>1430</v>
      </c>
      <c r="P105" s="319">
        <f t="shared" si="51"/>
        <v>1450</v>
      </c>
      <c r="Q105" s="319">
        <f t="shared" si="51"/>
        <v>1480</v>
      </c>
      <c r="R105" s="319">
        <f t="shared" si="51"/>
        <v>1510</v>
      </c>
      <c r="S105" s="319">
        <f t="shared" si="51"/>
        <v>1540</v>
      </c>
      <c r="T105" s="319">
        <f t="shared" si="51"/>
        <v>1570</v>
      </c>
      <c r="U105" s="319">
        <f t="shared" si="51"/>
        <v>1600</v>
      </c>
    </row>
    <row r="106" spans="1:21" x14ac:dyDescent="0.35">
      <c r="B106" s="316" t="s">
        <v>192</v>
      </c>
      <c r="C106" s="317"/>
      <c r="D106" s="324"/>
      <c r="E106" s="324"/>
      <c r="F106" s="324"/>
      <c r="G106" s="325">
        <v>0.1848472922853088</v>
      </c>
      <c r="H106" s="325">
        <v>0.18449306559935805</v>
      </c>
      <c r="I106" s="325">
        <v>0.18705039522152736</v>
      </c>
      <c r="J106" s="325">
        <v>0.18809213628402349</v>
      </c>
      <c r="K106" s="325">
        <v>0.18909491233428105</v>
      </c>
      <c r="L106" s="325">
        <v>0.19147774651311086</v>
      </c>
      <c r="M106" s="325">
        <v>0.19239054838501055</v>
      </c>
      <c r="N106" s="325">
        <v>0.19465691099155508</v>
      </c>
      <c r="O106" s="325">
        <v>0.19685953516119076</v>
      </c>
      <c r="P106" s="325">
        <v>0.1976364508645895</v>
      </c>
      <c r="Q106" s="325">
        <v>0.19972819889354212</v>
      </c>
      <c r="R106" s="325">
        <v>0.20175915194624608</v>
      </c>
      <c r="S106" s="325">
        <v>0.2037303088303842</v>
      </c>
      <c r="T106" s="325">
        <v>0.20564265453497699</v>
      </c>
      <c r="U106" s="325">
        <v>0.20749716040610655</v>
      </c>
    </row>
    <row r="107" spans="1:21" x14ac:dyDescent="0.35">
      <c r="B107" s="316"/>
      <c r="C107" s="317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</row>
    <row r="108" spans="1:21" x14ac:dyDescent="0.35">
      <c r="B108" s="314" t="s">
        <v>294</v>
      </c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</row>
    <row r="109" spans="1:21" x14ac:dyDescent="0.35">
      <c r="B109" s="316" t="s">
        <v>295</v>
      </c>
      <c r="C109" s="317"/>
      <c r="D109" s="321">
        <v>0</v>
      </c>
      <c r="E109" s="321">
        <f>D112</f>
        <v>2420.0000000000005</v>
      </c>
      <c r="F109" s="321">
        <f>E112</f>
        <v>6290.0000000000018</v>
      </c>
      <c r="G109" s="321">
        <f t="shared" ref="G109:U109" si="52">F112</f>
        <v>9430.5555555555566</v>
      </c>
      <c r="H109" s="321">
        <f t="shared" si="52"/>
        <v>8352.7777777777792</v>
      </c>
      <c r="I109" s="321">
        <f t="shared" si="52"/>
        <v>7275.0000000000009</v>
      </c>
      <c r="J109" s="321">
        <f t="shared" si="52"/>
        <v>6197.2222222222226</v>
      </c>
      <c r="K109" s="321">
        <f t="shared" si="52"/>
        <v>5119.4444444444443</v>
      </c>
      <c r="L109" s="321">
        <f t="shared" si="52"/>
        <v>4041.6666666666661</v>
      </c>
      <c r="M109" s="321">
        <f t="shared" si="52"/>
        <v>2963.8888888888878</v>
      </c>
      <c r="N109" s="321">
        <f t="shared" si="52"/>
        <v>1886.1111111111097</v>
      </c>
      <c r="O109" s="321">
        <f t="shared" si="52"/>
        <v>808.33333333333167</v>
      </c>
      <c r="P109" s="321">
        <f t="shared" si="52"/>
        <v>-1.8189894035458565E-12</v>
      </c>
      <c r="Q109" s="321">
        <f t="shared" si="52"/>
        <v>-1.8189894035458565E-12</v>
      </c>
      <c r="R109" s="321">
        <f t="shared" si="52"/>
        <v>-1.8189894035458565E-12</v>
      </c>
      <c r="S109" s="321">
        <f t="shared" si="52"/>
        <v>-1.8189894035458565E-12</v>
      </c>
      <c r="T109" s="321">
        <f t="shared" si="52"/>
        <v>-1.8189894035458565E-12</v>
      </c>
      <c r="U109" s="321">
        <f t="shared" si="52"/>
        <v>-1.8189894035458565E-12</v>
      </c>
    </row>
    <row r="110" spans="1:21" x14ac:dyDescent="0.35">
      <c r="B110" s="316" t="s">
        <v>296</v>
      </c>
      <c r="D110" s="321">
        <f>N4</f>
        <v>2420.0000000000005</v>
      </c>
      <c r="E110" s="321">
        <f>O4</f>
        <v>3870.0000000000009</v>
      </c>
      <c r="F110" s="321">
        <f>P4</f>
        <v>3410.0000000000005</v>
      </c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</row>
    <row r="111" spans="1:21" x14ac:dyDescent="0.35">
      <c r="B111" s="316" t="s">
        <v>297</v>
      </c>
      <c r="C111" s="317"/>
      <c r="D111" s="321">
        <v>0</v>
      </c>
      <c r="E111" s="321">
        <v>0</v>
      </c>
      <c r="F111" s="321">
        <f t="shared" ref="F111:U111" si="53">F87</f>
        <v>-269.44444444444451</v>
      </c>
      <c r="G111" s="321">
        <f t="shared" si="53"/>
        <v>-1077.7777777777781</v>
      </c>
      <c r="H111" s="321">
        <f t="shared" si="53"/>
        <v>-1077.7777777777781</v>
      </c>
      <c r="I111" s="321">
        <f t="shared" si="53"/>
        <v>-1077.7777777777781</v>
      </c>
      <c r="J111" s="321">
        <f t="shared" si="53"/>
        <v>-1077.7777777777781</v>
      </c>
      <c r="K111" s="321">
        <f t="shared" si="53"/>
        <v>-1077.7777777777781</v>
      </c>
      <c r="L111" s="321">
        <f t="shared" si="53"/>
        <v>-1077.7777777777781</v>
      </c>
      <c r="M111" s="321">
        <f t="shared" si="53"/>
        <v>-1077.7777777777781</v>
      </c>
      <c r="N111" s="321">
        <f t="shared" si="53"/>
        <v>-1077.7777777777781</v>
      </c>
      <c r="O111" s="321">
        <f t="shared" si="53"/>
        <v>-808.33333333333348</v>
      </c>
      <c r="P111" s="321">
        <f t="shared" si="53"/>
        <v>0</v>
      </c>
      <c r="Q111" s="321">
        <f t="shared" si="53"/>
        <v>0</v>
      </c>
      <c r="R111" s="321">
        <f t="shared" si="53"/>
        <v>0</v>
      </c>
      <c r="S111" s="321">
        <f t="shared" si="53"/>
        <v>0</v>
      </c>
      <c r="T111" s="321">
        <f t="shared" si="53"/>
        <v>0</v>
      </c>
      <c r="U111" s="321">
        <f t="shared" si="53"/>
        <v>0</v>
      </c>
    </row>
    <row r="112" spans="1:21" x14ac:dyDescent="0.35">
      <c r="B112" s="316" t="s">
        <v>298</v>
      </c>
      <c r="C112" s="317"/>
      <c r="D112" s="321">
        <f>D109+D110+D111</f>
        <v>2420.0000000000005</v>
      </c>
      <c r="E112" s="321">
        <f>E109+E110+E111</f>
        <v>6290.0000000000018</v>
      </c>
      <c r="F112" s="321">
        <f>F109+F110+F111</f>
        <v>9430.5555555555566</v>
      </c>
      <c r="G112" s="321">
        <f t="shared" ref="G112:U112" si="54">G109+G110+G111</f>
        <v>8352.7777777777792</v>
      </c>
      <c r="H112" s="321">
        <f t="shared" si="54"/>
        <v>7275.0000000000009</v>
      </c>
      <c r="I112" s="321">
        <f t="shared" si="54"/>
        <v>6197.2222222222226</v>
      </c>
      <c r="J112" s="321">
        <f t="shared" si="54"/>
        <v>5119.4444444444443</v>
      </c>
      <c r="K112" s="321">
        <f t="shared" si="54"/>
        <v>4041.6666666666661</v>
      </c>
      <c r="L112" s="321">
        <f t="shared" si="54"/>
        <v>2963.8888888888878</v>
      </c>
      <c r="M112" s="321">
        <f t="shared" si="54"/>
        <v>1886.1111111111097</v>
      </c>
      <c r="N112" s="321">
        <f t="shared" si="54"/>
        <v>808.33333333333167</v>
      </c>
      <c r="O112" s="321">
        <f t="shared" si="54"/>
        <v>-1.8189894035458565E-12</v>
      </c>
      <c r="P112" s="321">
        <f t="shared" si="54"/>
        <v>-1.8189894035458565E-12</v>
      </c>
      <c r="Q112" s="321">
        <f t="shared" si="54"/>
        <v>-1.8189894035458565E-12</v>
      </c>
      <c r="R112" s="321">
        <f t="shared" si="54"/>
        <v>-1.8189894035458565E-12</v>
      </c>
      <c r="S112" s="321">
        <f t="shared" si="54"/>
        <v>-1.8189894035458565E-12</v>
      </c>
      <c r="T112" s="321">
        <f t="shared" si="54"/>
        <v>-1.8189894035458565E-12</v>
      </c>
      <c r="U112" s="321">
        <f t="shared" si="54"/>
        <v>-1.8189894035458565E-12</v>
      </c>
    </row>
    <row r="113" spans="2:21" x14ac:dyDescent="0.35">
      <c r="B113" s="329" t="s">
        <v>185</v>
      </c>
      <c r="C113" s="317"/>
      <c r="D113" s="440">
        <f>D59-D112</f>
        <v>0</v>
      </c>
      <c r="E113" s="440">
        <f t="shared" ref="E113:U113" si="55">E59-E112</f>
        <v>0</v>
      </c>
      <c r="F113" s="440">
        <f t="shared" si="55"/>
        <v>0</v>
      </c>
      <c r="G113" s="440">
        <f t="shared" si="55"/>
        <v>0</v>
      </c>
      <c r="H113" s="440">
        <f t="shared" si="55"/>
        <v>0</v>
      </c>
      <c r="I113" s="440">
        <f t="shared" si="55"/>
        <v>0</v>
      </c>
      <c r="J113" s="440">
        <f t="shared" si="55"/>
        <v>0</v>
      </c>
      <c r="K113" s="440">
        <f t="shared" si="55"/>
        <v>0</v>
      </c>
      <c r="L113" s="440">
        <f t="shared" si="55"/>
        <v>0</v>
      </c>
      <c r="M113" s="440">
        <f t="shared" si="55"/>
        <v>0</v>
      </c>
      <c r="N113" s="440">
        <f t="shared" si="55"/>
        <v>0</v>
      </c>
      <c r="O113" s="440">
        <f t="shared" si="55"/>
        <v>0</v>
      </c>
      <c r="P113" s="440">
        <f t="shared" si="55"/>
        <v>0</v>
      </c>
      <c r="Q113" s="440">
        <f t="shared" si="55"/>
        <v>0</v>
      </c>
      <c r="R113" s="440">
        <f t="shared" si="55"/>
        <v>0</v>
      </c>
      <c r="S113" s="440">
        <f t="shared" si="55"/>
        <v>0</v>
      </c>
      <c r="T113" s="440">
        <f t="shared" si="55"/>
        <v>0</v>
      </c>
      <c r="U113" s="440">
        <f t="shared" si="55"/>
        <v>0</v>
      </c>
    </row>
    <row r="114" spans="2:21" x14ac:dyDescent="0.35">
      <c r="B114" s="316"/>
      <c r="C114" s="317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</row>
    <row r="115" spans="2:21" x14ac:dyDescent="0.35">
      <c r="B115" s="316" t="s">
        <v>300</v>
      </c>
      <c r="C115" s="430">
        <v>2.5000000000000001E-3</v>
      </c>
      <c r="D115" s="321">
        <f>(D110+E110+F110)*C115</f>
        <v>24.250000000000004</v>
      </c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</row>
    <row r="116" spans="2:21" ht="15" thickBot="1" x14ac:dyDescent="0.4">
      <c r="B116" s="316" t="s">
        <v>299</v>
      </c>
      <c r="C116" s="430">
        <v>2.5000000000000001E-3</v>
      </c>
      <c r="D116" s="442">
        <f>(E110+F110)*C116</f>
        <v>18.200000000000006</v>
      </c>
      <c r="E116" s="442">
        <f>F110*C116</f>
        <v>8.5250000000000021</v>
      </c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</row>
    <row r="117" spans="2:21" ht="15" thickTop="1" x14ac:dyDescent="0.35">
      <c r="B117" s="316" t="s">
        <v>301</v>
      </c>
      <c r="C117" s="317"/>
      <c r="D117" s="321">
        <f>D115+D116</f>
        <v>42.45000000000001</v>
      </c>
      <c r="E117" s="321">
        <f>E115+E116</f>
        <v>8.5250000000000021</v>
      </c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</row>
    <row r="118" spans="2:21" x14ac:dyDescent="0.35">
      <c r="B118" s="316"/>
      <c r="C118" s="317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</row>
    <row r="119" spans="2:21" x14ac:dyDescent="0.35">
      <c r="B119" s="314" t="s">
        <v>274</v>
      </c>
      <c r="C119" s="16"/>
      <c r="D119" s="17"/>
      <c r="E119" s="17"/>
      <c r="F119" s="17"/>
      <c r="G119" s="13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2:21" x14ac:dyDescent="0.35">
      <c r="B120" s="316" t="s">
        <v>275</v>
      </c>
      <c r="C120" s="317"/>
      <c r="D120" s="319">
        <v>0</v>
      </c>
      <c r="E120" s="319">
        <v>0</v>
      </c>
      <c r="F120" s="319">
        <v>0</v>
      </c>
      <c r="G120" s="319">
        <v>0</v>
      </c>
      <c r="H120" s="319">
        <f>G124</f>
        <v>930</v>
      </c>
      <c r="I120" s="319">
        <f t="shared" ref="I120:U120" si="56">H124</f>
        <v>940</v>
      </c>
      <c r="J120" s="319">
        <f t="shared" si="56"/>
        <v>960</v>
      </c>
      <c r="K120" s="319">
        <f t="shared" si="56"/>
        <v>980</v>
      </c>
      <c r="L120" s="319">
        <f t="shared" si="56"/>
        <v>990</v>
      </c>
      <c r="M120" s="319">
        <f t="shared" si="56"/>
        <v>1010</v>
      </c>
      <c r="N120" s="319">
        <f t="shared" si="56"/>
        <v>1030</v>
      </c>
      <c r="O120" s="319">
        <f t="shared" si="56"/>
        <v>1050</v>
      </c>
      <c r="P120" s="319">
        <f t="shared" si="56"/>
        <v>1070</v>
      </c>
      <c r="Q120" s="319">
        <f t="shared" si="56"/>
        <v>1090</v>
      </c>
      <c r="R120" s="319">
        <f t="shared" si="56"/>
        <v>1110</v>
      </c>
      <c r="S120" s="319">
        <f t="shared" si="56"/>
        <v>1130</v>
      </c>
      <c r="T120" s="319">
        <f t="shared" si="56"/>
        <v>1160</v>
      </c>
      <c r="U120" s="319">
        <f t="shared" si="56"/>
        <v>1180</v>
      </c>
    </row>
    <row r="121" spans="2:21" x14ac:dyDescent="0.35">
      <c r="B121" s="316" t="s">
        <v>276</v>
      </c>
      <c r="C121" s="317"/>
      <c r="D121" s="319">
        <v>0</v>
      </c>
      <c r="E121" s="319">
        <v>0</v>
      </c>
      <c r="F121" s="319">
        <v>0</v>
      </c>
      <c r="G121" s="319">
        <f t="shared" ref="G121:U121" si="57">(G105-F105)*G122</f>
        <v>930</v>
      </c>
      <c r="H121" s="319">
        <f t="shared" si="57"/>
        <v>10</v>
      </c>
      <c r="I121" s="319">
        <f t="shared" si="57"/>
        <v>20</v>
      </c>
      <c r="J121" s="319">
        <f t="shared" si="57"/>
        <v>20</v>
      </c>
      <c r="K121" s="319">
        <f t="shared" si="57"/>
        <v>10</v>
      </c>
      <c r="L121" s="319">
        <f t="shared" si="57"/>
        <v>20</v>
      </c>
      <c r="M121" s="319">
        <f t="shared" si="57"/>
        <v>20</v>
      </c>
      <c r="N121" s="319">
        <f t="shared" si="57"/>
        <v>20</v>
      </c>
      <c r="O121" s="319">
        <f t="shared" si="57"/>
        <v>20</v>
      </c>
      <c r="P121" s="319">
        <f t="shared" si="57"/>
        <v>20</v>
      </c>
      <c r="Q121" s="319">
        <f t="shared" si="57"/>
        <v>20</v>
      </c>
      <c r="R121" s="319">
        <f t="shared" si="57"/>
        <v>20</v>
      </c>
      <c r="S121" s="319">
        <f t="shared" si="57"/>
        <v>30</v>
      </c>
      <c r="T121" s="319">
        <f t="shared" si="57"/>
        <v>20</v>
      </c>
      <c r="U121" s="319">
        <f t="shared" si="57"/>
        <v>20</v>
      </c>
    </row>
    <row r="122" spans="2:21" x14ac:dyDescent="0.35">
      <c r="B122" s="316" t="s">
        <v>278</v>
      </c>
      <c r="C122" s="317"/>
      <c r="D122" s="324"/>
      <c r="E122" s="324"/>
      <c r="F122" s="324"/>
      <c r="G122" s="325">
        <v>0.75</v>
      </c>
      <c r="H122" s="325">
        <v>1</v>
      </c>
      <c r="I122" s="325">
        <v>0.66666666666666663</v>
      </c>
      <c r="J122" s="325">
        <v>1</v>
      </c>
      <c r="K122" s="325">
        <v>0.5</v>
      </c>
      <c r="L122" s="325">
        <v>0.66666666666666663</v>
      </c>
      <c r="M122" s="325">
        <v>1</v>
      </c>
      <c r="N122" s="325">
        <v>0.66666666666666663</v>
      </c>
      <c r="O122" s="325">
        <v>0.66666666666666663</v>
      </c>
      <c r="P122" s="325">
        <v>1</v>
      </c>
      <c r="Q122" s="325">
        <v>0.66666666666666663</v>
      </c>
      <c r="R122" s="325">
        <v>0.66666666666666663</v>
      </c>
      <c r="S122" s="325">
        <v>1</v>
      </c>
      <c r="T122" s="325">
        <v>0.66666666666666663</v>
      </c>
      <c r="U122" s="325">
        <v>0.66666666666666663</v>
      </c>
    </row>
    <row r="123" spans="2:21" x14ac:dyDescent="0.35">
      <c r="B123" s="316" t="s">
        <v>240</v>
      </c>
      <c r="C123" s="317"/>
      <c r="D123" s="324"/>
      <c r="E123" s="324"/>
      <c r="F123" s="324"/>
      <c r="G123" s="415">
        <v>0</v>
      </c>
      <c r="H123" s="415">
        <v>0</v>
      </c>
      <c r="I123" s="415">
        <v>0</v>
      </c>
      <c r="J123" s="415">
        <v>0</v>
      </c>
      <c r="K123" s="415">
        <v>0</v>
      </c>
      <c r="L123" s="415">
        <v>0</v>
      </c>
      <c r="M123" s="415">
        <v>0</v>
      </c>
      <c r="N123" s="415">
        <v>0</v>
      </c>
      <c r="O123" s="415">
        <v>0</v>
      </c>
      <c r="P123" s="415">
        <v>0</v>
      </c>
      <c r="Q123" s="415">
        <v>0</v>
      </c>
      <c r="R123" s="415">
        <v>0</v>
      </c>
      <c r="S123" s="415">
        <v>0</v>
      </c>
      <c r="T123" s="415">
        <v>0</v>
      </c>
      <c r="U123" s="415">
        <v>0</v>
      </c>
    </row>
    <row r="124" spans="2:21" x14ac:dyDescent="0.35">
      <c r="B124" s="316" t="s">
        <v>277</v>
      </c>
      <c r="C124" s="317"/>
      <c r="D124" s="324"/>
      <c r="E124" s="324"/>
      <c r="F124" s="324"/>
      <c r="G124" s="416">
        <f>G120+G121+G123</f>
        <v>930</v>
      </c>
      <c r="H124" s="416">
        <f t="shared" ref="H124:U124" si="58">H120+H121+H123</f>
        <v>940</v>
      </c>
      <c r="I124" s="416">
        <f t="shared" si="58"/>
        <v>960</v>
      </c>
      <c r="J124" s="416">
        <f t="shared" si="58"/>
        <v>980</v>
      </c>
      <c r="K124" s="416">
        <f t="shared" si="58"/>
        <v>990</v>
      </c>
      <c r="L124" s="416">
        <f t="shared" si="58"/>
        <v>1010</v>
      </c>
      <c r="M124" s="416">
        <f t="shared" si="58"/>
        <v>1030</v>
      </c>
      <c r="N124" s="416">
        <f t="shared" si="58"/>
        <v>1050</v>
      </c>
      <c r="O124" s="416">
        <f t="shared" si="58"/>
        <v>1070</v>
      </c>
      <c r="P124" s="416">
        <f t="shared" si="58"/>
        <v>1090</v>
      </c>
      <c r="Q124" s="416">
        <f t="shared" si="58"/>
        <v>1110</v>
      </c>
      <c r="R124" s="416">
        <f t="shared" si="58"/>
        <v>1130</v>
      </c>
      <c r="S124" s="416">
        <f t="shared" si="58"/>
        <v>1160</v>
      </c>
      <c r="T124" s="416">
        <f t="shared" si="58"/>
        <v>1180</v>
      </c>
      <c r="U124" s="416">
        <f t="shared" si="58"/>
        <v>1200</v>
      </c>
    </row>
    <row r="125" spans="2:21" x14ac:dyDescent="0.35">
      <c r="B125" s="316"/>
      <c r="C125" s="317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</row>
    <row r="126" spans="2:21" x14ac:dyDescent="0.35">
      <c r="B126" s="314" t="s">
        <v>233</v>
      </c>
      <c r="C126" s="317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</row>
    <row r="127" spans="2:21" x14ac:dyDescent="0.35">
      <c r="B127" s="316" t="s">
        <v>195</v>
      </c>
      <c r="C127" s="317"/>
      <c r="D127" s="320">
        <f>D33</f>
        <v>0</v>
      </c>
      <c r="E127" s="320">
        <f>E33</f>
        <v>0</v>
      </c>
      <c r="F127" s="320">
        <f t="shared" ref="F127:U127" si="59">F31*F128</f>
        <v>0</v>
      </c>
      <c r="G127" s="320">
        <f t="shared" si="59"/>
        <v>210.20815142302843</v>
      </c>
      <c r="H127" s="320">
        <f t="shared" si="59"/>
        <v>225.19710256876024</v>
      </c>
      <c r="I127" s="320">
        <f t="shared" si="59"/>
        <v>234.85126393598222</v>
      </c>
      <c r="J127" s="320">
        <f t="shared" si="59"/>
        <v>255.40709039890558</v>
      </c>
      <c r="K127" s="320">
        <f t="shared" si="59"/>
        <v>265.32813153117348</v>
      </c>
      <c r="L127" s="320">
        <f t="shared" si="59"/>
        <v>275.29022183143962</v>
      </c>
      <c r="M127" s="320">
        <f t="shared" si="59"/>
        <v>285.2944008095713</v>
      </c>
      <c r="N127" s="320">
        <f t="shared" si="59"/>
        <v>295.331643988633</v>
      </c>
      <c r="O127" s="320">
        <f t="shared" si="59"/>
        <v>302.82423615575448</v>
      </c>
      <c r="P127" s="320">
        <f t="shared" si="59"/>
        <v>305.26721037523919</v>
      </c>
      <c r="Q127" s="320">
        <f t="shared" si="59"/>
        <v>290</v>
      </c>
      <c r="R127" s="320">
        <f t="shared" si="59"/>
        <v>280</v>
      </c>
      <c r="S127" s="320">
        <f t="shared" si="59"/>
        <v>260</v>
      </c>
      <c r="T127" s="320">
        <f t="shared" si="59"/>
        <v>250.00000000000003</v>
      </c>
      <c r="U127" s="320">
        <f t="shared" si="59"/>
        <v>230</v>
      </c>
    </row>
    <row r="128" spans="2:21" x14ac:dyDescent="0.35">
      <c r="B128" s="316" t="s">
        <v>194</v>
      </c>
      <c r="C128" s="317"/>
      <c r="D128" s="326">
        <v>0</v>
      </c>
      <c r="E128" s="326">
        <v>0</v>
      </c>
      <c r="F128" s="328">
        <f>G128</f>
        <v>0.15802091986112105</v>
      </c>
      <c r="G128" s="328">
        <v>0.15802091986112105</v>
      </c>
      <c r="H128" s="328">
        <v>0.15907644000795851</v>
      </c>
      <c r="I128" s="328">
        <v>0.15687954861953068</v>
      </c>
      <c r="J128" s="328">
        <v>0.16217989893584819</v>
      </c>
      <c r="K128" s="328">
        <v>0.16078459648084042</v>
      </c>
      <c r="L128" s="328">
        <v>0.1598281027676608</v>
      </c>
      <c r="M128" s="328">
        <v>0.15931667509970082</v>
      </c>
      <c r="N128" s="328">
        <v>0.15915201372283375</v>
      </c>
      <c r="O128" s="328">
        <v>0.15930728143794376</v>
      </c>
      <c r="P128" s="328">
        <v>0.16256822145799854</v>
      </c>
      <c r="Q128" s="328">
        <v>0.16089807467774875</v>
      </c>
      <c r="R128" s="328">
        <v>0.16250207573723705</v>
      </c>
      <c r="S128" s="328">
        <v>0.15862844089049913</v>
      </c>
      <c r="T128" s="328">
        <v>0.16120493557646226</v>
      </c>
      <c r="U128" s="328">
        <v>0.15766239791680375</v>
      </c>
    </row>
    <row r="129" spans="2:21" s="34" customFormat="1" x14ac:dyDescent="0.35">
      <c r="N129" s="327"/>
      <c r="O129" s="327"/>
      <c r="P129" s="327"/>
      <c r="Q129" s="327"/>
      <c r="R129" s="327"/>
      <c r="S129" s="327"/>
      <c r="T129" s="327"/>
      <c r="U129" s="327"/>
    </row>
    <row r="130" spans="2:21" s="34" customFormat="1" x14ac:dyDescent="0.35">
      <c r="B130" s="361" t="s">
        <v>234</v>
      </c>
      <c r="N130" s="327"/>
      <c r="O130" s="327"/>
      <c r="P130" s="327"/>
      <c r="Q130" s="327"/>
      <c r="R130" s="327"/>
      <c r="S130" s="327"/>
      <c r="T130" s="327"/>
      <c r="U130" s="327"/>
    </row>
    <row r="131" spans="2:21" s="34" customFormat="1" x14ac:dyDescent="0.35">
      <c r="B131" s="335" t="s">
        <v>198</v>
      </c>
      <c r="D131" s="277">
        <f t="shared" ref="D131:U131" si="60">C136</f>
        <v>0</v>
      </c>
      <c r="E131" s="277">
        <f t="shared" si="60"/>
        <v>-42.45000000000001</v>
      </c>
      <c r="F131" s="277">
        <f t="shared" si="60"/>
        <v>-50.975000000000009</v>
      </c>
      <c r="G131" s="277">
        <f t="shared" si="60"/>
        <v>-50.975000000000009</v>
      </c>
      <c r="H131" s="277">
        <f t="shared" si="60"/>
        <v>968.53453440168778</v>
      </c>
      <c r="I131" s="277">
        <f t="shared" si="60"/>
        <v>2062.3490325928092</v>
      </c>
      <c r="J131" s="277">
        <f t="shared" si="60"/>
        <v>3225.9302948210843</v>
      </c>
      <c r="K131" s="277">
        <f t="shared" si="60"/>
        <v>4449.7559363158407</v>
      </c>
      <c r="L131" s="277">
        <f t="shared" si="60"/>
        <v>5733.9440929267203</v>
      </c>
      <c r="M131" s="277">
        <f t="shared" si="60"/>
        <v>7078.6309457187526</v>
      </c>
      <c r="N131" s="277">
        <f t="shared" si="60"/>
        <v>8483.9700311881224</v>
      </c>
      <c r="O131" s="277">
        <f t="shared" si="60"/>
        <v>9949.5696508472229</v>
      </c>
      <c r="P131" s="277">
        <f t="shared" si="60"/>
        <v>11482.919469960327</v>
      </c>
      <c r="Q131" s="277">
        <f t="shared" si="60"/>
        <v>13038.61818541466</v>
      </c>
      <c r="R131" s="277">
        <f t="shared" si="60"/>
        <v>14538.61818541466</v>
      </c>
      <c r="S131" s="277">
        <f t="shared" si="60"/>
        <v>15998.61818541466</v>
      </c>
      <c r="T131" s="277">
        <f t="shared" si="60"/>
        <v>17398.61818541466</v>
      </c>
      <c r="U131" s="277">
        <f t="shared" si="60"/>
        <v>18738.61818541466</v>
      </c>
    </row>
    <row r="132" spans="2:21" s="34" customFormat="1" x14ac:dyDescent="0.35">
      <c r="B132" s="34" t="s">
        <v>87</v>
      </c>
      <c r="F132" s="277">
        <f t="shared" ref="F132:U132" si="61">F35</f>
        <v>0</v>
      </c>
      <c r="G132" s="277">
        <f t="shared" si="61"/>
        <v>1120.0470553418281</v>
      </c>
      <c r="H132" s="277">
        <f t="shared" si="61"/>
        <v>1190.4562937323749</v>
      </c>
      <c r="I132" s="277">
        <f t="shared" si="61"/>
        <v>1262.1651795875202</v>
      </c>
      <c r="J132" s="277">
        <f t="shared" si="61"/>
        <v>1319.4310496836349</v>
      </c>
      <c r="K132" s="277">
        <f t="shared" si="61"/>
        <v>1384.8805161783773</v>
      </c>
      <c r="L132" s="277">
        <f t="shared" si="61"/>
        <v>1447.1241537657231</v>
      </c>
      <c r="M132" s="277">
        <f t="shared" si="61"/>
        <v>1505.4434527831756</v>
      </c>
      <c r="N132" s="277">
        <f t="shared" si="61"/>
        <v>1570.3259570704317</v>
      </c>
      <c r="O132" s="277">
        <f t="shared" si="61"/>
        <v>1638.0570884289978</v>
      </c>
      <c r="P132" s="277">
        <f t="shared" si="61"/>
        <v>1642.5119006800455</v>
      </c>
      <c r="Q132" s="277">
        <f t="shared" si="61"/>
        <v>1602.3832825894297</v>
      </c>
      <c r="R132" s="277">
        <f t="shared" si="61"/>
        <v>1553.0549131738785</v>
      </c>
      <c r="S132" s="277">
        <f t="shared" si="61"/>
        <v>1509.0503401560723</v>
      </c>
      <c r="T132" s="277">
        <f t="shared" si="61"/>
        <v>1440.8210037491112</v>
      </c>
      <c r="U132" s="277">
        <f t="shared" si="61"/>
        <v>1378.8132810295565</v>
      </c>
    </row>
    <row r="133" spans="2:21" s="34" customFormat="1" x14ac:dyDescent="0.35">
      <c r="B133" s="34" t="s">
        <v>302</v>
      </c>
      <c r="D133" s="277">
        <f>-D117</f>
        <v>-42.45000000000001</v>
      </c>
      <c r="E133" s="277">
        <f>-E117</f>
        <v>-8.5250000000000021</v>
      </c>
      <c r="F133" s="277">
        <f>F90</f>
        <v>0</v>
      </c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</row>
    <row r="134" spans="2:21" s="34" customFormat="1" x14ac:dyDescent="0.35">
      <c r="B134" s="335" t="s">
        <v>256</v>
      </c>
      <c r="G134" s="277">
        <f>-G132*G135</f>
        <v>-100.53752094014048</v>
      </c>
      <c r="H134" s="277">
        <f t="shared" ref="H134:U134" si="62">-H132*H135</f>
        <v>-96.641795541253671</v>
      </c>
      <c r="I134" s="277">
        <f t="shared" si="62"/>
        <v>-98.58391735924468</v>
      </c>
      <c r="J134" s="277">
        <f t="shared" si="62"/>
        <v>-95.605408188879096</v>
      </c>
      <c r="K134" s="277">
        <f t="shared" si="62"/>
        <v>-100.69235956749775</v>
      </c>
      <c r="L134" s="277">
        <f t="shared" si="62"/>
        <v>-102.43730097369121</v>
      </c>
      <c r="M134" s="277">
        <f t="shared" si="62"/>
        <v>-100.10436731380598</v>
      </c>
      <c r="N134" s="277">
        <f t="shared" si="62"/>
        <v>-104.72633741133124</v>
      </c>
      <c r="O134" s="277">
        <f t="shared" si="62"/>
        <v>-104.70726931589368</v>
      </c>
      <c r="P134" s="277">
        <f t="shared" si="62"/>
        <v>-86.813185225712004</v>
      </c>
      <c r="Q134" s="277">
        <f t="shared" si="62"/>
        <v>-102.38328258942964</v>
      </c>
      <c r="R134" s="277">
        <f t="shared" si="62"/>
        <v>-93.054913173878504</v>
      </c>
      <c r="S134" s="277">
        <f t="shared" si="62"/>
        <v>-109.05034015607225</v>
      </c>
      <c r="T134" s="277">
        <f t="shared" si="62"/>
        <v>-100.82100374911124</v>
      </c>
      <c r="U134" s="277">
        <f t="shared" si="62"/>
        <v>-98.813281029556506</v>
      </c>
    </row>
    <row r="135" spans="2:21" s="34" customFormat="1" x14ac:dyDescent="0.35">
      <c r="B135" s="34" t="s">
        <v>199</v>
      </c>
      <c r="D135" s="337"/>
      <c r="E135" s="337"/>
      <c r="F135" s="337"/>
      <c r="G135" s="338">
        <v>8.9761872468346743E-2</v>
      </c>
      <c r="H135" s="338">
        <v>8.1180465045262384E-2</v>
      </c>
      <c r="I135" s="338">
        <v>7.8106985483042901E-2</v>
      </c>
      <c r="J135" s="338">
        <v>7.245957127642462E-2</v>
      </c>
      <c r="K135" s="338">
        <v>7.2708337211185248E-2</v>
      </c>
      <c r="L135" s="338">
        <v>7.0786808932134598E-2</v>
      </c>
      <c r="M135" s="338">
        <v>6.6494936843186567E-2</v>
      </c>
      <c r="N135" s="338">
        <v>6.6690827429679994E-2</v>
      </c>
      <c r="O135" s="338">
        <v>6.3921624011477343E-2</v>
      </c>
      <c r="P135" s="338">
        <v>5.2853915511826083E-2</v>
      </c>
      <c r="Q135" s="338">
        <v>6.389437764476652E-2</v>
      </c>
      <c r="R135" s="338">
        <v>5.9917336073911358E-2</v>
      </c>
      <c r="S135" s="338">
        <v>7.226421627842701E-2</v>
      </c>
      <c r="T135" s="338">
        <v>6.9974690462429642E-2</v>
      </c>
      <c r="U135" s="338">
        <v>7.1665454916254409E-2</v>
      </c>
    </row>
    <row r="136" spans="2:21" s="34" customFormat="1" x14ac:dyDescent="0.35">
      <c r="B136" s="335" t="s">
        <v>200</v>
      </c>
      <c r="D136" s="277">
        <f>D131+D132+D133+D134</f>
        <v>-42.45000000000001</v>
      </c>
      <c r="E136" s="277">
        <f>E131+E132+E133+E134</f>
        <v>-50.975000000000009</v>
      </c>
      <c r="F136" s="277">
        <f>F131+F132+F133+F134</f>
        <v>-50.975000000000009</v>
      </c>
      <c r="G136" s="277">
        <f>G131+G132+G133+G134</f>
        <v>968.53453440168778</v>
      </c>
      <c r="H136" s="277">
        <f t="shared" ref="H136:U136" si="63">H131+H132+H133+H134</f>
        <v>2062.3490325928092</v>
      </c>
      <c r="I136" s="277">
        <f t="shared" si="63"/>
        <v>3225.9302948210843</v>
      </c>
      <c r="J136" s="277">
        <f t="shared" si="63"/>
        <v>4449.7559363158407</v>
      </c>
      <c r="K136" s="277">
        <f t="shared" si="63"/>
        <v>5733.9440929267203</v>
      </c>
      <c r="L136" s="277">
        <f t="shared" si="63"/>
        <v>7078.6309457187526</v>
      </c>
      <c r="M136" s="277">
        <f t="shared" si="63"/>
        <v>8483.9700311881224</v>
      </c>
      <c r="N136" s="277">
        <f t="shared" si="63"/>
        <v>9949.5696508472229</v>
      </c>
      <c r="O136" s="277">
        <f t="shared" si="63"/>
        <v>11482.919469960327</v>
      </c>
      <c r="P136" s="277">
        <f t="shared" si="63"/>
        <v>13038.61818541466</v>
      </c>
      <c r="Q136" s="277">
        <f t="shared" si="63"/>
        <v>14538.61818541466</v>
      </c>
      <c r="R136" s="277">
        <f t="shared" si="63"/>
        <v>15998.61818541466</v>
      </c>
      <c r="S136" s="277">
        <f t="shared" si="63"/>
        <v>17398.61818541466</v>
      </c>
      <c r="T136" s="277">
        <f t="shared" si="63"/>
        <v>18738.61818541466</v>
      </c>
      <c r="U136" s="277">
        <f t="shared" si="63"/>
        <v>20018.61818541466</v>
      </c>
    </row>
    <row r="137" spans="2:21" s="34" customFormat="1" ht="8.75" customHeight="1" x14ac:dyDescent="0.35"/>
    <row r="138" spans="2:21" s="34" customFormat="1" ht="25.75" customHeight="1" x14ac:dyDescent="0.35">
      <c r="B138" s="361" t="s">
        <v>235</v>
      </c>
      <c r="C138" s="356" t="s">
        <v>228</v>
      </c>
      <c r="E138" s="356" t="s">
        <v>227</v>
      </c>
      <c r="G138" s="356" t="s">
        <v>229</v>
      </c>
    </row>
    <row r="139" spans="2:21" s="34" customFormat="1" x14ac:dyDescent="0.35">
      <c r="B139" s="34" t="s">
        <v>224</v>
      </c>
      <c r="C139" s="277">
        <f>U68</f>
        <v>1600</v>
      </c>
      <c r="E139" s="357">
        <v>0.1</v>
      </c>
      <c r="G139" s="277">
        <f>C139*E139</f>
        <v>160</v>
      </c>
    </row>
    <row r="140" spans="2:21" s="34" customFormat="1" x14ac:dyDescent="0.35">
      <c r="B140" s="34" t="s">
        <v>8</v>
      </c>
      <c r="C140" s="277">
        <f>U67</f>
        <v>3350</v>
      </c>
      <c r="E140" s="357">
        <v>0.1</v>
      </c>
      <c r="G140" s="277">
        <f>C140*E140</f>
        <v>335</v>
      </c>
    </row>
    <row r="141" spans="2:21" s="34" customFormat="1" x14ac:dyDescent="0.35">
      <c r="B141" s="34" t="s">
        <v>226</v>
      </c>
      <c r="C141" s="277">
        <f>U69</f>
        <v>740</v>
      </c>
      <c r="E141" s="357">
        <v>0</v>
      </c>
      <c r="G141" s="277">
        <f>C141*E141</f>
        <v>0</v>
      </c>
    </row>
    <row r="142" spans="2:21" s="34" customFormat="1" x14ac:dyDescent="0.35">
      <c r="B142" s="34" t="s">
        <v>9</v>
      </c>
      <c r="C142" s="277">
        <f>U70</f>
        <v>19739.593185414658</v>
      </c>
      <c r="E142" s="357">
        <v>1</v>
      </c>
      <c r="G142" s="358">
        <f>C142*E142</f>
        <v>19739.593185414658</v>
      </c>
    </row>
    <row r="143" spans="2:21" s="34" customFormat="1" x14ac:dyDescent="0.35">
      <c r="B143" s="360" t="s">
        <v>236</v>
      </c>
      <c r="C143" s="277"/>
      <c r="G143" s="359">
        <f>SUM(G139:G142)</f>
        <v>20234.593185414658</v>
      </c>
    </row>
    <row r="144" spans="2:21" s="34" customFormat="1" x14ac:dyDescent="0.35">
      <c r="B144" s="34" t="s">
        <v>225</v>
      </c>
      <c r="C144" s="277">
        <f>-U60</f>
        <v>-1200</v>
      </c>
      <c r="E144" s="357">
        <v>1</v>
      </c>
      <c r="G144" s="358">
        <f>C144*E144</f>
        <v>-1200</v>
      </c>
    </row>
    <row r="145" spans="2:23" s="34" customFormat="1" x14ac:dyDescent="0.35">
      <c r="B145" s="360" t="s">
        <v>237</v>
      </c>
      <c r="C145" s="277"/>
      <c r="G145" s="359">
        <f>G143+G144</f>
        <v>19034.593185414658</v>
      </c>
    </row>
    <row r="146" spans="2:23" s="34" customFormat="1" x14ac:dyDescent="0.35"/>
    <row r="147" spans="2:23" s="34" customFormat="1" ht="15" thickBot="1" x14ac:dyDescent="0.4"/>
    <row r="148" spans="2:23" s="34" customFormat="1" ht="17.5" thickBot="1" x14ac:dyDescent="0.4">
      <c r="B148" s="310" t="s">
        <v>238</v>
      </c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2"/>
    </row>
    <row r="149" spans="2:23" s="34" customFormat="1" ht="16" thickBot="1" x14ac:dyDescent="0.4">
      <c r="B149" s="95" t="s">
        <v>109</v>
      </c>
      <c r="C149" s="96">
        <v>2009</v>
      </c>
      <c r="D149" s="96">
        <v>2010</v>
      </c>
      <c r="E149" s="97">
        <v>2011</v>
      </c>
      <c r="F149" s="97">
        <v>2012</v>
      </c>
      <c r="G149" s="97">
        <v>2013</v>
      </c>
      <c r="H149" s="97">
        <v>2014</v>
      </c>
      <c r="I149" s="97">
        <v>2015</v>
      </c>
      <c r="J149" s="97">
        <v>2016</v>
      </c>
      <c r="K149" s="97">
        <v>2017</v>
      </c>
      <c r="L149" s="97">
        <v>2018</v>
      </c>
      <c r="M149" s="97">
        <v>2019</v>
      </c>
      <c r="N149" s="97">
        <v>2020</v>
      </c>
      <c r="O149" s="97">
        <v>2021</v>
      </c>
      <c r="P149" s="97">
        <v>2022</v>
      </c>
      <c r="Q149" s="97">
        <v>2023</v>
      </c>
      <c r="R149" s="97">
        <v>2024</v>
      </c>
      <c r="S149" s="97">
        <v>2025</v>
      </c>
      <c r="T149" s="97">
        <v>2026</v>
      </c>
      <c r="U149" s="98">
        <v>2027</v>
      </c>
    </row>
    <row r="150" spans="2:23" s="34" customFormat="1" ht="15.5" x14ac:dyDescent="0.35">
      <c r="B150" s="355" t="s">
        <v>247</v>
      </c>
      <c r="C150" s="198"/>
      <c r="D150" s="198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200"/>
    </row>
    <row r="151" spans="2:23" ht="15.5" x14ac:dyDescent="0.35">
      <c r="B151" s="103" t="s">
        <v>87</v>
      </c>
      <c r="C151" s="202"/>
      <c r="D151" s="510">
        <f t="shared" ref="D151:U151" si="64">D77</f>
        <v>0</v>
      </c>
      <c r="E151" s="510">
        <f t="shared" si="64"/>
        <v>0</v>
      </c>
      <c r="F151" s="510">
        <f t="shared" si="64"/>
        <v>0</v>
      </c>
      <c r="G151" s="510">
        <f t="shared" si="64"/>
        <v>1120.0470553418281</v>
      </c>
      <c r="H151" s="510">
        <f t="shared" si="64"/>
        <v>1190.4562937323749</v>
      </c>
      <c r="I151" s="510">
        <f t="shared" si="64"/>
        <v>1262.1651795875202</v>
      </c>
      <c r="J151" s="510">
        <f t="shared" si="64"/>
        <v>1319.4310496836349</v>
      </c>
      <c r="K151" s="510">
        <f t="shared" si="64"/>
        <v>1384.8805161783773</v>
      </c>
      <c r="L151" s="510">
        <f t="shared" si="64"/>
        <v>1447.1241537657231</v>
      </c>
      <c r="M151" s="510">
        <f t="shared" si="64"/>
        <v>1505.4434527831756</v>
      </c>
      <c r="N151" s="510">
        <f t="shared" si="64"/>
        <v>1570.3259570704317</v>
      </c>
      <c r="O151" s="510">
        <f t="shared" si="64"/>
        <v>1638.0570884289978</v>
      </c>
      <c r="P151" s="510">
        <f t="shared" si="64"/>
        <v>1642.5119006800455</v>
      </c>
      <c r="Q151" s="510">
        <f t="shared" si="64"/>
        <v>1602.3832825894297</v>
      </c>
      <c r="R151" s="510">
        <f t="shared" si="64"/>
        <v>1553.0549131738785</v>
      </c>
      <c r="S151" s="202">
        <f t="shared" si="64"/>
        <v>1509.0503401560723</v>
      </c>
      <c r="T151" s="202">
        <f t="shared" si="64"/>
        <v>1440.8210037491112</v>
      </c>
      <c r="U151" s="203">
        <f t="shared" si="64"/>
        <v>1378.8132810295565</v>
      </c>
    </row>
    <row r="152" spans="2:23" ht="15.5" x14ac:dyDescent="0.35">
      <c r="B152" s="103" t="s">
        <v>30</v>
      </c>
      <c r="C152" s="202"/>
      <c r="D152" s="510"/>
      <c r="E152" s="510"/>
      <c r="F152" s="510"/>
      <c r="G152" s="510">
        <f t="shared" ref="G152:U152" si="65">G78</f>
        <v>680</v>
      </c>
      <c r="H152" s="510">
        <f t="shared" si="65"/>
        <v>680</v>
      </c>
      <c r="I152" s="510">
        <f t="shared" si="65"/>
        <v>680</v>
      </c>
      <c r="J152" s="510">
        <f t="shared" si="65"/>
        <v>680</v>
      </c>
      <c r="K152" s="510">
        <f t="shared" si="65"/>
        <v>680</v>
      </c>
      <c r="L152" s="510">
        <f t="shared" si="65"/>
        <v>680</v>
      </c>
      <c r="M152" s="510">
        <f t="shared" si="65"/>
        <v>680</v>
      </c>
      <c r="N152" s="510">
        <f t="shared" si="65"/>
        <v>680</v>
      </c>
      <c r="O152" s="510">
        <f t="shared" si="65"/>
        <v>680</v>
      </c>
      <c r="P152" s="510">
        <f t="shared" si="65"/>
        <v>680</v>
      </c>
      <c r="Q152" s="510">
        <f t="shared" si="65"/>
        <v>680</v>
      </c>
      <c r="R152" s="510">
        <f t="shared" si="65"/>
        <v>680</v>
      </c>
      <c r="S152" s="202">
        <f t="shared" si="65"/>
        <v>680</v>
      </c>
      <c r="T152" s="202">
        <f t="shared" si="65"/>
        <v>680</v>
      </c>
      <c r="U152" s="203">
        <f t="shared" si="65"/>
        <v>680</v>
      </c>
    </row>
    <row r="153" spans="2:23" ht="15.5" x14ac:dyDescent="0.35">
      <c r="B153" s="103" t="s">
        <v>184</v>
      </c>
      <c r="C153" s="202"/>
      <c r="D153" s="510">
        <f t="shared" ref="D153:F153" si="66">D79</f>
        <v>-3460</v>
      </c>
      <c r="E153" s="510">
        <f t="shared" si="66"/>
        <v>-5520</v>
      </c>
      <c r="F153" s="510">
        <f t="shared" si="66"/>
        <v>-4570</v>
      </c>
      <c r="G153" s="510"/>
      <c r="H153" s="510"/>
      <c r="I153" s="510"/>
      <c r="J153" s="510"/>
      <c r="K153" s="510"/>
      <c r="L153" s="510"/>
      <c r="M153" s="510"/>
      <c r="N153" s="510"/>
      <c r="O153" s="510"/>
      <c r="P153" s="510"/>
      <c r="Q153" s="510"/>
      <c r="R153" s="510"/>
      <c r="S153" s="202"/>
      <c r="T153" s="202"/>
      <c r="U153" s="203"/>
    </row>
    <row r="154" spans="2:23" ht="15.5" x14ac:dyDescent="0.35">
      <c r="B154" s="103" t="s">
        <v>257</v>
      </c>
      <c r="C154" s="202"/>
      <c r="D154" s="510"/>
      <c r="E154" s="510"/>
      <c r="F154" s="510">
        <f>-13860-D153-E153-F153</f>
        <v>-310</v>
      </c>
      <c r="G154" s="510"/>
      <c r="H154" s="510"/>
      <c r="I154" s="510"/>
      <c r="J154" s="510"/>
      <c r="K154" s="510"/>
      <c r="L154" s="510"/>
      <c r="M154" s="510"/>
      <c r="N154" s="510"/>
      <c r="O154" s="510"/>
      <c r="P154" s="510"/>
      <c r="Q154" s="510"/>
      <c r="R154" s="510"/>
      <c r="S154" s="202"/>
      <c r="T154" s="202"/>
      <c r="U154" s="203"/>
    </row>
    <row r="155" spans="2:23" ht="15.5" x14ac:dyDescent="0.35">
      <c r="B155" s="103" t="s">
        <v>230</v>
      </c>
      <c r="C155" s="202"/>
      <c r="D155" s="510"/>
      <c r="E155" s="510"/>
      <c r="F155" s="510"/>
      <c r="G155" s="510">
        <f t="shared" ref="G155:U155" si="67">G80</f>
        <v>-1240</v>
      </c>
      <c r="H155" s="510">
        <f t="shared" si="67"/>
        <v>-10</v>
      </c>
      <c r="I155" s="510">
        <f t="shared" si="67"/>
        <v>-30</v>
      </c>
      <c r="J155" s="510">
        <f t="shared" si="67"/>
        <v>-20</v>
      </c>
      <c r="K155" s="510">
        <f t="shared" si="67"/>
        <v>-20</v>
      </c>
      <c r="L155" s="510">
        <f t="shared" si="67"/>
        <v>-30</v>
      </c>
      <c r="M155" s="510">
        <f t="shared" si="67"/>
        <v>-20</v>
      </c>
      <c r="N155" s="510">
        <f t="shared" si="67"/>
        <v>-30</v>
      </c>
      <c r="O155" s="510">
        <f t="shared" si="67"/>
        <v>-30</v>
      </c>
      <c r="P155" s="510">
        <f t="shared" si="67"/>
        <v>-20</v>
      </c>
      <c r="Q155" s="510">
        <f t="shared" si="67"/>
        <v>-30</v>
      </c>
      <c r="R155" s="510">
        <f t="shared" si="67"/>
        <v>-30</v>
      </c>
      <c r="S155" s="202">
        <f t="shared" si="67"/>
        <v>-30</v>
      </c>
      <c r="T155" s="202">
        <f t="shared" si="67"/>
        <v>-30</v>
      </c>
      <c r="U155" s="203">
        <f t="shared" si="67"/>
        <v>-30</v>
      </c>
    </row>
    <row r="156" spans="2:23" ht="15.5" x14ac:dyDescent="0.35">
      <c r="B156" s="103" t="s">
        <v>231</v>
      </c>
      <c r="C156" s="202"/>
      <c r="D156" s="510"/>
      <c r="E156" s="510"/>
      <c r="F156" s="510"/>
      <c r="G156" s="510"/>
      <c r="H156" s="510"/>
      <c r="I156" s="510"/>
      <c r="J156" s="510"/>
      <c r="K156" s="510"/>
      <c r="L156" s="510"/>
      <c r="M156" s="510"/>
      <c r="N156" s="510">
        <f t="shared" ref="N156:U157" si="68">N81</f>
        <v>-10</v>
      </c>
      <c r="O156" s="510">
        <f t="shared" si="68"/>
        <v>-40</v>
      </c>
      <c r="P156" s="510">
        <f t="shared" si="68"/>
        <v>-70</v>
      </c>
      <c r="Q156" s="510">
        <f t="shared" si="68"/>
        <v>-90</v>
      </c>
      <c r="R156" s="510">
        <f t="shared" si="68"/>
        <v>-110</v>
      </c>
      <c r="S156" s="202">
        <f t="shared" si="68"/>
        <v>-130</v>
      </c>
      <c r="T156" s="202">
        <f t="shared" si="68"/>
        <v>-140</v>
      </c>
      <c r="U156" s="203">
        <f t="shared" si="68"/>
        <v>-150</v>
      </c>
    </row>
    <row r="157" spans="2:23" ht="15.5" x14ac:dyDescent="0.35">
      <c r="B157" s="103" t="s">
        <v>145</v>
      </c>
      <c r="C157" s="202"/>
      <c r="D157" s="510"/>
      <c r="E157" s="510"/>
      <c r="F157" s="510"/>
      <c r="G157" s="510">
        <f t="shared" ref="G157:M157" si="69">G82</f>
        <v>1178.5999999999999</v>
      </c>
      <c r="H157" s="510">
        <f t="shared" si="69"/>
        <v>1049.8666666666668</v>
      </c>
      <c r="I157" s="510">
        <f t="shared" si="69"/>
        <v>922.33333333333337</v>
      </c>
      <c r="J157" s="510">
        <f t="shared" si="69"/>
        <v>795.4</v>
      </c>
      <c r="K157" s="510">
        <f t="shared" si="69"/>
        <v>667.86666666666656</v>
      </c>
      <c r="L157" s="510">
        <f t="shared" si="69"/>
        <v>540.33333333333326</v>
      </c>
      <c r="M157" s="510">
        <f t="shared" si="69"/>
        <v>413.39999999999981</v>
      </c>
      <c r="N157" s="510">
        <f t="shared" si="68"/>
        <v>286.46666666666647</v>
      </c>
      <c r="O157" s="510">
        <f t="shared" si="68"/>
        <v>175.69999999999976</v>
      </c>
      <c r="P157" s="510">
        <f t="shared" si="68"/>
        <v>129.59999999999977</v>
      </c>
      <c r="Q157" s="510">
        <f t="shared" si="68"/>
        <v>131.99999999999977</v>
      </c>
      <c r="R157" s="510">
        <f t="shared" si="68"/>
        <v>134.39999999999978</v>
      </c>
      <c r="S157" s="202">
        <f t="shared" si="68"/>
        <v>137.39999999999978</v>
      </c>
      <c r="T157" s="202">
        <f t="shared" si="68"/>
        <v>140.39999999999978</v>
      </c>
      <c r="U157" s="203">
        <f t="shared" si="68"/>
        <v>142.79999999999976</v>
      </c>
    </row>
    <row r="158" spans="2:23" ht="15.5" x14ac:dyDescent="0.35">
      <c r="B158" s="374" t="s">
        <v>248</v>
      </c>
      <c r="C158" s="307"/>
      <c r="D158" s="515">
        <f>SUM(D151:D157)</f>
        <v>-3460</v>
      </c>
      <c r="E158" s="515">
        <f t="shared" ref="E158:U158" si="70">SUM(E151:E157)</f>
        <v>-5520</v>
      </c>
      <c r="F158" s="515">
        <f t="shared" si="70"/>
        <v>-4880</v>
      </c>
      <c r="G158" s="515">
        <f t="shared" si="70"/>
        <v>1738.647055341828</v>
      </c>
      <c r="H158" s="515">
        <f t="shared" si="70"/>
        <v>2910.3229603990417</v>
      </c>
      <c r="I158" s="515">
        <f t="shared" si="70"/>
        <v>2834.4985129208535</v>
      </c>
      <c r="J158" s="515">
        <f t="shared" si="70"/>
        <v>2774.8310496836348</v>
      </c>
      <c r="K158" s="515">
        <f t="shared" si="70"/>
        <v>2712.7471828450443</v>
      </c>
      <c r="L158" s="515">
        <f t="shared" si="70"/>
        <v>2637.4574870990564</v>
      </c>
      <c r="M158" s="515">
        <f t="shared" si="70"/>
        <v>2578.8434527831751</v>
      </c>
      <c r="N158" s="515">
        <f t="shared" si="70"/>
        <v>2496.7926237370984</v>
      </c>
      <c r="O158" s="515">
        <f t="shared" si="70"/>
        <v>2423.7570884289976</v>
      </c>
      <c r="P158" s="515">
        <f t="shared" si="70"/>
        <v>2362.1119006800454</v>
      </c>
      <c r="Q158" s="515">
        <f t="shared" si="70"/>
        <v>2294.3832825894297</v>
      </c>
      <c r="R158" s="515">
        <f t="shared" si="70"/>
        <v>2227.4549131738781</v>
      </c>
      <c r="S158" s="307">
        <f t="shared" si="70"/>
        <v>2166.4503401560719</v>
      </c>
      <c r="T158" s="307">
        <f t="shared" si="70"/>
        <v>2091.2210037491109</v>
      </c>
      <c r="U158" s="308">
        <f t="shared" si="70"/>
        <v>2021.6132810295562</v>
      </c>
      <c r="W158" t="s">
        <v>324</v>
      </c>
    </row>
    <row r="159" spans="2:23" s="34" customFormat="1" ht="15.5" x14ac:dyDescent="0.35">
      <c r="B159" s="107" t="s">
        <v>307</v>
      </c>
      <c r="C159" s="204"/>
      <c r="D159" s="512"/>
      <c r="E159" s="513"/>
      <c r="F159" s="513"/>
      <c r="G159" s="513"/>
      <c r="H159" s="513"/>
      <c r="I159" s="513"/>
      <c r="J159" s="513"/>
      <c r="K159" s="513"/>
      <c r="L159" s="513"/>
      <c r="M159" s="513"/>
      <c r="N159" s="513"/>
      <c r="O159" s="513"/>
      <c r="P159" s="513"/>
      <c r="Q159" s="513"/>
      <c r="R159" s="513"/>
      <c r="S159" s="205"/>
      <c r="T159" s="205"/>
      <c r="U159" s="203">
        <f>G143</f>
        <v>20234.593185414658</v>
      </c>
    </row>
    <row r="160" spans="2:23" s="34" customFormat="1" ht="16" thickBot="1" x14ac:dyDescent="0.4">
      <c r="B160" s="123" t="s">
        <v>249</v>
      </c>
      <c r="C160" s="216"/>
      <c r="D160" s="514">
        <f t="shared" ref="D160:S160" si="71">D158+D159</f>
        <v>-3460</v>
      </c>
      <c r="E160" s="514">
        <f t="shared" si="71"/>
        <v>-5520</v>
      </c>
      <c r="F160" s="514">
        <f t="shared" si="71"/>
        <v>-4880</v>
      </c>
      <c r="G160" s="514">
        <f t="shared" si="71"/>
        <v>1738.647055341828</v>
      </c>
      <c r="H160" s="514">
        <f t="shared" si="71"/>
        <v>2910.3229603990417</v>
      </c>
      <c r="I160" s="514">
        <f t="shared" si="71"/>
        <v>2834.4985129208535</v>
      </c>
      <c r="J160" s="514">
        <f t="shared" si="71"/>
        <v>2774.8310496836348</v>
      </c>
      <c r="K160" s="514">
        <f t="shared" si="71"/>
        <v>2712.7471828450443</v>
      </c>
      <c r="L160" s="514">
        <f t="shared" si="71"/>
        <v>2637.4574870990564</v>
      </c>
      <c r="M160" s="514">
        <f t="shared" si="71"/>
        <v>2578.8434527831751</v>
      </c>
      <c r="N160" s="514">
        <f t="shared" si="71"/>
        <v>2496.7926237370984</v>
      </c>
      <c r="O160" s="514">
        <f t="shared" si="71"/>
        <v>2423.7570884289976</v>
      </c>
      <c r="P160" s="514">
        <f t="shared" si="71"/>
        <v>2362.1119006800454</v>
      </c>
      <c r="Q160" s="514">
        <f t="shared" si="71"/>
        <v>2294.3832825894297</v>
      </c>
      <c r="R160" s="514">
        <f t="shared" si="71"/>
        <v>2227.4549131738781</v>
      </c>
      <c r="S160" s="363">
        <f t="shared" si="71"/>
        <v>2166.4503401560719</v>
      </c>
      <c r="T160" s="363">
        <f>T158+T159</f>
        <v>2091.2210037491109</v>
      </c>
      <c r="U160" s="364">
        <f>U158+U159</f>
        <v>22256.206466444215</v>
      </c>
    </row>
    <row r="161" spans="2:24" s="34" customFormat="1" ht="7.5" customHeight="1" x14ac:dyDescent="0.35">
      <c r="B161" s="369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2:24" s="34" customFormat="1" ht="15.5" x14ac:dyDescent="0.35">
      <c r="B162" s="370" t="s">
        <v>242</v>
      </c>
      <c r="C162" s="371">
        <f>IRR(D160:U160)</f>
        <v>0.1608925402717154</v>
      </c>
      <c r="D162" s="418">
        <f>C162/C162</f>
        <v>1</v>
      </c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</row>
    <row r="163" spans="2:24" s="34" customFormat="1" ht="15.5" x14ac:dyDescent="0.35">
      <c r="B163" s="372" t="s">
        <v>243</v>
      </c>
      <c r="C163" s="373">
        <f>IRR(D158:U158)</f>
        <v>0.1351781020939955</v>
      </c>
      <c r="D163" s="419">
        <f>C163/C162</f>
        <v>0.84017631809222881</v>
      </c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</row>
    <row r="164" spans="2:24" s="34" customFormat="1" ht="15.5" x14ac:dyDescent="0.35">
      <c r="B164" s="372" t="s">
        <v>244</v>
      </c>
      <c r="C164" s="373">
        <f>C162-C163</f>
        <v>2.57144381777199E-2</v>
      </c>
      <c r="D164" s="419">
        <f>C164/C162</f>
        <v>0.15982368190777113</v>
      </c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</row>
    <row r="165" spans="2:24" s="34" customFormat="1" ht="15" thickBot="1" x14ac:dyDescent="0.4"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</row>
    <row r="166" spans="2:24" s="34" customFormat="1" ht="17.5" thickBot="1" x14ac:dyDescent="0.4">
      <c r="B166" s="310" t="s">
        <v>239</v>
      </c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2"/>
    </row>
    <row r="167" spans="2:24" s="34" customFormat="1" ht="16" thickBot="1" x14ac:dyDescent="0.4">
      <c r="B167" s="95" t="s">
        <v>109</v>
      </c>
      <c r="C167" s="96">
        <v>2009</v>
      </c>
      <c r="D167" s="96">
        <v>2010</v>
      </c>
      <c r="E167" s="97">
        <v>2011</v>
      </c>
      <c r="F167" s="97">
        <v>2012</v>
      </c>
      <c r="G167" s="97">
        <v>2013</v>
      </c>
      <c r="H167" s="97">
        <v>2014</v>
      </c>
      <c r="I167" s="97">
        <v>2015</v>
      </c>
      <c r="J167" s="97">
        <v>2016</v>
      </c>
      <c r="K167" s="97">
        <v>2017</v>
      </c>
      <c r="L167" s="97">
        <v>2018</v>
      </c>
      <c r="M167" s="97">
        <v>2019</v>
      </c>
      <c r="N167" s="97">
        <v>2020</v>
      </c>
      <c r="O167" s="97">
        <v>2021</v>
      </c>
      <c r="P167" s="97">
        <v>2022</v>
      </c>
      <c r="Q167" s="97">
        <v>2023</v>
      </c>
      <c r="R167" s="97">
        <v>2024</v>
      </c>
      <c r="S167" s="97">
        <v>2025</v>
      </c>
      <c r="T167" s="97">
        <v>2026</v>
      </c>
      <c r="U167" s="98">
        <v>2027</v>
      </c>
    </row>
    <row r="168" spans="2:24" s="34" customFormat="1" ht="15.5" x14ac:dyDescent="0.35">
      <c r="B168" s="355" t="s">
        <v>247</v>
      </c>
      <c r="C168" s="198"/>
      <c r="D168" s="198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200"/>
    </row>
    <row r="169" spans="2:24" s="134" customFormat="1" ht="15.5" x14ac:dyDescent="0.35">
      <c r="B169" s="103" t="s">
        <v>248</v>
      </c>
      <c r="C169" s="201"/>
      <c r="D169" s="507">
        <f t="shared" ref="D169:U169" si="72">D158</f>
        <v>-3460</v>
      </c>
      <c r="E169" s="507">
        <f t="shared" si="72"/>
        <v>-5520</v>
      </c>
      <c r="F169" s="507">
        <f t="shared" si="72"/>
        <v>-4880</v>
      </c>
      <c r="G169" s="507">
        <f t="shared" si="72"/>
        <v>1738.647055341828</v>
      </c>
      <c r="H169" s="507">
        <f t="shared" si="72"/>
        <v>2910.3229603990417</v>
      </c>
      <c r="I169" s="507">
        <f t="shared" si="72"/>
        <v>2834.4985129208535</v>
      </c>
      <c r="J169" s="507">
        <f t="shared" si="72"/>
        <v>2774.8310496836348</v>
      </c>
      <c r="K169" s="507">
        <f t="shared" si="72"/>
        <v>2712.7471828450443</v>
      </c>
      <c r="L169" s="507">
        <f t="shared" si="72"/>
        <v>2637.4574870990564</v>
      </c>
      <c r="M169" s="507">
        <f t="shared" si="72"/>
        <v>2578.8434527831751</v>
      </c>
      <c r="N169" s="507">
        <f t="shared" si="72"/>
        <v>2496.7926237370984</v>
      </c>
      <c r="O169" s="507">
        <f t="shared" si="72"/>
        <v>2423.7570884289976</v>
      </c>
      <c r="P169" s="507">
        <f t="shared" si="72"/>
        <v>2362.1119006800454</v>
      </c>
      <c r="Q169" s="507">
        <f t="shared" si="72"/>
        <v>2294.3832825894297</v>
      </c>
      <c r="R169" s="507">
        <f t="shared" si="72"/>
        <v>2227.4549131738781</v>
      </c>
      <c r="S169" s="201">
        <f t="shared" si="72"/>
        <v>2166.4503401560719</v>
      </c>
      <c r="T169" s="201">
        <f t="shared" si="72"/>
        <v>2091.2210037491109</v>
      </c>
      <c r="U169" s="203">
        <f t="shared" si="72"/>
        <v>2021.6132810295562</v>
      </c>
    </row>
    <row r="170" spans="2:24" s="34" customFormat="1" ht="15.5" x14ac:dyDescent="0.35">
      <c r="B170" s="355" t="s">
        <v>254</v>
      </c>
      <c r="C170" s="198"/>
      <c r="D170" s="508"/>
      <c r="E170" s="509"/>
      <c r="F170" s="509"/>
      <c r="G170" s="509"/>
      <c r="H170" s="509"/>
      <c r="I170" s="509"/>
      <c r="J170" s="509"/>
      <c r="K170" s="509"/>
      <c r="L170" s="509"/>
      <c r="M170" s="509"/>
      <c r="N170" s="509"/>
      <c r="O170" s="509"/>
      <c r="P170" s="509"/>
      <c r="Q170" s="509"/>
      <c r="R170" s="509"/>
      <c r="S170" s="199"/>
      <c r="T170" s="199"/>
      <c r="U170" s="200"/>
    </row>
    <row r="171" spans="2:24" ht="15.5" x14ac:dyDescent="0.35">
      <c r="B171" s="103" t="s">
        <v>190</v>
      </c>
      <c r="C171" s="202"/>
      <c r="D171" s="510">
        <f>D86</f>
        <v>2420.0000000000005</v>
      </c>
      <c r="E171" s="510">
        <f t="shared" ref="E171:F171" si="73">E86</f>
        <v>3870.0000000000009</v>
      </c>
      <c r="F171" s="510">
        <f t="shared" si="73"/>
        <v>3410.0000000000005</v>
      </c>
      <c r="G171" s="510"/>
      <c r="H171" s="510"/>
      <c r="I171" s="510"/>
      <c r="J171" s="510"/>
      <c r="K171" s="510"/>
      <c r="L171" s="510"/>
      <c r="M171" s="510"/>
      <c r="N171" s="510"/>
      <c r="O171" s="510"/>
      <c r="P171" s="510"/>
      <c r="Q171" s="510"/>
      <c r="R171" s="510"/>
      <c r="S171" s="202"/>
      <c r="T171" s="202"/>
      <c r="U171" s="203"/>
      <c r="W171" s="408">
        <f>SUM(D171:F171)</f>
        <v>9700.0000000000018</v>
      </c>
      <c r="X171" t="s">
        <v>305</v>
      </c>
    </row>
    <row r="172" spans="2:24" ht="15.5" x14ac:dyDescent="0.35">
      <c r="B172" s="103" t="s">
        <v>241</v>
      </c>
      <c r="C172" s="202"/>
      <c r="D172" s="510"/>
      <c r="E172" s="510"/>
      <c r="F172" s="510"/>
      <c r="G172" s="510">
        <f t="shared" ref="G172:P172" si="74">G87</f>
        <v>-1077.7777777777781</v>
      </c>
      <c r="H172" s="510">
        <f t="shared" si="74"/>
        <v>-1077.7777777777781</v>
      </c>
      <c r="I172" s="510">
        <f t="shared" si="74"/>
        <v>-1077.7777777777781</v>
      </c>
      <c r="J172" s="510">
        <f t="shared" si="74"/>
        <v>-1077.7777777777781</v>
      </c>
      <c r="K172" s="510">
        <f t="shared" si="74"/>
        <v>-1077.7777777777781</v>
      </c>
      <c r="L172" s="510">
        <f t="shared" si="74"/>
        <v>-1077.7777777777781</v>
      </c>
      <c r="M172" s="510">
        <f t="shared" si="74"/>
        <v>-1077.7777777777781</v>
      </c>
      <c r="N172" s="510">
        <f t="shared" si="74"/>
        <v>-1077.7777777777781</v>
      </c>
      <c r="O172" s="510">
        <f t="shared" si="74"/>
        <v>-808.33333333333348</v>
      </c>
      <c r="P172" s="510">
        <f t="shared" si="74"/>
        <v>0</v>
      </c>
      <c r="Q172" s="510"/>
      <c r="R172" s="510"/>
      <c r="S172" s="202"/>
      <c r="T172" s="202"/>
      <c r="U172" s="203"/>
      <c r="W172" s="276">
        <f>R4</f>
        <v>0.69985569985569995</v>
      </c>
      <c r="X172" t="s">
        <v>116</v>
      </c>
    </row>
    <row r="173" spans="2:24" ht="15.5" x14ac:dyDescent="0.35">
      <c r="B173" s="103" t="s">
        <v>186</v>
      </c>
      <c r="C173" s="339"/>
      <c r="D173" s="510"/>
      <c r="E173" s="510"/>
      <c r="F173" s="510"/>
      <c r="G173" s="510">
        <f>G88</f>
        <v>930</v>
      </c>
      <c r="H173" s="510">
        <f t="shared" ref="H173:T173" si="75">H88</f>
        <v>10</v>
      </c>
      <c r="I173" s="510">
        <f t="shared" si="75"/>
        <v>20</v>
      </c>
      <c r="J173" s="510">
        <f t="shared" si="75"/>
        <v>20</v>
      </c>
      <c r="K173" s="510">
        <f t="shared" si="75"/>
        <v>10</v>
      </c>
      <c r="L173" s="510">
        <f t="shared" si="75"/>
        <v>20</v>
      </c>
      <c r="M173" s="510">
        <f t="shared" si="75"/>
        <v>20</v>
      </c>
      <c r="N173" s="510">
        <f t="shared" si="75"/>
        <v>20</v>
      </c>
      <c r="O173" s="510">
        <f t="shared" si="75"/>
        <v>20</v>
      </c>
      <c r="P173" s="510">
        <f t="shared" si="75"/>
        <v>20</v>
      </c>
      <c r="Q173" s="510">
        <f t="shared" si="75"/>
        <v>20</v>
      </c>
      <c r="R173" s="510">
        <f t="shared" si="75"/>
        <v>20</v>
      </c>
      <c r="S173" s="202">
        <f t="shared" si="75"/>
        <v>30</v>
      </c>
      <c r="T173" s="202">
        <f t="shared" si="75"/>
        <v>20</v>
      </c>
      <c r="U173" s="203">
        <f>U88</f>
        <v>20</v>
      </c>
      <c r="V173" s="284"/>
    </row>
    <row r="174" spans="2:24" ht="15.5" x14ac:dyDescent="0.35">
      <c r="B174" s="103" t="s">
        <v>240</v>
      </c>
      <c r="C174" s="339"/>
      <c r="D174" s="510"/>
      <c r="E174" s="510"/>
      <c r="F174" s="510"/>
      <c r="G174" s="510">
        <f>G89</f>
        <v>0</v>
      </c>
      <c r="H174" s="510">
        <f t="shared" ref="H174:T174" si="76">H89</f>
        <v>0</v>
      </c>
      <c r="I174" s="510">
        <f t="shared" si="76"/>
        <v>0</v>
      </c>
      <c r="J174" s="510">
        <f t="shared" si="76"/>
        <v>0</v>
      </c>
      <c r="K174" s="510">
        <f t="shared" si="76"/>
        <v>0</v>
      </c>
      <c r="L174" s="510">
        <f t="shared" si="76"/>
        <v>0</v>
      </c>
      <c r="M174" s="510">
        <f t="shared" si="76"/>
        <v>0</v>
      </c>
      <c r="N174" s="510">
        <f t="shared" si="76"/>
        <v>0</v>
      </c>
      <c r="O174" s="510">
        <f t="shared" si="76"/>
        <v>0</v>
      </c>
      <c r="P174" s="510">
        <f t="shared" si="76"/>
        <v>0</v>
      </c>
      <c r="Q174" s="510">
        <f t="shared" si="76"/>
        <v>0</v>
      </c>
      <c r="R174" s="510">
        <f t="shared" si="76"/>
        <v>0</v>
      </c>
      <c r="S174" s="202">
        <f t="shared" si="76"/>
        <v>0</v>
      </c>
      <c r="T174" s="202">
        <f t="shared" si="76"/>
        <v>0</v>
      </c>
      <c r="U174" s="203">
        <f>U89</f>
        <v>0</v>
      </c>
      <c r="V174" s="284"/>
    </row>
    <row r="175" spans="2:24" ht="15.5" x14ac:dyDescent="0.35">
      <c r="B175" s="103" t="s">
        <v>145</v>
      </c>
      <c r="C175" s="202"/>
      <c r="D175" s="510">
        <f>D133</f>
        <v>-42.45000000000001</v>
      </c>
      <c r="E175" s="510">
        <f>E133</f>
        <v>-8.5250000000000021</v>
      </c>
      <c r="F175" s="510">
        <f>F133</f>
        <v>0</v>
      </c>
      <c r="G175" s="510">
        <f>G90</f>
        <v>-1178.5999999999999</v>
      </c>
      <c r="H175" s="510">
        <f t="shared" ref="H175:T175" si="77">H90</f>
        <v>-1049.8666666666668</v>
      </c>
      <c r="I175" s="510">
        <f t="shared" si="77"/>
        <v>-922.33333333333337</v>
      </c>
      <c r="J175" s="510">
        <f t="shared" si="77"/>
        <v>-795.4</v>
      </c>
      <c r="K175" s="510">
        <f t="shared" si="77"/>
        <v>-667.86666666666656</v>
      </c>
      <c r="L175" s="510">
        <f t="shared" si="77"/>
        <v>-540.33333333333326</v>
      </c>
      <c r="M175" s="510">
        <f t="shared" si="77"/>
        <v>-413.39999999999981</v>
      </c>
      <c r="N175" s="510">
        <f t="shared" si="77"/>
        <v>-286.46666666666647</v>
      </c>
      <c r="O175" s="510">
        <f t="shared" si="77"/>
        <v>-175.69999999999976</v>
      </c>
      <c r="P175" s="510">
        <f t="shared" si="77"/>
        <v>-129.59999999999977</v>
      </c>
      <c r="Q175" s="510">
        <f t="shared" si="77"/>
        <v>-131.99999999999977</v>
      </c>
      <c r="R175" s="510">
        <f t="shared" si="77"/>
        <v>-134.39999999999978</v>
      </c>
      <c r="S175" s="202">
        <f t="shared" si="77"/>
        <v>-137.39999999999978</v>
      </c>
      <c r="T175" s="202">
        <f t="shared" si="77"/>
        <v>-140.39999999999978</v>
      </c>
      <c r="U175" s="203">
        <f>U90</f>
        <v>-142.79999999999976</v>
      </c>
    </row>
    <row r="176" spans="2:24" ht="5.75" customHeight="1" thickBot="1" x14ac:dyDescent="0.4">
      <c r="B176" s="123"/>
      <c r="C176" s="202"/>
      <c r="D176" s="510"/>
      <c r="E176" s="510"/>
      <c r="F176" s="510"/>
      <c r="G176" s="510"/>
      <c r="H176" s="510"/>
      <c r="I176" s="510"/>
      <c r="J176" s="510"/>
      <c r="K176" s="510"/>
      <c r="L176" s="510"/>
      <c r="M176" s="510"/>
      <c r="N176" s="510"/>
      <c r="O176" s="510"/>
      <c r="P176" s="510"/>
      <c r="Q176" s="510"/>
      <c r="R176" s="510"/>
      <c r="S176" s="202"/>
      <c r="T176" s="202"/>
      <c r="U176" s="203"/>
    </row>
    <row r="177" spans="2:24" s="34" customFormat="1" ht="15.5" x14ac:dyDescent="0.35">
      <c r="B177" s="119" t="s">
        <v>253</v>
      </c>
      <c r="C177" s="213"/>
      <c r="D177" s="511">
        <f t="shared" ref="D177:U177" si="78">SUM(D169:D175)</f>
        <v>-1082.4499999999996</v>
      </c>
      <c r="E177" s="511">
        <f t="shared" si="78"/>
        <v>-1658.5249999999992</v>
      </c>
      <c r="F177" s="511">
        <f t="shared" si="78"/>
        <v>-1469.9999999999995</v>
      </c>
      <c r="G177" s="511">
        <f t="shared" si="78"/>
        <v>412.26927756405007</v>
      </c>
      <c r="H177" s="511">
        <f t="shared" si="78"/>
        <v>792.67851595459683</v>
      </c>
      <c r="I177" s="511">
        <f t="shared" si="78"/>
        <v>854.38740180974207</v>
      </c>
      <c r="J177" s="511">
        <f t="shared" si="78"/>
        <v>921.65327190585674</v>
      </c>
      <c r="K177" s="511">
        <f t="shared" si="78"/>
        <v>977.10273840059972</v>
      </c>
      <c r="L177" s="511">
        <f t="shared" si="78"/>
        <v>1039.3463759879451</v>
      </c>
      <c r="M177" s="511">
        <f t="shared" si="78"/>
        <v>1107.6656750053971</v>
      </c>
      <c r="N177" s="511">
        <f t="shared" si="78"/>
        <v>1152.5481792926539</v>
      </c>
      <c r="O177" s="511">
        <f t="shared" si="78"/>
        <v>1459.7237550956643</v>
      </c>
      <c r="P177" s="511">
        <f t="shared" si="78"/>
        <v>2252.5119006800455</v>
      </c>
      <c r="Q177" s="511">
        <f t="shared" si="78"/>
        <v>2182.3832825894297</v>
      </c>
      <c r="R177" s="511">
        <f t="shared" si="78"/>
        <v>2113.0549131738785</v>
      </c>
      <c r="S177" s="362">
        <f t="shared" si="78"/>
        <v>2059.0503401560723</v>
      </c>
      <c r="T177" s="362">
        <f t="shared" si="78"/>
        <v>1970.821003749111</v>
      </c>
      <c r="U177" s="365">
        <f t="shared" si="78"/>
        <v>1898.8132810295565</v>
      </c>
      <c r="W177" s="277">
        <f>-Q6+D175+E175</f>
        <v>-4210.9749999999985</v>
      </c>
      <c r="X177" s="34" t="s">
        <v>306</v>
      </c>
    </row>
    <row r="178" spans="2:24" s="34" customFormat="1" ht="15.5" x14ac:dyDescent="0.35">
      <c r="B178" s="107" t="s">
        <v>308</v>
      </c>
      <c r="C178" s="204"/>
      <c r="D178" s="512"/>
      <c r="E178" s="513"/>
      <c r="F178" s="513"/>
      <c r="G178" s="513"/>
      <c r="H178" s="513"/>
      <c r="I178" s="513"/>
      <c r="J178" s="513"/>
      <c r="K178" s="513"/>
      <c r="L178" s="513"/>
      <c r="M178" s="513"/>
      <c r="N178" s="513"/>
      <c r="O178" s="513"/>
      <c r="P178" s="513"/>
      <c r="Q178" s="513"/>
      <c r="R178" s="513"/>
      <c r="S178" s="205"/>
      <c r="T178" s="205"/>
      <c r="U178" s="203">
        <f>G145</f>
        <v>19034.593185414658</v>
      </c>
      <c r="W178" s="277">
        <f>D177+E177+F177</f>
        <v>-4210.9749999999985</v>
      </c>
    </row>
    <row r="179" spans="2:24" s="34" customFormat="1" ht="16" thickBot="1" x14ac:dyDescent="0.4">
      <c r="B179" s="123" t="s">
        <v>250</v>
      </c>
      <c r="C179" s="216"/>
      <c r="D179" s="514">
        <f t="shared" ref="D179:S179" si="79">D177+D178</f>
        <v>-1082.4499999999996</v>
      </c>
      <c r="E179" s="514">
        <f t="shared" si="79"/>
        <v>-1658.5249999999992</v>
      </c>
      <c r="F179" s="514">
        <f t="shared" si="79"/>
        <v>-1469.9999999999995</v>
      </c>
      <c r="G179" s="514">
        <f t="shared" si="79"/>
        <v>412.26927756405007</v>
      </c>
      <c r="H179" s="514">
        <f t="shared" si="79"/>
        <v>792.67851595459683</v>
      </c>
      <c r="I179" s="514">
        <f t="shared" si="79"/>
        <v>854.38740180974207</v>
      </c>
      <c r="J179" s="514">
        <f t="shared" si="79"/>
        <v>921.65327190585674</v>
      </c>
      <c r="K179" s="514">
        <f t="shared" si="79"/>
        <v>977.10273840059972</v>
      </c>
      <c r="L179" s="514">
        <f t="shared" si="79"/>
        <v>1039.3463759879451</v>
      </c>
      <c r="M179" s="514">
        <f t="shared" si="79"/>
        <v>1107.6656750053971</v>
      </c>
      <c r="N179" s="514">
        <f t="shared" si="79"/>
        <v>1152.5481792926539</v>
      </c>
      <c r="O179" s="514">
        <f t="shared" si="79"/>
        <v>1459.7237550956643</v>
      </c>
      <c r="P179" s="514">
        <f t="shared" si="79"/>
        <v>2252.5119006800455</v>
      </c>
      <c r="Q179" s="514">
        <f t="shared" si="79"/>
        <v>2182.3832825894297</v>
      </c>
      <c r="R179" s="514">
        <f t="shared" si="79"/>
        <v>2113.0549131738785</v>
      </c>
      <c r="S179" s="363">
        <f t="shared" si="79"/>
        <v>2059.0503401560723</v>
      </c>
      <c r="T179" s="363">
        <f>T177+T178</f>
        <v>1970.821003749111</v>
      </c>
      <c r="U179" s="364">
        <f>U177+U178</f>
        <v>20933.406466444216</v>
      </c>
    </row>
    <row r="180" spans="2:24" s="34" customFormat="1" ht="7.5" customHeight="1" x14ac:dyDescent="0.35">
      <c r="B180" s="369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</row>
    <row r="181" spans="2:24" s="34" customFormat="1" ht="15.5" x14ac:dyDescent="0.35">
      <c r="B181" s="370" t="s">
        <v>242</v>
      </c>
      <c r="C181" s="371">
        <f>IRR(D179:U179)</f>
        <v>0.22443557949927451</v>
      </c>
      <c r="D181" s="418">
        <f>C181/C181</f>
        <v>1</v>
      </c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</row>
    <row r="182" spans="2:24" s="34" customFormat="1" ht="15.5" x14ac:dyDescent="0.35">
      <c r="B182" s="372" t="s">
        <v>243</v>
      </c>
      <c r="C182" s="373">
        <f>IRR(D177:U177)</f>
        <v>0.1929835498649437</v>
      </c>
      <c r="D182" s="419">
        <f>C182/C181</f>
        <v>0.85986165961519279</v>
      </c>
      <c r="E182" s="367"/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</row>
    <row r="183" spans="2:24" s="34" customFormat="1" ht="15.5" x14ac:dyDescent="0.35">
      <c r="B183" s="372" t="s">
        <v>244</v>
      </c>
      <c r="C183" s="373">
        <f>C181-C182</f>
        <v>3.1452029634330803E-2</v>
      </c>
      <c r="D183" s="419">
        <f>C183/C181</f>
        <v>0.14013834038480727</v>
      </c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</row>
    <row r="184" spans="2:24" s="34" customFormat="1" x14ac:dyDescent="0.35"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</row>
    <row r="185" spans="2:24" s="34" customFormat="1" x14ac:dyDescent="0.35">
      <c r="H185" s="134"/>
      <c r="I185" s="134"/>
      <c r="J185" s="134"/>
      <c r="K185" s="134"/>
      <c r="L185" s="134"/>
      <c r="M185" s="134"/>
      <c r="N185" s="134"/>
      <c r="O185" s="134"/>
    </row>
    <row r="186" spans="2:24" s="34" customFormat="1" x14ac:dyDescent="0.35">
      <c r="B186" s="420" t="s">
        <v>279</v>
      </c>
      <c r="C186" s="421"/>
      <c r="D186" s="422">
        <v>2010</v>
      </c>
      <c r="E186" s="422">
        <v>2011</v>
      </c>
      <c r="F186" s="422">
        <v>2012</v>
      </c>
      <c r="G186" s="422" t="s">
        <v>166</v>
      </c>
      <c r="H186" s="134"/>
      <c r="I186" s="134"/>
      <c r="J186" s="134"/>
      <c r="K186" s="134"/>
      <c r="L186" s="134"/>
      <c r="M186" s="134"/>
      <c r="N186" s="134"/>
      <c r="O186" s="134"/>
    </row>
    <row r="187" spans="2:24" s="34" customFormat="1" x14ac:dyDescent="0.35">
      <c r="B187" s="421" t="s">
        <v>280</v>
      </c>
      <c r="C187" s="421"/>
      <c r="D187" s="423">
        <f>D92</f>
        <v>1039.9999999999998</v>
      </c>
      <c r="E187" s="423">
        <f>E92</f>
        <v>1649.9999999999995</v>
      </c>
      <c r="F187" s="423">
        <f>F92</f>
        <v>1469.9999999999998</v>
      </c>
      <c r="G187" s="423">
        <f>D187+E187+F187</f>
        <v>4159.9999999999991</v>
      </c>
    </row>
    <row r="188" spans="2:24" s="34" customFormat="1" x14ac:dyDescent="0.35">
      <c r="B188" s="421" t="s">
        <v>281</v>
      </c>
      <c r="C188" s="421"/>
      <c r="D188" s="424">
        <f>-D177</f>
        <v>1082.4499999999996</v>
      </c>
      <c r="E188" s="424">
        <f>-E177</f>
        <v>1658.5249999999992</v>
      </c>
      <c r="F188" s="424">
        <f>-F177</f>
        <v>1469.9999999999995</v>
      </c>
      <c r="G188" s="424">
        <f>D188+E188+F188</f>
        <v>4210.9749999999985</v>
      </c>
    </row>
    <row r="189" spans="2:24" s="34" customFormat="1" x14ac:dyDescent="0.35">
      <c r="B189" s="421" t="s">
        <v>309</v>
      </c>
      <c r="C189" s="421"/>
      <c r="D189" s="423">
        <f>D187-D188</f>
        <v>-42.449999999999818</v>
      </c>
      <c r="E189" s="423">
        <f>E187-E188</f>
        <v>-8.5249999999996362</v>
      </c>
      <c r="F189" s="423">
        <f>F187-F188</f>
        <v>0</v>
      </c>
      <c r="G189" s="423">
        <f>G187-G188</f>
        <v>-50.974999999999454</v>
      </c>
    </row>
    <row r="190" spans="2:24" s="34" customFormat="1" x14ac:dyDescent="0.35">
      <c r="C190" s="421" t="s">
        <v>164</v>
      </c>
      <c r="D190" s="426">
        <f>D133-D189</f>
        <v>-1.9184653865522705E-13</v>
      </c>
      <c r="E190" s="426">
        <f>E133-E189</f>
        <v>-3.659295089164516E-13</v>
      </c>
      <c r="F190" s="426">
        <f>F133-F189</f>
        <v>0</v>
      </c>
      <c r="G190" s="425"/>
    </row>
    <row r="191" spans="2:24" s="34" customFormat="1" x14ac:dyDescent="0.35"/>
    <row r="192" spans="2:24" s="34" customFormat="1" x14ac:dyDescent="0.35"/>
    <row r="193" s="34" customFormat="1" x14ac:dyDescent="0.35"/>
    <row r="194" s="34" customFormat="1" x14ac:dyDescent="0.35"/>
    <row r="195" s="34" customFormat="1" x14ac:dyDescent="0.35"/>
    <row r="196" s="34" customFormat="1" x14ac:dyDescent="0.35"/>
    <row r="197" s="34" customFormat="1" x14ac:dyDescent="0.35"/>
    <row r="198" s="34" customFormat="1" x14ac:dyDescent="0.35"/>
    <row r="199" s="34" customFormat="1" x14ac:dyDescent="0.35"/>
    <row r="200" s="34" customFormat="1" x14ac:dyDescent="0.35"/>
    <row r="201" s="34" customFormat="1" x14ac:dyDescent="0.35"/>
    <row r="202" s="34" customFormat="1" x14ac:dyDescent="0.35"/>
    <row r="203" s="34" customFormat="1" x14ac:dyDescent="0.35"/>
    <row r="204" s="34" customFormat="1" x14ac:dyDescent="0.35"/>
    <row r="205" s="34" customFormat="1" x14ac:dyDescent="0.35"/>
    <row r="206" s="34" customFormat="1" x14ac:dyDescent="0.35"/>
    <row r="207" s="34" customFormat="1" x14ac:dyDescent="0.35"/>
    <row r="208" s="34" customFormat="1" x14ac:dyDescent="0.35"/>
    <row r="209" s="34" customFormat="1" x14ac:dyDescent="0.35"/>
    <row r="210" s="34" customFormat="1" x14ac:dyDescent="0.35"/>
    <row r="211" s="34" customFormat="1" x14ac:dyDescent="0.35"/>
    <row r="212" s="34" customFormat="1" x14ac:dyDescent="0.35"/>
    <row r="213" s="34" customFormat="1" x14ac:dyDescent="0.35"/>
    <row r="214" s="34" customFormat="1" x14ac:dyDescent="0.35"/>
    <row r="215" s="34" customFormat="1" x14ac:dyDescent="0.35"/>
    <row r="216" s="34" customFormat="1" x14ac:dyDescent="0.35"/>
    <row r="217" s="34" customFormat="1" x14ac:dyDescent="0.35"/>
    <row r="218" s="34" customFormat="1" x14ac:dyDescent="0.35"/>
    <row r="219" s="34" customFormat="1" x14ac:dyDescent="0.35"/>
    <row r="220" s="34" customFormat="1" x14ac:dyDescent="0.35"/>
    <row r="221" s="34" customFormat="1" x14ac:dyDescent="0.35"/>
  </sheetData>
  <pageMargins left="0.75" right="0.75" top="1" bottom="1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FE8B-C6E4-47A9-B162-4879CF27CB8C}">
  <dimension ref="A1:Z221"/>
  <sheetViews>
    <sheetView showGridLines="0" topLeftCell="A2" zoomScale="94" zoomScaleNormal="94" workbookViewId="0">
      <selection activeCell="H20" sqref="H20"/>
    </sheetView>
  </sheetViews>
  <sheetFormatPr baseColWidth="10" defaultColWidth="8.81640625" defaultRowHeight="14.5" outlineLevelRow="1" outlineLevelCol="1" x14ac:dyDescent="0.35"/>
  <cols>
    <col min="1" max="1" width="1.54296875" customWidth="1"/>
    <col min="2" max="2" width="43.1796875" customWidth="1"/>
    <col min="3" max="6" width="7.6328125" customWidth="1"/>
    <col min="7" max="16" width="7.81640625" customWidth="1"/>
    <col min="17" max="17" width="8.54296875" customWidth="1"/>
    <col min="18" max="18" width="7.81640625" customWidth="1"/>
    <col min="19" max="19" width="8.08984375" hidden="1" customWidth="1" outlineLevel="1"/>
    <col min="20" max="20" width="8" hidden="1" customWidth="1" outlineLevel="1"/>
    <col min="21" max="21" width="7.90625" hidden="1" customWidth="1" outlineLevel="1"/>
    <col min="22" max="22" width="12.453125" bestFit="1" customWidth="1" collapsed="1"/>
  </cols>
  <sheetData>
    <row r="1" spans="2:21" ht="15" thickBot="1" x14ac:dyDescent="0.4"/>
    <row r="2" spans="2:21" ht="12" customHeight="1" thickBot="1" x14ac:dyDescent="0.4">
      <c r="B2" s="377" t="s">
        <v>258</v>
      </c>
      <c r="C2" s="378"/>
      <c r="E2" s="377" t="s">
        <v>261</v>
      </c>
      <c r="F2" s="380"/>
      <c r="G2" s="380"/>
      <c r="H2" s="380"/>
      <c r="I2" s="380"/>
      <c r="J2" s="379"/>
      <c r="L2" s="377" t="s">
        <v>293</v>
      </c>
      <c r="M2" s="380"/>
      <c r="N2" s="380"/>
      <c r="O2" s="380"/>
      <c r="P2" s="380"/>
      <c r="Q2" s="380"/>
      <c r="R2" s="379"/>
      <c r="S2" s="34"/>
    </row>
    <row r="3" spans="2:21" ht="12" customHeight="1" x14ac:dyDescent="0.35">
      <c r="B3" s="59" t="s">
        <v>15</v>
      </c>
      <c r="C3" s="388">
        <v>300</v>
      </c>
      <c r="E3" s="381" t="s">
        <v>251</v>
      </c>
      <c r="F3" s="384"/>
      <c r="G3" s="384"/>
      <c r="H3" s="384"/>
      <c r="I3" s="384"/>
      <c r="J3" s="376">
        <v>0.69985569985569995</v>
      </c>
      <c r="K3" s="34"/>
      <c r="L3" s="433" t="s">
        <v>291</v>
      </c>
      <c r="M3" s="384"/>
      <c r="N3" s="34">
        <v>2010</v>
      </c>
      <c r="O3">
        <v>2011</v>
      </c>
      <c r="P3">
        <v>2012</v>
      </c>
      <c r="Q3" s="434" t="s">
        <v>290</v>
      </c>
      <c r="R3" s="435" t="s">
        <v>292</v>
      </c>
    </row>
    <row r="4" spans="2:21" ht="12" customHeight="1" thickBot="1" x14ac:dyDescent="0.4">
      <c r="B4" s="472" t="s">
        <v>16</v>
      </c>
      <c r="C4" s="471">
        <v>0.8</v>
      </c>
      <c r="E4" s="383" t="s">
        <v>263</v>
      </c>
      <c r="F4" s="386"/>
      <c r="G4" s="386"/>
      <c r="H4" s="386"/>
      <c r="I4" s="386"/>
      <c r="J4" s="445">
        <v>0.12</v>
      </c>
      <c r="L4" s="382" t="s">
        <v>288</v>
      </c>
      <c r="M4" s="436"/>
      <c r="N4" s="202">
        <f>Q4*N5</f>
        <v>2420.0000000000005</v>
      </c>
      <c r="O4" s="202">
        <f>Q4*O5</f>
        <v>3870.0000000000009</v>
      </c>
      <c r="P4" s="202">
        <f>Q4*P5</f>
        <v>3410.0000000000005</v>
      </c>
      <c r="Q4" s="202">
        <f>R4*Q8</f>
        <v>9700.0000000000018</v>
      </c>
      <c r="R4" s="437">
        <f>J3</f>
        <v>0.69985569985569995</v>
      </c>
    </row>
    <row r="5" spans="2:21" ht="12" customHeight="1" x14ac:dyDescent="0.35">
      <c r="B5" s="31" t="s">
        <v>111</v>
      </c>
      <c r="C5" s="451">
        <v>3.3</v>
      </c>
      <c r="E5" s="381" t="s">
        <v>252</v>
      </c>
      <c r="F5" s="443"/>
      <c r="G5" s="443"/>
      <c r="H5" s="443"/>
      <c r="I5" s="443"/>
      <c r="J5" s="444">
        <f>C162</f>
        <v>0.13648465178285818</v>
      </c>
      <c r="K5" s="269"/>
      <c r="L5" s="382"/>
      <c r="M5" s="436"/>
      <c r="N5" s="439">
        <v>0.24948453608247423</v>
      </c>
      <c r="O5" s="439">
        <v>0.39896907216494848</v>
      </c>
      <c r="P5" s="439">
        <v>0.35154639175257729</v>
      </c>
      <c r="Q5" s="438">
        <f>Q4/Q4</f>
        <v>1</v>
      </c>
      <c r="R5" s="437"/>
    </row>
    <row r="6" spans="2:21" ht="12" customHeight="1" thickBot="1" x14ac:dyDescent="0.4">
      <c r="B6" s="66" t="s">
        <v>262</v>
      </c>
      <c r="C6" s="455">
        <v>0.01</v>
      </c>
      <c r="E6" s="383" t="s">
        <v>131</v>
      </c>
      <c r="F6" s="386"/>
      <c r="G6" s="386"/>
      <c r="H6" s="386"/>
      <c r="I6" s="386"/>
      <c r="J6" s="404">
        <f>WACC!I30</f>
        <v>0.12920518238021639</v>
      </c>
      <c r="L6" s="382" t="s">
        <v>289</v>
      </c>
      <c r="M6" s="385"/>
      <c r="N6" s="202">
        <f>Q6*N7</f>
        <v>1039.9999999999998</v>
      </c>
      <c r="O6" s="202">
        <f>Q6*O7</f>
        <v>1649.9999999999995</v>
      </c>
      <c r="P6" s="202">
        <f>Q6*P7</f>
        <v>1469.9999999999998</v>
      </c>
      <c r="Q6" s="202">
        <f>R6*Q8</f>
        <v>4159.9999999999991</v>
      </c>
      <c r="R6" s="437">
        <f>1-R4</f>
        <v>0.30014430014430005</v>
      </c>
    </row>
    <row r="7" spans="2:21" ht="12" customHeight="1" thickBot="1" x14ac:dyDescent="0.4">
      <c r="B7" s="453" t="s">
        <v>68</v>
      </c>
      <c r="C7" s="454">
        <f>'Operating Data'!C23</f>
        <v>2947.3638769273243</v>
      </c>
      <c r="E7" s="475" t="s">
        <v>259</v>
      </c>
      <c r="F7" s="443"/>
      <c r="G7" s="443"/>
      <c r="H7" s="443"/>
      <c r="I7" s="443"/>
      <c r="J7" s="474">
        <f>C181</f>
        <v>0.17777388815133621</v>
      </c>
      <c r="K7" s="269"/>
      <c r="L7" s="383"/>
      <c r="M7" s="458"/>
      <c r="N7" s="448">
        <v>0.25</v>
      </c>
      <c r="O7" s="449">
        <v>0.39663461538461536</v>
      </c>
      <c r="P7" s="449">
        <v>0.35336538461538464</v>
      </c>
      <c r="Q7" s="450">
        <f>Q6/Q6</f>
        <v>1</v>
      </c>
      <c r="R7" s="459"/>
    </row>
    <row r="8" spans="2:21" ht="12" customHeight="1" thickBot="1" x14ac:dyDescent="0.4">
      <c r="B8" s="66" t="s">
        <v>304</v>
      </c>
      <c r="C8" s="389">
        <v>1</v>
      </c>
      <c r="E8" s="383" t="s">
        <v>260</v>
      </c>
      <c r="F8" s="386"/>
      <c r="G8" s="386"/>
      <c r="H8" s="386"/>
      <c r="I8" s="386"/>
      <c r="J8" s="404">
        <f>WACC!I21</f>
        <v>0.19548394126738794</v>
      </c>
      <c r="L8" s="456" t="s">
        <v>166</v>
      </c>
      <c r="M8" s="457"/>
      <c r="N8" s="446">
        <f>N4+N6</f>
        <v>3460</v>
      </c>
      <c r="O8" s="446">
        <f>O4+O6</f>
        <v>5520</v>
      </c>
      <c r="P8" s="446">
        <f>P4+P6</f>
        <v>4880</v>
      </c>
      <c r="Q8" s="447">
        <v>13860</v>
      </c>
      <c r="R8" s="460">
        <f>Q8/Q8</f>
        <v>1</v>
      </c>
    </row>
    <row r="9" spans="2:21" ht="6.25" customHeight="1" x14ac:dyDescent="0.35">
      <c r="E9" s="318"/>
      <c r="F9" s="318"/>
      <c r="G9" s="318"/>
      <c r="H9" s="392"/>
    </row>
    <row r="10" spans="2:21" ht="6.25" customHeight="1" thickBot="1" x14ac:dyDescent="0.4"/>
    <row r="11" spans="2:21" ht="12" customHeight="1" thickBot="1" x14ac:dyDescent="0.4">
      <c r="B11" s="302" t="s">
        <v>106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8"/>
    </row>
    <row r="12" spans="2:21" s="68" customFormat="1" ht="12" customHeight="1" thickBot="1" x14ac:dyDescent="0.4">
      <c r="B12" s="306" t="s">
        <v>110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  <c r="I12" s="2">
        <v>2015</v>
      </c>
      <c r="J12" s="2">
        <v>2016</v>
      </c>
      <c r="K12" s="2">
        <v>2017</v>
      </c>
      <c r="L12" s="2">
        <v>2018</v>
      </c>
      <c r="M12" s="2">
        <v>2019</v>
      </c>
      <c r="N12" s="2">
        <v>2020</v>
      </c>
      <c r="O12" s="2">
        <v>2021</v>
      </c>
      <c r="P12" s="2">
        <v>2022</v>
      </c>
      <c r="Q12" s="2">
        <v>2023</v>
      </c>
      <c r="R12" s="2">
        <v>2024</v>
      </c>
      <c r="S12" s="2">
        <v>2025</v>
      </c>
      <c r="T12" s="2">
        <v>2026</v>
      </c>
      <c r="U12" s="3">
        <v>2027</v>
      </c>
    </row>
    <row r="13" spans="2:21" s="34" customFormat="1" ht="12" customHeight="1" x14ac:dyDescent="0.35">
      <c r="B13" s="303" t="s">
        <v>175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</row>
    <row r="14" spans="2:21" s="34" customFormat="1" ht="12" customHeight="1" x14ac:dyDescent="0.35">
      <c r="B14" s="31" t="s">
        <v>15</v>
      </c>
      <c r="C14" s="178">
        <v>0</v>
      </c>
      <c r="D14" s="178">
        <v>0</v>
      </c>
      <c r="E14" s="178">
        <v>0</v>
      </c>
      <c r="F14" s="178">
        <v>0</v>
      </c>
      <c r="G14" s="178">
        <v>300</v>
      </c>
      <c r="H14" s="178">
        <v>300</v>
      </c>
      <c r="I14" s="178">
        <v>300</v>
      </c>
      <c r="J14" s="178">
        <v>300</v>
      </c>
      <c r="K14" s="178">
        <v>300</v>
      </c>
      <c r="L14" s="178">
        <v>300</v>
      </c>
      <c r="M14" s="178">
        <v>300</v>
      </c>
      <c r="N14" s="178">
        <v>300</v>
      </c>
      <c r="O14" s="178">
        <v>300</v>
      </c>
      <c r="P14" s="178">
        <v>300</v>
      </c>
      <c r="Q14" s="178">
        <v>300</v>
      </c>
      <c r="R14" s="178">
        <v>300</v>
      </c>
      <c r="S14" s="178">
        <v>300</v>
      </c>
      <c r="T14" s="178">
        <v>300</v>
      </c>
      <c r="U14" s="179">
        <v>300</v>
      </c>
    </row>
    <row r="15" spans="2:21" s="34" customFormat="1" ht="12" customHeight="1" x14ac:dyDescent="0.35">
      <c r="B15" s="35" t="s">
        <v>16</v>
      </c>
      <c r="C15" s="72">
        <v>0</v>
      </c>
      <c r="D15" s="72">
        <v>0</v>
      </c>
      <c r="E15" s="72">
        <v>0</v>
      </c>
      <c r="F15" s="72">
        <v>0</v>
      </c>
      <c r="G15" s="72">
        <f t="shared" ref="G15:U15" si="0">$C$4</f>
        <v>0.8</v>
      </c>
      <c r="H15" s="72">
        <f t="shared" si="0"/>
        <v>0.8</v>
      </c>
      <c r="I15" s="72">
        <f t="shared" si="0"/>
        <v>0.8</v>
      </c>
      <c r="J15" s="72">
        <f t="shared" si="0"/>
        <v>0.8</v>
      </c>
      <c r="K15" s="72">
        <f t="shared" si="0"/>
        <v>0.8</v>
      </c>
      <c r="L15" s="72">
        <f t="shared" si="0"/>
        <v>0.8</v>
      </c>
      <c r="M15" s="72">
        <f t="shared" si="0"/>
        <v>0.8</v>
      </c>
      <c r="N15" s="72">
        <f t="shared" si="0"/>
        <v>0.8</v>
      </c>
      <c r="O15" s="72">
        <f t="shared" si="0"/>
        <v>0.8</v>
      </c>
      <c r="P15" s="72">
        <f t="shared" si="0"/>
        <v>0.8</v>
      </c>
      <c r="Q15" s="72">
        <f t="shared" si="0"/>
        <v>0.8</v>
      </c>
      <c r="R15" s="72">
        <f t="shared" si="0"/>
        <v>0.8</v>
      </c>
      <c r="S15" s="72">
        <f t="shared" si="0"/>
        <v>0.8</v>
      </c>
      <c r="T15" s="72">
        <f t="shared" si="0"/>
        <v>0.8</v>
      </c>
      <c r="U15" s="73">
        <f t="shared" si="0"/>
        <v>0.8</v>
      </c>
    </row>
    <row r="16" spans="2:21" s="34" customFormat="1" ht="12" customHeight="1" x14ac:dyDescent="0.35">
      <c r="B16" s="35" t="s">
        <v>80</v>
      </c>
      <c r="C16" s="180">
        <v>0</v>
      </c>
      <c r="D16" s="180">
        <v>0</v>
      </c>
      <c r="E16" s="180">
        <v>0</v>
      </c>
      <c r="F16" s="180">
        <v>0</v>
      </c>
      <c r="G16" s="180">
        <f t="shared" ref="G16:U16" si="1">G14*1000*24*365*G15/1000000</f>
        <v>2102.4</v>
      </c>
      <c r="H16" s="180">
        <f t="shared" si="1"/>
        <v>2102.4</v>
      </c>
      <c r="I16" s="180">
        <f t="shared" si="1"/>
        <v>2102.4</v>
      </c>
      <c r="J16" s="180">
        <f t="shared" si="1"/>
        <v>2102.4</v>
      </c>
      <c r="K16" s="180">
        <f t="shared" si="1"/>
        <v>2102.4</v>
      </c>
      <c r="L16" s="180">
        <f t="shared" si="1"/>
        <v>2102.4</v>
      </c>
      <c r="M16" s="180">
        <f t="shared" si="1"/>
        <v>2102.4</v>
      </c>
      <c r="N16" s="180">
        <f t="shared" si="1"/>
        <v>2102.4</v>
      </c>
      <c r="O16" s="180">
        <f t="shared" si="1"/>
        <v>2102.4</v>
      </c>
      <c r="P16" s="180">
        <f t="shared" si="1"/>
        <v>2102.4</v>
      </c>
      <c r="Q16" s="180">
        <f t="shared" si="1"/>
        <v>2102.4</v>
      </c>
      <c r="R16" s="180">
        <f t="shared" si="1"/>
        <v>2102.4</v>
      </c>
      <c r="S16" s="180">
        <f t="shared" si="1"/>
        <v>2102.4</v>
      </c>
      <c r="T16" s="180">
        <f t="shared" si="1"/>
        <v>2102.4</v>
      </c>
      <c r="U16" s="181">
        <f t="shared" si="1"/>
        <v>2102.4</v>
      </c>
    </row>
    <row r="17" spans="2:22" s="34" customFormat="1" ht="12" customHeight="1" x14ac:dyDescent="0.35">
      <c r="B17" s="35" t="s">
        <v>81</v>
      </c>
      <c r="C17" s="180">
        <v>0</v>
      </c>
      <c r="D17" s="180">
        <v>0</v>
      </c>
      <c r="E17" s="180">
        <v>0</v>
      </c>
      <c r="F17" s="180">
        <v>0</v>
      </c>
      <c r="G17" s="180">
        <v>201</v>
      </c>
      <c r="H17" s="180">
        <v>201</v>
      </c>
      <c r="I17" s="180">
        <v>201</v>
      </c>
      <c r="J17" s="180">
        <v>201</v>
      </c>
      <c r="K17" s="180">
        <v>201</v>
      </c>
      <c r="L17" s="180">
        <v>201</v>
      </c>
      <c r="M17" s="180">
        <v>201</v>
      </c>
      <c r="N17" s="180">
        <v>201</v>
      </c>
      <c r="O17" s="180">
        <v>201</v>
      </c>
      <c r="P17" s="180">
        <v>201</v>
      </c>
      <c r="Q17" s="180">
        <v>201</v>
      </c>
      <c r="R17" s="180">
        <v>201</v>
      </c>
      <c r="S17" s="180">
        <v>201</v>
      </c>
      <c r="T17" s="180">
        <v>201</v>
      </c>
      <c r="U17" s="181">
        <v>201</v>
      </c>
    </row>
    <row r="18" spans="2:22" s="34" customFormat="1" ht="12" customHeight="1" x14ac:dyDescent="0.35">
      <c r="B18" s="78" t="s">
        <v>82</v>
      </c>
      <c r="C18" s="180">
        <v>0</v>
      </c>
      <c r="D18" s="180">
        <v>0</v>
      </c>
      <c r="E18" s="180">
        <v>0</v>
      </c>
      <c r="F18" s="180">
        <v>0</v>
      </c>
      <c r="G18" s="180">
        <f t="shared" ref="G18:U18" si="2">G16-G17</f>
        <v>1901.4</v>
      </c>
      <c r="H18" s="180">
        <f t="shared" si="2"/>
        <v>1901.4</v>
      </c>
      <c r="I18" s="180">
        <f t="shared" si="2"/>
        <v>1901.4</v>
      </c>
      <c r="J18" s="180">
        <f t="shared" si="2"/>
        <v>1901.4</v>
      </c>
      <c r="K18" s="180">
        <f t="shared" si="2"/>
        <v>1901.4</v>
      </c>
      <c r="L18" s="180">
        <f t="shared" si="2"/>
        <v>1901.4</v>
      </c>
      <c r="M18" s="180">
        <f t="shared" si="2"/>
        <v>1901.4</v>
      </c>
      <c r="N18" s="180">
        <f t="shared" si="2"/>
        <v>1901.4</v>
      </c>
      <c r="O18" s="180">
        <f t="shared" si="2"/>
        <v>1901.4</v>
      </c>
      <c r="P18" s="180">
        <f t="shared" si="2"/>
        <v>1901.4</v>
      </c>
      <c r="Q18" s="180">
        <f t="shared" si="2"/>
        <v>1901.4</v>
      </c>
      <c r="R18" s="180">
        <f t="shared" si="2"/>
        <v>1901.4</v>
      </c>
      <c r="S18" s="180">
        <f t="shared" si="2"/>
        <v>1901.4</v>
      </c>
      <c r="T18" s="180">
        <f t="shared" si="2"/>
        <v>1901.4</v>
      </c>
      <c r="U18" s="181">
        <f t="shared" si="2"/>
        <v>1901.4</v>
      </c>
    </row>
    <row r="19" spans="2:22" s="34" customFormat="1" ht="12" customHeight="1" x14ac:dyDescent="0.35">
      <c r="B19" s="35" t="s">
        <v>111</v>
      </c>
      <c r="C19" s="195">
        <v>0</v>
      </c>
      <c r="D19" s="195">
        <v>0</v>
      </c>
      <c r="E19" s="195">
        <v>0</v>
      </c>
      <c r="F19" s="195">
        <v>0</v>
      </c>
      <c r="G19" s="195">
        <f>C5</f>
        <v>3.3</v>
      </c>
      <c r="H19" s="195">
        <f t="shared" ref="H19:U19" si="3">G19*(1+$C$6)</f>
        <v>3.3329999999999997</v>
      </c>
      <c r="I19" s="195">
        <f t="shared" si="3"/>
        <v>3.3663299999999996</v>
      </c>
      <c r="J19" s="195">
        <f t="shared" si="3"/>
        <v>3.3999932999999998</v>
      </c>
      <c r="K19" s="195">
        <f t="shared" si="3"/>
        <v>3.4339932329999998</v>
      </c>
      <c r="L19" s="195">
        <f t="shared" si="3"/>
        <v>3.4683331653299998</v>
      </c>
      <c r="M19" s="195">
        <f t="shared" si="3"/>
        <v>3.5030164969833</v>
      </c>
      <c r="N19" s="195">
        <f t="shared" si="3"/>
        <v>3.5380466619531332</v>
      </c>
      <c r="O19" s="195">
        <f t="shared" si="3"/>
        <v>3.5734271285726646</v>
      </c>
      <c r="P19" s="195">
        <f t="shared" si="3"/>
        <v>3.6091613998583911</v>
      </c>
      <c r="Q19" s="195">
        <f t="shared" si="3"/>
        <v>3.645253013856975</v>
      </c>
      <c r="R19" s="195">
        <f t="shared" si="3"/>
        <v>3.6817055439955446</v>
      </c>
      <c r="S19" s="195">
        <f t="shared" si="3"/>
        <v>3.7185225994355</v>
      </c>
      <c r="T19" s="195">
        <f t="shared" si="3"/>
        <v>3.7557078254298553</v>
      </c>
      <c r="U19" s="196">
        <f t="shared" si="3"/>
        <v>3.7932649036841539</v>
      </c>
    </row>
    <row r="20" spans="2:22" s="34" customFormat="1" ht="12" customHeight="1" x14ac:dyDescent="0.35">
      <c r="B20" s="303" t="s">
        <v>174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</row>
    <row r="21" spans="2:22" s="34" customFormat="1" ht="12" customHeight="1" x14ac:dyDescent="0.35">
      <c r="B21" s="82" t="s">
        <v>21</v>
      </c>
      <c r="C21" s="182">
        <f>C18*C19</f>
        <v>0</v>
      </c>
      <c r="D21" s="182">
        <f>D18*D19</f>
        <v>0</v>
      </c>
      <c r="E21" s="182">
        <f>E18*E19</f>
        <v>0</v>
      </c>
      <c r="F21" s="182">
        <f>F18*F19</f>
        <v>0</v>
      </c>
      <c r="G21" s="182">
        <f>G18*G19</f>
        <v>6274.62</v>
      </c>
      <c r="H21" s="182">
        <f t="shared" ref="H21:U21" si="4">H18*H19</f>
        <v>6337.3661999999995</v>
      </c>
      <c r="I21" s="182">
        <f t="shared" si="4"/>
        <v>6400.7398619999994</v>
      </c>
      <c r="J21" s="182">
        <f t="shared" si="4"/>
        <v>6464.7472606199999</v>
      </c>
      <c r="K21" s="182">
        <f t="shared" si="4"/>
        <v>6529.3947332261996</v>
      </c>
      <c r="L21" s="182">
        <f t="shared" si="4"/>
        <v>6594.6886805584618</v>
      </c>
      <c r="M21" s="182">
        <f t="shared" si="4"/>
        <v>6660.6355673640473</v>
      </c>
      <c r="N21" s="182">
        <f t="shared" si="4"/>
        <v>6727.2419230376881</v>
      </c>
      <c r="O21" s="182">
        <f t="shared" si="4"/>
        <v>6794.5143422680649</v>
      </c>
      <c r="P21" s="182">
        <f t="shared" si="4"/>
        <v>6862.4594856907452</v>
      </c>
      <c r="Q21" s="182">
        <f t="shared" si="4"/>
        <v>6931.0840805476528</v>
      </c>
      <c r="R21" s="182">
        <f t="shared" si="4"/>
        <v>7000.3949213531287</v>
      </c>
      <c r="S21" s="182">
        <f t="shared" si="4"/>
        <v>7070.3988705666598</v>
      </c>
      <c r="T21" s="182">
        <f t="shared" si="4"/>
        <v>7141.1028592723269</v>
      </c>
      <c r="U21" s="183">
        <f t="shared" si="4"/>
        <v>7212.5138878650505</v>
      </c>
    </row>
    <row r="22" spans="2:22" s="34" customFormat="1" ht="12" customHeight="1" x14ac:dyDescent="0.35">
      <c r="B22" s="323" t="s">
        <v>189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5"/>
    </row>
    <row r="23" spans="2:22" s="34" customFormat="1" ht="12" customHeight="1" x14ac:dyDescent="0.35">
      <c r="B23" s="35" t="s">
        <v>41</v>
      </c>
      <c r="C23" s="180">
        <v>0</v>
      </c>
      <c r="D23" s="180">
        <v>0</v>
      </c>
      <c r="E23" s="180">
        <v>0</v>
      </c>
      <c r="F23" s="180">
        <v>0</v>
      </c>
      <c r="G23" s="180">
        <f>($C$7*$C$8)*((1.03^(G12-2012)))</f>
        <v>3035.7847932351442</v>
      </c>
      <c r="H23" s="180">
        <f t="shared" ref="H23:U23" si="5">($C$7*((1.03^(H12-2012))))*$C$8</f>
        <v>3126.8583370321981</v>
      </c>
      <c r="I23" s="180">
        <f t="shared" si="5"/>
        <v>3220.6640871431641</v>
      </c>
      <c r="J23" s="180">
        <f t="shared" si="5"/>
        <v>3317.284009757459</v>
      </c>
      <c r="K23" s="180">
        <f t="shared" si="5"/>
        <v>3416.8025300501827</v>
      </c>
      <c r="L23" s="180">
        <f t="shared" si="5"/>
        <v>3519.3066059516882</v>
      </c>
      <c r="M23" s="180">
        <f t="shared" si="5"/>
        <v>3624.8858041302392</v>
      </c>
      <c r="N23" s="180">
        <f t="shared" si="5"/>
        <v>3733.6323782541458</v>
      </c>
      <c r="O23" s="180">
        <f t="shared" si="5"/>
        <v>3845.6413496017703</v>
      </c>
      <c r="P23" s="180">
        <f t="shared" si="5"/>
        <v>3961.0105900898234</v>
      </c>
      <c r="Q23" s="180">
        <f t="shared" si="5"/>
        <v>4079.8409077925185</v>
      </c>
      <c r="R23" s="180">
        <f t="shared" si="5"/>
        <v>4202.2361350262936</v>
      </c>
      <c r="S23" s="180">
        <f t="shared" si="5"/>
        <v>4328.3032190770818</v>
      </c>
      <c r="T23" s="180">
        <f t="shared" si="5"/>
        <v>4458.152315649395</v>
      </c>
      <c r="U23" s="181">
        <f t="shared" si="5"/>
        <v>4591.8968851188765</v>
      </c>
    </row>
    <row r="24" spans="2:22" s="34" customFormat="1" ht="12" customHeight="1" x14ac:dyDescent="0.35">
      <c r="B24" s="35" t="s">
        <v>84</v>
      </c>
      <c r="C24" s="180">
        <v>0</v>
      </c>
      <c r="D24" s="180">
        <v>0</v>
      </c>
      <c r="E24" s="180">
        <v>0</v>
      </c>
      <c r="F24" s="180">
        <v>0</v>
      </c>
      <c r="G24" s="180">
        <f t="shared" ref="G24:U24" si="6">((1.55*G14*((1.04)^(G12-2012))))*($C$4/85%)</f>
        <v>455.15294117647068</v>
      </c>
      <c r="H24" s="180">
        <f t="shared" si="6"/>
        <v>473.35905882352955</v>
      </c>
      <c r="I24" s="180">
        <f t="shared" si="6"/>
        <v>492.2934211764707</v>
      </c>
      <c r="J24" s="180">
        <f t="shared" si="6"/>
        <v>511.98515802352955</v>
      </c>
      <c r="K24" s="180">
        <f t="shared" si="6"/>
        <v>532.46456434447089</v>
      </c>
      <c r="L24" s="180">
        <f t="shared" si="6"/>
        <v>553.76314691824962</v>
      </c>
      <c r="M24" s="180">
        <f t="shared" si="6"/>
        <v>575.91367279497956</v>
      </c>
      <c r="N24" s="180">
        <f t="shared" si="6"/>
        <v>598.95021970677885</v>
      </c>
      <c r="O24" s="180">
        <f t="shared" si="6"/>
        <v>622.90822849505003</v>
      </c>
      <c r="P24" s="180">
        <f t="shared" si="6"/>
        <v>647.824557634852</v>
      </c>
      <c r="Q24" s="180">
        <f t="shared" si="6"/>
        <v>673.73753994024617</v>
      </c>
      <c r="R24" s="180">
        <f t="shared" si="6"/>
        <v>700.68704153785609</v>
      </c>
      <c r="S24" s="180">
        <f t="shared" si="6"/>
        <v>728.71452319937032</v>
      </c>
      <c r="T24" s="180">
        <f t="shared" si="6"/>
        <v>757.8631041273452</v>
      </c>
      <c r="U24" s="181">
        <f t="shared" si="6"/>
        <v>788.17762829243884</v>
      </c>
    </row>
    <row r="25" spans="2:22" s="34" customFormat="1" ht="12" customHeight="1" x14ac:dyDescent="0.35">
      <c r="B25" s="82" t="s">
        <v>25</v>
      </c>
      <c r="C25" s="180">
        <v>0</v>
      </c>
      <c r="D25" s="180">
        <v>0</v>
      </c>
      <c r="E25" s="180">
        <v>0</v>
      </c>
      <c r="F25" s="180">
        <v>0</v>
      </c>
      <c r="G25" s="393">
        <f t="shared" ref="G25:U25" si="7">SUM(G23:G24)</f>
        <v>3490.9377344116147</v>
      </c>
      <c r="H25" s="393">
        <f t="shared" si="7"/>
        <v>3600.2173958557278</v>
      </c>
      <c r="I25" s="393">
        <f t="shared" si="7"/>
        <v>3712.9575083196351</v>
      </c>
      <c r="J25" s="393">
        <f t="shared" si="7"/>
        <v>3829.2691677809885</v>
      </c>
      <c r="K25" s="393">
        <f t="shared" si="7"/>
        <v>3949.2670943946537</v>
      </c>
      <c r="L25" s="393">
        <f t="shared" si="7"/>
        <v>4073.0697528699379</v>
      </c>
      <c r="M25" s="393">
        <f t="shared" si="7"/>
        <v>4200.7994769252191</v>
      </c>
      <c r="N25" s="393">
        <f t="shared" si="7"/>
        <v>4332.5825979609244</v>
      </c>
      <c r="O25" s="393">
        <f t="shared" si="7"/>
        <v>4468.5495780968204</v>
      </c>
      <c r="P25" s="393">
        <f t="shared" si="7"/>
        <v>4608.8351477246752</v>
      </c>
      <c r="Q25" s="393">
        <f t="shared" si="7"/>
        <v>4753.5784477327643</v>
      </c>
      <c r="R25" s="393">
        <f t="shared" si="7"/>
        <v>4902.9231765641498</v>
      </c>
      <c r="S25" s="393">
        <f t="shared" si="7"/>
        <v>5057.0177422764518</v>
      </c>
      <c r="T25" s="393">
        <f t="shared" si="7"/>
        <v>5216.0154197767406</v>
      </c>
      <c r="U25" s="394">
        <f t="shared" si="7"/>
        <v>5380.0745134113149</v>
      </c>
      <c r="V25" s="145"/>
    </row>
    <row r="26" spans="2:22" s="34" customFormat="1" ht="12" customHeight="1" x14ac:dyDescent="0.35">
      <c r="B26" s="85" t="s">
        <v>272</v>
      </c>
      <c r="C26" s="182">
        <f t="shared" ref="C26:U26" si="8">C21-C25</f>
        <v>0</v>
      </c>
      <c r="D26" s="182">
        <f t="shared" si="8"/>
        <v>0</v>
      </c>
      <c r="E26" s="182">
        <f t="shared" si="8"/>
        <v>0</v>
      </c>
      <c r="F26" s="182">
        <f t="shared" si="8"/>
        <v>0</v>
      </c>
      <c r="G26" s="182">
        <f t="shared" si="8"/>
        <v>2783.6822655883852</v>
      </c>
      <c r="H26" s="182">
        <f t="shared" si="8"/>
        <v>2737.1488041442717</v>
      </c>
      <c r="I26" s="182">
        <f t="shared" si="8"/>
        <v>2687.7823536803644</v>
      </c>
      <c r="J26" s="182">
        <f t="shared" si="8"/>
        <v>2635.4780928390114</v>
      </c>
      <c r="K26" s="182">
        <f t="shared" si="8"/>
        <v>2580.1276388315459</v>
      </c>
      <c r="L26" s="182">
        <f t="shared" si="8"/>
        <v>2521.6189276885239</v>
      </c>
      <c r="M26" s="182">
        <f t="shared" si="8"/>
        <v>2459.8360904388283</v>
      </c>
      <c r="N26" s="182">
        <f t="shared" si="8"/>
        <v>2394.6593250767637</v>
      </c>
      <c r="O26" s="182">
        <f t="shared" si="8"/>
        <v>2325.9647641712445</v>
      </c>
      <c r="P26" s="182">
        <f t="shared" si="8"/>
        <v>2253.62433796607</v>
      </c>
      <c r="Q26" s="182">
        <f t="shared" si="8"/>
        <v>2177.5056328148885</v>
      </c>
      <c r="R26" s="182">
        <f t="shared" si="8"/>
        <v>2097.4717447889789</v>
      </c>
      <c r="S26" s="182">
        <f t="shared" si="8"/>
        <v>2013.3811282902079</v>
      </c>
      <c r="T26" s="182">
        <f t="shared" si="8"/>
        <v>1925.0874394955863</v>
      </c>
      <c r="U26" s="183">
        <f t="shared" si="8"/>
        <v>1832.4393744537356</v>
      </c>
    </row>
    <row r="27" spans="2:22" s="34" customFormat="1" ht="12" customHeight="1" x14ac:dyDescent="0.35">
      <c r="B27" s="323" t="s">
        <v>145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2:22" s="34" customFormat="1" ht="12" customHeight="1" x14ac:dyDescent="0.35">
      <c r="B28" s="35" t="s">
        <v>187</v>
      </c>
      <c r="C28" s="180">
        <v>0</v>
      </c>
      <c r="D28" s="180">
        <v>0</v>
      </c>
      <c r="E28" s="180">
        <v>0</v>
      </c>
      <c r="F28" s="410">
        <v>0</v>
      </c>
      <c r="G28" s="410">
        <f t="shared" ref="G28:U28" si="9">$J$4*((G109+G112)/2)</f>
        <v>1067</v>
      </c>
      <c r="H28" s="410">
        <f t="shared" si="9"/>
        <v>937.66666666666686</v>
      </c>
      <c r="I28" s="410">
        <f t="shared" si="9"/>
        <v>808.33333333333337</v>
      </c>
      <c r="J28" s="410">
        <f t="shared" si="9"/>
        <v>679</v>
      </c>
      <c r="K28" s="410">
        <f t="shared" si="9"/>
        <v>549.66666666666652</v>
      </c>
      <c r="L28" s="410">
        <f t="shared" si="9"/>
        <v>420.3333333333332</v>
      </c>
      <c r="M28" s="410">
        <f t="shared" si="9"/>
        <v>290.99999999999983</v>
      </c>
      <c r="N28" s="410">
        <f t="shared" si="9"/>
        <v>161.66666666666649</v>
      </c>
      <c r="O28" s="410">
        <f t="shared" si="9"/>
        <v>48.499999999999787</v>
      </c>
      <c r="P28" s="410">
        <f t="shared" si="9"/>
        <v>-2.1827872842550277E-13</v>
      </c>
      <c r="Q28" s="410">
        <f t="shared" si="9"/>
        <v>-2.1827872842550277E-13</v>
      </c>
      <c r="R28" s="410">
        <f t="shared" si="9"/>
        <v>-2.1827872842550277E-13</v>
      </c>
      <c r="S28" s="410">
        <f t="shared" si="9"/>
        <v>-2.1827872842550277E-13</v>
      </c>
      <c r="T28" s="410">
        <f t="shared" si="9"/>
        <v>-2.1827872842550277E-13</v>
      </c>
      <c r="U28" s="441">
        <f t="shared" si="9"/>
        <v>-2.1827872842550277E-13</v>
      </c>
    </row>
    <row r="29" spans="2:22" s="34" customFormat="1" ht="12" customHeight="1" x14ac:dyDescent="0.35">
      <c r="B29" s="35" t="s">
        <v>188</v>
      </c>
      <c r="C29" s="180">
        <v>0</v>
      </c>
      <c r="D29" s="180">
        <v>0</v>
      </c>
      <c r="E29" s="180">
        <v>0</v>
      </c>
      <c r="F29" s="180">
        <v>0</v>
      </c>
      <c r="G29" s="187">
        <f>$J$4*G60</f>
        <v>111.6</v>
      </c>
      <c r="H29" s="187">
        <f t="shared" ref="H29:U29" si="10">$J$4*((G60+H60)/2)</f>
        <v>112.2</v>
      </c>
      <c r="I29" s="187">
        <f t="shared" si="10"/>
        <v>114</v>
      </c>
      <c r="J29" s="187">
        <f t="shared" si="10"/>
        <v>116.39999999999999</v>
      </c>
      <c r="K29" s="187">
        <f t="shared" si="10"/>
        <v>118.19999999999999</v>
      </c>
      <c r="L29" s="187">
        <f t="shared" si="10"/>
        <v>120</v>
      </c>
      <c r="M29" s="187">
        <f t="shared" si="10"/>
        <v>122.39999999999999</v>
      </c>
      <c r="N29" s="187">
        <f t="shared" si="10"/>
        <v>124.8</v>
      </c>
      <c r="O29" s="187">
        <f t="shared" si="10"/>
        <v>127.19999999999999</v>
      </c>
      <c r="P29" s="187">
        <f t="shared" si="10"/>
        <v>129.6</v>
      </c>
      <c r="Q29" s="187">
        <f t="shared" si="10"/>
        <v>132</v>
      </c>
      <c r="R29" s="187">
        <f t="shared" si="10"/>
        <v>134.4</v>
      </c>
      <c r="S29" s="187">
        <f t="shared" si="10"/>
        <v>137.4</v>
      </c>
      <c r="T29" s="187">
        <f t="shared" si="10"/>
        <v>140.4</v>
      </c>
      <c r="U29" s="340">
        <f t="shared" si="10"/>
        <v>142.79999999999998</v>
      </c>
    </row>
    <row r="30" spans="2:22" s="34" customFormat="1" ht="12" customHeight="1" x14ac:dyDescent="0.35">
      <c r="B30" s="35" t="s">
        <v>30</v>
      </c>
      <c r="C30" s="180">
        <v>0</v>
      </c>
      <c r="D30" s="180">
        <v>0</v>
      </c>
      <c r="E30" s="180">
        <v>0</v>
      </c>
      <c r="F30" s="180">
        <v>0</v>
      </c>
      <c r="G30" s="187">
        <v>680</v>
      </c>
      <c r="H30" s="187">
        <v>680</v>
      </c>
      <c r="I30" s="187">
        <v>680</v>
      </c>
      <c r="J30" s="187">
        <v>680</v>
      </c>
      <c r="K30" s="187">
        <v>680</v>
      </c>
      <c r="L30" s="187">
        <v>680</v>
      </c>
      <c r="M30" s="187">
        <v>680</v>
      </c>
      <c r="N30" s="187">
        <v>680</v>
      </c>
      <c r="O30" s="187">
        <v>680</v>
      </c>
      <c r="P30" s="187">
        <v>680</v>
      </c>
      <c r="Q30" s="187">
        <v>680</v>
      </c>
      <c r="R30" s="187">
        <v>680</v>
      </c>
      <c r="S30" s="187">
        <v>680</v>
      </c>
      <c r="T30" s="187">
        <v>680</v>
      </c>
      <c r="U30" s="340">
        <v>680</v>
      </c>
    </row>
    <row r="31" spans="2:22" s="34" customFormat="1" ht="12" hidden="1" customHeight="1" outlineLevel="1" x14ac:dyDescent="0.35">
      <c r="B31" s="52" t="s">
        <v>86</v>
      </c>
      <c r="C31" s="186">
        <f t="shared" ref="C31:U31" si="11">C26-C28-C29-C30</f>
        <v>0</v>
      </c>
      <c r="D31" s="186">
        <f t="shared" si="11"/>
        <v>0</v>
      </c>
      <c r="E31" s="186">
        <f t="shared" si="11"/>
        <v>0</v>
      </c>
      <c r="F31" s="186">
        <f t="shared" si="11"/>
        <v>0</v>
      </c>
      <c r="G31" s="186">
        <f t="shared" si="11"/>
        <v>925.08226558838533</v>
      </c>
      <c r="H31" s="186">
        <f t="shared" si="11"/>
        <v>1007.2821374776047</v>
      </c>
      <c r="I31" s="186">
        <f t="shared" si="11"/>
        <v>1085.4490203470309</v>
      </c>
      <c r="J31" s="186">
        <f t="shared" si="11"/>
        <v>1160.0780928390113</v>
      </c>
      <c r="K31" s="186">
        <f t="shared" si="11"/>
        <v>1232.2609721648794</v>
      </c>
      <c r="L31" s="186">
        <f t="shared" si="11"/>
        <v>1301.2855943551908</v>
      </c>
      <c r="M31" s="186">
        <f t="shared" si="11"/>
        <v>1366.4360904388282</v>
      </c>
      <c r="N31" s="186">
        <f t="shared" si="11"/>
        <v>1428.192658410097</v>
      </c>
      <c r="O31" s="186">
        <f t="shared" si="11"/>
        <v>1470.2647641712447</v>
      </c>
      <c r="P31" s="186">
        <f t="shared" si="11"/>
        <v>1444.0243379660701</v>
      </c>
      <c r="Q31" s="186">
        <f t="shared" si="11"/>
        <v>1365.5056328148885</v>
      </c>
      <c r="R31" s="186">
        <f t="shared" si="11"/>
        <v>1283.0717447889788</v>
      </c>
      <c r="S31" s="186">
        <f t="shared" si="11"/>
        <v>1195.9811282902081</v>
      </c>
      <c r="T31" s="186">
        <f t="shared" si="11"/>
        <v>1104.6874394955864</v>
      </c>
      <c r="U31" s="183">
        <f t="shared" si="11"/>
        <v>1009.6393744537359</v>
      </c>
    </row>
    <row r="32" spans="2:22" s="34" customFormat="1" ht="12" hidden="1" customHeight="1" outlineLevel="1" x14ac:dyDescent="0.35">
      <c r="B32" s="323" t="s">
        <v>32</v>
      </c>
      <c r="C32" s="46"/>
      <c r="D32" s="46"/>
      <c r="E32" s="46"/>
      <c r="F32" s="46"/>
      <c r="G32" s="4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</row>
    <row r="33" spans="2:21" s="34" customFormat="1" ht="12" hidden="1" customHeight="1" outlineLevel="1" x14ac:dyDescent="0.35">
      <c r="B33" s="35" t="s">
        <v>195</v>
      </c>
      <c r="C33" s="180">
        <v>0</v>
      </c>
      <c r="D33" s="180">
        <v>0</v>
      </c>
      <c r="E33" s="180">
        <v>0</v>
      </c>
      <c r="F33" s="187">
        <f>F127</f>
        <v>0</v>
      </c>
      <c r="G33" s="187">
        <f>G127</f>
        <v>146.18235055548652</v>
      </c>
      <c r="H33" s="187">
        <f t="shared" ref="H33:U33" si="12">H127</f>
        <v>160.2348565135444</v>
      </c>
      <c r="I33" s="187">
        <f t="shared" si="12"/>
        <v>170.28475236155398</v>
      </c>
      <c r="J33" s="187">
        <f t="shared" si="12"/>
        <v>188.14134785432236</v>
      </c>
      <c r="K33" s="187">
        <f t="shared" si="12"/>
        <v>198.12858316861826</v>
      </c>
      <c r="L33" s="187">
        <f t="shared" si="12"/>
        <v>207.98200770467801</v>
      </c>
      <c r="M33" s="187">
        <f t="shared" si="12"/>
        <v>217.69605466494821</v>
      </c>
      <c r="N33" s="187">
        <f t="shared" si="12"/>
        <v>227.29973757013417</v>
      </c>
      <c r="O33" s="187">
        <f t="shared" si="12"/>
        <v>234.22388257412049</v>
      </c>
      <c r="P33" s="187">
        <f t="shared" si="12"/>
        <v>234.75246836520782</v>
      </c>
      <c r="Q33" s="187">
        <f t="shared" si="12"/>
        <v>219.70722728153649</v>
      </c>
      <c r="R33" s="187">
        <f t="shared" si="12"/>
        <v>208.50182184800752</v>
      </c>
      <c r="S33" s="187">
        <f t="shared" si="12"/>
        <v>189.71662171513572</v>
      </c>
      <c r="T33" s="187">
        <f t="shared" si="12"/>
        <v>178.08106751601306</v>
      </c>
      <c r="U33" s="51">
        <f t="shared" si="12"/>
        <v>159.18216480759773</v>
      </c>
    </row>
    <row r="34" spans="2:21" s="34" customFormat="1" ht="12" hidden="1" customHeight="1" outlineLevel="1" x14ac:dyDescent="0.35">
      <c r="B34" s="35" t="s">
        <v>196</v>
      </c>
      <c r="C34" s="180">
        <v>0</v>
      </c>
      <c r="D34" s="180">
        <v>0</v>
      </c>
      <c r="E34" s="180">
        <v>0</v>
      </c>
      <c r="F34" s="180">
        <v>0</v>
      </c>
      <c r="G34" s="187">
        <v>0</v>
      </c>
      <c r="H34" s="187">
        <v>0</v>
      </c>
      <c r="I34" s="187">
        <v>0</v>
      </c>
      <c r="J34" s="187">
        <v>0</v>
      </c>
      <c r="K34" s="187">
        <v>0</v>
      </c>
      <c r="L34" s="187">
        <v>0</v>
      </c>
      <c r="M34" s="187">
        <v>0</v>
      </c>
      <c r="N34" s="187">
        <v>-10</v>
      </c>
      <c r="O34" s="187">
        <v>-40</v>
      </c>
      <c r="P34" s="187">
        <v>-70</v>
      </c>
      <c r="Q34" s="187">
        <v>-90</v>
      </c>
      <c r="R34" s="187">
        <v>-110</v>
      </c>
      <c r="S34" s="187">
        <v>-130</v>
      </c>
      <c r="T34" s="187">
        <v>-140</v>
      </c>
      <c r="U34" s="188">
        <v>-150</v>
      </c>
    </row>
    <row r="35" spans="2:21" s="34" customFormat="1" ht="12" customHeight="1" collapsed="1" x14ac:dyDescent="0.35">
      <c r="B35" s="86" t="s">
        <v>87</v>
      </c>
      <c r="C35" s="186">
        <f t="shared" ref="C35:U35" si="13">C31-C33-C34</f>
        <v>0</v>
      </c>
      <c r="D35" s="186">
        <f t="shared" si="13"/>
        <v>0</v>
      </c>
      <c r="E35" s="186">
        <f t="shared" si="13"/>
        <v>0</v>
      </c>
      <c r="F35" s="186">
        <f t="shared" si="13"/>
        <v>0</v>
      </c>
      <c r="G35" s="186">
        <f t="shared" si="13"/>
        <v>778.89991503289878</v>
      </c>
      <c r="H35" s="182">
        <f t="shared" si="13"/>
        <v>847.04728096406029</v>
      </c>
      <c r="I35" s="182">
        <f t="shared" si="13"/>
        <v>915.16426798547695</v>
      </c>
      <c r="J35" s="182">
        <f t="shared" si="13"/>
        <v>971.93674498468897</v>
      </c>
      <c r="K35" s="182">
        <f t="shared" si="13"/>
        <v>1034.1323889962612</v>
      </c>
      <c r="L35" s="182">
        <f t="shared" si="13"/>
        <v>1093.3035866505129</v>
      </c>
      <c r="M35" s="182">
        <f t="shared" si="13"/>
        <v>1148.74003577388</v>
      </c>
      <c r="N35" s="182">
        <f t="shared" si="13"/>
        <v>1210.8929208399629</v>
      </c>
      <c r="O35" s="182">
        <f t="shared" si="13"/>
        <v>1276.0408815971241</v>
      </c>
      <c r="P35" s="182">
        <f t="shared" si="13"/>
        <v>1279.2718696008624</v>
      </c>
      <c r="Q35" s="182">
        <f t="shared" si="13"/>
        <v>1235.798405533352</v>
      </c>
      <c r="R35" s="182">
        <f t="shared" si="13"/>
        <v>1184.5699229409713</v>
      </c>
      <c r="S35" s="182">
        <f t="shared" si="13"/>
        <v>1136.2645065750723</v>
      </c>
      <c r="T35" s="182">
        <f t="shared" si="13"/>
        <v>1066.6063719795734</v>
      </c>
      <c r="U35" s="183">
        <f t="shared" si="13"/>
        <v>1000.4572096461382</v>
      </c>
    </row>
    <row r="36" spans="2:21" s="34" customFormat="1" ht="3.65" customHeight="1" x14ac:dyDescent="0.35">
      <c r="B36" s="86"/>
      <c r="C36" s="186"/>
      <c r="D36" s="186"/>
      <c r="E36" s="186"/>
      <c r="F36" s="186"/>
      <c r="G36" s="186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3"/>
    </row>
    <row r="37" spans="2:21" s="34" customFormat="1" ht="12" customHeight="1" x14ac:dyDescent="0.35">
      <c r="B37" s="86" t="s">
        <v>88</v>
      </c>
      <c r="C37" s="189">
        <f t="shared" ref="C37:U37" si="14">C35+C30+C34</f>
        <v>0</v>
      </c>
      <c r="D37" s="189">
        <f t="shared" si="14"/>
        <v>0</v>
      </c>
      <c r="E37" s="189">
        <f t="shared" si="14"/>
        <v>0</v>
      </c>
      <c r="F37" s="189">
        <f t="shared" si="14"/>
        <v>0</v>
      </c>
      <c r="G37" s="189">
        <f t="shared" si="14"/>
        <v>1458.8999150328987</v>
      </c>
      <c r="H37" s="190">
        <f t="shared" si="14"/>
        <v>1527.0472809640603</v>
      </c>
      <c r="I37" s="190">
        <f t="shared" si="14"/>
        <v>1595.164267985477</v>
      </c>
      <c r="J37" s="190">
        <f t="shared" si="14"/>
        <v>1651.9367449846891</v>
      </c>
      <c r="K37" s="190">
        <f t="shared" si="14"/>
        <v>1714.1323889962612</v>
      </c>
      <c r="L37" s="190">
        <f t="shared" si="14"/>
        <v>1773.3035866505129</v>
      </c>
      <c r="M37" s="190">
        <f t="shared" si="14"/>
        <v>1828.74003577388</v>
      </c>
      <c r="N37" s="190">
        <f t="shared" si="14"/>
        <v>1880.8929208399629</v>
      </c>
      <c r="O37" s="190">
        <f t="shared" si="14"/>
        <v>1916.0408815971241</v>
      </c>
      <c r="P37" s="190">
        <f t="shared" si="14"/>
        <v>1889.2718696008624</v>
      </c>
      <c r="Q37" s="190">
        <f t="shared" si="14"/>
        <v>1825.798405533352</v>
      </c>
      <c r="R37" s="190">
        <f t="shared" si="14"/>
        <v>1754.5699229409713</v>
      </c>
      <c r="S37" s="190">
        <f t="shared" si="14"/>
        <v>1686.2645065750723</v>
      </c>
      <c r="T37" s="190">
        <f t="shared" si="14"/>
        <v>1606.6063719795734</v>
      </c>
      <c r="U37" s="191">
        <f t="shared" si="14"/>
        <v>1530.4572096461382</v>
      </c>
    </row>
    <row r="38" spans="2:21" s="34" customFormat="1" ht="12" customHeight="1" x14ac:dyDescent="0.35">
      <c r="B38" s="86" t="s">
        <v>266</v>
      </c>
      <c r="C38" s="398">
        <v>0</v>
      </c>
      <c r="D38" s="398">
        <v>0</v>
      </c>
      <c r="E38" s="398">
        <v>0</v>
      </c>
      <c r="F38" s="398">
        <v>0</v>
      </c>
      <c r="G38" s="398">
        <f>+G31+G30+G29+G28</f>
        <v>2783.6822655883852</v>
      </c>
      <c r="H38" s="398">
        <f t="shared" ref="H38:U38" si="15">+H31+H30+H29+H28</f>
        <v>2737.1488041442717</v>
      </c>
      <c r="I38" s="398">
        <f t="shared" si="15"/>
        <v>2687.7823536803644</v>
      </c>
      <c r="J38" s="398">
        <f t="shared" si="15"/>
        <v>2635.4780928390114</v>
      </c>
      <c r="K38" s="398">
        <f t="shared" si="15"/>
        <v>2580.1276388315459</v>
      </c>
      <c r="L38" s="398">
        <f t="shared" si="15"/>
        <v>2521.6189276885239</v>
      </c>
      <c r="M38" s="398">
        <f t="shared" si="15"/>
        <v>2459.8360904388283</v>
      </c>
      <c r="N38" s="398">
        <f t="shared" si="15"/>
        <v>2394.6593250767637</v>
      </c>
      <c r="O38" s="398">
        <f t="shared" si="15"/>
        <v>2325.9647641712445</v>
      </c>
      <c r="P38" s="398">
        <f t="shared" si="15"/>
        <v>2253.62433796607</v>
      </c>
      <c r="Q38" s="398">
        <f t="shared" si="15"/>
        <v>2177.5056328148885</v>
      </c>
      <c r="R38" s="398">
        <f t="shared" si="15"/>
        <v>2097.4717447889789</v>
      </c>
      <c r="S38" s="398">
        <f t="shared" si="15"/>
        <v>2013.3811282902079</v>
      </c>
      <c r="T38" s="398">
        <f t="shared" si="15"/>
        <v>1925.0874394955863</v>
      </c>
      <c r="U38" s="191">
        <f t="shared" si="15"/>
        <v>1832.4393744537356</v>
      </c>
    </row>
    <row r="39" spans="2:21" s="34" customFormat="1" ht="5.75" customHeight="1" x14ac:dyDescent="0.35">
      <c r="B39" s="86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51"/>
    </row>
    <row r="40" spans="2:21" s="34" customFormat="1" ht="12" customHeight="1" x14ac:dyDescent="0.35">
      <c r="B40" s="399" t="s">
        <v>264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397"/>
    </row>
    <row r="41" spans="2:21" s="34" customFormat="1" ht="12" customHeight="1" x14ac:dyDescent="0.35">
      <c r="B41" s="461" t="s">
        <v>265</v>
      </c>
      <c r="C41" s="462"/>
      <c r="D41" s="463">
        <f>D61/D62</f>
        <v>0.69942196531791923</v>
      </c>
      <c r="E41" s="463">
        <f>E61/E62</f>
        <v>0.70044543429844108</v>
      </c>
      <c r="F41" s="463">
        <f>F61/F62</f>
        <v>0.69390508114295069</v>
      </c>
      <c r="G41" s="463">
        <f>G61/G62</f>
        <v>0.65594500960643676</v>
      </c>
      <c r="H41" s="463">
        <f t="shared" ref="H41:U41" si="16">H61/H62</f>
        <v>0.59261586967832935</v>
      </c>
      <c r="I41" s="463">
        <f t="shared" si="16"/>
        <v>0.5244087853554612</v>
      </c>
      <c r="J41" s="463">
        <f t="shared" si="16"/>
        <v>0.45208172746170899</v>
      </c>
      <c r="K41" s="463">
        <f t="shared" si="16"/>
        <v>0.37597249563185958</v>
      </c>
      <c r="L41" s="463">
        <f t="shared" si="16"/>
        <v>0.29786580284191416</v>
      </c>
      <c r="M41" s="463">
        <f t="shared" si="16"/>
        <v>0.21834071796140536</v>
      </c>
      <c r="N41" s="463">
        <f t="shared" si="16"/>
        <v>0.13839094977031874</v>
      </c>
      <c r="O41" s="463">
        <f t="shared" si="16"/>
        <v>7.734408785647609E-2</v>
      </c>
      <c r="P41" s="463">
        <f t="shared" si="16"/>
        <v>7.2348620466645863E-2</v>
      </c>
      <c r="Q41" s="463">
        <f t="shared" si="16"/>
        <v>6.8338063086110082E-2</v>
      </c>
      <c r="R41" s="463">
        <f t="shared" si="16"/>
        <v>6.503083676477979E-2</v>
      </c>
      <c r="S41" s="463">
        <f t="shared" si="16"/>
        <v>6.2836782566172589E-2</v>
      </c>
      <c r="T41" s="463">
        <f t="shared" si="16"/>
        <v>6.0598292094405239E-2</v>
      </c>
      <c r="U41" s="464">
        <f t="shared" si="16"/>
        <v>5.8762304328156378E-2</v>
      </c>
    </row>
    <row r="42" spans="2:21" s="34" customFormat="1" ht="12" customHeight="1" x14ac:dyDescent="0.35">
      <c r="B42" s="336" t="s">
        <v>267</v>
      </c>
      <c r="C42" s="90"/>
      <c r="D42" s="398">
        <v>0</v>
      </c>
      <c r="E42" s="398">
        <v>0</v>
      </c>
      <c r="F42" s="398">
        <v>0</v>
      </c>
      <c r="G42" s="176">
        <f>G61/G38</f>
        <v>3.3347116847819138</v>
      </c>
      <c r="H42" s="176">
        <f t="shared" ref="H42:U42" si="17">H61/H38</f>
        <v>3.0012982807371689</v>
      </c>
      <c r="I42" s="176">
        <f t="shared" si="17"/>
        <v>2.6628726884905247</v>
      </c>
      <c r="J42" s="176">
        <f t="shared" si="17"/>
        <v>2.3143597592473064</v>
      </c>
      <c r="K42" s="176">
        <f t="shared" si="17"/>
        <v>1.9501619187124171</v>
      </c>
      <c r="L42" s="176">
        <f t="shared" si="17"/>
        <v>1.5759276095423376</v>
      </c>
      <c r="M42" s="176">
        <f t="shared" si="17"/>
        <v>1.1854900098611378</v>
      </c>
      <c r="N42" s="176">
        <f t="shared" si="17"/>
        <v>0.77603244598216936</v>
      </c>
      <c r="O42" s="176">
        <f t="shared" si="17"/>
        <v>0.46002416566325144</v>
      </c>
      <c r="P42" s="176">
        <f t="shared" si="17"/>
        <v>0.48366534814038248</v>
      </c>
      <c r="Q42" s="176">
        <f t="shared" si="17"/>
        <v>0.50975757916414088</v>
      </c>
      <c r="R42" s="176">
        <f t="shared" si="17"/>
        <v>0.53874384854404056</v>
      </c>
      <c r="S42" s="176">
        <f t="shared" si="17"/>
        <v>0.57614526315992975</v>
      </c>
      <c r="T42" s="176">
        <f t="shared" si="17"/>
        <v>0.61295917047237247</v>
      </c>
      <c r="U42" s="402">
        <f t="shared" si="17"/>
        <v>0.6548647757352013</v>
      </c>
    </row>
    <row r="43" spans="2:21" s="34" customFormat="1" ht="12" customHeight="1" x14ac:dyDescent="0.35">
      <c r="B43" s="461" t="s">
        <v>270</v>
      </c>
      <c r="C43" s="465"/>
      <c r="D43" s="466">
        <v>0</v>
      </c>
      <c r="E43" s="466">
        <v>0</v>
      </c>
      <c r="F43" s="466">
        <v>0</v>
      </c>
      <c r="G43" s="467">
        <f t="shared" ref="G43:U43" si="18">(G35+G28+G29+G30)/(G28+G29-G87)</f>
        <v>1.1689088330015702</v>
      </c>
      <c r="H43" s="467">
        <f t="shared" si="18"/>
        <v>1.2111581680667478</v>
      </c>
      <c r="I43" s="467">
        <f t="shared" si="18"/>
        <v>1.2586788740552908</v>
      </c>
      <c r="J43" s="467">
        <f t="shared" si="18"/>
        <v>1.3065160039897856</v>
      </c>
      <c r="K43" s="467">
        <f t="shared" si="18"/>
        <v>1.3645385022383549</v>
      </c>
      <c r="L43" s="467">
        <f t="shared" si="18"/>
        <v>1.4298381020294317</v>
      </c>
      <c r="M43" s="468">
        <f t="shared" si="18"/>
        <v>1.503603439634958</v>
      </c>
      <c r="N43" s="468">
        <f t="shared" si="18"/>
        <v>1.5960186580736315</v>
      </c>
      <c r="O43" s="468">
        <f t="shared" si="18"/>
        <v>2.166329949795526</v>
      </c>
      <c r="P43" s="468">
        <f t="shared" si="18"/>
        <v>16.11783850000668</v>
      </c>
      <c r="Q43" s="468">
        <f t="shared" si="18"/>
        <v>15.513624284343601</v>
      </c>
      <c r="R43" s="468">
        <f t="shared" si="18"/>
        <v>14.873288117120346</v>
      </c>
      <c r="S43" s="468">
        <f t="shared" si="18"/>
        <v>14.218810091521656</v>
      </c>
      <c r="T43" s="468">
        <f t="shared" si="18"/>
        <v>13.440216324640856</v>
      </c>
      <c r="U43" s="469">
        <f t="shared" si="18"/>
        <v>12.767907630575218</v>
      </c>
    </row>
    <row r="44" spans="2:21" s="34" customFormat="1" ht="12" customHeight="1" x14ac:dyDescent="0.35">
      <c r="B44" s="336" t="s">
        <v>271</v>
      </c>
      <c r="C44" s="173"/>
      <c r="D44" s="398">
        <v>0</v>
      </c>
      <c r="E44" s="398">
        <v>0</v>
      </c>
      <c r="F44" s="398">
        <v>0</v>
      </c>
      <c r="G44" s="176">
        <f t="shared" ref="G44:U44" si="19">G83/(G28+G29-G87)</f>
        <v>0.65487854581201377</v>
      </c>
      <c r="H44" s="176">
        <f t="shared" si="19"/>
        <v>1.2067619443607924</v>
      </c>
      <c r="I44" s="176">
        <f t="shared" si="19"/>
        <v>1.2446492520619699</v>
      </c>
      <c r="J44" s="176">
        <f t="shared" si="19"/>
        <v>1.296529123881047</v>
      </c>
      <c r="K44" s="176">
        <f t="shared" si="19"/>
        <v>1.353822000405146</v>
      </c>
      <c r="L44" s="176">
        <f t="shared" si="19"/>
        <v>1.4124963987058192</v>
      </c>
      <c r="M44" s="176">
        <f t="shared" si="19"/>
        <v>1.4910581870381157</v>
      </c>
      <c r="N44" s="176">
        <f t="shared" si="19"/>
        <v>1.568119843467112</v>
      </c>
      <c r="O44" s="176">
        <f t="shared" si="19"/>
        <v>2.0971648102336582</v>
      </c>
      <c r="P44" s="176">
        <f t="shared" si="19"/>
        <v>15.433369349628437</v>
      </c>
      <c r="Q44" s="176">
        <f t="shared" si="19"/>
        <v>14.619224262877463</v>
      </c>
      <c r="R44" s="176">
        <f t="shared" si="19"/>
        <v>13.846050000799437</v>
      </c>
      <c r="S44" s="176">
        <f t="shared" si="19"/>
        <v>13.068440347463937</v>
      </c>
      <c r="T44" s="176">
        <f t="shared" si="19"/>
        <v>12.243202059444769</v>
      </c>
      <c r="U44" s="402">
        <f t="shared" si="19"/>
        <v>11.520983240984668</v>
      </c>
    </row>
    <row r="45" spans="2:21" s="34" customFormat="1" ht="12" customHeight="1" x14ac:dyDescent="0.35">
      <c r="B45" s="461" t="s">
        <v>326</v>
      </c>
      <c r="C45" s="465"/>
      <c r="D45" s="466">
        <v>0</v>
      </c>
      <c r="E45" s="466">
        <v>0</v>
      </c>
      <c r="F45" s="466">
        <v>0</v>
      </c>
      <c r="G45" s="468">
        <f t="shared" ref="G45:U45" si="20">G26/(G28+G29)</f>
        <v>2.3618549682575813</v>
      </c>
      <c r="H45" s="468">
        <f t="shared" si="20"/>
        <v>2.607139450226319</v>
      </c>
      <c r="I45" s="468">
        <f t="shared" si="20"/>
        <v>2.9141116953527622</v>
      </c>
      <c r="J45" s="468">
        <f t="shared" si="20"/>
        <v>3.3133996641174397</v>
      </c>
      <c r="K45" s="468">
        <f t="shared" si="20"/>
        <v>3.8632376305123972</v>
      </c>
      <c r="L45" s="468">
        <f t="shared" si="20"/>
        <v>4.6667839500712969</v>
      </c>
      <c r="M45" s="468">
        <f t="shared" si="20"/>
        <v>5.9502566290247447</v>
      </c>
      <c r="N45" s="468">
        <f t="shared" si="20"/>
        <v>8.3592948280548018</v>
      </c>
      <c r="O45" s="468">
        <f t="shared" si="20"/>
        <v>13.238274127326395</v>
      </c>
      <c r="P45" s="468">
        <f t="shared" si="20"/>
        <v>17.38907668183699</v>
      </c>
      <c r="Q45" s="468">
        <f t="shared" si="20"/>
        <v>16.496254794052213</v>
      </c>
      <c r="R45" s="468">
        <f t="shared" si="20"/>
        <v>15.606188577298976</v>
      </c>
      <c r="S45" s="468">
        <f t="shared" si="20"/>
        <v>14.653428881297025</v>
      </c>
      <c r="T45" s="468">
        <f t="shared" si="20"/>
        <v>13.711448999256334</v>
      </c>
      <c r="U45" s="469">
        <f t="shared" si="20"/>
        <v>12.832208504578002</v>
      </c>
    </row>
    <row r="46" spans="2:21" s="34" customFormat="1" ht="12" customHeight="1" thickBot="1" x14ac:dyDescent="0.4">
      <c r="B46" s="54" t="s">
        <v>269</v>
      </c>
      <c r="C46" s="175"/>
      <c r="D46" s="175">
        <v>0</v>
      </c>
      <c r="E46" s="175">
        <v>0</v>
      </c>
      <c r="F46" s="175">
        <v>0</v>
      </c>
      <c r="G46" s="177">
        <f t="shared" ref="G46:U46" si="21">G83/(G28+G29)</f>
        <v>1.253736125838838</v>
      </c>
      <c r="H46" s="177">
        <f t="shared" si="21"/>
        <v>2.4456061214308638</v>
      </c>
      <c r="I46" s="177">
        <f t="shared" si="21"/>
        <v>2.6990641111152294</v>
      </c>
      <c r="J46" s="177">
        <f t="shared" si="21"/>
        <v>3.0533436548851758</v>
      </c>
      <c r="K46" s="177">
        <f t="shared" si="21"/>
        <v>3.5385683576171516</v>
      </c>
      <c r="L46" s="177">
        <f t="shared" si="21"/>
        <v>4.2299372926902841</v>
      </c>
      <c r="M46" s="177">
        <f t="shared" si="21"/>
        <v>5.3784055004471716</v>
      </c>
      <c r="N46" s="177">
        <f t="shared" si="21"/>
        <v>7.467880328158369</v>
      </c>
      <c r="O46" s="177">
        <f t="shared" si="21"/>
        <v>11.745475690174141</v>
      </c>
      <c r="P46" s="177">
        <f t="shared" si="21"/>
        <v>15.433369349628437</v>
      </c>
      <c r="Q46" s="177">
        <f t="shared" si="21"/>
        <v>14.619224262877463</v>
      </c>
      <c r="R46" s="177">
        <f t="shared" si="21"/>
        <v>13.846050000799437</v>
      </c>
      <c r="S46" s="177">
        <f t="shared" si="21"/>
        <v>13.068440347463937</v>
      </c>
      <c r="T46" s="177">
        <f t="shared" si="21"/>
        <v>12.243202059444769</v>
      </c>
      <c r="U46" s="403">
        <f t="shared" si="21"/>
        <v>11.520983240984668</v>
      </c>
    </row>
    <row r="47" spans="2:21" s="34" customFormat="1" outlineLevel="1" x14ac:dyDescent="0.35">
      <c r="B47" s="34" t="s">
        <v>325</v>
      </c>
      <c r="D47" s="309"/>
      <c r="G47" s="489">
        <f>G67/G61</f>
        <v>1.3864384463462802</v>
      </c>
      <c r="H47" s="489">
        <f t="shared" ref="H47:R47" si="22">H67/H61</f>
        <v>1.4838709677419355</v>
      </c>
      <c r="I47" s="489">
        <f t="shared" si="22"/>
        <v>1.6081657998913295</v>
      </c>
      <c r="J47" s="489">
        <f t="shared" si="22"/>
        <v>1.7755715456781127</v>
      </c>
      <c r="K47" s="489">
        <f t="shared" si="22"/>
        <v>2.0172242464392185</v>
      </c>
      <c r="L47" s="489">
        <f t="shared" si="22"/>
        <v>2.383056060394241</v>
      </c>
      <c r="M47" s="489">
        <f t="shared" si="22"/>
        <v>3.0142884358925528</v>
      </c>
      <c r="N47" s="489">
        <f t="shared" si="22"/>
        <v>4.3641255605381204</v>
      </c>
      <c r="O47" s="489">
        <f t="shared" si="22"/>
        <v>6.9439252336448716</v>
      </c>
      <c r="P47" s="489">
        <f t="shared" si="22"/>
        <v>6.1926605504587258</v>
      </c>
      <c r="Q47" s="489">
        <f t="shared" si="22"/>
        <v>5.468468468468477</v>
      </c>
      <c r="R47" s="489">
        <f t="shared" si="22"/>
        <v>4.7699115044247868</v>
      </c>
      <c r="S47" s="277"/>
      <c r="T47" s="277"/>
      <c r="U47" s="277"/>
    </row>
    <row r="48" spans="2:21" ht="15" thickBot="1" x14ac:dyDescent="0.4">
      <c r="G48" s="408"/>
      <c r="H48" s="408"/>
    </row>
    <row r="49" spans="2:21" ht="16" thickBot="1" x14ac:dyDescent="0.4">
      <c r="B49" s="299" t="s">
        <v>106</v>
      </c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1"/>
    </row>
    <row r="50" spans="2:21" ht="16" thickBot="1" x14ac:dyDescent="0.4">
      <c r="B50" s="306" t="s">
        <v>110</v>
      </c>
      <c r="C50" s="2">
        <v>2009</v>
      </c>
      <c r="D50" s="2">
        <v>2010</v>
      </c>
      <c r="E50" s="2">
        <v>2011</v>
      </c>
      <c r="F50" s="2">
        <v>2012</v>
      </c>
      <c r="G50" s="2">
        <v>2013</v>
      </c>
      <c r="H50" s="2">
        <v>2014</v>
      </c>
      <c r="I50" s="2">
        <v>2015</v>
      </c>
      <c r="J50" s="2">
        <v>2016</v>
      </c>
      <c r="K50" s="2">
        <v>2017</v>
      </c>
      <c r="L50" s="2">
        <v>2018</v>
      </c>
      <c r="M50" s="2">
        <v>2019</v>
      </c>
      <c r="N50" s="2">
        <v>2020</v>
      </c>
      <c r="O50" s="2">
        <v>2021</v>
      </c>
      <c r="P50" s="2">
        <v>2022</v>
      </c>
      <c r="Q50" s="2">
        <v>2023</v>
      </c>
      <c r="R50" s="2">
        <v>2024</v>
      </c>
      <c r="S50" s="2">
        <v>2025</v>
      </c>
      <c r="T50" s="2">
        <v>2026</v>
      </c>
      <c r="U50" s="3">
        <v>2027</v>
      </c>
    </row>
    <row r="51" spans="2:21" ht="15.5" x14ac:dyDescent="0.35">
      <c r="B51" s="305" t="s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2:21" ht="15.5" x14ac:dyDescent="0.35">
      <c r="B52" s="304" t="s">
        <v>107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 ht="15.5" x14ac:dyDescent="0.35">
      <c r="B53" s="313" t="s">
        <v>2</v>
      </c>
      <c r="C53" s="202">
        <v>0</v>
      </c>
      <c r="D53" s="407">
        <f>C53+D92+D91</f>
        <v>1082.4499999999998</v>
      </c>
      <c r="E53" s="407">
        <f>D53+E92+E91</f>
        <v>2740.9749999999995</v>
      </c>
      <c r="F53" s="202">
        <f t="shared" ref="F53:U53" si="23">E53+F92</f>
        <v>4210.9749999999995</v>
      </c>
      <c r="G53" s="202">
        <f t="shared" si="23"/>
        <v>4210.9749999999995</v>
      </c>
      <c r="H53" s="202">
        <f t="shared" si="23"/>
        <v>4210.9749999999995</v>
      </c>
      <c r="I53" s="202">
        <f t="shared" si="23"/>
        <v>4210.9749999999995</v>
      </c>
      <c r="J53" s="202">
        <f t="shared" si="23"/>
        <v>4210.9749999999995</v>
      </c>
      <c r="K53" s="202">
        <f t="shared" si="23"/>
        <v>4210.9749999999995</v>
      </c>
      <c r="L53" s="202">
        <f t="shared" si="23"/>
        <v>4210.9749999999995</v>
      </c>
      <c r="M53" s="202">
        <f t="shared" si="23"/>
        <v>4210.9749999999995</v>
      </c>
      <c r="N53" s="202">
        <f t="shared" si="23"/>
        <v>4210.9749999999995</v>
      </c>
      <c r="O53" s="202">
        <f t="shared" si="23"/>
        <v>4210.9749999999995</v>
      </c>
      <c r="P53" s="202">
        <f t="shared" si="23"/>
        <v>4210.9749999999995</v>
      </c>
      <c r="Q53" s="202">
        <f t="shared" si="23"/>
        <v>4210.9749999999995</v>
      </c>
      <c r="R53" s="202">
        <f t="shared" si="23"/>
        <v>4210.9749999999995</v>
      </c>
      <c r="S53" s="202">
        <f t="shared" si="23"/>
        <v>4210.9749999999995</v>
      </c>
      <c r="T53" s="202">
        <f t="shared" si="23"/>
        <v>4210.9749999999995</v>
      </c>
      <c r="U53" s="203">
        <f t="shared" si="23"/>
        <v>4210.9749999999995</v>
      </c>
    </row>
    <row r="54" spans="2:21" ht="15.5" x14ac:dyDescent="0.35">
      <c r="B54" s="313" t="s">
        <v>76</v>
      </c>
      <c r="C54" s="202">
        <v>0</v>
      </c>
      <c r="D54" s="202">
        <f t="shared" ref="D54:U54" si="24">D136</f>
        <v>-42.45000000000001</v>
      </c>
      <c r="E54" s="202">
        <f t="shared" si="24"/>
        <v>-50.975000000000009</v>
      </c>
      <c r="F54" s="202">
        <f t="shared" si="24"/>
        <v>-50.975000000000009</v>
      </c>
      <c r="G54" s="202">
        <f t="shared" si="24"/>
        <v>658.00940019410962</v>
      </c>
      <c r="H54" s="202">
        <f t="shared" si="24"/>
        <v>1436.2929889741824</v>
      </c>
      <c r="I54" s="202">
        <f t="shared" si="24"/>
        <v>2279.976534765518</v>
      </c>
      <c r="J54" s="202">
        <f t="shared" si="24"/>
        <v>3181.4871599008129</v>
      </c>
      <c r="K54" s="202">
        <f t="shared" si="24"/>
        <v>4140.4295024369258</v>
      </c>
      <c r="L54" s="202">
        <f t="shared" si="24"/>
        <v>5156.3416169943912</v>
      </c>
      <c r="M54" s="202">
        <f t="shared" si="24"/>
        <v>6228.6962566402472</v>
      </c>
      <c r="N54" s="202">
        <f t="shared" si="24"/>
        <v>7358.8337266606513</v>
      </c>
      <c r="O54" s="202">
        <f t="shared" si="24"/>
        <v>8553.30800280105</v>
      </c>
      <c r="P54" s="202">
        <f t="shared" si="24"/>
        <v>9764.9653450893711</v>
      </c>
      <c r="Q54" s="202">
        <f t="shared" si="24"/>
        <v>10921.803180606776</v>
      </c>
      <c r="R54" s="202">
        <f t="shared" si="24"/>
        <v>12035.396829371844</v>
      </c>
      <c r="S54" s="202">
        <f t="shared" si="24"/>
        <v>13089.550071894277</v>
      </c>
      <c r="T54" s="202">
        <f t="shared" si="24"/>
        <v>14081.520993149325</v>
      </c>
      <c r="U54" s="203">
        <f t="shared" si="24"/>
        <v>15010.279981741925</v>
      </c>
    </row>
    <row r="55" spans="2:21" ht="15.5" x14ac:dyDescent="0.35">
      <c r="B55" s="7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3"/>
    </row>
    <row r="56" spans="2:21" ht="15.5" x14ac:dyDescent="0.35">
      <c r="B56" s="7" t="s">
        <v>108</v>
      </c>
      <c r="C56" s="307">
        <v>0</v>
      </c>
      <c r="D56" s="307">
        <f t="shared" ref="D56:U56" si="25">D53+D54</f>
        <v>1039.9999999999998</v>
      </c>
      <c r="E56" s="307">
        <f t="shared" si="25"/>
        <v>2689.9999999999995</v>
      </c>
      <c r="F56" s="307">
        <f t="shared" si="25"/>
        <v>4159.9999999999991</v>
      </c>
      <c r="G56" s="307">
        <f t="shared" si="25"/>
        <v>4868.9844001941092</v>
      </c>
      <c r="H56" s="307">
        <f t="shared" si="25"/>
        <v>5647.2679889741821</v>
      </c>
      <c r="I56" s="307">
        <f t="shared" si="25"/>
        <v>6490.9515347655179</v>
      </c>
      <c r="J56" s="307">
        <f t="shared" si="25"/>
        <v>7392.4621599008124</v>
      </c>
      <c r="K56" s="307">
        <f t="shared" si="25"/>
        <v>8351.4045024369261</v>
      </c>
      <c r="L56" s="307">
        <f t="shared" si="25"/>
        <v>9367.3166169943906</v>
      </c>
      <c r="M56" s="307">
        <f t="shared" si="25"/>
        <v>10439.671256640246</v>
      </c>
      <c r="N56" s="307">
        <f t="shared" si="25"/>
        <v>11569.808726660651</v>
      </c>
      <c r="O56" s="307">
        <f t="shared" si="25"/>
        <v>12764.28300280105</v>
      </c>
      <c r="P56" s="307">
        <f t="shared" si="25"/>
        <v>13975.94034508937</v>
      </c>
      <c r="Q56" s="307">
        <f t="shared" si="25"/>
        <v>15132.778180606776</v>
      </c>
      <c r="R56" s="307">
        <f t="shared" si="25"/>
        <v>16246.371829371845</v>
      </c>
      <c r="S56" s="307">
        <f t="shared" si="25"/>
        <v>17300.525071894277</v>
      </c>
      <c r="T56" s="307">
        <f t="shared" si="25"/>
        <v>18292.495993149325</v>
      </c>
      <c r="U56" s="308">
        <f t="shared" si="25"/>
        <v>19221.254981741924</v>
      </c>
    </row>
    <row r="57" spans="2:21" ht="15.5" x14ac:dyDescent="0.35">
      <c r="B57" s="7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3"/>
    </row>
    <row r="58" spans="2:21" ht="15.5" x14ac:dyDescent="0.35">
      <c r="B58" s="304" t="s">
        <v>3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3"/>
    </row>
    <row r="59" spans="2:21" ht="15.5" x14ac:dyDescent="0.35">
      <c r="B59" s="7" t="s">
        <v>77</v>
      </c>
      <c r="C59" s="202">
        <v>0</v>
      </c>
      <c r="D59" s="202">
        <f t="shared" ref="D59:U59" si="26">C59+D86+D87</f>
        <v>2420.0000000000005</v>
      </c>
      <c r="E59" s="202">
        <f t="shared" si="26"/>
        <v>6290.0000000000018</v>
      </c>
      <c r="F59" s="202">
        <f t="shared" si="26"/>
        <v>9430.5555555555566</v>
      </c>
      <c r="G59" s="202">
        <f t="shared" si="26"/>
        <v>8352.7777777777792</v>
      </c>
      <c r="H59" s="202">
        <f t="shared" si="26"/>
        <v>7275.0000000000009</v>
      </c>
      <c r="I59" s="202">
        <f t="shared" si="26"/>
        <v>6197.2222222222226</v>
      </c>
      <c r="J59" s="202">
        <f t="shared" si="26"/>
        <v>5119.4444444444443</v>
      </c>
      <c r="K59" s="202">
        <f t="shared" si="26"/>
        <v>4041.6666666666661</v>
      </c>
      <c r="L59" s="202">
        <f t="shared" si="26"/>
        <v>2963.8888888888878</v>
      </c>
      <c r="M59" s="202">
        <f t="shared" si="26"/>
        <v>1886.1111111111097</v>
      </c>
      <c r="N59" s="202">
        <f t="shared" si="26"/>
        <v>808.33333333333167</v>
      </c>
      <c r="O59" s="202">
        <f t="shared" si="26"/>
        <v>-1.8189894035458565E-12</v>
      </c>
      <c r="P59" s="202">
        <f t="shared" si="26"/>
        <v>-1.8189894035458565E-12</v>
      </c>
      <c r="Q59" s="202">
        <f t="shared" si="26"/>
        <v>-1.8189894035458565E-12</v>
      </c>
      <c r="R59" s="202">
        <f t="shared" si="26"/>
        <v>-1.8189894035458565E-12</v>
      </c>
      <c r="S59" s="202">
        <f t="shared" si="26"/>
        <v>-1.8189894035458565E-12</v>
      </c>
      <c r="T59" s="202">
        <f t="shared" si="26"/>
        <v>-1.8189894035458565E-12</v>
      </c>
      <c r="U59" s="203">
        <f t="shared" si="26"/>
        <v>-1.8189894035458565E-12</v>
      </c>
    </row>
    <row r="60" spans="2:21" ht="15.5" x14ac:dyDescent="0.35">
      <c r="B60" s="7" t="s">
        <v>78</v>
      </c>
      <c r="C60" s="202">
        <v>0</v>
      </c>
      <c r="D60" s="202">
        <f>C60+D88</f>
        <v>0</v>
      </c>
      <c r="E60" s="202">
        <f>D60+E88</f>
        <v>0</v>
      </c>
      <c r="F60" s="202">
        <f t="shared" ref="F60:U60" si="27">E60+F88+F89</f>
        <v>0</v>
      </c>
      <c r="G60" s="202">
        <f t="shared" si="27"/>
        <v>930</v>
      </c>
      <c r="H60" s="202">
        <f t="shared" si="27"/>
        <v>940</v>
      </c>
      <c r="I60" s="202">
        <f t="shared" si="27"/>
        <v>960</v>
      </c>
      <c r="J60" s="202">
        <f t="shared" si="27"/>
        <v>980</v>
      </c>
      <c r="K60" s="202">
        <f t="shared" si="27"/>
        <v>990</v>
      </c>
      <c r="L60" s="202">
        <f t="shared" si="27"/>
        <v>1010</v>
      </c>
      <c r="M60" s="202">
        <f t="shared" si="27"/>
        <v>1030</v>
      </c>
      <c r="N60" s="202">
        <f t="shared" si="27"/>
        <v>1050</v>
      </c>
      <c r="O60" s="202">
        <f t="shared" si="27"/>
        <v>1070</v>
      </c>
      <c r="P60" s="202">
        <f t="shared" si="27"/>
        <v>1090</v>
      </c>
      <c r="Q60" s="202">
        <f t="shared" si="27"/>
        <v>1110</v>
      </c>
      <c r="R60" s="202">
        <f t="shared" si="27"/>
        <v>1130</v>
      </c>
      <c r="S60" s="202">
        <f t="shared" si="27"/>
        <v>1160</v>
      </c>
      <c r="T60" s="202">
        <f t="shared" si="27"/>
        <v>1180</v>
      </c>
      <c r="U60" s="203">
        <f t="shared" si="27"/>
        <v>1200</v>
      </c>
    </row>
    <row r="61" spans="2:21" ht="15.5" x14ac:dyDescent="0.35">
      <c r="B61" s="7" t="s">
        <v>4</v>
      </c>
      <c r="C61" s="307">
        <v>0</v>
      </c>
      <c r="D61" s="307">
        <f t="shared" ref="D61:U61" si="28">D59+D60</f>
        <v>2420.0000000000005</v>
      </c>
      <c r="E61" s="307">
        <f t="shared" si="28"/>
        <v>6290.0000000000018</v>
      </c>
      <c r="F61" s="307">
        <f t="shared" si="28"/>
        <v>9430.5555555555566</v>
      </c>
      <c r="G61" s="307">
        <f t="shared" si="28"/>
        <v>9282.7777777777792</v>
      </c>
      <c r="H61" s="307">
        <f t="shared" si="28"/>
        <v>8215</v>
      </c>
      <c r="I61" s="307">
        <f t="shared" si="28"/>
        <v>7157.2222222222226</v>
      </c>
      <c r="J61" s="307">
        <f t="shared" si="28"/>
        <v>6099.4444444444443</v>
      </c>
      <c r="K61" s="307">
        <f t="shared" si="28"/>
        <v>5031.6666666666661</v>
      </c>
      <c r="L61" s="307">
        <f t="shared" si="28"/>
        <v>3973.8888888888878</v>
      </c>
      <c r="M61" s="307">
        <f t="shared" si="28"/>
        <v>2916.1111111111095</v>
      </c>
      <c r="N61" s="307">
        <f t="shared" si="28"/>
        <v>1858.3333333333317</v>
      </c>
      <c r="O61" s="307">
        <f t="shared" si="28"/>
        <v>1069.9999999999982</v>
      </c>
      <c r="P61" s="307">
        <f t="shared" si="28"/>
        <v>1089.9999999999982</v>
      </c>
      <c r="Q61" s="307">
        <f t="shared" si="28"/>
        <v>1109.9999999999982</v>
      </c>
      <c r="R61" s="307">
        <f t="shared" si="28"/>
        <v>1129.9999999999982</v>
      </c>
      <c r="S61" s="307">
        <f t="shared" si="28"/>
        <v>1159.9999999999982</v>
      </c>
      <c r="T61" s="307">
        <f t="shared" si="28"/>
        <v>1179.9999999999982</v>
      </c>
      <c r="U61" s="308">
        <f t="shared" si="28"/>
        <v>1199.9999999999982</v>
      </c>
    </row>
    <row r="62" spans="2:21" ht="15.5" x14ac:dyDescent="0.35">
      <c r="B62" s="7" t="s">
        <v>5</v>
      </c>
      <c r="C62" s="307">
        <v>0</v>
      </c>
      <c r="D62" s="307">
        <f t="shared" ref="D62:U62" si="29">D56+D61</f>
        <v>3460</v>
      </c>
      <c r="E62" s="307">
        <f t="shared" si="29"/>
        <v>8980.0000000000018</v>
      </c>
      <c r="F62" s="307">
        <f t="shared" si="29"/>
        <v>13590.555555555555</v>
      </c>
      <c r="G62" s="307">
        <f t="shared" si="29"/>
        <v>14151.762177971888</v>
      </c>
      <c r="H62" s="307">
        <f t="shared" si="29"/>
        <v>13862.267988974181</v>
      </c>
      <c r="I62" s="307">
        <f t="shared" si="29"/>
        <v>13648.17375698774</v>
      </c>
      <c r="J62" s="307">
        <f t="shared" si="29"/>
        <v>13491.906604345257</v>
      </c>
      <c r="K62" s="307">
        <f t="shared" si="29"/>
        <v>13383.071169103592</v>
      </c>
      <c r="L62" s="307">
        <f t="shared" si="29"/>
        <v>13341.205505883278</v>
      </c>
      <c r="M62" s="307">
        <f t="shared" si="29"/>
        <v>13355.782367751355</v>
      </c>
      <c r="N62" s="307">
        <f t="shared" si="29"/>
        <v>13428.142059993983</v>
      </c>
      <c r="O62" s="307">
        <f t="shared" si="29"/>
        <v>13834.283002801048</v>
      </c>
      <c r="P62" s="307">
        <f t="shared" si="29"/>
        <v>15065.940345089368</v>
      </c>
      <c r="Q62" s="307">
        <f t="shared" si="29"/>
        <v>16242.778180606774</v>
      </c>
      <c r="R62" s="307">
        <f t="shared" si="29"/>
        <v>17376.371829371841</v>
      </c>
      <c r="S62" s="307">
        <f t="shared" si="29"/>
        <v>18460.525071894277</v>
      </c>
      <c r="T62" s="307">
        <f t="shared" si="29"/>
        <v>19472.495993149321</v>
      </c>
      <c r="U62" s="308">
        <f t="shared" si="29"/>
        <v>20421.25498174192</v>
      </c>
    </row>
    <row r="63" spans="2:21" ht="15.5" x14ac:dyDescent="0.35">
      <c r="B63" s="7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3"/>
    </row>
    <row r="64" spans="2:21" ht="15.5" x14ac:dyDescent="0.35">
      <c r="B64" s="304" t="s">
        <v>6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3"/>
    </row>
    <row r="65" spans="2:26" ht="15.5" x14ac:dyDescent="0.35">
      <c r="B65" s="7" t="s">
        <v>197</v>
      </c>
      <c r="C65" s="202">
        <v>0</v>
      </c>
      <c r="D65" s="202">
        <v>3460</v>
      </c>
      <c r="E65" s="202">
        <v>8980</v>
      </c>
      <c r="F65" s="202">
        <v>13550</v>
      </c>
      <c r="G65" s="202">
        <v>13550</v>
      </c>
      <c r="H65" s="202">
        <v>13550</v>
      </c>
      <c r="I65" s="202">
        <v>13550</v>
      </c>
      <c r="J65" s="202">
        <v>13550</v>
      </c>
      <c r="K65" s="202">
        <v>13550</v>
      </c>
      <c r="L65" s="202">
        <v>13550</v>
      </c>
      <c r="M65" s="202">
        <v>13550</v>
      </c>
      <c r="N65" s="202">
        <v>13550</v>
      </c>
      <c r="O65" s="202">
        <v>13550</v>
      </c>
      <c r="P65" s="202">
        <v>13550</v>
      </c>
      <c r="Q65" s="202">
        <v>13550</v>
      </c>
      <c r="R65" s="202">
        <v>13550</v>
      </c>
      <c r="S65" s="202">
        <v>13550</v>
      </c>
      <c r="T65" s="202">
        <v>13550</v>
      </c>
      <c r="U65" s="203">
        <v>13550</v>
      </c>
    </row>
    <row r="66" spans="2:26" ht="15.5" x14ac:dyDescent="0.35">
      <c r="B66" s="7" t="s">
        <v>7</v>
      </c>
      <c r="C66" s="202">
        <v>0</v>
      </c>
      <c r="D66" s="202">
        <f>D30</f>
        <v>0</v>
      </c>
      <c r="E66" s="202">
        <f t="shared" ref="E66:U66" si="30">D66+E30</f>
        <v>0</v>
      </c>
      <c r="F66" s="202">
        <f t="shared" si="30"/>
        <v>0</v>
      </c>
      <c r="G66" s="202">
        <f t="shared" si="30"/>
        <v>680</v>
      </c>
      <c r="H66" s="202">
        <f t="shared" si="30"/>
        <v>1360</v>
      </c>
      <c r="I66" s="202">
        <f t="shared" si="30"/>
        <v>2040</v>
      </c>
      <c r="J66" s="202">
        <f t="shared" si="30"/>
        <v>2720</v>
      </c>
      <c r="K66" s="202">
        <f t="shared" si="30"/>
        <v>3400</v>
      </c>
      <c r="L66" s="202">
        <f t="shared" si="30"/>
        <v>4080</v>
      </c>
      <c r="M66" s="202">
        <f t="shared" si="30"/>
        <v>4760</v>
      </c>
      <c r="N66" s="202">
        <f t="shared" si="30"/>
        <v>5440</v>
      </c>
      <c r="O66" s="202">
        <f t="shared" si="30"/>
        <v>6120</v>
      </c>
      <c r="P66" s="202">
        <f t="shared" si="30"/>
        <v>6800</v>
      </c>
      <c r="Q66" s="202">
        <f t="shared" si="30"/>
        <v>7480</v>
      </c>
      <c r="R66" s="202">
        <f t="shared" si="30"/>
        <v>8160</v>
      </c>
      <c r="S66" s="202">
        <f t="shared" si="30"/>
        <v>8840</v>
      </c>
      <c r="T66" s="202">
        <f t="shared" si="30"/>
        <v>9520</v>
      </c>
      <c r="U66" s="203">
        <f t="shared" si="30"/>
        <v>10200</v>
      </c>
    </row>
    <row r="67" spans="2:26" ht="15.5" x14ac:dyDescent="0.35">
      <c r="B67" s="7" t="s">
        <v>8</v>
      </c>
      <c r="C67" s="202">
        <v>0</v>
      </c>
      <c r="D67" s="187">
        <f>D65-D66</f>
        <v>3460</v>
      </c>
      <c r="E67" s="187">
        <f>E65-E66</f>
        <v>8980</v>
      </c>
      <c r="F67" s="187">
        <f>F65-F66</f>
        <v>13550</v>
      </c>
      <c r="G67" s="187">
        <f>G65-G66</f>
        <v>12870</v>
      </c>
      <c r="H67" s="187">
        <f t="shared" ref="H67:U67" si="31">H65-H66</f>
        <v>12190</v>
      </c>
      <c r="I67" s="202">
        <f t="shared" si="31"/>
        <v>11510</v>
      </c>
      <c r="J67" s="202">
        <f t="shared" si="31"/>
        <v>10830</v>
      </c>
      <c r="K67" s="202">
        <f t="shared" si="31"/>
        <v>10150</v>
      </c>
      <c r="L67" s="202">
        <f t="shared" si="31"/>
        <v>9470</v>
      </c>
      <c r="M67" s="202">
        <f t="shared" si="31"/>
        <v>8790</v>
      </c>
      <c r="N67" s="202">
        <f t="shared" si="31"/>
        <v>8110</v>
      </c>
      <c r="O67" s="202">
        <f t="shared" si="31"/>
        <v>7430</v>
      </c>
      <c r="P67" s="202">
        <f t="shared" si="31"/>
        <v>6750</v>
      </c>
      <c r="Q67" s="202">
        <f t="shared" si="31"/>
        <v>6070</v>
      </c>
      <c r="R67" s="202">
        <f t="shared" si="31"/>
        <v>5390</v>
      </c>
      <c r="S67" s="202">
        <f t="shared" si="31"/>
        <v>4710</v>
      </c>
      <c r="T67" s="202">
        <f t="shared" si="31"/>
        <v>4030</v>
      </c>
      <c r="U67" s="203">
        <f t="shared" si="31"/>
        <v>3350</v>
      </c>
    </row>
    <row r="68" spans="2:26" ht="15.5" x14ac:dyDescent="0.35">
      <c r="B68" s="7" t="s">
        <v>57</v>
      </c>
      <c r="C68" s="202">
        <v>0</v>
      </c>
      <c r="D68" s="202">
        <v>0</v>
      </c>
      <c r="E68" s="202">
        <v>0</v>
      </c>
      <c r="F68" s="202">
        <v>0</v>
      </c>
      <c r="G68" s="202">
        <f>G105</f>
        <v>1159.8465171192443</v>
      </c>
      <c r="H68" s="202">
        <f t="shared" ref="H68:U68" si="32">H105</f>
        <v>1169.2001180637544</v>
      </c>
      <c r="I68" s="202">
        <f t="shared" si="32"/>
        <v>1197.2609208972844</v>
      </c>
      <c r="J68" s="202">
        <f t="shared" si="32"/>
        <v>1215.9681227863045</v>
      </c>
      <c r="K68" s="202">
        <f t="shared" si="32"/>
        <v>1234.6753246753246</v>
      </c>
      <c r="L68" s="202">
        <f t="shared" si="32"/>
        <v>1262.7361275088547</v>
      </c>
      <c r="M68" s="202">
        <f t="shared" si="32"/>
        <v>1281.443329397875</v>
      </c>
      <c r="N68" s="202">
        <f t="shared" si="32"/>
        <v>1309.504132231405</v>
      </c>
      <c r="O68" s="202">
        <f t="shared" si="32"/>
        <v>1337.5649350649351</v>
      </c>
      <c r="P68" s="202">
        <f t="shared" si="32"/>
        <v>1356.2721369539552</v>
      </c>
      <c r="Q68" s="202">
        <f t="shared" si="32"/>
        <v>1384.3329397874852</v>
      </c>
      <c r="R68" s="202">
        <f t="shared" si="32"/>
        <v>1412.3937426210152</v>
      </c>
      <c r="S68" s="202">
        <f t="shared" si="32"/>
        <v>1440.4545454545453</v>
      </c>
      <c r="T68" s="202">
        <f t="shared" si="32"/>
        <v>1468.5153482880755</v>
      </c>
      <c r="U68" s="203">
        <f t="shared" si="32"/>
        <v>1496.5761511216056</v>
      </c>
    </row>
    <row r="69" spans="2:26" ht="15.5" x14ac:dyDescent="0.35">
      <c r="B69" s="7" t="s">
        <v>112</v>
      </c>
      <c r="C69" s="202">
        <v>0</v>
      </c>
      <c r="D69" s="202">
        <v>0</v>
      </c>
      <c r="E69" s="202">
        <v>0</v>
      </c>
      <c r="F69" s="202">
        <v>0</v>
      </c>
      <c r="G69" s="202">
        <v>0</v>
      </c>
      <c r="H69" s="202">
        <v>0</v>
      </c>
      <c r="I69" s="202">
        <v>0</v>
      </c>
      <c r="J69" s="202">
        <v>0</v>
      </c>
      <c r="K69" s="202">
        <v>0</v>
      </c>
      <c r="L69" s="202">
        <v>0</v>
      </c>
      <c r="M69" s="202">
        <v>0</v>
      </c>
      <c r="N69" s="202">
        <v>10</v>
      </c>
      <c r="O69" s="202">
        <v>50</v>
      </c>
      <c r="P69" s="202">
        <v>120</v>
      </c>
      <c r="Q69" s="202">
        <v>210</v>
      </c>
      <c r="R69" s="202">
        <v>320</v>
      </c>
      <c r="S69" s="187">
        <v>450</v>
      </c>
      <c r="T69" s="202">
        <v>590</v>
      </c>
      <c r="U69" s="203">
        <v>740</v>
      </c>
    </row>
    <row r="70" spans="2:26" ht="15.5" x14ac:dyDescent="0.35">
      <c r="B70" s="7" t="s">
        <v>9</v>
      </c>
      <c r="C70" s="202">
        <v>0</v>
      </c>
      <c r="D70" s="202">
        <f t="shared" ref="D70:U70" si="33">D99</f>
        <v>0</v>
      </c>
      <c r="E70" s="202">
        <f t="shared" si="33"/>
        <v>0</v>
      </c>
      <c r="F70" s="202">
        <f t="shared" si="33"/>
        <v>40.555555555555657</v>
      </c>
      <c r="G70" s="202">
        <f t="shared" si="33"/>
        <v>121.91566085264276</v>
      </c>
      <c r="H70" s="202">
        <f t="shared" si="33"/>
        <v>503.06787091042679</v>
      </c>
      <c r="I70" s="202">
        <f t="shared" si="33"/>
        <v>940.91283609045422</v>
      </c>
      <c r="J70" s="202">
        <f t="shared" si="33"/>
        <v>1445.938481558951</v>
      </c>
      <c r="K70" s="202">
        <f t="shared" si="33"/>
        <v>1998.3958444282655</v>
      </c>
      <c r="L70" s="202">
        <f t="shared" si="33"/>
        <v>2608.4693783744233</v>
      </c>
      <c r="M70" s="202">
        <f t="shared" si="33"/>
        <v>3284.3390383534806</v>
      </c>
      <c r="N70" s="202">
        <f t="shared" si="33"/>
        <v>3998.6379277625765</v>
      </c>
      <c r="O70" s="202">
        <f t="shared" si="33"/>
        <v>5016.7180677361121</v>
      </c>
      <c r="P70" s="202">
        <f t="shared" si="33"/>
        <v>6839.6682081354147</v>
      </c>
      <c r="Q70" s="202">
        <f t="shared" si="33"/>
        <v>8578.4452408192883</v>
      </c>
      <c r="R70" s="202">
        <f t="shared" si="33"/>
        <v>10253.978086750829</v>
      </c>
      <c r="S70" s="202">
        <f t="shared" si="33"/>
        <v>11860.070526439729</v>
      </c>
      <c r="T70" s="202">
        <f t="shared" si="33"/>
        <v>13383.980644861247</v>
      </c>
      <c r="U70" s="203">
        <f t="shared" si="33"/>
        <v>14834.678830620318</v>
      </c>
    </row>
    <row r="71" spans="2:26" ht="15.5" x14ac:dyDescent="0.35">
      <c r="B71" s="7" t="s">
        <v>10</v>
      </c>
      <c r="C71" s="202">
        <v>0</v>
      </c>
      <c r="D71" s="186">
        <f t="shared" ref="D71:U71" si="34">SUM(D67:D70)</f>
        <v>3460</v>
      </c>
      <c r="E71" s="186">
        <f t="shared" si="34"/>
        <v>8980</v>
      </c>
      <c r="F71" s="186">
        <f t="shared" si="34"/>
        <v>13590.555555555555</v>
      </c>
      <c r="G71" s="186">
        <f t="shared" si="34"/>
        <v>14151.762177971887</v>
      </c>
      <c r="H71" s="307">
        <f t="shared" si="34"/>
        <v>13862.267988974181</v>
      </c>
      <c r="I71" s="307">
        <f t="shared" si="34"/>
        <v>13648.173756987739</v>
      </c>
      <c r="J71" s="307">
        <f t="shared" si="34"/>
        <v>13491.906604345255</v>
      </c>
      <c r="K71" s="307">
        <f t="shared" si="34"/>
        <v>13383.07116910359</v>
      </c>
      <c r="L71" s="307">
        <f t="shared" si="34"/>
        <v>13341.205505883278</v>
      </c>
      <c r="M71" s="307">
        <f t="shared" si="34"/>
        <v>13355.782367751355</v>
      </c>
      <c r="N71" s="307">
        <f t="shared" si="34"/>
        <v>13428.142059993981</v>
      </c>
      <c r="O71" s="307">
        <f t="shared" si="34"/>
        <v>13834.283002801047</v>
      </c>
      <c r="P71" s="307">
        <f t="shared" si="34"/>
        <v>15065.94034508937</v>
      </c>
      <c r="Q71" s="307">
        <f t="shared" si="34"/>
        <v>16242.778180606772</v>
      </c>
      <c r="R71" s="307">
        <f t="shared" si="34"/>
        <v>17376.371829371845</v>
      </c>
      <c r="S71" s="307">
        <f t="shared" si="34"/>
        <v>18460.525071894273</v>
      </c>
      <c r="T71" s="307">
        <f t="shared" si="34"/>
        <v>19472.495993149321</v>
      </c>
      <c r="U71" s="308">
        <f t="shared" si="34"/>
        <v>20421.254981741924</v>
      </c>
      <c r="W71" s="34"/>
      <c r="X71" s="34"/>
      <c r="Y71" s="34"/>
      <c r="Z71" s="34"/>
    </row>
    <row r="72" spans="2:26" x14ac:dyDescent="0.35">
      <c r="B72" s="329" t="s">
        <v>185</v>
      </c>
      <c r="C72" s="16"/>
      <c r="D72" s="269">
        <f t="shared" ref="D72:U72" si="35">D62-D71</f>
        <v>0</v>
      </c>
      <c r="E72" s="269">
        <f t="shared" si="35"/>
        <v>0</v>
      </c>
      <c r="F72" s="269">
        <f t="shared" si="35"/>
        <v>0</v>
      </c>
      <c r="G72" s="269">
        <f t="shared" si="35"/>
        <v>0</v>
      </c>
      <c r="H72" s="269">
        <f t="shared" si="35"/>
        <v>0</v>
      </c>
      <c r="I72" s="269">
        <f t="shared" si="35"/>
        <v>0</v>
      </c>
      <c r="J72" s="269">
        <f t="shared" si="35"/>
        <v>0</v>
      </c>
      <c r="K72" s="269">
        <f t="shared" si="35"/>
        <v>0</v>
      </c>
      <c r="L72" s="269">
        <f t="shared" si="35"/>
        <v>0</v>
      </c>
      <c r="M72" s="269">
        <f t="shared" si="35"/>
        <v>0</v>
      </c>
      <c r="N72" s="269">
        <f t="shared" si="35"/>
        <v>0</v>
      </c>
      <c r="O72" s="269">
        <f t="shared" si="35"/>
        <v>0</v>
      </c>
      <c r="P72" s="269">
        <f t="shared" si="35"/>
        <v>0</v>
      </c>
      <c r="Q72" s="269">
        <f t="shared" si="35"/>
        <v>0</v>
      </c>
      <c r="R72" s="269">
        <f t="shared" si="35"/>
        <v>0</v>
      </c>
      <c r="S72" s="269">
        <f t="shared" si="35"/>
        <v>0</v>
      </c>
      <c r="T72" s="269">
        <f t="shared" si="35"/>
        <v>0</v>
      </c>
      <c r="U72" s="269">
        <f t="shared" si="35"/>
        <v>0</v>
      </c>
    </row>
    <row r="73" spans="2:26" ht="15" thickBot="1" x14ac:dyDescent="0.4">
      <c r="B73" s="15"/>
      <c r="C73" s="16"/>
      <c r="D73" s="17"/>
      <c r="E73" s="17"/>
      <c r="F73" s="17"/>
      <c r="G73" s="13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2:26" ht="16" thickBot="1" x14ac:dyDescent="0.4">
      <c r="B74" s="299" t="s">
        <v>176</v>
      </c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1"/>
    </row>
    <row r="75" spans="2:26" ht="16" thickBot="1" x14ac:dyDescent="0.4">
      <c r="B75" s="306" t="s">
        <v>110</v>
      </c>
      <c r="C75" s="2">
        <v>2009</v>
      </c>
      <c r="D75" s="2">
        <v>2010</v>
      </c>
      <c r="E75" s="2">
        <v>2011</v>
      </c>
      <c r="F75" s="2">
        <v>2012</v>
      </c>
      <c r="G75" s="2">
        <v>2013</v>
      </c>
      <c r="H75" s="2">
        <v>2014</v>
      </c>
      <c r="I75" s="2">
        <v>2015</v>
      </c>
      <c r="J75" s="2">
        <v>2016</v>
      </c>
      <c r="K75" s="2">
        <v>2017</v>
      </c>
      <c r="L75" s="2">
        <v>2018</v>
      </c>
      <c r="M75" s="2">
        <v>2019</v>
      </c>
      <c r="N75" s="2">
        <v>2020</v>
      </c>
      <c r="O75" s="2">
        <v>2021</v>
      </c>
      <c r="P75" s="2">
        <v>2022</v>
      </c>
      <c r="Q75" s="2">
        <v>2023</v>
      </c>
      <c r="R75" s="2">
        <v>2024</v>
      </c>
      <c r="S75" s="2">
        <v>2025</v>
      </c>
      <c r="T75" s="2">
        <v>2026</v>
      </c>
      <c r="U75" s="3">
        <v>2027</v>
      </c>
    </row>
    <row r="76" spans="2:26" ht="15.5" x14ac:dyDescent="0.35">
      <c r="B76" s="305" t="s">
        <v>180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2:26" ht="15.5" x14ac:dyDescent="0.35">
      <c r="B77" s="336" t="s">
        <v>87</v>
      </c>
      <c r="C77" s="202"/>
      <c r="D77" s="202">
        <f t="shared" ref="D77:U77" si="36">D35</f>
        <v>0</v>
      </c>
      <c r="E77" s="202">
        <f t="shared" si="36"/>
        <v>0</v>
      </c>
      <c r="F77" s="202">
        <f t="shared" si="36"/>
        <v>0</v>
      </c>
      <c r="G77" s="202">
        <f t="shared" si="36"/>
        <v>778.89991503289878</v>
      </c>
      <c r="H77" s="202">
        <f t="shared" si="36"/>
        <v>847.04728096406029</v>
      </c>
      <c r="I77" s="202">
        <f t="shared" si="36"/>
        <v>915.16426798547695</v>
      </c>
      <c r="J77" s="202">
        <f t="shared" si="36"/>
        <v>971.93674498468897</v>
      </c>
      <c r="K77" s="202">
        <f t="shared" si="36"/>
        <v>1034.1323889962612</v>
      </c>
      <c r="L77" s="202">
        <f t="shared" si="36"/>
        <v>1093.3035866505129</v>
      </c>
      <c r="M77" s="202">
        <f t="shared" si="36"/>
        <v>1148.74003577388</v>
      </c>
      <c r="N77" s="202">
        <f t="shared" si="36"/>
        <v>1210.8929208399629</v>
      </c>
      <c r="O77" s="202">
        <f t="shared" si="36"/>
        <v>1276.0408815971241</v>
      </c>
      <c r="P77" s="202">
        <f t="shared" si="36"/>
        <v>1279.2718696008624</v>
      </c>
      <c r="Q77" s="202">
        <f t="shared" si="36"/>
        <v>1235.798405533352</v>
      </c>
      <c r="R77" s="202">
        <f t="shared" si="36"/>
        <v>1184.5699229409713</v>
      </c>
      <c r="S77" s="202">
        <f t="shared" si="36"/>
        <v>1136.2645065750723</v>
      </c>
      <c r="T77" s="202">
        <f t="shared" si="36"/>
        <v>1066.6063719795734</v>
      </c>
      <c r="U77" s="203">
        <f t="shared" si="36"/>
        <v>1000.4572096461382</v>
      </c>
    </row>
    <row r="78" spans="2:26" ht="15.5" x14ac:dyDescent="0.35">
      <c r="B78" s="313" t="s">
        <v>30</v>
      </c>
      <c r="C78" s="202"/>
      <c r="D78" s="202">
        <f t="shared" ref="D78:U78" si="37">D30</f>
        <v>0</v>
      </c>
      <c r="E78" s="202">
        <f t="shared" si="37"/>
        <v>0</v>
      </c>
      <c r="F78" s="202">
        <f t="shared" si="37"/>
        <v>0</v>
      </c>
      <c r="G78" s="202">
        <f t="shared" si="37"/>
        <v>680</v>
      </c>
      <c r="H78" s="202">
        <f t="shared" si="37"/>
        <v>680</v>
      </c>
      <c r="I78" s="202">
        <f t="shared" si="37"/>
        <v>680</v>
      </c>
      <c r="J78" s="202">
        <f t="shared" si="37"/>
        <v>680</v>
      </c>
      <c r="K78" s="202">
        <f t="shared" si="37"/>
        <v>680</v>
      </c>
      <c r="L78" s="202">
        <f t="shared" si="37"/>
        <v>680</v>
      </c>
      <c r="M78" s="202">
        <f t="shared" si="37"/>
        <v>680</v>
      </c>
      <c r="N78" s="202">
        <f t="shared" si="37"/>
        <v>680</v>
      </c>
      <c r="O78" s="202">
        <f t="shared" si="37"/>
        <v>680</v>
      </c>
      <c r="P78" s="202">
        <f t="shared" si="37"/>
        <v>680</v>
      </c>
      <c r="Q78" s="202">
        <f t="shared" si="37"/>
        <v>680</v>
      </c>
      <c r="R78" s="202">
        <f t="shared" si="37"/>
        <v>680</v>
      </c>
      <c r="S78" s="202">
        <f t="shared" si="37"/>
        <v>680</v>
      </c>
      <c r="T78" s="202">
        <f t="shared" si="37"/>
        <v>680</v>
      </c>
      <c r="U78" s="203">
        <f t="shared" si="37"/>
        <v>680</v>
      </c>
    </row>
    <row r="79" spans="2:26" ht="15.5" x14ac:dyDescent="0.35">
      <c r="B79" s="313" t="s">
        <v>184</v>
      </c>
      <c r="C79" s="202"/>
      <c r="D79" s="202">
        <f t="shared" ref="D79:U79" si="38">C65-D65</f>
        <v>-3460</v>
      </c>
      <c r="E79" s="202">
        <f t="shared" si="38"/>
        <v>-5520</v>
      </c>
      <c r="F79" s="202">
        <f t="shared" si="38"/>
        <v>-4570</v>
      </c>
      <c r="G79" s="202">
        <f t="shared" si="38"/>
        <v>0</v>
      </c>
      <c r="H79" s="202">
        <f t="shared" si="38"/>
        <v>0</v>
      </c>
      <c r="I79" s="202">
        <f t="shared" si="38"/>
        <v>0</v>
      </c>
      <c r="J79" s="202">
        <f t="shared" si="38"/>
        <v>0</v>
      </c>
      <c r="K79" s="202">
        <f t="shared" si="38"/>
        <v>0</v>
      </c>
      <c r="L79" s="202">
        <f t="shared" si="38"/>
        <v>0</v>
      </c>
      <c r="M79" s="202">
        <f t="shared" si="38"/>
        <v>0</v>
      </c>
      <c r="N79" s="202">
        <f t="shared" si="38"/>
        <v>0</v>
      </c>
      <c r="O79" s="202">
        <f t="shared" si="38"/>
        <v>0</v>
      </c>
      <c r="P79" s="202">
        <f t="shared" si="38"/>
        <v>0</v>
      </c>
      <c r="Q79" s="202">
        <f t="shared" si="38"/>
        <v>0</v>
      </c>
      <c r="R79" s="202">
        <f t="shared" si="38"/>
        <v>0</v>
      </c>
      <c r="S79" s="202">
        <f t="shared" si="38"/>
        <v>0</v>
      </c>
      <c r="T79" s="202">
        <f t="shared" si="38"/>
        <v>0</v>
      </c>
      <c r="U79" s="203">
        <f t="shared" si="38"/>
        <v>0</v>
      </c>
    </row>
    <row r="80" spans="2:26" ht="15.5" x14ac:dyDescent="0.35">
      <c r="B80" s="313" t="s">
        <v>230</v>
      </c>
      <c r="C80" s="202"/>
      <c r="D80" s="202">
        <f t="shared" ref="D80:U80" si="39">C68-D68</f>
        <v>0</v>
      </c>
      <c r="E80" s="202">
        <f t="shared" si="39"/>
        <v>0</v>
      </c>
      <c r="F80" s="202">
        <f t="shared" si="39"/>
        <v>0</v>
      </c>
      <c r="G80" s="202">
        <f t="shared" si="39"/>
        <v>-1159.8465171192443</v>
      </c>
      <c r="H80" s="202">
        <f t="shared" si="39"/>
        <v>-9.3536009445101627</v>
      </c>
      <c r="I80" s="202">
        <f t="shared" si="39"/>
        <v>-28.060802833530033</v>
      </c>
      <c r="J80" s="202">
        <f t="shared" si="39"/>
        <v>-18.707201889020098</v>
      </c>
      <c r="K80" s="202">
        <f t="shared" si="39"/>
        <v>-18.707201889020098</v>
      </c>
      <c r="L80" s="202">
        <f t="shared" si="39"/>
        <v>-28.060802833530033</v>
      </c>
      <c r="M80" s="202">
        <f t="shared" si="39"/>
        <v>-18.707201889020325</v>
      </c>
      <c r="N80" s="202">
        <f t="shared" si="39"/>
        <v>-28.060802833530033</v>
      </c>
      <c r="O80" s="202">
        <f t="shared" si="39"/>
        <v>-28.060802833530033</v>
      </c>
      <c r="P80" s="202">
        <f t="shared" si="39"/>
        <v>-18.707201889020098</v>
      </c>
      <c r="Q80" s="202">
        <f t="shared" si="39"/>
        <v>-28.060802833530033</v>
      </c>
      <c r="R80" s="202">
        <f t="shared" si="39"/>
        <v>-28.060802833530033</v>
      </c>
      <c r="S80" s="202">
        <f t="shared" si="39"/>
        <v>-28.060802833530033</v>
      </c>
      <c r="T80" s="202">
        <f t="shared" si="39"/>
        <v>-28.060802833530261</v>
      </c>
      <c r="U80" s="203">
        <f t="shared" si="39"/>
        <v>-28.060802833530033</v>
      </c>
    </row>
    <row r="81" spans="2:24" ht="15.5" x14ac:dyDescent="0.35">
      <c r="B81" s="313" t="s">
        <v>231</v>
      </c>
      <c r="C81" s="202"/>
      <c r="D81" s="202">
        <f t="shared" ref="D81:U81" si="40">C69-D69</f>
        <v>0</v>
      </c>
      <c r="E81" s="202">
        <f t="shared" si="40"/>
        <v>0</v>
      </c>
      <c r="F81" s="202">
        <f t="shared" si="40"/>
        <v>0</v>
      </c>
      <c r="G81" s="202">
        <f t="shared" si="40"/>
        <v>0</v>
      </c>
      <c r="H81" s="202">
        <f t="shared" si="40"/>
        <v>0</v>
      </c>
      <c r="I81" s="202">
        <f t="shared" si="40"/>
        <v>0</v>
      </c>
      <c r="J81" s="202">
        <f t="shared" si="40"/>
        <v>0</v>
      </c>
      <c r="K81" s="202">
        <f t="shared" si="40"/>
        <v>0</v>
      </c>
      <c r="L81" s="202">
        <f t="shared" si="40"/>
        <v>0</v>
      </c>
      <c r="M81" s="202">
        <f t="shared" si="40"/>
        <v>0</v>
      </c>
      <c r="N81" s="202">
        <f t="shared" si="40"/>
        <v>-10</v>
      </c>
      <c r="O81" s="202">
        <f t="shared" si="40"/>
        <v>-40</v>
      </c>
      <c r="P81" s="202">
        <f t="shared" si="40"/>
        <v>-70</v>
      </c>
      <c r="Q81" s="202">
        <f t="shared" si="40"/>
        <v>-90</v>
      </c>
      <c r="R81" s="202">
        <f t="shared" si="40"/>
        <v>-110</v>
      </c>
      <c r="S81" s="202">
        <f t="shared" si="40"/>
        <v>-130</v>
      </c>
      <c r="T81" s="202">
        <f t="shared" si="40"/>
        <v>-140</v>
      </c>
      <c r="U81" s="203">
        <f t="shared" si="40"/>
        <v>-150</v>
      </c>
    </row>
    <row r="82" spans="2:24" ht="15.5" x14ac:dyDescent="0.35">
      <c r="B82" s="313" t="s">
        <v>145</v>
      </c>
      <c r="C82" s="202"/>
      <c r="D82" s="202">
        <f t="shared" ref="D82:U82" si="41">D28+D29</f>
        <v>0</v>
      </c>
      <c r="E82" s="202">
        <f t="shared" si="41"/>
        <v>0</v>
      </c>
      <c r="F82" s="202">
        <f t="shared" si="41"/>
        <v>0</v>
      </c>
      <c r="G82" s="202">
        <f t="shared" si="41"/>
        <v>1178.5999999999999</v>
      </c>
      <c r="H82" s="202">
        <f t="shared" si="41"/>
        <v>1049.8666666666668</v>
      </c>
      <c r="I82" s="202">
        <f t="shared" si="41"/>
        <v>922.33333333333337</v>
      </c>
      <c r="J82" s="202">
        <f t="shared" si="41"/>
        <v>795.4</v>
      </c>
      <c r="K82" s="202">
        <f t="shared" si="41"/>
        <v>667.86666666666656</v>
      </c>
      <c r="L82" s="202">
        <f t="shared" si="41"/>
        <v>540.33333333333326</v>
      </c>
      <c r="M82" s="202">
        <f t="shared" si="41"/>
        <v>413.39999999999981</v>
      </c>
      <c r="N82" s="202">
        <f t="shared" si="41"/>
        <v>286.46666666666647</v>
      </c>
      <c r="O82" s="202">
        <f t="shared" si="41"/>
        <v>175.69999999999976</v>
      </c>
      <c r="P82" s="202">
        <f t="shared" si="41"/>
        <v>129.59999999999977</v>
      </c>
      <c r="Q82" s="202">
        <f t="shared" si="41"/>
        <v>131.99999999999977</v>
      </c>
      <c r="R82" s="202">
        <f t="shared" si="41"/>
        <v>134.39999999999978</v>
      </c>
      <c r="S82" s="202">
        <f t="shared" si="41"/>
        <v>137.39999999999978</v>
      </c>
      <c r="T82" s="202">
        <f t="shared" si="41"/>
        <v>140.39999999999978</v>
      </c>
      <c r="U82" s="203">
        <f t="shared" si="41"/>
        <v>142.79999999999976</v>
      </c>
    </row>
    <row r="83" spans="2:24" ht="15.5" x14ac:dyDescent="0.35">
      <c r="B83" s="7" t="s">
        <v>183</v>
      </c>
      <c r="C83" s="307"/>
      <c r="D83" s="307">
        <f>SUM(D77:D82)</f>
        <v>-3460</v>
      </c>
      <c r="E83" s="307">
        <f t="shared" ref="E83:U83" si="42">SUM(E77:E82)</f>
        <v>-5520</v>
      </c>
      <c r="F83" s="307">
        <f t="shared" si="42"/>
        <v>-4570</v>
      </c>
      <c r="G83" s="307">
        <f t="shared" si="42"/>
        <v>1477.6533979136543</v>
      </c>
      <c r="H83" s="307">
        <f t="shared" si="42"/>
        <v>2567.5603466862167</v>
      </c>
      <c r="I83" s="307">
        <f t="shared" si="42"/>
        <v>2489.4367984852802</v>
      </c>
      <c r="J83" s="307">
        <f t="shared" si="42"/>
        <v>2428.6295430956689</v>
      </c>
      <c r="K83" s="307">
        <f t="shared" si="42"/>
        <v>2363.2918537739079</v>
      </c>
      <c r="L83" s="307">
        <f t="shared" si="42"/>
        <v>2285.5761171503163</v>
      </c>
      <c r="M83" s="307">
        <f t="shared" si="42"/>
        <v>2223.4328338848595</v>
      </c>
      <c r="N83" s="307">
        <f t="shared" si="42"/>
        <v>2139.2987846730994</v>
      </c>
      <c r="O83" s="307">
        <f t="shared" si="42"/>
        <v>2063.6800787635939</v>
      </c>
      <c r="P83" s="307">
        <f t="shared" si="42"/>
        <v>2000.164667711842</v>
      </c>
      <c r="Q83" s="307">
        <f t="shared" si="42"/>
        <v>1929.7376026998218</v>
      </c>
      <c r="R83" s="307">
        <f t="shared" si="42"/>
        <v>1860.9091201074411</v>
      </c>
      <c r="S83" s="307">
        <f t="shared" si="42"/>
        <v>1795.6037037415422</v>
      </c>
      <c r="T83" s="307">
        <f t="shared" si="42"/>
        <v>1718.945569146043</v>
      </c>
      <c r="U83" s="308">
        <f t="shared" si="42"/>
        <v>1645.1964068126078</v>
      </c>
    </row>
    <row r="84" spans="2:24" ht="15.5" x14ac:dyDescent="0.35">
      <c r="B84" s="7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3"/>
    </row>
    <row r="85" spans="2:24" ht="15.5" x14ac:dyDescent="0.35">
      <c r="B85" s="304" t="s">
        <v>181</v>
      </c>
      <c r="C85" s="202"/>
      <c r="D85" s="202"/>
      <c r="E85" s="202"/>
      <c r="F85" s="202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203"/>
    </row>
    <row r="86" spans="2:24" ht="15.5" x14ac:dyDescent="0.35">
      <c r="B86" s="313" t="s">
        <v>190</v>
      </c>
      <c r="C86" s="202"/>
      <c r="D86" s="202">
        <f>N4</f>
        <v>2420.0000000000005</v>
      </c>
      <c r="E86" s="202">
        <f>O4</f>
        <v>3870.0000000000009</v>
      </c>
      <c r="F86" s="202">
        <f>P4</f>
        <v>3410.0000000000005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>
        <v>0</v>
      </c>
      <c r="T86" s="202">
        <v>0</v>
      </c>
      <c r="U86" s="203">
        <v>0</v>
      </c>
      <c r="W86" s="409">
        <f>SUM(D86:U86)</f>
        <v>9700.0000000000018</v>
      </c>
      <c r="X86" s="332" t="s">
        <v>273</v>
      </c>
    </row>
    <row r="87" spans="2:24" ht="15.5" x14ac:dyDescent="0.35">
      <c r="B87" s="313" t="s">
        <v>241</v>
      </c>
      <c r="C87" s="202"/>
      <c r="D87" s="202">
        <v>0</v>
      </c>
      <c r="E87" s="202">
        <v>0</v>
      </c>
      <c r="F87" s="407">
        <f>-(($D$86+$E$86+$F$86)/36)*1</f>
        <v>-269.44444444444451</v>
      </c>
      <c r="G87" s="407">
        <f t="shared" ref="G87:N87" si="43">-(($D$86+$E$86+$F$86)/36)*4</f>
        <v>-1077.7777777777781</v>
      </c>
      <c r="H87" s="407">
        <f t="shared" si="43"/>
        <v>-1077.7777777777781</v>
      </c>
      <c r="I87" s="407">
        <f t="shared" si="43"/>
        <v>-1077.7777777777781</v>
      </c>
      <c r="J87" s="407">
        <f t="shared" si="43"/>
        <v>-1077.7777777777781</v>
      </c>
      <c r="K87" s="407">
        <f t="shared" si="43"/>
        <v>-1077.7777777777781</v>
      </c>
      <c r="L87" s="407">
        <f t="shared" si="43"/>
        <v>-1077.7777777777781</v>
      </c>
      <c r="M87" s="407">
        <f t="shared" si="43"/>
        <v>-1077.7777777777781</v>
      </c>
      <c r="N87" s="407">
        <f t="shared" si="43"/>
        <v>-1077.7777777777781</v>
      </c>
      <c r="O87" s="407">
        <f>-(($D$86+$E$86+$F$86)/36)*3</f>
        <v>-808.33333333333348</v>
      </c>
      <c r="P87" s="407">
        <f>Loan!P22</f>
        <v>0</v>
      </c>
      <c r="Q87" s="407">
        <f>Loan!Q22</f>
        <v>0</v>
      </c>
      <c r="R87" s="202">
        <v>0</v>
      </c>
      <c r="S87" s="202">
        <v>0</v>
      </c>
      <c r="T87" s="202">
        <v>0</v>
      </c>
      <c r="U87" s="203">
        <v>0</v>
      </c>
      <c r="W87" s="409">
        <f>SUM(D87:U87)</f>
        <v>-9700.0000000000036</v>
      </c>
      <c r="X87" s="332" t="s">
        <v>273</v>
      </c>
    </row>
    <row r="88" spans="2:24" ht="15.5" x14ac:dyDescent="0.35">
      <c r="B88" s="313" t="s">
        <v>186</v>
      </c>
      <c r="C88" s="339"/>
      <c r="D88" s="202">
        <v>0</v>
      </c>
      <c r="E88" s="202">
        <v>0</v>
      </c>
      <c r="F88" s="202">
        <v>0</v>
      </c>
      <c r="G88" s="202">
        <v>930</v>
      </c>
      <c r="H88" s="202">
        <v>10</v>
      </c>
      <c r="I88" s="202">
        <v>20</v>
      </c>
      <c r="J88" s="202">
        <v>20</v>
      </c>
      <c r="K88" s="202">
        <v>10</v>
      </c>
      <c r="L88" s="202">
        <v>20</v>
      </c>
      <c r="M88" s="202">
        <v>20</v>
      </c>
      <c r="N88" s="202">
        <v>20</v>
      </c>
      <c r="O88" s="202">
        <v>20</v>
      </c>
      <c r="P88" s="202">
        <v>20</v>
      </c>
      <c r="Q88" s="202">
        <v>20</v>
      </c>
      <c r="R88" s="202">
        <v>20</v>
      </c>
      <c r="S88" s="202">
        <v>30</v>
      </c>
      <c r="T88" s="202">
        <v>20</v>
      </c>
      <c r="U88" s="203">
        <v>20</v>
      </c>
      <c r="V88" s="284"/>
    </row>
    <row r="89" spans="2:24" ht="15.5" x14ac:dyDescent="0.35">
      <c r="B89" s="313" t="s">
        <v>240</v>
      </c>
      <c r="C89" s="339"/>
      <c r="D89" s="202">
        <v>0</v>
      </c>
      <c r="E89" s="202">
        <v>0</v>
      </c>
      <c r="F89" s="202">
        <v>0</v>
      </c>
      <c r="G89" s="407">
        <f t="shared" ref="G89:U89" si="44">G123</f>
        <v>0</v>
      </c>
      <c r="H89" s="407">
        <f t="shared" si="44"/>
        <v>0</v>
      </c>
      <c r="I89" s="407">
        <f t="shared" si="44"/>
        <v>0</v>
      </c>
      <c r="J89" s="407">
        <f t="shared" si="44"/>
        <v>0</v>
      </c>
      <c r="K89" s="407">
        <f t="shared" si="44"/>
        <v>0</v>
      </c>
      <c r="L89" s="407">
        <f t="shared" si="44"/>
        <v>0</v>
      </c>
      <c r="M89" s="407">
        <f t="shared" si="44"/>
        <v>0</v>
      </c>
      <c r="N89" s="407">
        <f t="shared" si="44"/>
        <v>0</v>
      </c>
      <c r="O89" s="407">
        <f t="shared" si="44"/>
        <v>0</v>
      </c>
      <c r="P89" s="407">
        <f t="shared" si="44"/>
        <v>0</v>
      </c>
      <c r="Q89" s="407">
        <f t="shared" si="44"/>
        <v>0</v>
      </c>
      <c r="R89" s="407">
        <f t="shared" si="44"/>
        <v>0</v>
      </c>
      <c r="S89" s="407">
        <f t="shared" si="44"/>
        <v>0</v>
      </c>
      <c r="T89" s="407">
        <f t="shared" si="44"/>
        <v>0</v>
      </c>
      <c r="U89" s="417">
        <f t="shared" si="44"/>
        <v>0</v>
      </c>
      <c r="V89" s="284"/>
    </row>
    <row r="90" spans="2:24" ht="15.5" x14ac:dyDescent="0.35">
      <c r="B90" s="313" t="s">
        <v>145</v>
      </c>
      <c r="C90" s="202"/>
      <c r="D90" s="407">
        <f>-D117</f>
        <v>-42.45000000000001</v>
      </c>
      <c r="E90" s="407">
        <f>-E117</f>
        <v>-8.5250000000000021</v>
      </c>
      <c r="F90" s="407">
        <f>-F117</f>
        <v>0</v>
      </c>
      <c r="G90" s="202">
        <f t="shared" ref="G90:U90" si="45">-G82</f>
        <v>-1178.5999999999999</v>
      </c>
      <c r="H90" s="202">
        <f t="shared" si="45"/>
        <v>-1049.8666666666668</v>
      </c>
      <c r="I90" s="202">
        <f t="shared" si="45"/>
        <v>-922.33333333333337</v>
      </c>
      <c r="J90" s="202">
        <f t="shared" si="45"/>
        <v>-795.4</v>
      </c>
      <c r="K90" s="202">
        <f t="shared" si="45"/>
        <v>-667.86666666666656</v>
      </c>
      <c r="L90" s="202">
        <f t="shared" si="45"/>
        <v>-540.33333333333326</v>
      </c>
      <c r="M90" s="202">
        <f t="shared" si="45"/>
        <v>-413.39999999999981</v>
      </c>
      <c r="N90" s="202">
        <f t="shared" si="45"/>
        <v>-286.46666666666647</v>
      </c>
      <c r="O90" s="202">
        <f t="shared" si="45"/>
        <v>-175.69999999999976</v>
      </c>
      <c r="P90" s="202">
        <f t="shared" si="45"/>
        <v>-129.59999999999977</v>
      </c>
      <c r="Q90" s="202">
        <f t="shared" si="45"/>
        <v>-131.99999999999977</v>
      </c>
      <c r="R90" s="202">
        <f t="shared" si="45"/>
        <v>-134.39999999999978</v>
      </c>
      <c r="S90" s="202">
        <f t="shared" si="45"/>
        <v>-137.39999999999978</v>
      </c>
      <c r="T90" s="202">
        <f t="shared" si="45"/>
        <v>-140.39999999999978</v>
      </c>
      <c r="U90" s="203">
        <f t="shared" si="45"/>
        <v>-142.79999999999976</v>
      </c>
    </row>
    <row r="91" spans="2:24" ht="15.5" x14ac:dyDescent="0.35">
      <c r="B91" s="313" t="s">
        <v>303</v>
      </c>
      <c r="C91" s="202"/>
      <c r="D91" s="407">
        <f>-D90</f>
        <v>42.45000000000001</v>
      </c>
      <c r="E91" s="407">
        <f>-E90</f>
        <v>8.5250000000000021</v>
      </c>
      <c r="F91" s="407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3"/>
    </row>
    <row r="92" spans="2:24" ht="15.5" x14ac:dyDescent="0.35">
      <c r="B92" s="313" t="s">
        <v>191</v>
      </c>
      <c r="C92" s="202"/>
      <c r="D92" s="202">
        <f>N6</f>
        <v>1039.9999999999998</v>
      </c>
      <c r="E92" s="202">
        <f>O6</f>
        <v>1649.9999999999995</v>
      </c>
      <c r="F92" s="202">
        <f>P6</f>
        <v>1469.9999999999998</v>
      </c>
      <c r="G92" s="202">
        <v>0</v>
      </c>
      <c r="H92" s="202">
        <v>0</v>
      </c>
      <c r="I92" s="202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>
        <v>0</v>
      </c>
      <c r="T92" s="202">
        <v>0</v>
      </c>
      <c r="U92" s="203">
        <v>0</v>
      </c>
    </row>
    <row r="93" spans="2:24" ht="15.5" x14ac:dyDescent="0.35">
      <c r="B93" s="313" t="s">
        <v>255</v>
      </c>
      <c r="C93" s="202"/>
      <c r="D93" s="202">
        <v>0</v>
      </c>
      <c r="E93" s="202">
        <v>0</v>
      </c>
      <c r="F93" s="202">
        <v>0</v>
      </c>
      <c r="G93" s="202">
        <f t="shared" ref="G93:U93" si="46">G134</f>
        <v>-69.915514838789178</v>
      </c>
      <c r="H93" s="202">
        <f t="shared" si="46"/>
        <v>-68.763692183987445</v>
      </c>
      <c r="I93" s="202">
        <f t="shared" si="46"/>
        <v>-71.480722194141237</v>
      </c>
      <c r="J93" s="202">
        <f t="shared" si="46"/>
        <v>-70.426119849394212</v>
      </c>
      <c r="K93" s="202">
        <f t="shared" si="46"/>
        <v>-75.19004646014875</v>
      </c>
      <c r="L93" s="202">
        <f t="shared" si="46"/>
        <v>-77.391472093047312</v>
      </c>
      <c r="M93" s="202">
        <f t="shared" si="46"/>
        <v>-76.385396128024027</v>
      </c>
      <c r="N93" s="202">
        <f t="shared" si="46"/>
        <v>-80.75545081955913</v>
      </c>
      <c r="O93" s="202">
        <f t="shared" si="46"/>
        <v>-81.566605456725441</v>
      </c>
      <c r="P93" s="202">
        <f t="shared" si="46"/>
        <v>-67.614527312539778</v>
      </c>
      <c r="Q93" s="202">
        <f t="shared" si="46"/>
        <v>-78.960570015948321</v>
      </c>
      <c r="R93" s="202">
        <f t="shared" si="46"/>
        <v>-70.976274175901452</v>
      </c>
      <c r="S93" s="202">
        <f t="shared" si="46"/>
        <v>-82.111264052641175</v>
      </c>
      <c r="T93" s="202">
        <f t="shared" si="46"/>
        <v>-74.635450724525739</v>
      </c>
      <c r="U93" s="203">
        <f t="shared" si="46"/>
        <v>-71.698221053536997</v>
      </c>
    </row>
    <row r="94" spans="2:24" ht="15.5" x14ac:dyDescent="0.35">
      <c r="B94" s="7" t="s">
        <v>182</v>
      </c>
      <c r="C94" s="202"/>
      <c r="D94" s="307">
        <f>SUM(D86:D93)</f>
        <v>3460</v>
      </c>
      <c r="E94" s="307">
        <f t="shared" ref="E94:U94" si="47">SUM(E86:E93)</f>
        <v>5520</v>
      </c>
      <c r="F94" s="307">
        <f t="shared" si="47"/>
        <v>4610.5555555555557</v>
      </c>
      <c r="G94" s="307">
        <f t="shared" si="47"/>
        <v>-1396.2932926165672</v>
      </c>
      <c r="H94" s="307">
        <f t="shared" si="47"/>
        <v>-2186.4081366284327</v>
      </c>
      <c r="I94" s="307">
        <f t="shared" si="47"/>
        <v>-2051.5918333052527</v>
      </c>
      <c r="J94" s="307">
        <f t="shared" si="47"/>
        <v>-1923.603897627172</v>
      </c>
      <c r="K94" s="307">
        <f t="shared" si="47"/>
        <v>-1810.8344909045934</v>
      </c>
      <c r="L94" s="307">
        <f t="shared" si="47"/>
        <v>-1675.5025832041586</v>
      </c>
      <c r="M94" s="307">
        <f t="shared" si="47"/>
        <v>-1547.5631739058019</v>
      </c>
      <c r="N94" s="307">
        <f t="shared" si="47"/>
        <v>-1424.9998952640037</v>
      </c>
      <c r="O94" s="307">
        <f t="shared" si="47"/>
        <v>-1045.5999387900588</v>
      </c>
      <c r="P94" s="307">
        <f t="shared" si="47"/>
        <v>-177.21452731253953</v>
      </c>
      <c r="Q94" s="307">
        <f t="shared" si="47"/>
        <v>-190.96057001594809</v>
      </c>
      <c r="R94" s="307">
        <f t="shared" si="47"/>
        <v>-185.37627417590124</v>
      </c>
      <c r="S94" s="307">
        <f t="shared" si="47"/>
        <v>-189.51126405264097</v>
      </c>
      <c r="T94" s="307">
        <f t="shared" si="47"/>
        <v>-195.0354507245255</v>
      </c>
      <c r="U94" s="308">
        <f t="shared" si="47"/>
        <v>-194.49822105353675</v>
      </c>
    </row>
    <row r="95" spans="2:24" ht="15.5" x14ac:dyDescent="0.35">
      <c r="B95" s="7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3"/>
    </row>
    <row r="96" spans="2:24" ht="15.5" x14ac:dyDescent="0.35">
      <c r="B96" s="7" t="s">
        <v>179</v>
      </c>
      <c r="C96" s="202"/>
      <c r="D96" s="186">
        <f>D83+D94</f>
        <v>0</v>
      </c>
      <c r="E96" s="186">
        <f t="shared" ref="E96:U96" si="48">E83+E94</f>
        <v>0</v>
      </c>
      <c r="F96" s="186">
        <f t="shared" si="48"/>
        <v>40.555555555555657</v>
      </c>
      <c r="G96" s="186">
        <f t="shared" si="48"/>
        <v>81.360105297087102</v>
      </c>
      <c r="H96" s="186">
        <f t="shared" si="48"/>
        <v>381.15221005778403</v>
      </c>
      <c r="I96" s="186">
        <f t="shared" si="48"/>
        <v>437.84496518002743</v>
      </c>
      <c r="J96" s="186">
        <f t="shared" si="48"/>
        <v>505.0256454684968</v>
      </c>
      <c r="K96" s="186">
        <f t="shared" si="48"/>
        <v>552.45736286931447</v>
      </c>
      <c r="L96" s="186">
        <f t="shared" si="48"/>
        <v>610.0735339461578</v>
      </c>
      <c r="M96" s="186">
        <f t="shared" si="48"/>
        <v>675.86965997905759</v>
      </c>
      <c r="N96" s="186">
        <f t="shared" si="48"/>
        <v>714.29888940909564</v>
      </c>
      <c r="O96" s="186">
        <f t="shared" si="48"/>
        <v>1018.0801399735351</v>
      </c>
      <c r="P96" s="186">
        <f t="shared" si="48"/>
        <v>1822.9501403993024</v>
      </c>
      <c r="Q96" s="186">
        <f t="shared" si="48"/>
        <v>1738.7770326838736</v>
      </c>
      <c r="R96" s="186">
        <f t="shared" si="48"/>
        <v>1675.5328459315399</v>
      </c>
      <c r="S96" s="186">
        <f t="shared" si="48"/>
        <v>1606.0924396889013</v>
      </c>
      <c r="T96" s="186">
        <f t="shared" si="48"/>
        <v>1523.9101184215174</v>
      </c>
      <c r="U96" s="308">
        <f t="shared" si="48"/>
        <v>1450.6981857590711</v>
      </c>
    </row>
    <row r="97" spans="1:21" ht="15.5" x14ac:dyDescent="0.35">
      <c r="B97" s="7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8" spans="1:21" ht="15.5" x14ac:dyDescent="0.35">
      <c r="B98" s="7" t="s">
        <v>177</v>
      </c>
      <c r="C98" s="202"/>
      <c r="D98" s="307">
        <v>0</v>
      </c>
      <c r="E98" s="307">
        <f t="shared" ref="E98:U98" si="49">D99</f>
        <v>0</v>
      </c>
      <c r="F98" s="307">
        <f t="shared" si="49"/>
        <v>0</v>
      </c>
      <c r="G98" s="307">
        <f t="shared" si="49"/>
        <v>40.555555555555657</v>
      </c>
      <c r="H98" s="307">
        <f t="shared" si="49"/>
        <v>121.91566085264276</v>
      </c>
      <c r="I98" s="307">
        <f t="shared" si="49"/>
        <v>503.06787091042679</v>
      </c>
      <c r="J98" s="307">
        <f t="shared" si="49"/>
        <v>940.91283609045422</v>
      </c>
      <c r="K98" s="307">
        <f t="shared" si="49"/>
        <v>1445.938481558951</v>
      </c>
      <c r="L98" s="307">
        <f t="shared" si="49"/>
        <v>1998.3958444282655</v>
      </c>
      <c r="M98" s="307">
        <f t="shared" si="49"/>
        <v>2608.4693783744233</v>
      </c>
      <c r="N98" s="307">
        <f t="shared" si="49"/>
        <v>3284.3390383534806</v>
      </c>
      <c r="O98" s="307">
        <f t="shared" si="49"/>
        <v>3998.6379277625765</v>
      </c>
      <c r="P98" s="307">
        <f t="shared" si="49"/>
        <v>5016.7180677361121</v>
      </c>
      <c r="Q98" s="307">
        <f t="shared" si="49"/>
        <v>6839.6682081354147</v>
      </c>
      <c r="R98" s="307">
        <f t="shared" si="49"/>
        <v>8578.4452408192883</v>
      </c>
      <c r="S98" s="307">
        <f t="shared" si="49"/>
        <v>10253.978086750829</v>
      </c>
      <c r="T98" s="307">
        <f t="shared" si="49"/>
        <v>11860.070526439729</v>
      </c>
      <c r="U98" s="308">
        <f t="shared" si="49"/>
        <v>13383.980644861247</v>
      </c>
    </row>
    <row r="99" spans="1:21" ht="15.5" x14ac:dyDescent="0.35">
      <c r="B99" s="7" t="s">
        <v>178</v>
      </c>
      <c r="C99" s="202"/>
      <c r="D99" s="307">
        <f t="shared" ref="D99:U99" si="50">D96+D98</f>
        <v>0</v>
      </c>
      <c r="E99" s="307">
        <f t="shared" si="50"/>
        <v>0</v>
      </c>
      <c r="F99" s="307">
        <f t="shared" si="50"/>
        <v>40.555555555555657</v>
      </c>
      <c r="G99" s="307">
        <f t="shared" si="50"/>
        <v>121.91566085264276</v>
      </c>
      <c r="H99" s="307">
        <f t="shared" si="50"/>
        <v>503.06787091042679</v>
      </c>
      <c r="I99" s="307">
        <f t="shared" si="50"/>
        <v>940.91283609045422</v>
      </c>
      <c r="J99" s="307">
        <f t="shared" si="50"/>
        <v>1445.938481558951</v>
      </c>
      <c r="K99" s="307">
        <f t="shared" si="50"/>
        <v>1998.3958444282655</v>
      </c>
      <c r="L99" s="307">
        <f t="shared" si="50"/>
        <v>2608.4693783744233</v>
      </c>
      <c r="M99" s="307">
        <f t="shared" si="50"/>
        <v>3284.3390383534806</v>
      </c>
      <c r="N99" s="307">
        <f t="shared" si="50"/>
        <v>3998.6379277625765</v>
      </c>
      <c r="O99" s="307">
        <f t="shared" si="50"/>
        <v>5016.7180677361121</v>
      </c>
      <c r="P99" s="307">
        <f t="shared" si="50"/>
        <v>6839.6682081354147</v>
      </c>
      <c r="Q99" s="307">
        <f t="shared" si="50"/>
        <v>8578.4452408192883</v>
      </c>
      <c r="R99" s="307">
        <f t="shared" si="50"/>
        <v>10253.978086750829</v>
      </c>
      <c r="S99" s="307">
        <f t="shared" si="50"/>
        <v>11860.070526439729</v>
      </c>
      <c r="T99" s="307">
        <f t="shared" si="50"/>
        <v>13383.980644861247</v>
      </c>
      <c r="U99" s="308">
        <f t="shared" si="50"/>
        <v>14834.678830620318</v>
      </c>
    </row>
    <row r="100" spans="1:21" x14ac:dyDescent="0.35">
      <c r="A100" s="332"/>
      <c r="B100" s="329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</row>
    <row r="101" spans="1:21" x14ac:dyDescent="0.35">
      <c r="B101" s="15"/>
      <c r="C101" s="16"/>
      <c r="D101" s="17"/>
      <c r="E101" s="17"/>
      <c r="F101" s="17"/>
      <c r="G101" s="13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5.5" x14ac:dyDescent="0.35">
      <c r="B102" s="315" t="s">
        <v>193</v>
      </c>
      <c r="C102" s="414">
        <v>2009</v>
      </c>
      <c r="D102" s="414">
        <v>2010</v>
      </c>
      <c r="E102" s="414">
        <v>2011</v>
      </c>
      <c r="F102" s="414">
        <v>2012</v>
      </c>
      <c r="G102" s="414">
        <v>2013</v>
      </c>
      <c r="H102" s="414">
        <v>2014</v>
      </c>
      <c r="I102" s="414">
        <v>2015</v>
      </c>
      <c r="J102" s="414">
        <v>2016</v>
      </c>
      <c r="K102" s="414">
        <v>2017</v>
      </c>
      <c r="L102" s="414">
        <v>2018</v>
      </c>
      <c r="M102" s="414">
        <v>2019</v>
      </c>
      <c r="N102" s="414">
        <v>2020</v>
      </c>
      <c r="O102" s="414">
        <v>2021</v>
      </c>
      <c r="P102" s="414">
        <v>2022</v>
      </c>
      <c r="Q102" s="414">
        <v>2023</v>
      </c>
      <c r="R102" s="414">
        <v>2024</v>
      </c>
      <c r="S102" s="414">
        <v>2025</v>
      </c>
      <c r="T102" s="414">
        <v>2026</v>
      </c>
      <c r="U102" s="414">
        <v>2027</v>
      </c>
    </row>
    <row r="103" spans="1:21" ht="6.25" customHeight="1" x14ac:dyDescent="0.35">
      <c r="B103" s="315"/>
      <c r="C103" s="16"/>
      <c r="D103" s="17"/>
      <c r="E103" s="17"/>
      <c r="F103" s="17"/>
    </row>
    <row r="104" spans="1:21" x14ac:dyDescent="0.35">
      <c r="B104" s="314" t="s">
        <v>232</v>
      </c>
      <c r="C104" s="16"/>
      <c r="D104" s="17"/>
      <c r="E104" s="17"/>
      <c r="F104" s="17"/>
      <c r="G104" s="13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35">
      <c r="B105" s="316" t="s">
        <v>57</v>
      </c>
      <c r="C105" s="317"/>
      <c r="D105" s="319">
        <v>0</v>
      </c>
      <c r="E105" s="319">
        <v>0</v>
      </c>
      <c r="F105" s="319">
        <v>0</v>
      </c>
      <c r="G105" s="319">
        <f t="shared" ref="G105:U105" si="51">G21*G106</f>
        <v>1159.8465171192443</v>
      </c>
      <c r="H105" s="319">
        <f t="shared" si="51"/>
        <v>1169.2001180637544</v>
      </c>
      <c r="I105" s="319">
        <f t="shared" si="51"/>
        <v>1197.2609208972844</v>
      </c>
      <c r="J105" s="319">
        <f t="shared" si="51"/>
        <v>1215.9681227863045</v>
      </c>
      <c r="K105" s="319">
        <f t="shared" si="51"/>
        <v>1234.6753246753246</v>
      </c>
      <c r="L105" s="319">
        <f t="shared" si="51"/>
        <v>1262.7361275088547</v>
      </c>
      <c r="M105" s="319">
        <f t="shared" si="51"/>
        <v>1281.443329397875</v>
      </c>
      <c r="N105" s="319">
        <f t="shared" si="51"/>
        <v>1309.504132231405</v>
      </c>
      <c r="O105" s="319">
        <f t="shared" si="51"/>
        <v>1337.5649350649351</v>
      </c>
      <c r="P105" s="319">
        <f t="shared" si="51"/>
        <v>1356.2721369539552</v>
      </c>
      <c r="Q105" s="319">
        <f t="shared" si="51"/>
        <v>1384.3329397874852</v>
      </c>
      <c r="R105" s="319">
        <f t="shared" si="51"/>
        <v>1412.3937426210152</v>
      </c>
      <c r="S105" s="319">
        <f t="shared" si="51"/>
        <v>1440.4545454545453</v>
      </c>
      <c r="T105" s="319">
        <f t="shared" si="51"/>
        <v>1468.5153482880755</v>
      </c>
      <c r="U105" s="319">
        <f t="shared" si="51"/>
        <v>1496.5761511216056</v>
      </c>
    </row>
    <row r="106" spans="1:21" x14ac:dyDescent="0.35">
      <c r="B106" s="316" t="s">
        <v>192</v>
      </c>
      <c r="C106" s="317"/>
      <c r="D106" s="324"/>
      <c r="E106" s="324"/>
      <c r="F106" s="324"/>
      <c r="G106" s="325">
        <v>0.1848472922853088</v>
      </c>
      <c r="H106" s="325">
        <v>0.18449306559935805</v>
      </c>
      <c r="I106" s="325">
        <v>0.18705039522152736</v>
      </c>
      <c r="J106" s="325">
        <v>0.18809213628402349</v>
      </c>
      <c r="K106" s="325">
        <v>0.18909491233428105</v>
      </c>
      <c r="L106" s="325">
        <v>0.19147774651311086</v>
      </c>
      <c r="M106" s="325">
        <v>0.19239054838501055</v>
      </c>
      <c r="N106" s="325">
        <v>0.19465691099155508</v>
      </c>
      <c r="O106" s="325">
        <v>0.19685953516119076</v>
      </c>
      <c r="P106" s="325">
        <v>0.1976364508645895</v>
      </c>
      <c r="Q106" s="325">
        <v>0.19972819889354212</v>
      </c>
      <c r="R106" s="325">
        <v>0.20175915194624608</v>
      </c>
      <c r="S106" s="325">
        <v>0.2037303088303842</v>
      </c>
      <c r="T106" s="325">
        <v>0.20564265453497699</v>
      </c>
      <c r="U106" s="325">
        <v>0.20749716040610655</v>
      </c>
    </row>
    <row r="107" spans="1:21" x14ac:dyDescent="0.35">
      <c r="B107" s="316"/>
      <c r="C107" s="317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</row>
    <row r="108" spans="1:21" x14ac:dyDescent="0.35">
      <c r="B108" s="314" t="s">
        <v>294</v>
      </c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</row>
    <row r="109" spans="1:21" x14ac:dyDescent="0.35">
      <c r="B109" s="316" t="s">
        <v>295</v>
      </c>
      <c r="C109" s="317"/>
      <c r="D109" s="321">
        <v>0</v>
      </c>
      <c r="E109" s="321">
        <f>D112</f>
        <v>2420.0000000000005</v>
      </c>
      <c r="F109" s="321">
        <f>E112</f>
        <v>6290.0000000000018</v>
      </c>
      <c r="G109" s="321">
        <f t="shared" ref="G109:U109" si="52">F112</f>
        <v>9430.5555555555566</v>
      </c>
      <c r="H109" s="321">
        <f t="shared" si="52"/>
        <v>8352.7777777777792</v>
      </c>
      <c r="I109" s="321">
        <f t="shared" si="52"/>
        <v>7275.0000000000009</v>
      </c>
      <c r="J109" s="321">
        <f t="shared" si="52"/>
        <v>6197.2222222222226</v>
      </c>
      <c r="K109" s="321">
        <f t="shared" si="52"/>
        <v>5119.4444444444443</v>
      </c>
      <c r="L109" s="321">
        <f t="shared" si="52"/>
        <v>4041.6666666666661</v>
      </c>
      <c r="M109" s="321">
        <f t="shared" si="52"/>
        <v>2963.8888888888878</v>
      </c>
      <c r="N109" s="321">
        <f t="shared" si="52"/>
        <v>1886.1111111111097</v>
      </c>
      <c r="O109" s="321">
        <f t="shared" si="52"/>
        <v>808.33333333333167</v>
      </c>
      <c r="P109" s="321">
        <f t="shared" si="52"/>
        <v>-1.8189894035458565E-12</v>
      </c>
      <c r="Q109" s="321">
        <f t="shared" si="52"/>
        <v>-1.8189894035458565E-12</v>
      </c>
      <c r="R109" s="321">
        <f t="shared" si="52"/>
        <v>-1.8189894035458565E-12</v>
      </c>
      <c r="S109" s="321">
        <f t="shared" si="52"/>
        <v>-1.8189894035458565E-12</v>
      </c>
      <c r="T109" s="321">
        <f t="shared" si="52"/>
        <v>-1.8189894035458565E-12</v>
      </c>
      <c r="U109" s="321">
        <f t="shared" si="52"/>
        <v>-1.8189894035458565E-12</v>
      </c>
    </row>
    <row r="110" spans="1:21" x14ac:dyDescent="0.35">
      <c r="B110" s="316" t="s">
        <v>296</v>
      </c>
      <c r="D110" s="321">
        <f>N4</f>
        <v>2420.0000000000005</v>
      </c>
      <c r="E110" s="321">
        <f>O4</f>
        <v>3870.0000000000009</v>
      </c>
      <c r="F110" s="321">
        <f>P4</f>
        <v>3410.0000000000005</v>
      </c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</row>
    <row r="111" spans="1:21" x14ac:dyDescent="0.35">
      <c r="B111" s="316" t="s">
        <v>297</v>
      </c>
      <c r="C111" s="317"/>
      <c r="D111" s="321">
        <v>0</v>
      </c>
      <c r="E111" s="321">
        <v>0</v>
      </c>
      <c r="F111" s="321">
        <f t="shared" ref="F111:U111" si="53">F87</f>
        <v>-269.44444444444451</v>
      </c>
      <c r="G111" s="321">
        <f t="shared" si="53"/>
        <v>-1077.7777777777781</v>
      </c>
      <c r="H111" s="321">
        <f t="shared" si="53"/>
        <v>-1077.7777777777781</v>
      </c>
      <c r="I111" s="321">
        <f t="shared" si="53"/>
        <v>-1077.7777777777781</v>
      </c>
      <c r="J111" s="321">
        <f t="shared" si="53"/>
        <v>-1077.7777777777781</v>
      </c>
      <c r="K111" s="321">
        <f t="shared" si="53"/>
        <v>-1077.7777777777781</v>
      </c>
      <c r="L111" s="321">
        <f t="shared" si="53"/>
        <v>-1077.7777777777781</v>
      </c>
      <c r="M111" s="321">
        <f t="shared" si="53"/>
        <v>-1077.7777777777781</v>
      </c>
      <c r="N111" s="321">
        <f t="shared" si="53"/>
        <v>-1077.7777777777781</v>
      </c>
      <c r="O111" s="321">
        <f t="shared" si="53"/>
        <v>-808.33333333333348</v>
      </c>
      <c r="P111" s="321">
        <f t="shared" si="53"/>
        <v>0</v>
      </c>
      <c r="Q111" s="321">
        <f t="shared" si="53"/>
        <v>0</v>
      </c>
      <c r="R111" s="321">
        <f t="shared" si="53"/>
        <v>0</v>
      </c>
      <c r="S111" s="321">
        <f t="shared" si="53"/>
        <v>0</v>
      </c>
      <c r="T111" s="321">
        <f t="shared" si="53"/>
        <v>0</v>
      </c>
      <c r="U111" s="321">
        <f t="shared" si="53"/>
        <v>0</v>
      </c>
    </row>
    <row r="112" spans="1:21" x14ac:dyDescent="0.35">
      <c r="B112" s="316" t="s">
        <v>298</v>
      </c>
      <c r="C112" s="317"/>
      <c r="D112" s="321">
        <f>D109+D110+D111</f>
        <v>2420.0000000000005</v>
      </c>
      <c r="E112" s="321">
        <f>E109+E110+E111</f>
        <v>6290.0000000000018</v>
      </c>
      <c r="F112" s="321">
        <f>F109+F110+F111</f>
        <v>9430.5555555555566</v>
      </c>
      <c r="G112" s="321">
        <f t="shared" ref="G112:U112" si="54">G109+G110+G111</f>
        <v>8352.7777777777792</v>
      </c>
      <c r="H112" s="321">
        <f t="shared" si="54"/>
        <v>7275.0000000000009</v>
      </c>
      <c r="I112" s="321">
        <f t="shared" si="54"/>
        <v>6197.2222222222226</v>
      </c>
      <c r="J112" s="321">
        <f t="shared" si="54"/>
        <v>5119.4444444444443</v>
      </c>
      <c r="K112" s="321">
        <f t="shared" si="54"/>
        <v>4041.6666666666661</v>
      </c>
      <c r="L112" s="321">
        <f t="shared" si="54"/>
        <v>2963.8888888888878</v>
      </c>
      <c r="M112" s="321">
        <f t="shared" si="54"/>
        <v>1886.1111111111097</v>
      </c>
      <c r="N112" s="321">
        <f t="shared" si="54"/>
        <v>808.33333333333167</v>
      </c>
      <c r="O112" s="321">
        <f t="shared" si="54"/>
        <v>-1.8189894035458565E-12</v>
      </c>
      <c r="P112" s="321">
        <f t="shared" si="54"/>
        <v>-1.8189894035458565E-12</v>
      </c>
      <c r="Q112" s="321">
        <f t="shared" si="54"/>
        <v>-1.8189894035458565E-12</v>
      </c>
      <c r="R112" s="321">
        <f t="shared" si="54"/>
        <v>-1.8189894035458565E-12</v>
      </c>
      <c r="S112" s="321">
        <f t="shared" si="54"/>
        <v>-1.8189894035458565E-12</v>
      </c>
      <c r="T112" s="321">
        <f t="shared" si="54"/>
        <v>-1.8189894035458565E-12</v>
      </c>
      <c r="U112" s="321">
        <f t="shared" si="54"/>
        <v>-1.8189894035458565E-12</v>
      </c>
    </row>
    <row r="113" spans="2:21" x14ac:dyDescent="0.35">
      <c r="B113" s="329" t="s">
        <v>185</v>
      </c>
      <c r="C113" s="317"/>
      <c r="D113" s="440">
        <f>D59-D112</f>
        <v>0</v>
      </c>
      <c r="E113" s="440">
        <f t="shared" ref="E113:U113" si="55">E59-E112</f>
        <v>0</v>
      </c>
      <c r="F113" s="440">
        <f t="shared" si="55"/>
        <v>0</v>
      </c>
      <c r="G113" s="440">
        <f t="shared" si="55"/>
        <v>0</v>
      </c>
      <c r="H113" s="440">
        <f t="shared" si="55"/>
        <v>0</v>
      </c>
      <c r="I113" s="440">
        <f t="shared" si="55"/>
        <v>0</v>
      </c>
      <c r="J113" s="440">
        <f t="shared" si="55"/>
        <v>0</v>
      </c>
      <c r="K113" s="440">
        <f t="shared" si="55"/>
        <v>0</v>
      </c>
      <c r="L113" s="440">
        <f t="shared" si="55"/>
        <v>0</v>
      </c>
      <c r="M113" s="440">
        <f t="shared" si="55"/>
        <v>0</v>
      </c>
      <c r="N113" s="440">
        <f t="shared" si="55"/>
        <v>0</v>
      </c>
      <c r="O113" s="440">
        <f t="shared" si="55"/>
        <v>0</v>
      </c>
      <c r="P113" s="440">
        <f t="shared" si="55"/>
        <v>0</v>
      </c>
      <c r="Q113" s="440">
        <f t="shared" si="55"/>
        <v>0</v>
      </c>
      <c r="R113" s="440">
        <f t="shared" si="55"/>
        <v>0</v>
      </c>
      <c r="S113" s="440">
        <f t="shared" si="55"/>
        <v>0</v>
      </c>
      <c r="T113" s="440">
        <f t="shared" si="55"/>
        <v>0</v>
      </c>
      <c r="U113" s="440">
        <f t="shared" si="55"/>
        <v>0</v>
      </c>
    </row>
    <row r="114" spans="2:21" x14ac:dyDescent="0.35">
      <c r="B114" s="316"/>
      <c r="C114" s="317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</row>
    <row r="115" spans="2:21" x14ac:dyDescent="0.35">
      <c r="B115" s="316" t="s">
        <v>300</v>
      </c>
      <c r="C115" s="430">
        <v>2.5000000000000001E-3</v>
      </c>
      <c r="D115" s="321">
        <f>(D110+E110+F110)*C115</f>
        <v>24.250000000000004</v>
      </c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</row>
    <row r="116" spans="2:21" ht="15" thickBot="1" x14ac:dyDescent="0.4">
      <c r="B116" s="316" t="s">
        <v>299</v>
      </c>
      <c r="C116" s="430">
        <v>2.5000000000000001E-3</v>
      </c>
      <c r="D116" s="442">
        <f>(E110+F110)*C116</f>
        <v>18.200000000000006</v>
      </c>
      <c r="E116" s="442">
        <f>F110*C116</f>
        <v>8.5250000000000021</v>
      </c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</row>
    <row r="117" spans="2:21" ht="15" thickTop="1" x14ac:dyDescent="0.35">
      <c r="B117" s="316" t="s">
        <v>301</v>
      </c>
      <c r="C117" s="317"/>
      <c r="D117" s="321">
        <f>D115+D116</f>
        <v>42.45000000000001</v>
      </c>
      <c r="E117" s="321">
        <f>E115+E116</f>
        <v>8.5250000000000021</v>
      </c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</row>
    <row r="118" spans="2:21" x14ac:dyDescent="0.35">
      <c r="B118" s="316"/>
      <c r="C118" s="317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</row>
    <row r="119" spans="2:21" x14ac:dyDescent="0.35">
      <c r="B119" s="314" t="s">
        <v>274</v>
      </c>
      <c r="C119" s="16"/>
      <c r="D119" s="17"/>
      <c r="E119" s="17"/>
      <c r="F119" s="17"/>
      <c r="G119" s="13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2:21" x14ac:dyDescent="0.35">
      <c r="B120" s="316" t="s">
        <v>275</v>
      </c>
      <c r="C120" s="317"/>
      <c r="D120" s="319">
        <v>0</v>
      </c>
      <c r="E120" s="319">
        <v>0</v>
      </c>
      <c r="F120" s="319">
        <v>0</v>
      </c>
      <c r="G120" s="319">
        <v>0</v>
      </c>
      <c r="H120" s="319">
        <f>G124</f>
        <v>869.88488783943319</v>
      </c>
      <c r="I120" s="319">
        <f t="shared" ref="I120:U120" si="56">H124</f>
        <v>879.23848878394335</v>
      </c>
      <c r="J120" s="319">
        <f t="shared" si="56"/>
        <v>897.94569067296334</v>
      </c>
      <c r="K120" s="319">
        <f t="shared" si="56"/>
        <v>916.65289256198344</v>
      </c>
      <c r="L120" s="319">
        <f t="shared" si="56"/>
        <v>926.00649350649348</v>
      </c>
      <c r="M120" s="319">
        <f t="shared" si="56"/>
        <v>944.71369539551347</v>
      </c>
      <c r="N120" s="319">
        <f t="shared" si="56"/>
        <v>963.42089728453379</v>
      </c>
      <c r="O120" s="319">
        <f t="shared" si="56"/>
        <v>982.12809917355378</v>
      </c>
      <c r="P120" s="319">
        <f t="shared" si="56"/>
        <v>1000.8353010625738</v>
      </c>
      <c r="Q120" s="319">
        <f t="shared" si="56"/>
        <v>1019.5425029515939</v>
      </c>
      <c r="R120" s="319">
        <f t="shared" si="56"/>
        <v>1038.249704840614</v>
      </c>
      <c r="S120" s="319">
        <f t="shared" si="56"/>
        <v>1056.9569067296341</v>
      </c>
      <c r="T120" s="319">
        <f t="shared" si="56"/>
        <v>1085.0177095631641</v>
      </c>
      <c r="U120" s="319">
        <f t="shared" si="56"/>
        <v>1103.7249114521842</v>
      </c>
    </row>
    <row r="121" spans="2:21" x14ac:dyDescent="0.35">
      <c r="B121" s="316" t="s">
        <v>276</v>
      </c>
      <c r="C121" s="317"/>
      <c r="D121" s="319">
        <v>0</v>
      </c>
      <c r="E121" s="319">
        <v>0</v>
      </c>
      <c r="F121" s="319">
        <v>0</v>
      </c>
      <c r="G121" s="319">
        <f t="shared" ref="G121:U121" si="57">(G105-F105)*G122</f>
        <v>869.88488783943319</v>
      </c>
      <c r="H121" s="319">
        <f t="shared" si="57"/>
        <v>9.3536009445101627</v>
      </c>
      <c r="I121" s="319">
        <f t="shared" si="57"/>
        <v>18.70720188902002</v>
      </c>
      <c r="J121" s="319">
        <f t="shared" si="57"/>
        <v>18.707201889020098</v>
      </c>
      <c r="K121" s="319">
        <f t="shared" si="57"/>
        <v>9.353600944510049</v>
      </c>
      <c r="L121" s="319">
        <f t="shared" si="57"/>
        <v>18.70720188902002</v>
      </c>
      <c r="M121" s="319">
        <f t="shared" si="57"/>
        <v>18.707201889020325</v>
      </c>
      <c r="N121" s="319">
        <f t="shared" si="57"/>
        <v>18.70720188902002</v>
      </c>
      <c r="O121" s="319">
        <f t="shared" si="57"/>
        <v>18.70720188902002</v>
      </c>
      <c r="P121" s="319">
        <f t="shared" si="57"/>
        <v>18.707201889020098</v>
      </c>
      <c r="Q121" s="319">
        <f t="shared" si="57"/>
        <v>18.70720188902002</v>
      </c>
      <c r="R121" s="319">
        <f t="shared" si="57"/>
        <v>18.70720188902002</v>
      </c>
      <c r="S121" s="319">
        <f t="shared" si="57"/>
        <v>28.060802833530033</v>
      </c>
      <c r="T121" s="319">
        <f t="shared" si="57"/>
        <v>18.707201889020173</v>
      </c>
      <c r="U121" s="319">
        <f t="shared" si="57"/>
        <v>18.70720188902002</v>
      </c>
    </row>
    <row r="122" spans="2:21" x14ac:dyDescent="0.35">
      <c r="B122" s="316" t="s">
        <v>278</v>
      </c>
      <c r="C122" s="317"/>
      <c r="D122" s="324"/>
      <c r="E122" s="324"/>
      <c r="F122" s="324"/>
      <c r="G122" s="325">
        <v>0.75</v>
      </c>
      <c r="H122" s="325">
        <v>1</v>
      </c>
      <c r="I122" s="325">
        <v>0.66666666666666663</v>
      </c>
      <c r="J122" s="325">
        <v>1</v>
      </c>
      <c r="K122" s="325">
        <v>0.5</v>
      </c>
      <c r="L122" s="325">
        <v>0.66666666666666663</v>
      </c>
      <c r="M122" s="325">
        <v>1</v>
      </c>
      <c r="N122" s="325">
        <v>0.66666666666666663</v>
      </c>
      <c r="O122" s="325">
        <v>0.66666666666666663</v>
      </c>
      <c r="P122" s="325">
        <v>1</v>
      </c>
      <c r="Q122" s="325">
        <v>0.66666666666666663</v>
      </c>
      <c r="R122" s="325">
        <v>0.66666666666666663</v>
      </c>
      <c r="S122" s="325">
        <v>1</v>
      </c>
      <c r="T122" s="325">
        <v>0.66666666666666663</v>
      </c>
      <c r="U122" s="325">
        <v>0.66666666666666663</v>
      </c>
    </row>
    <row r="123" spans="2:21" x14ac:dyDescent="0.35">
      <c r="B123" s="316" t="s">
        <v>240</v>
      </c>
      <c r="C123" s="317"/>
      <c r="D123" s="324"/>
      <c r="E123" s="324"/>
      <c r="F123" s="324"/>
      <c r="G123" s="415">
        <v>0</v>
      </c>
      <c r="H123" s="415">
        <v>0</v>
      </c>
      <c r="I123" s="415">
        <v>0</v>
      </c>
      <c r="J123" s="415">
        <v>0</v>
      </c>
      <c r="K123" s="415">
        <v>0</v>
      </c>
      <c r="L123" s="415">
        <v>0</v>
      </c>
      <c r="M123" s="415">
        <v>0</v>
      </c>
      <c r="N123" s="415">
        <v>0</v>
      </c>
      <c r="O123" s="415">
        <v>0</v>
      </c>
      <c r="P123" s="415">
        <v>0</v>
      </c>
      <c r="Q123" s="415">
        <v>0</v>
      </c>
      <c r="R123" s="415">
        <v>0</v>
      </c>
      <c r="S123" s="415">
        <v>0</v>
      </c>
      <c r="T123" s="415">
        <v>0</v>
      </c>
      <c r="U123" s="415">
        <v>0</v>
      </c>
    </row>
    <row r="124" spans="2:21" x14ac:dyDescent="0.35">
      <c r="B124" s="316" t="s">
        <v>277</v>
      </c>
      <c r="C124" s="317"/>
      <c r="D124" s="324"/>
      <c r="E124" s="324"/>
      <c r="F124" s="324"/>
      <c r="G124" s="416">
        <f>G120+G121+G123</f>
        <v>869.88488783943319</v>
      </c>
      <c r="H124" s="416">
        <f t="shared" ref="H124:U124" si="58">H120+H121+H123</f>
        <v>879.23848878394335</v>
      </c>
      <c r="I124" s="416">
        <f t="shared" si="58"/>
        <v>897.94569067296334</v>
      </c>
      <c r="J124" s="416">
        <f t="shared" si="58"/>
        <v>916.65289256198344</v>
      </c>
      <c r="K124" s="416">
        <f t="shared" si="58"/>
        <v>926.00649350649348</v>
      </c>
      <c r="L124" s="416">
        <f t="shared" si="58"/>
        <v>944.71369539551347</v>
      </c>
      <c r="M124" s="416">
        <f t="shared" si="58"/>
        <v>963.42089728453379</v>
      </c>
      <c r="N124" s="416">
        <f t="shared" si="58"/>
        <v>982.12809917355378</v>
      </c>
      <c r="O124" s="416">
        <f t="shared" si="58"/>
        <v>1000.8353010625738</v>
      </c>
      <c r="P124" s="416">
        <f t="shared" si="58"/>
        <v>1019.5425029515939</v>
      </c>
      <c r="Q124" s="416">
        <f t="shared" si="58"/>
        <v>1038.249704840614</v>
      </c>
      <c r="R124" s="416">
        <f t="shared" si="58"/>
        <v>1056.9569067296341</v>
      </c>
      <c r="S124" s="416">
        <f t="shared" si="58"/>
        <v>1085.0177095631641</v>
      </c>
      <c r="T124" s="416">
        <f t="shared" si="58"/>
        <v>1103.7249114521842</v>
      </c>
      <c r="U124" s="416">
        <f t="shared" si="58"/>
        <v>1122.4321133412043</v>
      </c>
    </row>
    <row r="125" spans="2:21" x14ac:dyDescent="0.35">
      <c r="B125" s="316"/>
      <c r="C125" s="317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</row>
    <row r="126" spans="2:21" x14ac:dyDescent="0.35">
      <c r="B126" s="314" t="s">
        <v>233</v>
      </c>
      <c r="C126" s="317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</row>
    <row r="127" spans="2:21" x14ac:dyDescent="0.35">
      <c r="B127" s="316" t="s">
        <v>195</v>
      </c>
      <c r="C127" s="317"/>
      <c r="D127" s="320">
        <f>D33</f>
        <v>0</v>
      </c>
      <c r="E127" s="320">
        <f>E33</f>
        <v>0</v>
      </c>
      <c r="F127" s="320">
        <f t="shared" ref="F127:U127" si="59">F31*F128</f>
        <v>0</v>
      </c>
      <c r="G127" s="320">
        <f t="shared" si="59"/>
        <v>146.18235055548652</v>
      </c>
      <c r="H127" s="320">
        <f t="shared" si="59"/>
        <v>160.2348565135444</v>
      </c>
      <c r="I127" s="320">
        <f t="shared" si="59"/>
        <v>170.28475236155398</v>
      </c>
      <c r="J127" s="320">
        <f t="shared" si="59"/>
        <v>188.14134785432236</v>
      </c>
      <c r="K127" s="320">
        <f t="shared" si="59"/>
        <v>198.12858316861826</v>
      </c>
      <c r="L127" s="320">
        <f t="shared" si="59"/>
        <v>207.98200770467801</v>
      </c>
      <c r="M127" s="320">
        <f t="shared" si="59"/>
        <v>217.69605466494821</v>
      </c>
      <c r="N127" s="320">
        <f t="shared" si="59"/>
        <v>227.29973757013417</v>
      </c>
      <c r="O127" s="320">
        <f t="shared" si="59"/>
        <v>234.22388257412049</v>
      </c>
      <c r="P127" s="320">
        <f t="shared" si="59"/>
        <v>234.75246836520782</v>
      </c>
      <c r="Q127" s="320">
        <f t="shared" si="59"/>
        <v>219.70722728153649</v>
      </c>
      <c r="R127" s="320">
        <f t="shared" si="59"/>
        <v>208.50182184800752</v>
      </c>
      <c r="S127" s="320">
        <f t="shared" si="59"/>
        <v>189.71662171513572</v>
      </c>
      <c r="T127" s="320">
        <f t="shared" si="59"/>
        <v>178.08106751601306</v>
      </c>
      <c r="U127" s="320">
        <f t="shared" si="59"/>
        <v>159.18216480759773</v>
      </c>
    </row>
    <row r="128" spans="2:21" x14ac:dyDescent="0.35">
      <c r="B128" s="316" t="s">
        <v>194</v>
      </c>
      <c r="C128" s="317"/>
      <c r="D128" s="326">
        <v>0</v>
      </c>
      <c r="E128" s="326">
        <v>0</v>
      </c>
      <c r="F128" s="328">
        <f>G128</f>
        <v>0.15802091986112105</v>
      </c>
      <c r="G128" s="328">
        <v>0.15802091986112105</v>
      </c>
      <c r="H128" s="328">
        <v>0.15907644000795851</v>
      </c>
      <c r="I128" s="328">
        <v>0.15687954861953068</v>
      </c>
      <c r="J128" s="328">
        <v>0.16217989893584819</v>
      </c>
      <c r="K128" s="328">
        <v>0.16078459648084042</v>
      </c>
      <c r="L128" s="328">
        <v>0.1598281027676608</v>
      </c>
      <c r="M128" s="328">
        <v>0.15931667509970082</v>
      </c>
      <c r="N128" s="328">
        <v>0.15915201372283375</v>
      </c>
      <c r="O128" s="328">
        <v>0.15930728143794376</v>
      </c>
      <c r="P128" s="328">
        <v>0.16256822145799854</v>
      </c>
      <c r="Q128" s="328">
        <v>0.16089807467774875</v>
      </c>
      <c r="R128" s="328">
        <v>0.16250207573723705</v>
      </c>
      <c r="S128" s="328">
        <v>0.15862844089049913</v>
      </c>
      <c r="T128" s="328">
        <v>0.16120493557646226</v>
      </c>
      <c r="U128" s="328">
        <v>0.15766239791680375</v>
      </c>
    </row>
    <row r="129" spans="2:21" s="34" customFormat="1" x14ac:dyDescent="0.35">
      <c r="N129" s="327"/>
      <c r="O129" s="327"/>
      <c r="P129" s="327"/>
      <c r="Q129" s="327"/>
      <c r="R129" s="327"/>
      <c r="S129" s="327"/>
      <c r="T129" s="327"/>
      <c r="U129" s="327"/>
    </row>
    <row r="130" spans="2:21" s="34" customFormat="1" x14ac:dyDescent="0.35">
      <c r="B130" s="361" t="s">
        <v>234</v>
      </c>
      <c r="N130" s="327"/>
      <c r="O130" s="327"/>
      <c r="P130" s="327"/>
      <c r="Q130" s="327"/>
      <c r="R130" s="327"/>
      <c r="S130" s="327"/>
      <c r="T130" s="327"/>
      <c r="U130" s="327"/>
    </row>
    <row r="131" spans="2:21" s="34" customFormat="1" x14ac:dyDescent="0.35">
      <c r="B131" s="335" t="s">
        <v>198</v>
      </c>
      <c r="D131" s="277">
        <f t="shared" ref="D131:U131" si="60">C136</f>
        <v>0</v>
      </c>
      <c r="E131" s="277">
        <f t="shared" si="60"/>
        <v>-42.45000000000001</v>
      </c>
      <c r="F131" s="277">
        <f t="shared" si="60"/>
        <v>-50.975000000000009</v>
      </c>
      <c r="G131" s="277">
        <f t="shared" si="60"/>
        <v>-50.975000000000009</v>
      </c>
      <c r="H131" s="277">
        <f t="shared" si="60"/>
        <v>658.00940019410962</v>
      </c>
      <c r="I131" s="277">
        <f t="shared" si="60"/>
        <v>1436.2929889741824</v>
      </c>
      <c r="J131" s="277">
        <f t="shared" si="60"/>
        <v>2279.976534765518</v>
      </c>
      <c r="K131" s="277">
        <f t="shared" si="60"/>
        <v>3181.4871599008129</v>
      </c>
      <c r="L131" s="277">
        <f t="shared" si="60"/>
        <v>4140.4295024369258</v>
      </c>
      <c r="M131" s="277">
        <f t="shared" si="60"/>
        <v>5156.3416169943912</v>
      </c>
      <c r="N131" s="277">
        <f t="shared" si="60"/>
        <v>6228.6962566402472</v>
      </c>
      <c r="O131" s="277">
        <f t="shared" si="60"/>
        <v>7358.8337266606513</v>
      </c>
      <c r="P131" s="277">
        <f t="shared" si="60"/>
        <v>8553.30800280105</v>
      </c>
      <c r="Q131" s="277">
        <f t="shared" si="60"/>
        <v>9764.9653450893711</v>
      </c>
      <c r="R131" s="277">
        <f t="shared" si="60"/>
        <v>10921.803180606776</v>
      </c>
      <c r="S131" s="277">
        <f t="shared" si="60"/>
        <v>12035.396829371844</v>
      </c>
      <c r="T131" s="277">
        <f t="shared" si="60"/>
        <v>13089.550071894277</v>
      </c>
      <c r="U131" s="277">
        <f t="shared" si="60"/>
        <v>14081.520993149325</v>
      </c>
    </row>
    <row r="132" spans="2:21" s="34" customFormat="1" x14ac:dyDescent="0.35">
      <c r="B132" s="34" t="s">
        <v>87</v>
      </c>
      <c r="F132" s="277">
        <f t="shared" ref="F132:U132" si="61">F35</f>
        <v>0</v>
      </c>
      <c r="G132" s="277">
        <f t="shared" si="61"/>
        <v>778.89991503289878</v>
      </c>
      <c r="H132" s="277">
        <f t="shared" si="61"/>
        <v>847.04728096406029</v>
      </c>
      <c r="I132" s="277">
        <f t="shared" si="61"/>
        <v>915.16426798547695</v>
      </c>
      <c r="J132" s="277">
        <f t="shared" si="61"/>
        <v>971.93674498468897</v>
      </c>
      <c r="K132" s="277">
        <f t="shared" si="61"/>
        <v>1034.1323889962612</v>
      </c>
      <c r="L132" s="277">
        <f t="shared" si="61"/>
        <v>1093.3035866505129</v>
      </c>
      <c r="M132" s="277">
        <f t="shared" si="61"/>
        <v>1148.74003577388</v>
      </c>
      <c r="N132" s="277">
        <f t="shared" si="61"/>
        <v>1210.8929208399629</v>
      </c>
      <c r="O132" s="277">
        <f t="shared" si="61"/>
        <v>1276.0408815971241</v>
      </c>
      <c r="P132" s="277">
        <f t="shared" si="61"/>
        <v>1279.2718696008624</v>
      </c>
      <c r="Q132" s="277">
        <f t="shared" si="61"/>
        <v>1235.798405533352</v>
      </c>
      <c r="R132" s="277">
        <f t="shared" si="61"/>
        <v>1184.5699229409713</v>
      </c>
      <c r="S132" s="277">
        <f t="shared" si="61"/>
        <v>1136.2645065750723</v>
      </c>
      <c r="T132" s="277">
        <f t="shared" si="61"/>
        <v>1066.6063719795734</v>
      </c>
      <c r="U132" s="277">
        <f t="shared" si="61"/>
        <v>1000.4572096461382</v>
      </c>
    </row>
    <row r="133" spans="2:21" s="34" customFormat="1" x14ac:dyDescent="0.35">
      <c r="B133" s="34" t="s">
        <v>302</v>
      </c>
      <c r="D133" s="277">
        <f>-D117</f>
        <v>-42.45000000000001</v>
      </c>
      <c r="E133" s="277">
        <f>-E117</f>
        <v>-8.5250000000000021</v>
      </c>
      <c r="F133" s="277">
        <f>F90</f>
        <v>0</v>
      </c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</row>
    <row r="134" spans="2:21" s="34" customFormat="1" x14ac:dyDescent="0.35">
      <c r="B134" s="335" t="s">
        <v>256</v>
      </c>
      <c r="G134" s="277">
        <f>-G132*G135</f>
        <v>-69.915514838789178</v>
      </c>
      <c r="H134" s="277">
        <f t="shared" ref="H134:U134" si="62">-H132*H135</f>
        <v>-68.763692183987445</v>
      </c>
      <c r="I134" s="277">
        <f t="shared" si="62"/>
        <v>-71.480722194141237</v>
      </c>
      <c r="J134" s="277">
        <f t="shared" si="62"/>
        <v>-70.426119849394212</v>
      </c>
      <c r="K134" s="277">
        <f t="shared" si="62"/>
        <v>-75.19004646014875</v>
      </c>
      <c r="L134" s="277">
        <f t="shared" si="62"/>
        <v>-77.391472093047312</v>
      </c>
      <c r="M134" s="277">
        <f t="shared" si="62"/>
        <v>-76.385396128024027</v>
      </c>
      <c r="N134" s="277">
        <f t="shared" si="62"/>
        <v>-80.75545081955913</v>
      </c>
      <c r="O134" s="277">
        <f t="shared" si="62"/>
        <v>-81.566605456725441</v>
      </c>
      <c r="P134" s="277">
        <f t="shared" si="62"/>
        <v>-67.614527312539778</v>
      </c>
      <c r="Q134" s="277">
        <f t="shared" si="62"/>
        <v>-78.960570015948321</v>
      </c>
      <c r="R134" s="277">
        <f t="shared" si="62"/>
        <v>-70.976274175901452</v>
      </c>
      <c r="S134" s="277">
        <f t="shared" si="62"/>
        <v>-82.111264052641175</v>
      </c>
      <c r="T134" s="277">
        <f t="shared" si="62"/>
        <v>-74.635450724525739</v>
      </c>
      <c r="U134" s="277">
        <f t="shared" si="62"/>
        <v>-71.698221053536997</v>
      </c>
    </row>
    <row r="135" spans="2:21" s="34" customFormat="1" x14ac:dyDescent="0.35">
      <c r="B135" s="34" t="s">
        <v>199</v>
      </c>
      <c r="D135" s="337"/>
      <c r="E135" s="337"/>
      <c r="F135" s="337"/>
      <c r="G135" s="338">
        <v>8.9761872468346743E-2</v>
      </c>
      <c r="H135" s="338">
        <v>8.1180465045262384E-2</v>
      </c>
      <c r="I135" s="338">
        <v>7.8106985483042901E-2</v>
      </c>
      <c r="J135" s="338">
        <v>7.245957127642462E-2</v>
      </c>
      <c r="K135" s="338">
        <v>7.2708337211185248E-2</v>
      </c>
      <c r="L135" s="338">
        <v>7.0786808932134598E-2</v>
      </c>
      <c r="M135" s="338">
        <v>6.6494936843186567E-2</v>
      </c>
      <c r="N135" s="338">
        <v>6.6690827429679994E-2</v>
      </c>
      <c r="O135" s="338">
        <v>6.3921624011477343E-2</v>
      </c>
      <c r="P135" s="338">
        <v>5.2853915511826083E-2</v>
      </c>
      <c r="Q135" s="338">
        <v>6.389437764476652E-2</v>
      </c>
      <c r="R135" s="338">
        <v>5.9917336073911358E-2</v>
      </c>
      <c r="S135" s="338">
        <v>7.226421627842701E-2</v>
      </c>
      <c r="T135" s="338">
        <v>6.9974690462429642E-2</v>
      </c>
      <c r="U135" s="338">
        <v>7.1665454916254409E-2</v>
      </c>
    </row>
    <row r="136" spans="2:21" s="34" customFormat="1" x14ac:dyDescent="0.35">
      <c r="B136" s="335" t="s">
        <v>200</v>
      </c>
      <c r="D136" s="277">
        <f>D131+D132+D133+D134</f>
        <v>-42.45000000000001</v>
      </c>
      <c r="E136" s="277">
        <f>E131+E132+E133+E134</f>
        <v>-50.975000000000009</v>
      </c>
      <c r="F136" s="277">
        <f>F131+F132+F133+F134</f>
        <v>-50.975000000000009</v>
      </c>
      <c r="G136" s="277">
        <f>G131+G132+G133+G134</f>
        <v>658.00940019410962</v>
      </c>
      <c r="H136" s="277">
        <f t="shared" ref="H136:U136" si="63">H131+H132+H133+H134</f>
        <v>1436.2929889741824</v>
      </c>
      <c r="I136" s="277">
        <f t="shared" si="63"/>
        <v>2279.976534765518</v>
      </c>
      <c r="J136" s="277">
        <f t="shared" si="63"/>
        <v>3181.4871599008129</v>
      </c>
      <c r="K136" s="277">
        <f t="shared" si="63"/>
        <v>4140.4295024369258</v>
      </c>
      <c r="L136" s="277">
        <f t="shared" si="63"/>
        <v>5156.3416169943912</v>
      </c>
      <c r="M136" s="277">
        <f t="shared" si="63"/>
        <v>6228.6962566402472</v>
      </c>
      <c r="N136" s="277">
        <f t="shared" si="63"/>
        <v>7358.8337266606513</v>
      </c>
      <c r="O136" s="277">
        <f t="shared" si="63"/>
        <v>8553.30800280105</v>
      </c>
      <c r="P136" s="277">
        <f t="shared" si="63"/>
        <v>9764.9653450893711</v>
      </c>
      <c r="Q136" s="277">
        <f t="shared" si="63"/>
        <v>10921.803180606776</v>
      </c>
      <c r="R136" s="277">
        <f t="shared" si="63"/>
        <v>12035.396829371844</v>
      </c>
      <c r="S136" s="277">
        <f t="shared" si="63"/>
        <v>13089.550071894277</v>
      </c>
      <c r="T136" s="277">
        <f t="shared" si="63"/>
        <v>14081.520993149325</v>
      </c>
      <c r="U136" s="277">
        <f t="shared" si="63"/>
        <v>15010.279981741925</v>
      </c>
    </row>
    <row r="137" spans="2:21" s="34" customFormat="1" ht="8.75" customHeight="1" x14ac:dyDescent="0.35"/>
    <row r="138" spans="2:21" s="34" customFormat="1" ht="25.75" customHeight="1" x14ac:dyDescent="0.35">
      <c r="B138" s="361" t="s">
        <v>235</v>
      </c>
      <c r="C138" s="356" t="s">
        <v>228</v>
      </c>
      <c r="E138" s="356" t="s">
        <v>227</v>
      </c>
      <c r="G138" s="356" t="s">
        <v>229</v>
      </c>
    </row>
    <row r="139" spans="2:21" s="34" customFormat="1" x14ac:dyDescent="0.35">
      <c r="B139" s="34" t="s">
        <v>224</v>
      </c>
      <c r="C139" s="277">
        <f>U68</f>
        <v>1496.5761511216056</v>
      </c>
      <c r="E139" s="357">
        <v>0.1</v>
      </c>
      <c r="G139" s="277">
        <f>C139*E139</f>
        <v>149.65761511216056</v>
      </c>
    </row>
    <row r="140" spans="2:21" s="34" customFormat="1" x14ac:dyDescent="0.35">
      <c r="B140" s="34" t="s">
        <v>8</v>
      </c>
      <c r="C140" s="277">
        <f>U67</f>
        <v>3350</v>
      </c>
      <c r="E140" s="357">
        <v>0.1</v>
      </c>
      <c r="G140" s="277">
        <f>C140*E140</f>
        <v>335</v>
      </c>
    </row>
    <row r="141" spans="2:21" s="34" customFormat="1" x14ac:dyDescent="0.35">
      <c r="B141" s="34" t="s">
        <v>226</v>
      </c>
      <c r="C141" s="277">
        <f>U69</f>
        <v>740</v>
      </c>
      <c r="E141" s="357">
        <v>0</v>
      </c>
      <c r="G141" s="277">
        <f>C141*E141</f>
        <v>0</v>
      </c>
    </row>
    <row r="142" spans="2:21" s="34" customFormat="1" x14ac:dyDescent="0.35">
      <c r="B142" s="34" t="s">
        <v>9</v>
      </c>
      <c r="C142" s="277">
        <f>U70</f>
        <v>14834.678830620318</v>
      </c>
      <c r="E142" s="357">
        <v>1</v>
      </c>
      <c r="G142" s="358">
        <f>C142*E142</f>
        <v>14834.678830620318</v>
      </c>
    </row>
    <row r="143" spans="2:21" s="34" customFormat="1" x14ac:dyDescent="0.35">
      <c r="B143" s="360" t="s">
        <v>236</v>
      </c>
      <c r="C143" s="277"/>
      <c r="G143" s="359">
        <f>SUM(G139:G142)</f>
        <v>15319.336445732479</v>
      </c>
    </row>
    <row r="144" spans="2:21" s="34" customFormat="1" x14ac:dyDescent="0.35">
      <c r="B144" s="34" t="s">
        <v>225</v>
      </c>
      <c r="C144" s="277">
        <f>-U60</f>
        <v>-1200</v>
      </c>
      <c r="E144" s="357">
        <v>1</v>
      </c>
      <c r="G144" s="358">
        <f>C144*E144</f>
        <v>-1200</v>
      </c>
    </row>
    <row r="145" spans="2:21" s="34" customFormat="1" x14ac:dyDescent="0.35">
      <c r="B145" s="360" t="s">
        <v>237</v>
      </c>
      <c r="C145" s="277"/>
      <c r="G145" s="359">
        <f>G143+G144</f>
        <v>14119.336445732479</v>
      </c>
    </row>
    <row r="146" spans="2:21" s="34" customFormat="1" x14ac:dyDescent="0.35"/>
    <row r="147" spans="2:21" s="34" customFormat="1" ht="15" thickBot="1" x14ac:dyDescent="0.4"/>
    <row r="148" spans="2:21" s="34" customFormat="1" ht="17.5" thickBot="1" x14ac:dyDescent="0.4">
      <c r="B148" s="310" t="s">
        <v>238</v>
      </c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2"/>
    </row>
    <row r="149" spans="2:21" s="34" customFormat="1" ht="16" thickBot="1" x14ac:dyDescent="0.4">
      <c r="B149" s="95" t="s">
        <v>109</v>
      </c>
      <c r="C149" s="96">
        <v>2009</v>
      </c>
      <c r="D149" s="96">
        <v>2010</v>
      </c>
      <c r="E149" s="97">
        <v>2011</v>
      </c>
      <c r="F149" s="97">
        <v>2012</v>
      </c>
      <c r="G149" s="97">
        <v>2013</v>
      </c>
      <c r="H149" s="97">
        <v>2014</v>
      </c>
      <c r="I149" s="97">
        <v>2015</v>
      </c>
      <c r="J149" s="97">
        <v>2016</v>
      </c>
      <c r="K149" s="97">
        <v>2017</v>
      </c>
      <c r="L149" s="97">
        <v>2018</v>
      </c>
      <c r="M149" s="97">
        <v>2019</v>
      </c>
      <c r="N149" s="97">
        <v>2020</v>
      </c>
      <c r="O149" s="97">
        <v>2021</v>
      </c>
      <c r="P149" s="97">
        <v>2022</v>
      </c>
      <c r="Q149" s="97">
        <v>2023</v>
      </c>
      <c r="R149" s="97">
        <v>2024</v>
      </c>
      <c r="S149" s="97">
        <v>2025</v>
      </c>
      <c r="T149" s="97">
        <v>2026</v>
      </c>
      <c r="U149" s="98">
        <v>2027</v>
      </c>
    </row>
    <row r="150" spans="2:21" s="34" customFormat="1" ht="15.5" x14ac:dyDescent="0.35">
      <c r="B150" s="355" t="s">
        <v>247</v>
      </c>
      <c r="C150" s="198"/>
      <c r="D150" s="198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200"/>
    </row>
    <row r="151" spans="2:21" ht="15.5" x14ac:dyDescent="0.35">
      <c r="B151" s="103" t="s">
        <v>87</v>
      </c>
      <c r="C151" s="202"/>
      <c r="D151" s="202">
        <f t="shared" ref="D151:U151" si="64">D77</f>
        <v>0</v>
      </c>
      <c r="E151" s="202">
        <f t="shared" si="64"/>
        <v>0</v>
      </c>
      <c r="F151" s="202">
        <f t="shared" si="64"/>
        <v>0</v>
      </c>
      <c r="G151" s="202">
        <f t="shared" si="64"/>
        <v>778.89991503289878</v>
      </c>
      <c r="H151" s="202">
        <f t="shared" si="64"/>
        <v>847.04728096406029</v>
      </c>
      <c r="I151" s="202">
        <f t="shared" si="64"/>
        <v>915.16426798547695</v>
      </c>
      <c r="J151" s="202">
        <f t="shared" si="64"/>
        <v>971.93674498468897</v>
      </c>
      <c r="K151" s="202">
        <f t="shared" si="64"/>
        <v>1034.1323889962612</v>
      </c>
      <c r="L151" s="202">
        <f t="shared" si="64"/>
        <v>1093.3035866505129</v>
      </c>
      <c r="M151" s="202">
        <f t="shared" si="64"/>
        <v>1148.74003577388</v>
      </c>
      <c r="N151" s="202">
        <f t="shared" si="64"/>
        <v>1210.8929208399629</v>
      </c>
      <c r="O151" s="202">
        <f t="shared" si="64"/>
        <v>1276.0408815971241</v>
      </c>
      <c r="P151" s="202">
        <f t="shared" si="64"/>
        <v>1279.2718696008624</v>
      </c>
      <c r="Q151" s="202">
        <f t="shared" si="64"/>
        <v>1235.798405533352</v>
      </c>
      <c r="R151" s="202">
        <f t="shared" si="64"/>
        <v>1184.5699229409713</v>
      </c>
      <c r="S151" s="202">
        <f t="shared" si="64"/>
        <v>1136.2645065750723</v>
      </c>
      <c r="T151" s="202">
        <f t="shared" si="64"/>
        <v>1066.6063719795734</v>
      </c>
      <c r="U151" s="203">
        <f t="shared" si="64"/>
        <v>1000.4572096461382</v>
      </c>
    </row>
    <row r="152" spans="2:21" ht="15.5" x14ac:dyDescent="0.35">
      <c r="B152" s="103" t="s">
        <v>30</v>
      </c>
      <c r="C152" s="202"/>
      <c r="D152" s="202"/>
      <c r="E152" s="202"/>
      <c r="F152" s="202"/>
      <c r="G152" s="202">
        <f t="shared" ref="G152:U152" si="65">G78</f>
        <v>680</v>
      </c>
      <c r="H152" s="202">
        <f t="shared" si="65"/>
        <v>680</v>
      </c>
      <c r="I152" s="202">
        <f t="shared" si="65"/>
        <v>680</v>
      </c>
      <c r="J152" s="202">
        <f t="shared" si="65"/>
        <v>680</v>
      </c>
      <c r="K152" s="202">
        <f t="shared" si="65"/>
        <v>680</v>
      </c>
      <c r="L152" s="202">
        <f t="shared" si="65"/>
        <v>680</v>
      </c>
      <c r="M152" s="202">
        <f t="shared" si="65"/>
        <v>680</v>
      </c>
      <c r="N152" s="202">
        <f t="shared" si="65"/>
        <v>680</v>
      </c>
      <c r="O152" s="202">
        <f t="shared" si="65"/>
        <v>680</v>
      </c>
      <c r="P152" s="202">
        <f t="shared" si="65"/>
        <v>680</v>
      </c>
      <c r="Q152" s="202">
        <f t="shared" si="65"/>
        <v>680</v>
      </c>
      <c r="R152" s="202">
        <f t="shared" si="65"/>
        <v>680</v>
      </c>
      <c r="S152" s="202">
        <f t="shared" si="65"/>
        <v>680</v>
      </c>
      <c r="T152" s="202">
        <f t="shared" si="65"/>
        <v>680</v>
      </c>
      <c r="U152" s="203">
        <f t="shared" si="65"/>
        <v>680</v>
      </c>
    </row>
    <row r="153" spans="2:21" ht="15.5" x14ac:dyDescent="0.35">
      <c r="B153" s="103" t="s">
        <v>184</v>
      </c>
      <c r="C153" s="202"/>
      <c r="D153" s="202">
        <f t="shared" ref="D153:F153" si="66">D79</f>
        <v>-3460</v>
      </c>
      <c r="E153" s="202">
        <f t="shared" si="66"/>
        <v>-5520</v>
      </c>
      <c r="F153" s="202">
        <f t="shared" si="66"/>
        <v>-4570</v>
      </c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3"/>
    </row>
    <row r="154" spans="2:21" ht="15.5" x14ac:dyDescent="0.35">
      <c r="B154" s="103" t="s">
        <v>257</v>
      </c>
      <c r="C154" s="202"/>
      <c r="D154" s="202"/>
      <c r="E154" s="202"/>
      <c r="F154" s="202">
        <f>-13860-D153-E153-F153</f>
        <v>-310</v>
      </c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3"/>
    </row>
    <row r="155" spans="2:21" ht="15.5" x14ac:dyDescent="0.35">
      <c r="B155" s="103" t="s">
        <v>230</v>
      </c>
      <c r="C155" s="202"/>
      <c r="D155" s="202"/>
      <c r="E155" s="202"/>
      <c r="F155" s="202"/>
      <c r="G155" s="202">
        <f t="shared" ref="G155:U155" si="67">G80</f>
        <v>-1159.8465171192443</v>
      </c>
      <c r="H155" s="202">
        <f t="shared" si="67"/>
        <v>-9.3536009445101627</v>
      </c>
      <c r="I155" s="202">
        <f t="shared" si="67"/>
        <v>-28.060802833530033</v>
      </c>
      <c r="J155" s="202">
        <f t="shared" si="67"/>
        <v>-18.707201889020098</v>
      </c>
      <c r="K155" s="202">
        <f t="shared" si="67"/>
        <v>-18.707201889020098</v>
      </c>
      <c r="L155" s="202">
        <f t="shared" si="67"/>
        <v>-28.060802833530033</v>
      </c>
      <c r="M155" s="202">
        <f t="shared" si="67"/>
        <v>-18.707201889020325</v>
      </c>
      <c r="N155" s="202">
        <f t="shared" si="67"/>
        <v>-28.060802833530033</v>
      </c>
      <c r="O155" s="202">
        <f t="shared" si="67"/>
        <v>-28.060802833530033</v>
      </c>
      <c r="P155" s="202">
        <f t="shared" si="67"/>
        <v>-18.707201889020098</v>
      </c>
      <c r="Q155" s="202">
        <f t="shared" si="67"/>
        <v>-28.060802833530033</v>
      </c>
      <c r="R155" s="202">
        <f t="shared" si="67"/>
        <v>-28.060802833530033</v>
      </c>
      <c r="S155" s="202">
        <f t="shared" si="67"/>
        <v>-28.060802833530033</v>
      </c>
      <c r="T155" s="202">
        <f t="shared" si="67"/>
        <v>-28.060802833530261</v>
      </c>
      <c r="U155" s="203">
        <f t="shared" si="67"/>
        <v>-28.060802833530033</v>
      </c>
    </row>
    <row r="156" spans="2:21" ht="15.5" x14ac:dyDescent="0.35">
      <c r="B156" s="103" t="s">
        <v>231</v>
      </c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>
        <f t="shared" ref="N156:U157" si="68">N81</f>
        <v>-10</v>
      </c>
      <c r="O156" s="202">
        <f t="shared" si="68"/>
        <v>-40</v>
      </c>
      <c r="P156" s="202">
        <f t="shared" si="68"/>
        <v>-70</v>
      </c>
      <c r="Q156" s="202">
        <f t="shared" si="68"/>
        <v>-90</v>
      </c>
      <c r="R156" s="202">
        <f t="shared" si="68"/>
        <v>-110</v>
      </c>
      <c r="S156" s="202">
        <f t="shared" si="68"/>
        <v>-130</v>
      </c>
      <c r="T156" s="202">
        <f t="shared" si="68"/>
        <v>-140</v>
      </c>
      <c r="U156" s="203">
        <f t="shared" si="68"/>
        <v>-150</v>
      </c>
    </row>
    <row r="157" spans="2:21" ht="15.5" x14ac:dyDescent="0.35">
      <c r="B157" s="103" t="s">
        <v>145</v>
      </c>
      <c r="C157" s="202"/>
      <c r="D157" s="202"/>
      <c r="E157" s="202"/>
      <c r="F157" s="202"/>
      <c r="G157" s="202">
        <f t="shared" ref="G157:M157" si="69">G82</f>
        <v>1178.5999999999999</v>
      </c>
      <c r="H157" s="202">
        <f t="shared" si="69"/>
        <v>1049.8666666666668</v>
      </c>
      <c r="I157" s="202">
        <f t="shared" si="69"/>
        <v>922.33333333333337</v>
      </c>
      <c r="J157" s="202">
        <f t="shared" si="69"/>
        <v>795.4</v>
      </c>
      <c r="K157" s="202">
        <f t="shared" si="69"/>
        <v>667.86666666666656</v>
      </c>
      <c r="L157" s="202">
        <f t="shared" si="69"/>
        <v>540.33333333333326</v>
      </c>
      <c r="M157" s="202">
        <f t="shared" si="69"/>
        <v>413.39999999999981</v>
      </c>
      <c r="N157" s="202">
        <f t="shared" si="68"/>
        <v>286.46666666666647</v>
      </c>
      <c r="O157" s="202">
        <f t="shared" si="68"/>
        <v>175.69999999999976</v>
      </c>
      <c r="P157" s="202">
        <f t="shared" si="68"/>
        <v>129.59999999999977</v>
      </c>
      <c r="Q157" s="202">
        <f t="shared" si="68"/>
        <v>131.99999999999977</v>
      </c>
      <c r="R157" s="202">
        <f t="shared" si="68"/>
        <v>134.39999999999978</v>
      </c>
      <c r="S157" s="202">
        <f t="shared" si="68"/>
        <v>137.39999999999978</v>
      </c>
      <c r="T157" s="202">
        <f t="shared" si="68"/>
        <v>140.39999999999978</v>
      </c>
      <c r="U157" s="203">
        <f t="shared" si="68"/>
        <v>142.79999999999976</v>
      </c>
    </row>
    <row r="158" spans="2:21" ht="15.5" x14ac:dyDescent="0.35">
      <c r="B158" s="374" t="s">
        <v>248</v>
      </c>
      <c r="C158" s="307"/>
      <c r="D158" s="307">
        <f>SUM(D151:D157)</f>
        <v>-3460</v>
      </c>
      <c r="E158" s="307">
        <f t="shared" ref="E158:U158" si="70">SUM(E151:E157)</f>
        <v>-5520</v>
      </c>
      <c r="F158" s="307">
        <f t="shared" si="70"/>
        <v>-4880</v>
      </c>
      <c r="G158" s="307">
        <f t="shared" si="70"/>
        <v>1477.6533979136543</v>
      </c>
      <c r="H158" s="307">
        <f t="shared" si="70"/>
        <v>2567.5603466862167</v>
      </c>
      <c r="I158" s="307">
        <f t="shared" si="70"/>
        <v>2489.4367984852802</v>
      </c>
      <c r="J158" s="307">
        <f t="shared" si="70"/>
        <v>2428.6295430956689</v>
      </c>
      <c r="K158" s="307">
        <f t="shared" si="70"/>
        <v>2363.2918537739079</v>
      </c>
      <c r="L158" s="307">
        <f t="shared" si="70"/>
        <v>2285.5761171503163</v>
      </c>
      <c r="M158" s="307">
        <f t="shared" si="70"/>
        <v>2223.4328338848595</v>
      </c>
      <c r="N158" s="307">
        <f t="shared" si="70"/>
        <v>2139.2987846730994</v>
      </c>
      <c r="O158" s="307">
        <f t="shared" si="70"/>
        <v>2063.6800787635939</v>
      </c>
      <c r="P158" s="307">
        <f t="shared" si="70"/>
        <v>2000.164667711842</v>
      </c>
      <c r="Q158" s="307">
        <f t="shared" si="70"/>
        <v>1929.7376026998218</v>
      </c>
      <c r="R158" s="307">
        <f t="shared" si="70"/>
        <v>1860.9091201074411</v>
      </c>
      <c r="S158" s="307">
        <f t="shared" si="70"/>
        <v>1795.6037037415422</v>
      </c>
      <c r="T158" s="307">
        <f t="shared" si="70"/>
        <v>1718.945569146043</v>
      </c>
      <c r="U158" s="308">
        <f t="shared" si="70"/>
        <v>1645.1964068126078</v>
      </c>
    </row>
    <row r="159" spans="2:21" s="34" customFormat="1" ht="15.5" x14ac:dyDescent="0.35">
      <c r="B159" s="107" t="s">
        <v>307</v>
      </c>
      <c r="C159" s="204"/>
      <c r="D159" s="204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3">
        <f>G143</f>
        <v>15319.336445732479</v>
      </c>
    </row>
    <row r="160" spans="2:21" s="34" customFormat="1" ht="16" thickBot="1" x14ac:dyDescent="0.4">
      <c r="B160" s="123" t="s">
        <v>249</v>
      </c>
      <c r="C160" s="216"/>
      <c r="D160" s="363">
        <f t="shared" ref="D160:S160" si="71">D158+D159</f>
        <v>-3460</v>
      </c>
      <c r="E160" s="363">
        <f t="shared" si="71"/>
        <v>-5520</v>
      </c>
      <c r="F160" s="363">
        <f t="shared" si="71"/>
        <v>-4880</v>
      </c>
      <c r="G160" s="363">
        <f t="shared" si="71"/>
        <v>1477.6533979136543</v>
      </c>
      <c r="H160" s="363">
        <f t="shared" si="71"/>
        <v>2567.5603466862167</v>
      </c>
      <c r="I160" s="363">
        <f t="shared" si="71"/>
        <v>2489.4367984852802</v>
      </c>
      <c r="J160" s="363">
        <f t="shared" si="71"/>
        <v>2428.6295430956689</v>
      </c>
      <c r="K160" s="363">
        <f t="shared" si="71"/>
        <v>2363.2918537739079</v>
      </c>
      <c r="L160" s="363">
        <f t="shared" si="71"/>
        <v>2285.5761171503163</v>
      </c>
      <c r="M160" s="363">
        <f t="shared" si="71"/>
        <v>2223.4328338848595</v>
      </c>
      <c r="N160" s="363">
        <f t="shared" si="71"/>
        <v>2139.2987846730994</v>
      </c>
      <c r="O160" s="363">
        <f t="shared" si="71"/>
        <v>2063.6800787635939</v>
      </c>
      <c r="P160" s="363">
        <f t="shared" si="71"/>
        <v>2000.164667711842</v>
      </c>
      <c r="Q160" s="363">
        <f t="shared" si="71"/>
        <v>1929.7376026998218</v>
      </c>
      <c r="R160" s="363">
        <f t="shared" si="71"/>
        <v>1860.9091201074411</v>
      </c>
      <c r="S160" s="363">
        <f t="shared" si="71"/>
        <v>1795.6037037415422</v>
      </c>
      <c r="T160" s="363">
        <f>T158+T159</f>
        <v>1718.945569146043</v>
      </c>
      <c r="U160" s="364">
        <f>U158+U159</f>
        <v>16964.532852545086</v>
      </c>
    </row>
    <row r="161" spans="2:24" s="34" customFormat="1" ht="7.5" customHeight="1" x14ac:dyDescent="0.35">
      <c r="B161" s="369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2:24" s="34" customFormat="1" ht="15.5" x14ac:dyDescent="0.35">
      <c r="B162" s="370" t="s">
        <v>242</v>
      </c>
      <c r="C162" s="371">
        <f>IRR(D160:U160)</f>
        <v>0.13648465178285818</v>
      </c>
      <c r="D162" s="418">
        <f>C162/C162</f>
        <v>1</v>
      </c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</row>
    <row r="163" spans="2:24" s="34" customFormat="1" ht="15.5" x14ac:dyDescent="0.35">
      <c r="B163" s="372" t="s">
        <v>243</v>
      </c>
      <c r="C163" s="373">
        <f>IRR(D158:U158)</f>
        <v>0.11051680148275755</v>
      </c>
      <c r="D163" s="419">
        <f>C163/C162</f>
        <v>0.80973794517632303</v>
      </c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</row>
    <row r="164" spans="2:24" s="34" customFormat="1" ht="15.5" x14ac:dyDescent="0.35">
      <c r="B164" s="372" t="s">
        <v>244</v>
      </c>
      <c r="C164" s="373">
        <f>C162-C163</f>
        <v>2.5967850300100626E-2</v>
      </c>
      <c r="D164" s="419">
        <f>C164/C162</f>
        <v>0.19026205482367697</v>
      </c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</row>
    <row r="165" spans="2:24" s="34" customFormat="1" ht="15" thickBot="1" x14ac:dyDescent="0.4"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</row>
    <row r="166" spans="2:24" s="34" customFormat="1" ht="17.5" thickBot="1" x14ac:dyDescent="0.4">
      <c r="B166" s="310" t="s">
        <v>239</v>
      </c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2"/>
    </row>
    <row r="167" spans="2:24" s="34" customFormat="1" ht="16" thickBot="1" x14ac:dyDescent="0.4">
      <c r="B167" s="95" t="s">
        <v>109</v>
      </c>
      <c r="C167" s="96">
        <v>2009</v>
      </c>
      <c r="D167" s="96">
        <v>2010</v>
      </c>
      <c r="E167" s="97">
        <v>2011</v>
      </c>
      <c r="F167" s="97">
        <v>2012</v>
      </c>
      <c r="G167" s="97">
        <v>2013</v>
      </c>
      <c r="H167" s="97">
        <v>2014</v>
      </c>
      <c r="I167" s="97">
        <v>2015</v>
      </c>
      <c r="J167" s="97">
        <v>2016</v>
      </c>
      <c r="K167" s="97">
        <v>2017</v>
      </c>
      <c r="L167" s="97">
        <v>2018</v>
      </c>
      <c r="M167" s="97">
        <v>2019</v>
      </c>
      <c r="N167" s="97">
        <v>2020</v>
      </c>
      <c r="O167" s="97">
        <v>2021</v>
      </c>
      <c r="P167" s="97">
        <v>2022</v>
      </c>
      <c r="Q167" s="97">
        <v>2023</v>
      </c>
      <c r="R167" s="97">
        <v>2024</v>
      </c>
      <c r="S167" s="97">
        <v>2025</v>
      </c>
      <c r="T167" s="97">
        <v>2026</v>
      </c>
      <c r="U167" s="98">
        <v>2027</v>
      </c>
    </row>
    <row r="168" spans="2:24" s="34" customFormat="1" ht="15.5" x14ac:dyDescent="0.35">
      <c r="B168" s="355" t="s">
        <v>247</v>
      </c>
      <c r="C168" s="198"/>
      <c r="D168" s="198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200"/>
    </row>
    <row r="169" spans="2:24" s="134" customFormat="1" ht="15.5" x14ac:dyDescent="0.35">
      <c r="B169" s="103" t="s">
        <v>248</v>
      </c>
      <c r="C169" s="201"/>
      <c r="D169" s="201">
        <f t="shared" ref="D169:U169" si="72">D158</f>
        <v>-3460</v>
      </c>
      <c r="E169" s="201">
        <f t="shared" si="72"/>
        <v>-5520</v>
      </c>
      <c r="F169" s="201">
        <f t="shared" si="72"/>
        <v>-4880</v>
      </c>
      <c r="G169" s="201">
        <f t="shared" si="72"/>
        <v>1477.6533979136543</v>
      </c>
      <c r="H169" s="201">
        <f t="shared" si="72"/>
        <v>2567.5603466862167</v>
      </c>
      <c r="I169" s="201">
        <f t="shared" si="72"/>
        <v>2489.4367984852802</v>
      </c>
      <c r="J169" s="201">
        <f t="shared" si="72"/>
        <v>2428.6295430956689</v>
      </c>
      <c r="K169" s="201">
        <f t="shared" si="72"/>
        <v>2363.2918537739079</v>
      </c>
      <c r="L169" s="201">
        <f t="shared" si="72"/>
        <v>2285.5761171503163</v>
      </c>
      <c r="M169" s="201">
        <f t="shared" si="72"/>
        <v>2223.4328338848595</v>
      </c>
      <c r="N169" s="201">
        <f t="shared" si="72"/>
        <v>2139.2987846730994</v>
      </c>
      <c r="O169" s="201">
        <f t="shared" si="72"/>
        <v>2063.6800787635939</v>
      </c>
      <c r="P169" s="201">
        <f t="shared" si="72"/>
        <v>2000.164667711842</v>
      </c>
      <c r="Q169" s="201">
        <f t="shared" si="72"/>
        <v>1929.7376026998218</v>
      </c>
      <c r="R169" s="201">
        <f t="shared" si="72"/>
        <v>1860.9091201074411</v>
      </c>
      <c r="S169" s="201">
        <f t="shared" si="72"/>
        <v>1795.6037037415422</v>
      </c>
      <c r="T169" s="201">
        <f t="shared" si="72"/>
        <v>1718.945569146043</v>
      </c>
      <c r="U169" s="203">
        <f t="shared" si="72"/>
        <v>1645.1964068126078</v>
      </c>
    </row>
    <row r="170" spans="2:24" s="34" customFormat="1" ht="15.5" x14ac:dyDescent="0.35">
      <c r="B170" s="355" t="s">
        <v>254</v>
      </c>
      <c r="C170" s="198"/>
      <c r="D170" s="198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200"/>
    </row>
    <row r="171" spans="2:24" ht="15.5" x14ac:dyDescent="0.35">
      <c r="B171" s="103" t="s">
        <v>190</v>
      </c>
      <c r="C171" s="202"/>
      <c r="D171" s="202">
        <f>D86</f>
        <v>2420.0000000000005</v>
      </c>
      <c r="E171" s="202">
        <f t="shared" ref="E171:F171" si="73">E86</f>
        <v>3870.0000000000009</v>
      </c>
      <c r="F171" s="202">
        <f t="shared" si="73"/>
        <v>3410.0000000000005</v>
      </c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3"/>
      <c r="W171" s="408">
        <f>SUM(D171:F171)</f>
        <v>9700.0000000000018</v>
      </c>
      <c r="X171" t="s">
        <v>305</v>
      </c>
    </row>
    <row r="172" spans="2:24" ht="15.5" x14ac:dyDescent="0.35">
      <c r="B172" s="103" t="s">
        <v>241</v>
      </c>
      <c r="C172" s="202"/>
      <c r="D172" s="202"/>
      <c r="E172" s="202"/>
      <c r="F172" s="202"/>
      <c r="G172" s="202">
        <f t="shared" ref="G172:P172" si="74">G87</f>
        <v>-1077.7777777777781</v>
      </c>
      <c r="H172" s="202">
        <f t="shared" si="74"/>
        <v>-1077.7777777777781</v>
      </c>
      <c r="I172" s="202">
        <f t="shared" si="74"/>
        <v>-1077.7777777777781</v>
      </c>
      <c r="J172" s="202">
        <f t="shared" si="74"/>
        <v>-1077.7777777777781</v>
      </c>
      <c r="K172" s="202">
        <f t="shared" si="74"/>
        <v>-1077.7777777777781</v>
      </c>
      <c r="L172" s="202">
        <f t="shared" si="74"/>
        <v>-1077.7777777777781</v>
      </c>
      <c r="M172" s="202">
        <f t="shared" si="74"/>
        <v>-1077.7777777777781</v>
      </c>
      <c r="N172" s="202">
        <f t="shared" si="74"/>
        <v>-1077.7777777777781</v>
      </c>
      <c r="O172" s="202">
        <f t="shared" si="74"/>
        <v>-808.33333333333348</v>
      </c>
      <c r="P172" s="202">
        <f t="shared" si="74"/>
        <v>0</v>
      </c>
      <c r="Q172" s="202"/>
      <c r="R172" s="202"/>
      <c r="S172" s="202"/>
      <c r="T172" s="202"/>
      <c r="U172" s="203"/>
      <c r="W172" s="276">
        <f>R4</f>
        <v>0.69985569985569995</v>
      </c>
      <c r="X172" t="s">
        <v>116</v>
      </c>
    </row>
    <row r="173" spans="2:24" ht="15.5" x14ac:dyDescent="0.35">
      <c r="B173" s="103" t="s">
        <v>186</v>
      </c>
      <c r="C173" s="339"/>
      <c r="D173" s="202"/>
      <c r="E173" s="202"/>
      <c r="F173" s="202"/>
      <c r="G173" s="202">
        <f>G88</f>
        <v>930</v>
      </c>
      <c r="H173" s="202">
        <f t="shared" ref="H173:T173" si="75">H88</f>
        <v>10</v>
      </c>
      <c r="I173" s="202">
        <f t="shared" si="75"/>
        <v>20</v>
      </c>
      <c r="J173" s="202">
        <f t="shared" si="75"/>
        <v>20</v>
      </c>
      <c r="K173" s="202">
        <f t="shared" si="75"/>
        <v>10</v>
      </c>
      <c r="L173" s="202">
        <f t="shared" si="75"/>
        <v>20</v>
      </c>
      <c r="M173" s="202">
        <f t="shared" si="75"/>
        <v>20</v>
      </c>
      <c r="N173" s="202">
        <f t="shared" si="75"/>
        <v>20</v>
      </c>
      <c r="O173" s="202">
        <f t="shared" si="75"/>
        <v>20</v>
      </c>
      <c r="P173" s="202">
        <f t="shared" si="75"/>
        <v>20</v>
      </c>
      <c r="Q173" s="202">
        <f t="shared" si="75"/>
        <v>20</v>
      </c>
      <c r="R173" s="202">
        <f t="shared" si="75"/>
        <v>20</v>
      </c>
      <c r="S173" s="202">
        <f t="shared" si="75"/>
        <v>30</v>
      </c>
      <c r="T173" s="202">
        <f t="shared" si="75"/>
        <v>20</v>
      </c>
      <c r="U173" s="203">
        <f>U88</f>
        <v>20</v>
      </c>
      <c r="V173" s="284"/>
    </row>
    <row r="174" spans="2:24" ht="15.5" x14ac:dyDescent="0.35">
      <c r="B174" s="103" t="s">
        <v>240</v>
      </c>
      <c r="C174" s="339"/>
      <c r="D174" s="202"/>
      <c r="E174" s="202"/>
      <c r="F174" s="202"/>
      <c r="G174" s="202">
        <f>G89</f>
        <v>0</v>
      </c>
      <c r="H174" s="202">
        <f t="shared" ref="H174:T174" si="76">H89</f>
        <v>0</v>
      </c>
      <c r="I174" s="202">
        <f t="shared" si="76"/>
        <v>0</v>
      </c>
      <c r="J174" s="202">
        <f t="shared" si="76"/>
        <v>0</v>
      </c>
      <c r="K174" s="202">
        <f t="shared" si="76"/>
        <v>0</v>
      </c>
      <c r="L174" s="202">
        <f t="shared" si="76"/>
        <v>0</v>
      </c>
      <c r="M174" s="202">
        <f t="shared" si="76"/>
        <v>0</v>
      </c>
      <c r="N174" s="202">
        <f t="shared" si="76"/>
        <v>0</v>
      </c>
      <c r="O174" s="202">
        <f t="shared" si="76"/>
        <v>0</v>
      </c>
      <c r="P174" s="202">
        <f t="shared" si="76"/>
        <v>0</v>
      </c>
      <c r="Q174" s="202">
        <f t="shared" si="76"/>
        <v>0</v>
      </c>
      <c r="R174" s="202">
        <f t="shared" si="76"/>
        <v>0</v>
      </c>
      <c r="S174" s="202">
        <f t="shared" si="76"/>
        <v>0</v>
      </c>
      <c r="T174" s="202">
        <f t="shared" si="76"/>
        <v>0</v>
      </c>
      <c r="U174" s="203">
        <f>U89</f>
        <v>0</v>
      </c>
      <c r="V174" s="284"/>
    </row>
    <row r="175" spans="2:24" ht="15.5" x14ac:dyDescent="0.35">
      <c r="B175" s="103" t="s">
        <v>145</v>
      </c>
      <c r="C175" s="202"/>
      <c r="D175" s="202">
        <f>D133</f>
        <v>-42.45000000000001</v>
      </c>
      <c r="E175" s="202">
        <f>E133</f>
        <v>-8.5250000000000021</v>
      </c>
      <c r="F175" s="202">
        <f>F133</f>
        <v>0</v>
      </c>
      <c r="G175" s="202">
        <f>G90</f>
        <v>-1178.5999999999999</v>
      </c>
      <c r="H175" s="202">
        <f t="shared" ref="H175:T175" si="77">H90</f>
        <v>-1049.8666666666668</v>
      </c>
      <c r="I175" s="202">
        <f t="shared" si="77"/>
        <v>-922.33333333333337</v>
      </c>
      <c r="J175" s="202">
        <f t="shared" si="77"/>
        <v>-795.4</v>
      </c>
      <c r="K175" s="202">
        <f t="shared" si="77"/>
        <v>-667.86666666666656</v>
      </c>
      <c r="L175" s="202">
        <f t="shared" si="77"/>
        <v>-540.33333333333326</v>
      </c>
      <c r="M175" s="202">
        <f t="shared" si="77"/>
        <v>-413.39999999999981</v>
      </c>
      <c r="N175" s="202">
        <f t="shared" si="77"/>
        <v>-286.46666666666647</v>
      </c>
      <c r="O175" s="202">
        <f t="shared" si="77"/>
        <v>-175.69999999999976</v>
      </c>
      <c r="P175" s="202">
        <f t="shared" si="77"/>
        <v>-129.59999999999977</v>
      </c>
      <c r="Q175" s="202">
        <f t="shared" si="77"/>
        <v>-131.99999999999977</v>
      </c>
      <c r="R175" s="202">
        <f t="shared" si="77"/>
        <v>-134.39999999999978</v>
      </c>
      <c r="S175" s="202">
        <f t="shared" si="77"/>
        <v>-137.39999999999978</v>
      </c>
      <c r="T175" s="202">
        <f t="shared" si="77"/>
        <v>-140.39999999999978</v>
      </c>
      <c r="U175" s="203">
        <f>U90</f>
        <v>-142.79999999999976</v>
      </c>
    </row>
    <row r="176" spans="2:24" ht="5.75" customHeight="1" thickBot="1" x14ac:dyDescent="0.4">
      <c r="B176" s="123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</row>
    <row r="177" spans="2:24" s="34" customFormat="1" ht="15.5" x14ac:dyDescent="0.35">
      <c r="B177" s="119" t="s">
        <v>253</v>
      </c>
      <c r="C177" s="213"/>
      <c r="D177" s="362">
        <f t="shared" ref="D177:U177" si="78">SUM(D169:D175)</f>
        <v>-1082.4499999999996</v>
      </c>
      <c r="E177" s="362">
        <f t="shared" si="78"/>
        <v>-1658.5249999999992</v>
      </c>
      <c r="F177" s="362">
        <f t="shared" si="78"/>
        <v>-1469.9999999999995</v>
      </c>
      <c r="G177" s="362">
        <f t="shared" si="78"/>
        <v>151.27562013587635</v>
      </c>
      <c r="H177" s="362">
        <f t="shared" si="78"/>
        <v>449.91590224177185</v>
      </c>
      <c r="I177" s="362">
        <f t="shared" si="78"/>
        <v>509.32568737416875</v>
      </c>
      <c r="J177" s="362">
        <f t="shared" si="78"/>
        <v>575.45176531789082</v>
      </c>
      <c r="K177" s="362">
        <f t="shared" si="78"/>
        <v>627.64740932946324</v>
      </c>
      <c r="L177" s="362">
        <f t="shared" si="78"/>
        <v>687.46500603920504</v>
      </c>
      <c r="M177" s="362">
        <f t="shared" si="78"/>
        <v>752.2550561070816</v>
      </c>
      <c r="N177" s="362">
        <f t="shared" si="78"/>
        <v>795.05434022865484</v>
      </c>
      <c r="O177" s="362">
        <f t="shared" si="78"/>
        <v>1099.6467454302606</v>
      </c>
      <c r="P177" s="362">
        <f t="shared" si="78"/>
        <v>1890.5646677118423</v>
      </c>
      <c r="Q177" s="362">
        <f t="shared" si="78"/>
        <v>1817.737602699822</v>
      </c>
      <c r="R177" s="362">
        <f t="shared" si="78"/>
        <v>1746.5091201074413</v>
      </c>
      <c r="S177" s="362">
        <f t="shared" si="78"/>
        <v>1688.2037037415423</v>
      </c>
      <c r="T177" s="362">
        <f t="shared" si="78"/>
        <v>1598.5455691460431</v>
      </c>
      <c r="U177" s="365">
        <f t="shared" si="78"/>
        <v>1522.3964068126081</v>
      </c>
      <c r="W177" s="277">
        <f>-Q6+D175+E175</f>
        <v>-4210.9749999999985</v>
      </c>
      <c r="X177" s="34" t="s">
        <v>306</v>
      </c>
    </row>
    <row r="178" spans="2:24" s="34" customFormat="1" ht="15.5" x14ac:dyDescent="0.35">
      <c r="B178" s="107" t="s">
        <v>308</v>
      </c>
      <c r="C178" s="204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3">
        <f>G145</f>
        <v>14119.336445732479</v>
      </c>
      <c r="W178" s="277">
        <f>D177+E177+F177</f>
        <v>-4210.9749999999985</v>
      </c>
    </row>
    <row r="179" spans="2:24" s="34" customFormat="1" ht="16" thickBot="1" x14ac:dyDescent="0.4">
      <c r="B179" s="123" t="s">
        <v>250</v>
      </c>
      <c r="C179" s="216"/>
      <c r="D179" s="363">
        <f t="shared" ref="D179:S179" si="79">D177+D178</f>
        <v>-1082.4499999999996</v>
      </c>
      <c r="E179" s="363">
        <f t="shared" si="79"/>
        <v>-1658.5249999999992</v>
      </c>
      <c r="F179" s="363">
        <f t="shared" si="79"/>
        <v>-1469.9999999999995</v>
      </c>
      <c r="G179" s="363">
        <f t="shared" si="79"/>
        <v>151.27562013587635</v>
      </c>
      <c r="H179" s="363">
        <f t="shared" si="79"/>
        <v>449.91590224177185</v>
      </c>
      <c r="I179" s="363">
        <f t="shared" si="79"/>
        <v>509.32568737416875</v>
      </c>
      <c r="J179" s="363">
        <f t="shared" si="79"/>
        <v>575.45176531789082</v>
      </c>
      <c r="K179" s="363">
        <f t="shared" si="79"/>
        <v>627.64740932946324</v>
      </c>
      <c r="L179" s="363">
        <f t="shared" si="79"/>
        <v>687.46500603920504</v>
      </c>
      <c r="M179" s="363">
        <f t="shared" si="79"/>
        <v>752.2550561070816</v>
      </c>
      <c r="N179" s="363">
        <f t="shared" si="79"/>
        <v>795.05434022865484</v>
      </c>
      <c r="O179" s="363">
        <f t="shared" si="79"/>
        <v>1099.6467454302606</v>
      </c>
      <c r="P179" s="363">
        <f t="shared" si="79"/>
        <v>1890.5646677118423</v>
      </c>
      <c r="Q179" s="363">
        <f t="shared" si="79"/>
        <v>1817.737602699822</v>
      </c>
      <c r="R179" s="363">
        <f t="shared" si="79"/>
        <v>1746.5091201074413</v>
      </c>
      <c r="S179" s="363">
        <f t="shared" si="79"/>
        <v>1688.2037037415423</v>
      </c>
      <c r="T179" s="363">
        <f>T177+T178</f>
        <v>1598.5455691460431</v>
      </c>
      <c r="U179" s="364">
        <f>U177+U178</f>
        <v>15641.732852545087</v>
      </c>
    </row>
    <row r="180" spans="2:24" s="34" customFormat="1" ht="7.5" customHeight="1" x14ac:dyDescent="0.35">
      <c r="B180" s="369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</row>
    <row r="181" spans="2:24" s="34" customFormat="1" ht="15.5" x14ac:dyDescent="0.35">
      <c r="B181" s="370" t="s">
        <v>242</v>
      </c>
      <c r="C181" s="371">
        <f>IRR(D179:U179)</f>
        <v>0.17777388815133621</v>
      </c>
      <c r="D181" s="418">
        <f>C181/C181</f>
        <v>1</v>
      </c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</row>
    <row r="182" spans="2:24" s="34" customFormat="1" ht="15.5" x14ac:dyDescent="0.35">
      <c r="B182" s="372" t="s">
        <v>243</v>
      </c>
      <c r="C182" s="373">
        <f>IRR(D177:U177)</f>
        <v>0.1408137309951154</v>
      </c>
      <c r="D182" s="419">
        <f>C182/C181</f>
        <v>0.79209456720237126</v>
      </c>
      <c r="E182" s="367"/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</row>
    <row r="183" spans="2:24" s="34" customFormat="1" ht="15.5" x14ac:dyDescent="0.35">
      <c r="B183" s="372" t="s">
        <v>244</v>
      </c>
      <c r="C183" s="373">
        <f>C181-C182</f>
        <v>3.6960157156220808E-2</v>
      </c>
      <c r="D183" s="419">
        <f>C183/C181</f>
        <v>0.2079054327976288</v>
      </c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</row>
    <row r="184" spans="2:24" s="34" customFormat="1" x14ac:dyDescent="0.35"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</row>
    <row r="185" spans="2:24" s="34" customFormat="1" x14ac:dyDescent="0.35">
      <c r="H185" s="134"/>
      <c r="I185" s="134"/>
      <c r="J185" s="134"/>
      <c r="K185" s="134"/>
      <c r="L185" s="134"/>
      <c r="M185" s="134"/>
      <c r="N185" s="134"/>
      <c r="O185" s="134"/>
    </row>
    <row r="186" spans="2:24" s="34" customFormat="1" x14ac:dyDescent="0.35">
      <c r="B186" s="420" t="s">
        <v>279</v>
      </c>
      <c r="C186" s="421"/>
      <c r="D186" s="422">
        <v>2010</v>
      </c>
      <c r="E186" s="422">
        <v>2011</v>
      </c>
      <c r="F186" s="422">
        <v>2012</v>
      </c>
      <c r="G186" s="422" t="s">
        <v>166</v>
      </c>
      <c r="H186" s="134"/>
      <c r="I186" s="134"/>
      <c r="J186" s="134"/>
      <c r="K186" s="134"/>
      <c r="L186" s="134"/>
      <c r="M186" s="134"/>
      <c r="N186" s="134"/>
      <c r="O186" s="134"/>
    </row>
    <row r="187" spans="2:24" s="34" customFormat="1" x14ac:dyDescent="0.35">
      <c r="B187" s="421" t="s">
        <v>280</v>
      </c>
      <c r="C187" s="421"/>
      <c r="D187" s="423">
        <f>D92</f>
        <v>1039.9999999999998</v>
      </c>
      <c r="E187" s="423">
        <f>E92</f>
        <v>1649.9999999999995</v>
      </c>
      <c r="F187" s="423">
        <f>F92</f>
        <v>1469.9999999999998</v>
      </c>
      <c r="G187" s="423">
        <f>D187+E187+F187</f>
        <v>4159.9999999999991</v>
      </c>
    </row>
    <row r="188" spans="2:24" s="34" customFormat="1" x14ac:dyDescent="0.35">
      <c r="B188" s="421" t="s">
        <v>281</v>
      </c>
      <c r="C188" s="421"/>
      <c r="D188" s="424">
        <f>-D177</f>
        <v>1082.4499999999996</v>
      </c>
      <c r="E188" s="424">
        <f>-E177</f>
        <v>1658.5249999999992</v>
      </c>
      <c r="F188" s="424">
        <f>-F177</f>
        <v>1469.9999999999995</v>
      </c>
      <c r="G188" s="424">
        <f>D188+E188+F188</f>
        <v>4210.9749999999985</v>
      </c>
    </row>
    <row r="189" spans="2:24" s="34" customFormat="1" x14ac:dyDescent="0.35">
      <c r="B189" s="421" t="s">
        <v>309</v>
      </c>
      <c r="C189" s="421"/>
      <c r="D189" s="423">
        <f>D187-D188</f>
        <v>-42.449999999999818</v>
      </c>
      <c r="E189" s="423">
        <f>E187-E188</f>
        <v>-8.5249999999996362</v>
      </c>
      <c r="F189" s="423">
        <f>F187-F188</f>
        <v>0</v>
      </c>
      <c r="G189" s="423">
        <f>G187-G188</f>
        <v>-50.974999999999454</v>
      </c>
    </row>
    <row r="190" spans="2:24" s="34" customFormat="1" x14ac:dyDescent="0.35">
      <c r="C190" s="421" t="s">
        <v>164</v>
      </c>
      <c r="D190" s="426">
        <f>D133-D189</f>
        <v>-1.9184653865522705E-13</v>
      </c>
      <c r="E190" s="426">
        <f>E133-E189</f>
        <v>-3.659295089164516E-13</v>
      </c>
      <c r="F190" s="426">
        <f>F133-F189</f>
        <v>0</v>
      </c>
      <c r="G190" s="425"/>
    </row>
    <row r="191" spans="2:24" s="34" customFormat="1" x14ac:dyDescent="0.35"/>
    <row r="192" spans="2:24" s="34" customFormat="1" x14ac:dyDescent="0.35"/>
    <row r="193" s="34" customFormat="1" x14ac:dyDescent="0.35"/>
    <row r="194" s="34" customFormat="1" x14ac:dyDescent="0.35"/>
    <row r="195" s="34" customFormat="1" x14ac:dyDescent="0.35"/>
    <row r="196" s="34" customFormat="1" x14ac:dyDescent="0.35"/>
    <row r="197" s="34" customFormat="1" x14ac:dyDescent="0.35"/>
    <row r="198" s="34" customFormat="1" x14ac:dyDescent="0.35"/>
    <row r="199" s="34" customFormat="1" x14ac:dyDescent="0.35"/>
    <row r="200" s="34" customFormat="1" x14ac:dyDescent="0.35"/>
    <row r="201" s="34" customFormat="1" x14ac:dyDescent="0.35"/>
    <row r="202" s="34" customFormat="1" x14ac:dyDescent="0.35"/>
    <row r="203" s="34" customFormat="1" x14ac:dyDescent="0.35"/>
    <row r="204" s="34" customFormat="1" x14ac:dyDescent="0.35"/>
    <row r="205" s="34" customFormat="1" x14ac:dyDescent="0.35"/>
    <row r="206" s="34" customFormat="1" x14ac:dyDescent="0.35"/>
    <row r="207" s="34" customFormat="1" x14ac:dyDescent="0.35"/>
    <row r="208" s="34" customFormat="1" x14ac:dyDescent="0.35"/>
    <row r="209" s="34" customFormat="1" x14ac:dyDescent="0.35"/>
    <row r="210" s="34" customFormat="1" x14ac:dyDescent="0.35"/>
    <row r="211" s="34" customFormat="1" x14ac:dyDescent="0.35"/>
    <row r="212" s="34" customFormat="1" x14ac:dyDescent="0.35"/>
    <row r="213" s="34" customFormat="1" x14ac:dyDescent="0.35"/>
    <row r="214" s="34" customFormat="1" x14ac:dyDescent="0.35"/>
    <row r="215" s="34" customFormat="1" x14ac:dyDescent="0.35"/>
    <row r="216" s="34" customFormat="1" x14ac:dyDescent="0.35"/>
    <row r="217" s="34" customFormat="1" x14ac:dyDescent="0.35"/>
    <row r="218" s="34" customFormat="1" x14ac:dyDescent="0.35"/>
    <row r="219" s="34" customFormat="1" x14ac:dyDescent="0.35"/>
    <row r="220" s="34" customFormat="1" x14ac:dyDescent="0.35"/>
    <row r="221" s="34" customFormat="1" x14ac:dyDescent="0.35"/>
  </sheetData>
  <pageMargins left="0.75" right="0.75" top="1" bottom="1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0240-B867-4719-8A2B-6811733285CB}">
  <dimension ref="A1:Z221"/>
  <sheetViews>
    <sheetView showGridLines="0" topLeftCell="A3" zoomScale="94" zoomScaleNormal="94" workbookViewId="0">
      <selection activeCell="B3" sqref="B3"/>
    </sheetView>
  </sheetViews>
  <sheetFormatPr baseColWidth="10" defaultColWidth="8.81640625" defaultRowHeight="14.5" outlineLevelRow="1" outlineLevelCol="1" x14ac:dyDescent="0.35"/>
  <cols>
    <col min="1" max="1" width="1.54296875" customWidth="1"/>
    <col min="2" max="2" width="43.1796875" customWidth="1"/>
    <col min="3" max="6" width="7.6328125" customWidth="1"/>
    <col min="7" max="16" width="7.81640625" customWidth="1"/>
    <col min="17" max="17" width="8.54296875" customWidth="1"/>
    <col min="18" max="18" width="7.81640625" customWidth="1"/>
    <col min="19" max="19" width="8.08984375" hidden="1" customWidth="1" outlineLevel="1"/>
    <col min="20" max="20" width="8" hidden="1" customWidth="1" outlineLevel="1"/>
    <col min="21" max="21" width="7.90625" hidden="1" customWidth="1" outlineLevel="1"/>
    <col min="22" max="22" width="12.453125" bestFit="1" customWidth="1" collapsed="1"/>
  </cols>
  <sheetData>
    <row r="1" spans="2:23" ht="15" thickBot="1" x14ac:dyDescent="0.4"/>
    <row r="2" spans="2:23" ht="12" customHeight="1" thickBot="1" x14ac:dyDescent="0.4">
      <c r="B2" s="377" t="s">
        <v>258</v>
      </c>
      <c r="C2" s="378"/>
      <c r="E2" s="377" t="s">
        <v>261</v>
      </c>
      <c r="F2" s="380"/>
      <c r="G2" s="380"/>
      <c r="H2" s="380"/>
      <c r="I2" s="380"/>
      <c r="J2" s="379"/>
      <c r="L2" s="377" t="s">
        <v>293</v>
      </c>
      <c r="M2" s="380"/>
      <c r="N2" s="380"/>
      <c r="O2" s="380"/>
      <c r="P2" s="380"/>
      <c r="Q2" s="380"/>
      <c r="R2" s="379"/>
      <c r="S2" s="34"/>
    </row>
    <row r="3" spans="2:23" ht="12" customHeight="1" x14ac:dyDescent="0.35">
      <c r="B3" s="59" t="s">
        <v>15</v>
      </c>
      <c r="C3" s="388">
        <v>300</v>
      </c>
      <c r="E3" s="381" t="s">
        <v>251</v>
      </c>
      <c r="F3" s="384"/>
      <c r="G3" s="384"/>
      <c r="H3" s="384"/>
      <c r="I3" s="384"/>
      <c r="J3" s="376">
        <v>0.69985569985569995</v>
      </c>
      <c r="K3" s="34"/>
      <c r="L3" s="433" t="s">
        <v>291</v>
      </c>
      <c r="M3" s="384"/>
      <c r="N3" s="34">
        <v>2010</v>
      </c>
      <c r="O3">
        <v>2011</v>
      </c>
      <c r="P3">
        <v>2012</v>
      </c>
      <c r="Q3" s="434" t="s">
        <v>290</v>
      </c>
      <c r="R3" s="435" t="s">
        <v>292</v>
      </c>
    </row>
    <row r="4" spans="2:23" ht="12" customHeight="1" thickBot="1" x14ac:dyDescent="0.4">
      <c r="B4" s="472" t="s">
        <v>16</v>
      </c>
      <c r="C4" s="471">
        <v>0.75</v>
      </c>
      <c r="E4" s="383" t="s">
        <v>263</v>
      </c>
      <c r="F4" s="386"/>
      <c r="G4" s="386"/>
      <c r="H4" s="386"/>
      <c r="I4" s="386"/>
      <c r="J4" s="445">
        <v>0.12</v>
      </c>
      <c r="L4" s="382" t="s">
        <v>288</v>
      </c>
      <c r="M4" s="436"/>
      <c r="N4" s="202">
        <f>Q4*N5</f>
        <v>2420.0000000000005</v>
      </c>
      <c r="O4" s="202">
        <f>Q4*O5</f>
        <v>3870.0000000000009</v>
      </c>
      <c r="P4" s="202">
        <f>Q4*P5</f>
        <v>3410.0000000000005</v>
      </c>
      <c r="Q4" s="202">
        <f>R4*Q8</f>
        <v>9700.0000000000018</v>
      </c>
      <c r="R4" s="437">
        <f>J3</f>
        <v>0.69985569985569995</v>
      </c>
    </row>
    <row r="5" spans="2:23" ht="12" customHeight="1" x14ac:dyDescent="0.35">
      <c r="B5" s="31" t="s">
        <v>111</v>
      </c>
      <c r="C5" s="451">
        <v>3.3</v>
      </c>
      <c r="E5" s="475" t="s">
        <v>252</v>
      </c>
      <c r="F5" s="443"/>
      <c r="G5" s="443"/>
      <c r="H5" s="443"/>
      <c r="I5" s="443"/>
      <c r="J5" s="474">
        <f>C162</f>
        <v>0.10783163914184901</v>
      </c>
      <c r="K5" s="269"/>
      <c r="L5" s="382"/>
      <c r="M5" s="436"/>
      <c r="N5" s="439">
        <v>0.24948453608247423</v>
      </c>
      <c r="O5" s="439">
        <v>0.39896907216494848</v>
      </c>
      <c r="P5" s="439">
        <v>0.35154639175257729</v>
      </c>
      <c r="Q5" s="438">
        <f>Q4/Q4</f>
        <v>1</v>
      </c>
      <c r="R5" s="437"/>
      <c r="V5" s="476">
        <v>0.77459999999999996</v>
      </c>
      <c r="W5" s="284" t="s">
        <v>316</v>
      </c>
    </row>
    <row r="6" spans="2:23" ht="12" customHeight="1" thickBot="1" x14ac:dyDescent="0.4">
      <c r="B6" s="66" t="s">
        <v>262</v>
      </c>
      <c r="C6" s="455">
        <v>0.01</v>
      </c>
      <c r="E6" s="383" t="s">
        <v>131</v>
      </c>
      <c r="F6" s="386"/>
      <c r="G6" s="386"/>
      <c r="H6" s="386"/>
      <c r="I6" s="386"/>
      <c r="J6" s="404">
        <f>WACC!I30</f>
        <v>0.12920518238021639</v>
      </c>
      <c r="L6" s="382" t="s">
        <v>289</v>
      </c>
      <c r="M6" s="385"/>
      <c r="N6" s="202">
        <f>Q6*N7</f>
        <v>1039.9999999999998</v>
      </c>
      <c r="O6" s="202">
        <f>Q6*O7</f>
        <v>1649.9999999999995</v>
      </c>
      <c r="P6" s="202">
        <f>Q6*P7</f>
        <v>1469.9999999999998</v>
      </c>
      <c r="Q6" s="202">
        <f>R6*Q8</f>
        <v>4159.9999999999991</v>
      </c>
      <c r="R6" s="437">
        <f>1-R4</f>
        <v>0.30014430014430005</v>
      </c>
    </row>
    <row r="7" spans="2:23" ht="12" customHeight="1" thickBot="1" x14ac:dyDescent="0.4">
      <c r="B7" s="453" t="s">
        <v>68</v>
      </c>
      <c r="C7" s="454">
        <f>'Operating Data'!C23</f>
        <v>2947.3638769273243</v>
      </c>
      <c r="E7" s="475" t="s">
        <v>259</v>
      </c>
      <c r="F7" s="443"/>
      <c r="G7" s="443"/>
      <c r="H7" s="443"/>
      <c r="I7" s="443"/>
      <c r="J7" s="474">
        <f>C181</f>
        <v>0.1241274695590513</v>
      </c>
      <c r="K7" s="269"/>
      <c r="L7" s="383"/>
      <c r="M7" s="458"/>
      <c r="N7" s="448">
        <v>0.25</v>
      </c>
      <c r="O7" s="449">
        <v>0.39663461538461536</v>
      </c>
      <c r="P7" s="449">
        <v>0.35336538461538464</v>
      </c>
      <c r="Q7" s="450">
        <f>Q6/Q6</f>
        <v>1</v>
      </c>
      <c r="R7" s="459"/>
      <c r="V7" s="476">
        <v>0.79549999999999998</v>
      </c>
      <c r="W7" s="284" t="s">
        <v>317</v>
      </c>
    </row>
    <row r="8" spans="2:23" ht="12" customHeight="1" thickBot="1" x14ac:dyDescent="0.4">
      <c r="B8" s="66" t="s">
        <v>304</v>
      </c>
      <c r="C8" s="389">
        <v>1</v>
      </c>
      <c r="E8" s="383" t="s">
        <v>260</v>
      </c>
      <c r="F8" s="386"/>
      <c r="G8" s="386"/>
      <c r="H8" s="386"/>
      <c r="I8" s="386"/>
      <c r="J8" s="404">
        <f>WACC!I21</f>
        <v>0.19548394126738794</v>
      </c>
      <c r="L8" s="456" t="s">
        <v>166</v>
      </c>
      <c r="M8" s="457"/>
      <c r="N8" s="446">
        <f>N4+N6</f>
        <v>3460</v>
      </c>
      <c r="O8" s="446">
        <f>O4+O6</f>
        <v>5520</v>
      </c>
      <c r="P8" s="446">
        <f>P4+P6</f>
        <v>4880</v>
      </c>
      <c r="Q8" s="447">
        <v>13860</v>
      </c>
      <c r="R8" s="460">
        <f>Q8/Q8</f>
        <v>1</v>
      </c>
      <c r="W8" s="284" t="s">
        <v>318</v>
      </c>
    </row>
    <row r="9" spans="2:23" ht="6.25" customHeight="1" x14ac:dyDescent="0.35">
      <c r="E9" s="318"/>
      <c r="F9" s="318"/>
      <c r="G9" s="318"/>
      <c r="H9" s="392"/>
    </row>
    <row r="10" spans="2:23" ht="6.25" customHeight="1" thickBot="1" x14ac:dyDescent="0.4"/>
    <row r="11" spans="2:23" ht="12" customHeight="1" thickBot="1" x14ac:dyDescent="0.4">
      <c r="B11" s="302" t="s">
        <v>106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8"/>
    </row>
    <row r="12" spans="2:23" s="68" customFormat="1" ht="12" customHeight="1" thickBot="1" x14ac:dyDescent="0.4">
      <c r="B12" s="306" t="s">
        <v>110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  <c r="I12" s="2">
        <v>2015</v>
      </c>
      <c r="J12" s="2">
        <v>2016</v>
      </c>
      <c r="K12" s="2">
        <v>2017</v>
      </c>
      <c r="L12" s="2">
        <v>2018</v>
      </c>
      <c r="M12" s="2">
        <v>2019</v>
      </c>
      <c r="N12" s="2">
        <v>2020</v>
      </c>
      <c r="O12" s="2">
        <v>2021</v>
      </c>
      <c r="P12" s="2">
        <v>2022</v>
      </c>
      <c r="Q12" s="2">
        <v>2023</v>
      </c>
      <c r="R12" s="2">
        <v>2024</v>
      </c>
      <c r="S12" s="2">
        <v>2025</v>
      </c>
      <c r="T12" s="2">
        <v>2026</v>
      </c>
      <c r="U12" s="3">
        <v>2027</v>
      </c>
    </row>
    <row r="13" spans="2:23" s="34" customFormat="1" ht="12" customHeight="1" x14ac:dyDescent="0.35">
      <c r="B13" s="303" t="s">
        <v>175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</row>
    <row r="14" spans="2:23" s="34" customFormat="1" ht="12" customHeight="1" x14ac:dyDescent="0.35">
      <c r="B14" s="31" t="s">
        <v>15</v>
      </c>
      <c r="C14" s="178">
        <v>0</v>
      </c>
      <c r="D14" s="178">
        <v>0</v>
      </c>
      <c r="E14" s="178">
        <v>0</v>
      </c>
      <c r="F14" s="178">
        <v>0</v>
      </c>
      <c r="G14" s="178">
        <v>300</v>
      </c>
      <c r="H14" s="178">
        <v>300</v>
      </c>
      <c r="I14" s="178">
        <v>300</v>
      </c>
      <c r="J14" s="178">
        <v>300</v>
      </c>
      <c r="K14" s="178">
        <v>300</v>
      </c>
      <c r="L14" s="178">
        <v>300</v>
      </c>
      <c r="M14" s="178">
        <v>300</v>
      </c>
      <c r="N14" s="178">
        <v>300</v>
      </c>
      <c r="O14" s="178">
        <v>300</v>
      </c>
      <c r="P14" s="178">
        <v>300</v>
      </c>
      <c r="Q14" s="178">
        <v>300</v>
      </c>
      <c r="R14" s="178">
        <v>300</v>
      </c>
      <c r="S14" s="178">
        <v>300</v>
      </c>
      <c r="T14" s="178">
        <v>300</v>
      </c>
      <c r="U14" s="179">
        <v>300</v>
      </c>
    </row>
    <row r="15" spans="2:23" s="34" customFormat="1" ht="12" customHeight="1" x14ac:dyDescent="0.35">
      <c r="B15" s="35" t="s">
        <v>16</v>
      </c>
      <c r="C15" s="72">
        <v>0</v>
      </c>
      <c r="D15" s="72">
        <v>0</v>
      </c>
      <c r="E15" s="72">
        <v>0</v>
      </c>
      <c r="F15" s="72">
        <v>0</v>
      </c>
      <c r="G15" s="72">
        <f t="shared" ref="G15:U15" si="0">$C$4</f>
        <v>0.75</v>
      </c>
      <c r="H15" s="72">
        <f t="shared" si="0"/>
        <v>0.75</v>
      </c>
      <c r="I15" s="72">
        <f t="shared" si="0"/>
        <v>0.75</v>
      </c>
      <c r="J15" s="72">
        <f t="shared" si="0"/>
        <v>0.75</v>
      </c>
      <c r="K15" s="72">
        <f t="shared" si="0"/>
        <v>0.75</v>
      </c>
      <c r="L15" s="72">
        <f t="shared" si="0"/>
        <v>0.75</v>
      </c>
      <c r="M15" s="72">
        <f t="shared" si="0"/>
        <v>0.75</v>
      </c>
      <c r="N15" s="72">
        <f t="shared" si="0"/>
        <v>0.75</v>
      </c>
      <c r="O15" s="72">
        <f t="shared" si="0"/>
        <v>0.75</v>
      </c>
      <c r="P15" s="72">
        <f t="shared" si="0"/>
        <v>0.75</v>
      </c>
      <c r="Q15" s="72">
        <f t="shared" si="0"/>
        <v>0.75</v>
      </c>
      <c r="R15" s="72">
        <f t="shared" si="0"/>
        <v>0.75</v>
      </c>
      <c r="S15" s="72">
        <f t="shared" si="0"/>
        <v>0.75</v>
      </c>
      <c r="T15" s="72">
        <f t="shared" si="0"/>
        <v>0.75</v>
      </c>
      <c r="U15" s="73">
        <f t="shared" si="0"/>
        <v>0.75</v>
      </c>
    </row>
    <row r="16" spans="2:23" s="34" customFormat="1" ht="12" customHeight="1" x14ac:dyDescent="0.35">
      <c r="B16" s="35" t="s">
        <v>80</v>
      </c>
      <c r="C16" s="180">
        <v>0</v>
      </c>
      <c r="D16" s="180">
        <v>0</v>
      </c>
      <c r="E16" s="180">
        <v>0</v>
      </c>
      <c r="F16" s="180">
        <v>0</v>
      </c>
      <c r="G16" s="180">
        <f t="shared" ref="G16:U16" si="1">G14*1000*24*365*G15/1000000</f>
        <v>1971</v>
      </c>
      <c r="H16" s="180">
        <f t="shared" si="1"/>
        <v>1971</v>
      </c>
      <c r="I16" s="180">
        <f t="shared" si="1"/>
        <v>1971</v>
      </c>
      <c r="J16" s="180">
        <f t="shared" si="1"/>
        <v>1971</v>
      </c>
      <c r="K16" s="180">
        <f t="shared" si="1"/>
        <v>1971</v>
      </c>
      <c r="L16" s="180">
        <f t="shared" si="1"/>
        <v>1971</v>
      </c>
      <c r="M16" s="180">
        <f t="shared" si="1"/>
        <v>1971</v>
      </c>
      <c r="N16" s="180">
        <f t="shared" si="1"/>
        <v>1971</v>
      </c>
      <c r="O16" s="180">
        <f t="shared" si="1"/>
        <v>1971</v>
      </c>
      <c r="P16" s="180">
        <f t="shared" si="1"/>
        <v>1971</v>
      </c>
      <c r="Q16" s="180">
        <f t="shared" si="1"/>
        <v>1971</v>
      </c>
      <c r="R16" s="180">
        <f t="shared" si="1"/>
        <v>1971</v>
      </c>
      <c r="S16" s="180">
        <f t="shared" si="1"/>
        <v>1971</v>
      </c>
      <c r="T16" s="180">
        <f t="shared" si="1"/>
        <v>1971</v>
      </c>
      <c r="U16" s="181">
        <f t="shared" si="1"/>
        <v>1971</v>
      </c>
    </row>
    <row r="17" spans="2:22" s="34" customFormat="1" ht="12" customHeight="1" x14ac:dyDescent="0.35">
      <c r="B17" s="35" t="s">
        <v>81</v>
      </c>
      <c r="C17" s="180">
        <v>0</v>
      </c>
      <c r="D17" s="180">
        <v>0</v>
      </c>
      <c r="E17" s="180">
        <v>0</v>
      </c>
      <c r="F17" s="180">
        <v>0</v>
      </c>
      <c r="G17" s="180">
        <v>201</v>
      </c>
      <c r="H17" s="180">
        <v>201</v>
      </c>
      <c r="I17" s="180">
        <v>201</v>
      </c>
      <c r="J17" s="180">
        <v>201</v>
      </c>
      <c r="K17" s="180">
        <v>201</v>
      </c>
      <c r="L17" s="180">
        <v>201</v>
      </c>
      <c r="M17" s="180">
        <v>201</v>
      </c>
      <c r="N17" s="180">
        <v>201</v>
      </c>
      <c r="O17" s="180">
        <v>201</v>
      </c>
      <c r="P17" s="180">
        <v>201</v>
      </c>
      <c r="Q17" s="180">
        <v>201</v>
      </c>
      <c r="R17" s="180">
        <v>201</v>
      </c>
      <c r="S17" s="180">
        <v>201</v>
      </c>
      <c r="T17" s="180">
        <v>201</v>
      </c>
      <c r="U17" s="181">
        <v>201</v>
      </c>
    </row>
    <row r="18" spans="2:22" s="34" customFormat="1" ht="12" customHeight="1" x14ac:dyDescent="0.35">
      <c r="B18" s="78" t="s">
        <v>82</v>
      </c>
      <c r="C18" s="180">
        <v>0</v>
      </c>
      <c r="D18" s="180">
        <v>0</v>
      </c>
      <c r="E18" s="180">
        <v>0</v>
      </c>
      <c r="F18" s="180">
        <v>0</v>
      </c>
      <c r="G18" s="180">
        <f t="shared" ref="G18:U18" si="2">G16-G17</f>
        <v>1770</v>
      </c>
      <c r="H18" s="180">
        <f t="shared" si="2"/>
        <v>1770</v>
      </c>
      <c r="I18" s="180">
        <f t="shared" si="2"/>
        <v>1770</v>
      </c>
      <c r="J18" s="180">
        <f t="shared" si="2"/>
        <v>1770</v>
      </c>
      <c r="K18" s="180">
        <f t="shared" si="2"/>
        <v>1770</v>
      </c>
      <c r="L18" s="180">
        <f t="shared" si="2"/>
        <v>1770</v>
      </c>
      <c r="M18" s="180">
        <f t="shared" si="2"/>
        <v>1770</v>
      </c>
      <c r="N18" s="180">
        <f t="shared" si="2"/>
        <v>1770</v>
      </c>
      <c r="O18" s="180">
        <f t="shared" si="2"/>
        <v>1770</v>
      </c>
      <c r="P18" s="180">
        <f t="shared" si="2"/>
        <v>1770</v>
      </c>
      <c r="Q18" s="180">
        <f t="shared" si="2"/>
        <v>1770</v>
      </c>
      <c r="R18" s="180">
        <f t="shared" si="2"/>
        <v>1770</v>
      </c>
      <c r="S18" s="180">
        <f t="shared" si="2"/>
        <v>1770</v>
      </c>
      <c r="T18" s="180">
        <f t="shared" si="2"/>
        <v>1770</v>
      </c>
      <c r="U18" s="181">
        <f t="shared" si="2"/>
        <v>1770</v>
      </c>
    </row>
    <row r="19" spans="2:22" s="34" customFormat="1" ht="12" customHeight="1" x14ac:dyDescent="0.35">
      <c r="B19" s="35" t="s">
        <v>111</v>
      </c>
      <c r="C19" s="195">
        <v>0</v>
      </c>
      <c r="D19" s="195">
        <v>0</v>
      </c>
      <c r="E19" s="195">
        <v>0</v>
      </c>
      <c r="F19" s="195">
        <v>0</v>
      </c>
      <c r="G19" s="195">
        <f>C5</f>
        <v>3.3</v>
      </c>
      <c r="H19" s="195">
        <f t="shared" ref="H19:U19" si="3">G19*(1+$C$6)</f>
        <v>3.3329999999999997</v>
      </c>
      <c r="I19" s="195">
        <f t="shared" si="3"/>
        <v>3.3663299999999996</v>
      </c>
      <c r="J19" s="195">
        <f t="shared" si="3"/>
        <v>3.3999932999999998</v>
      </c>
      <c r="K19" s="195">
        <f t="shared" si="3"/>
        <v>3.4339932329999998</v>
      </c>
      <c r="L19" s="195">
        <f t="shared" si="3"/>
        <v>3.4683331653299998</v>
      </c>
      <c r="M19" s="195">
        <f t="shared" si="3"/>
        <v>3.5030164969833</v>
      </c>
      <c r="N19" s="195">
        <f t="shared" si="3"/>
        <v>3.5380466619531332</v>
      </c>
      <c r="O19" s="195">
        <f t="shared" si="3"/>
        <v>3.5734271285726646</v>
      </c>
      <c r="P19" s="195">
        <f t="shared" si="3"/>
        <v>3.6091613998583911</v>
      </c>
      <c r="Q19" s="195">
        <f t="shared" si="3"/>
        <v>3.645253013856975</v>
      </c>
      <c r="R19" s="195">
        <f t="shared" si="3"/>
        <v>3.6817055439955446</v>
      </c>
      <c r="S19" s="195">
        <f t="shared" si="3"/>
        <v>3.7185225994355</v>
      </c>
      <c r="T19" s="195">
        <f t="shared" si="3"/>
        <v>3.7557078254298553</v>
      </c>
      <c r="U19" s="196">
        <f t="shared" si="3"/>
        <v>3.7932649036841539</v>
      </c>
    </row>
    <row r="20" spans="2:22" s="34" customFormat="1" ht="12" customHeight="1" x14ac:dyDescent="0.35">
      <c r="B20" s="303" t="s">
        <v>174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</row>
    <row r="21" spans="2:22" s="34" customFormat="1" ht="12" customHeight="1" x14ac:dyDescent="0.35">
      <c r="B21" s="82" t="s">
        <v>21</v>
      </c>
      <c r="C21" s="182">
        <f>C18*C19</f>
        <v>0</v>
      </c>
      <c r="D21" s="182">
        <f>D18*D19</f>
        <v>0</v>
      </c>
      <c r="E21" s="182">
        <f>E18*E19</f>
        <v>0</v>
      </c>
      <c r="F21" s="182">
        <f>F18*F19</f>
        <v>0</v>
      </c>
      <c r="G21" s="182">
        <f>G18*G19</f>
        <v>5841</v>
      </c>
      <c r="H21" s="182">
        <f t="shared" ref="H21:U21" si="4">H18*H19</f>
        <v>5899.41</v>
      </c>
      <c r="I21" s="182">
        <f t="shared" si="4"/>
        <v>5958.4040999999997</v>
      </c>
      <c r="J21" s="182">
        <f t="shared" si="4"/>
        <v>6017.9881409999998</v>
      </c>
      <c r="K21" s="182">
        <f t="shared" si="4"/>
        <v>6078.16802241</v>
      </c>
      <c r="L21" s="182">
        <f t="shared" si="4"/>
        <v>6138.9497026340996</v>
      </c>
      <c r="M21" s="182">
        <f t="shared" si="4"/>
        <v>6200.3391996604414</v>
      </c>
      <c r="N21" s="182">
        <f t="shared" si="4"/>
        <v>6262.3425916570459</v>
      </c>
      <c r="O21" s="182">
        <f t="shared" si="4"/>
        <v>6324.9660175736162</v>
      </c>
      <c r="P21" s="182">
        <f t="shared" si="4"/>
        <v>6388.2156777493519</v>
      </c>
      <c r="Q21" s="182">
        <f t="shared" si="4"/>
        <v>6452.0978345268459</v>
      </c>
      <c r="R21" s="182">
        <f t="shared" si="4"/>
        <v>6516.6188128721142</v>
      </c>
      <c r="S21" s="182">
        <f t="shared" si="4"/>
        <v>6581.7850010008351</v>
      </c>
      <c r="T21" s="182">
        <f t="shared" si="4"/>
        <v>6647.6028510108436</v>
      </c>
      <c r="U21" s="183">
        <f t="shared" si="4"/>
        <v>6714.0788795209528</v>
      </c>
    </row>
    <row r="22" spans="2:22" s="34" customFormat="1" ht="12" customHeight="1" x14ac:dyDescent="0.35">
      <c r="B22" s="323" t="s">
        <v>189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5"/>
    </row>
    <row r="23" spans="2:22" s="34" customFormat="1" ht="12" customHeight="1" x14ac:dyDescent="0.35">
      <c r="B23" s="35" t="s">
        <v>41</v>
      </c>
      <c r="C23" s="180">
        <v>0</v>
      </c>
      <c r="D23" s="180">
        <v>0</v>
      </c>
      <c r="E23" s="180">
        <v>0</v>
      </c>
      <c r="F23" s="180">
        <v>0</v>
      </c>
      <c r="G23" s="180">
        <f>($C$7*$C$8)*((1.03^(G12-2012)))</f>
        <v>3035.7847932351442</v>
      </c>
      <c r="H23" s="180">
        <f t="shared" ref="H23:U23" si="5">($C$7*((1.03^(H12-2012))))*$C$8</f>
        <v>3126.8583370321981</v>
      </c>
      <c r="I23" s="180">
        <f t="shared" si="5"/>
        <v>3220.6640871431641</v>
      </c>
      <c r="J23" s="180">
        <f t="shared" si="5"/>
        <v>3317.284009757459</v>
      </c>
      <c r="K23" s="180">
        <f t="shared" si="5"/>
        <v>3416.8025300501827</v>
      </c>
      <c r="L23" s="180">
        <f t="shared" si="5"/>
        <v>3519.3066059516882</v>
      </c>
      <c r="M23" s="180">
        <f t="shared" si="5"/>
        <v>3624.8858041302392</v>
      </c>
      <c r="N23" s="180">
        <f t="shared" si="5"/>
        <v>3733.6323782541458</v>
      </c>
      <c r="O23" s="180">
        <f t="shared" si="5"/>
        <v>3845.6413496017703</v>
      </c>
      <c r="P23" s="180">
        <f t="shared" si="5"/>
        <v>3961.0105900898234</v>
      </c>
      <c r="Q23" s="180">
        <f t="shared" si="5"/>
        <v>4079.8409077925185</v>
      </c>
      <c r="R23" s="180">
        <f t="shared" si="5"/>
        <v>4202.2361350262936</v>
      </c>
      <c r="S23" s="180">
        <f t="shared" si="5"/>
        <v>4328.3032190770818</v>
      </c>
      <c r="T23" s="180">
        <f t="shared" si="5"/>
        <v>4458.152315649395</v>
      </c>
      <c r="U23" s="181">
        <f t="shared" si="5"/>
        <v>4591.8968851188765</v>
      </c>
    </row>
    <row r="24" spans="2:22" s="34" customFormat="1" ht="12" customHeight="1" x14ac:dyDescent="0.35">
      <c r="B24" s="35" t="s">
        <v>84</v>
      </c>
      <c r="C24" s="180">
        <v>0</v>
      </c>
      <c r="D24" s="180">
        <v>0</v>
      </c>
      <c r="E24" s="180">
        <v>0</v>
      </c>
      <c r="F24" s="180">
        <v>0</v>
      </c>
      <c r="G24" s="180">
        <f t="shared" ref="G24:U24" si="6">((1.55*G14*((1.04)^(G12-2012))))*($C$4/85%)</f>
        <v>426.70588235294116</v>
      </c>
      <c r="H24" s="180">
        <f t="shared" si="6"/>
        <v>443.77411764705886</v>
      </c>
      <c r="I24" s="180">
        <f t="shared" si="6"/>
        <v>461.52508235294118</v>
      </c>
      <c r="J24" s="180">
        <f t="shared" si="6"/>
        <v>479.98608564705893</v>
      </c>
      <c r="K24" s="180">
        <f t="shared" si="6"/>
        <v>499.18552907294134</v>
      </c>
      <c r="L24" s="180">
        <f t="shared" si="6"/>
        <v>519.15295023585895</v>
      </c>
      <c r="M24" s="180">
        <f t="shared" si="6"/>
        <v>539.91906824529326</v>
      </c>
      <c r="N24" s="180">
        <f t="shared" si="6"/>
        <v>561.51583097510513</v>
      </c>
      <c r="O24" s="180">
        <f t="shared" si="6"/>
        <v>583.97646421410934</v>
      </c>
      <c r="P24" s="180">
        <f t="shared" si="6"/>
        <v>607.33552278267371</v>
      </c>
      <c r="Q24" s="180">
        <f t="shared" si="6"/>
        <v>631.62894369398066</v>
      </c>
      <c r="R24" s="180">
        <f t="shared" si="6"/>
        <v>656.89410144173996</v>
      </c>
      <c r="S24" s="180">
        <f t="shared" si="6"/>
        <v>683.16986549940964</v>
      </c>
      <c r="T24" s="180">
        <f t="shared" si="6"/>
        <v>710.49666011938598</v>
      </c>
      <c r="U24" s="181">
        <f t="shared" si="6"/>
        <v>738.91652652416133</v>
      </c>
    </row>
    <row r="25" spans="2:22" s="34" customFormat="1" ht="12" customHeight="1" x14ac:dyDescent="0.35">
      <c r="B25" s="82" t="s">
        <v>25</v>
      </c>
      <c r="C25" s="180">
        <v>0</v>
      </c>
      <c r="D25" s="180">
        <v>0</v>
      </c>
      <c r="E25" s="180">
        <v>0</v>
      </c>
      <c r="F25" s="180">
        <v>0</v>
      </c>
      <c r="G25" s="393">
        <f t="shared" ref="G25:U25" si="7">SUM(G23:G24)</f>
        <v>3462.4906755880852</v>
      </c>
      <c r="H25" s="393">
        <f t="shared" si="7"/>
        <v>3570.6324546792571</v>
      </c>
      <c r="I25" s="393">
        <f t="shared" si="7"/>
        <v>3682.1891694961055</v>
      </c>
      <c r="J25" s="393">
        <f t="shared" si="7"/>
        <v>3797.2700954045181</v>
      </c>
      <c r="K25" s="393">
        <f t="shared" si="7"/>
        <v>3915.988059123124</v>
      </c>
      <c r="L25" s="393">
        <f t="shared" si="7"/>
        <v>4038.4595561875472</v>
      </c>
      <c r="M25" s="393">
        <f t="shared" si="7"/>
        <v>4164.8048723755328</v>
      </c>
      <c r="N25" s="393">
        <f t="shared" si="7"/>
        <v>4295.1482092292508</v>
      </c>
      <c r="O25" s="393">
        <f t="shared" si="7"/>
        <v>4429.6178138158793</v>
      </c>
      <c r="P25" s="393">
        <f t="shared" si="7"/>
        <v>4568.3461128724975</v>
      </c>
      <c r="Q25" s="393">
        <f t="shared" si="7"/>
        <v>4711.4698514864995</v>
      </c>
      <c r="R25" s="393">
        <f t="shared" si="7"/>
        <v>4859.1302364680332</v>
      </c>
      <c r="S25" s="393">
        <f t="shared" si="7"/>
        <v>5011.4730845764916</v>
      </c>
      <c r="T25" s="393">
        <f t="shared" si="7"/>
        <v>5168.6489757687814</v>
      </c>
      <c r="U25" s="394">
        <f t="shared" si="7"/>
        <v>5330.8134116430374</v>
      </c>
      <c r="V25" s="145"/>
    </row>
    <row r="26" spans="2:22" s="34" customFormat="1" ht="12" customHeight="1" x14ac:dyDescent="0.35">
      <c r="B26" s="85" t="s">
        <v>272</v>
      </c>
      <c r="C26" s="182">
        <f t="shared" ref="C26:U26" si="8">C21-C25</f>
        <v>0</v>
      </c>
      <c r="D26" s="182">
        <f t="shared" si="8"/>
        <v>0</v>
      </c>
      <c r="E26" s="182">
        <f t="shared" si="8"/>
        <v>0</v>
      </c>
      <c r="F26" s="182">
        <f t="shared" si="8"/>
        <v>0</v>
      </c>
      <c r="G26" s="182">
        <f t="shared" si="8"/>
        <v>2378.5093244119148</v>
      </c>
      <c r="H26" s="182">
        <f t="shared" si="8"/>
        <v>2328.7775453207428</v>
      </c>
      <c r="I26" s="182">
        <f t="shared" si="8"/>
        <v>2276.2149305038943</v>
      </c>
      <c r="J26" s="182">
        <f t="shared" si="8"/>
        <v>2220.7180455954817</v>
      </c>
      <c r="K26" s="182">
        <f t="shared" si="8"/>
        <v>2162.179963286876</v>
      </c>
      <c r="L26" s="182">
        <f t="shared" si="8"/>
        <v>2100.4901464465524</v>
      </c>
      <c r="M26" s="182">
        <f t="shared" si="8"/>
        <v>2035.5343272849086</v>
      </c>
      <c r="N26" s="182">
        <f t="shared" si="8"/>
        <v>1967.1943824277951</v>
      </c>
      <c r="O26" s="182">
        <f t="shared" si="8"/>
        <v>1895.3482037577369</v>
      </c>
      <c r="P26" s="182">
        <f t="shared" si="8"/>
        <v>1819.8695648768544</v>
      </c>
      <c r="Q26" s="182">
        <f t="shared" si="8"/>
        <v>1740.6279830403464</v>
      </c>
      <c r="R26" s="182">
        <f t="shared" si="8"/>
        <v>1657.488576404081</v>
      </c>
      <c r="S26" s="182">
        <f t="shared" si="8"/>
        <v>1570.3119164243435</v>
      </c>
      <c r="T26" s="182">
        <f t="shared" si="8"/>
        <v>1478.9538752420622</v>
      </c>
      <c r="U26" s="183">
        <f t="shared" si="8"/>
        <v>1383.2654678779154</v>
      </c>
    </row>
    <row r="27" spans="2:22" s="34" customFormat="1" ht="12" customHeight="1" x14ac:dyDescent="0.35">
      <c r="B27" s="323" t="s">
        <v>145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2:22" s="34" customFormat="1" ht="12" customHeight="1" x14ac:dyDescent="0.35">
      <c r="B28" s="35" t="s">
        <v>187</v>
      </c>
      <c r="C28" s="180">
        <v>0</v>
      </c>
      <c r="D28" s="180">
        <v>0</v>
      </c>
      <c r="E28" s="180">
        <v>0</v>
      </c>
      <c r="F28" s="410">
        <v>0</v>
      </c>
      <c r="G28" s="410">
        <f t="shared" ref="G28:U28" si="9">$J$4*((G109+G112)/2)</f>
        <v>1067</v>
      </c>
      <c r="H28" s="410">
        <f t="shared" si="9"/>
        <v>937.66666666666686</v>
      </c>
      <c r="I28" s="410">
        <f t="shared" si="9"/>
        <v>808.33333333333337</v>
      </c>
      <c r="J28" s="410">
        <f t="shared" si="9"/>
        <v>679</v>
      </c>
      <c r="K28" s="410">
        <f t="shared" si="9"/>
        <v>549.66666666666652</v>
      </c>
      <c r="L28" s="410">
        <f t="shared" si="9"/>
        <v>420.3333333333332</v>
      </c>
      <c r="M28" s="410">
        <f t="shared" si="9"/>
        <v>290.99999999999983</v>
      </c>
      <c r="N28" s="410">
        <f t="shared" si="9"/>
        <v>161.66666666666649</v>
      </c>
      <c r="O28" s="410">
        <f t="shared" si="9"/>
        <v>48.499999999999787</v>
      </c>
      <c r="P28" s="410">
        <f t="shared" si="9"/>
        <v>-2.1827872842550277E-13</v>
      </c>
      <c r="Q28" s="410">
        <f t="shared" si="9"/>
        <v>-2.1827872842550277E-13</v>
      </c>
      <c r="R28" s="410">
        <f t="shared" si="9"/>
        <v>-2.1827872842550277E-13</v>
      </c>
      <c r="S28" s="410">
        <f t="shared" si="9"/>
        <v>-2.1827872842550277E-13</v>
      </c>
      <c r="T28" s="410">
        <f t="shared" si="9"/>
        <v>-2.1827872842550277E-13</v>
      </c>
      <c r="U28" s="441">
        <f t="shared" si="9"/>
        <v>-2.1827872842550277E-13</v>
      </c>
    </row>
    <row r="29" spans="2:22" s="34" customFormat="1" ht="12" customHeight="1" x14ac:dyDescent="0.35">
      <c r="B29" s="35" t="s">
        <v>188</v>
      </c>
      <c r="C29" s="180">
        <v>0</v>
      </c>
      <c r="D29" s="180">
        <v>0</v>
      </c>
      <c r="E29" s="180">
        <v>0</v>
      </c>
      <c r="F29" s="180">
        <v>0</v>
      </c>
      <c r="G29" s="187">
        <f>$J$4*G60</f>
        <v>111.6</v>
      </c>
      <c r="H29" s="187">
        <f t="shared" ref="H29:U29" si="10">$J$4*((G60+H60)/2)</f>
        <v>112.2</v>
      </c>
      <c r="I29" s="187">
        <f t="shared" si="10"/>
        <v>114</v>
      </c>
      <c r="J29" s="187">
        <f t="shared" si="10"/>
        <v>116.39999999999999</v>
      </c>
      <c r="K29" s="187">
        <f t="shared" si="10"/>
        <v>118.19999999999999</v>
      </c>
      <c r="L29" s="187">
        <f t="shared" si="10"/>
        <v>120</v>
      </c>
      <c r="M29" s="187">
        <f t="shared" si="10"/>
        <v>122.39999999999999</v>
      </c>
      <c r="N29" s="187">
        <f t="shared" si="10"/>
        <v>124.8</v>
      </c>
      <c r="O29" s="187">
        <f t="shared" si="10"/>
        <v>127.19999999999999</v>
      </c>
      <c r="P29" s="187">
        <f t="shared" si="10"/>
        <v>129.6</v>
      </c>
      <c r="Q29" s="187">
        <f t="shared" si="10"/>
        <v>132</v>
      </c>
      <c r="R29" s="187">
        <f t="shared" si="10"/>
        <v>134.4</v>
      </c>
      <c r="S29" s="187">
        <f t="shared" si="10"/>
        <v>137.4</v>
      </c>
      <c r="T29" s="187">
        <f t="shared" si="10"/>
        <v>140.4</v>
      </c>
      <c r="U29" s="340">
        <f t="shared" si="10"/>
        <v>142.79999999999998</v>
      </c>
    </row>
    <row r="30" spans="2:22" s="34" customFormat="1" ht="12" customHeight="1" x14ac:dyDescent="0.35">
      <c r="B30" s="35" t="s">
        <v>30</v>
      </c>
      <c r="C30" s="180">
        <v>0</v>
      </c>
      <c r="D30" s="180">
        <v>0</v>
      </c>
      <c r="E30" s="180">
        <v>0</v>
      </c>
      <c r="F30" s="180">
        <v>0</v>
      </c>
      <c r="G30" s="187">
        <v>680</v>
      </c>
      <c r="H30" s="187">
        <v>680</v>
      </c>
      <c r="I30" s="187">
        <v>680</v>
      </c>
      <c r="J30" s="187">
        <v>680</v>
      </c>
      <c r="K30" s="187">
        <v>680</v>
      </c>
      <c r="L30" s="187">
        <v>680</v>
      </c>
      <c r="M30" s="187">
        <v>680</v>
      </c>
      <c r="N30" s="187">
        <v>680</v>
      </c>
      <c r="O30" s="187">
        <v>680</v>
      </c>
      <c r="P30" s="187">
        <v>680</v>
      </c>
      <c r="Q30" s="187">
        <v>680</v>
      </c>
      <c r="R30" s="187">
        <v>680</v>
      </c>
      <c r="S30" s="187">
        <v>680</v>
      </c>
      <c r="T30" s="187">
        <v>680</v>
      </c>
      <c r="U30" s="340">
        <v>680</v>
      </c>
    </row>
    <row r="31" spans="2:22" s="34" customFormat="1" ht="12" hidden="1" customHeight="1" outlineLevel="1" x14ac:dyDescent="0.35">
      <c r="B31" s="52" t="s">
        <v>86</v>
      </c>
      <c r="C31" s="186">
        <f t="shared" ref="C31:U31" si="11">C26-C28-C29-C30</f>
        <v>0</v>
      </c>
      <c r="D31" s="186">
        <f t="shared" si="11"/>
        <v>0</v>
      </c>
      <c r="E31" s="186">
        <f t="shared" si="11"/>
        <v>0</v>
      </c>
      <c r="F31" s="186">
        <f t="shared" si="11"/>
        <v>0</v>
      </c>
      <c r="G31" s="186">
        <f t="shared" si="11"/>
        <v>519.90932441191489</v>
      </c>
      <c r="H31" s="186">
        <f t="shared" si="11"/>
        <v>598.91087865407576</v>
      </c>
      <c r="I31" s="186">
        <f t="shared" si="11"/>
        <v>673.88159717056078</v>
      </c>
      <c r="J31" s="186">
        <f t="shared" si="11"/>
        <v>745.31804559548164</v>
      </c>
      <c r="K31" s="186">
        <f t="shared" si="11"/>
        <v>814.31329662020948</v>
      </c>
      <c r="L31" s="186">
        <f t="shared" si="11"/>
        <v>880.15681311321919</v>
      </c>
      <c r="M31" s="186">
        <f t="shared" si="11"/>
        <v>942.13432728490875</v>
      </c>
      <c r="N31" s="186">
        <f t="shared" si="11"/>
        <v>1000.7277157611286</v>
      </c>
      <c r="O31" s="186">
        <f t="shared" si="11"/>
        <v>1039.6482037577371</v>
      </c>
      <c r="P31" s="186">
        <f t="shared" si="11"/>
        <v>1010.2695648768547</v>
      </c>
      <c r="Q31" s="186">
        <f t="shared" si="11"/>
        <v>928.62798304034663</v>
      </c>
      <c r="R31" s="186">
        <f t="shared" si="11"/>
        <v>843.0885764040811</v>
      </c>
      <c r="S31" s="186">
        <f t="shared" si="11"/>
        <v>752.91191642434364</v>
      </c>
      <c r="T31" s="186">
        <f t="shared" si="11"/>
        <v>658.5538752420623</v>
      </c>
      <c r="U31" s="183">
        <f t="shared" si="11"/>
        <v>560.46546787791567</v>
      </c>
    </row>
    <row r="32" spans="2:22" s="34" customFormat="1" ht="12" hidden="1" customHeight="1" outlineLevel="1" x14ac:dyDescent="0.35">
      <c r="B32" s="323" t="s">
        <v>32</v>
      </c>
      <c r="C32" s="46"/>
      <c r="D32" s="46"/>
      <c r="E32" s="46"/>
      <c r="F32" s="46"/>
      <c r="G32" s="4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</row>
    <row r="33" spans="2:21" s="34" customFormat="1" ht="12" hidden="1" customHeight="1" outlineLevel="1" x14ac:dyDescent="0.35">
      <c r="B33" s="35" t="s">
        <v>195</v>
      </c>
      <c r="C33" s="180">
        <v>0</v>
      </c>
      <c r="D33" s="180">
        <v>0</v>
      </c>
      <c r="E33" s="180">
        <v>0</v>
      </c>
      <c r="F33" s="187">
        <f>F127</f>
        <v>0</v>
      </c>
      <c r="G33" s="187">
        <f>G127</f>
        <v>82.156549687944789</v>
      </c>
      <c r="H33" s="187">
        <f t="shared" ref="H33:U33" si="12">H127</f>
        <v>95.272610458328799</v>
      </c>
      <c r="I33" s="187">
        <f t="shared" si="12"/>
        <v>105.71824078712598</v>
      </c>
      <c r="J33" s="187">
        <f t="shared" si="12"/>
        <v>120.8756053097391</v>
      </c>
      <c r="K33" s="187">
        <f t="shared" si="12"/>
        <v>130.9290348060633</v>
      </c>
      <c r="L33" s="187">
        <f t="shared" si="12"/>
        <v>140.6737935779164</v>
      </c>
      <c r="M33" s="187">
        <f t="shared" si="12"/>
        <v>150.097708520325</v>
      </c>
      <c r="N33" s="187">
        <f t="shared" si="12"/>
        <v>159.26783115163519</v>
      </c>
      <c r="O33" s="187">
        <f t="shared" si="12"/>
        <v>165.62352899248651</v>
      </c>
      <c r="P33" s="187">
        <f t="shared" si="12"/>
        <v>164.23772635517633</v>
      </c>
      <c r="Q33" s="187">
        <f t="shared" si="12"/>
        <v>149.41445456307289</v>
      </c>
      <c r="R33" s="187">
        <f t="shared" si="12"/>
        <v>137.00364369601536</v>
      </c>
      <c r="S33" s="187">
        <f t="shared" si="12"/>
        <v>119.43324343027142</v>
      </c>
      <c r="T33" s="187">
        <f t="shared" si="12"/>
        <v>106.16213503202621</v>
      </c>
      <c r="U33" s="51">
        <f t="shared" si="12"/>
        <v>88.36432961519553</v>
      </c>
    </row>
    <row r="34" spans="2:21" s="34" customFormat="1" ht="12" hidden="1" customHeight="1" outlineLevel="1" x14ac:dyDescent="0.35">
      <c r="B34" s="35" t="s">
        <v>196</v>
      </c>
      <c r="C34" s="180">
        <v>0</v>
      </c>
      <c r="D34" s="180">
        <v>0</v>
      </c>
      <c r="E34" s="180">
        <v>0</v>
      </c>
      <c r="F34" s="180">
        <v>0</v>
      </c>
      <c r="G34" s="187">
        <v>0</v>
      </c>
      <c r="H34" s="187">
        <v>0</v>
      </c>
      <c r="I34" s="187">
        <v>0</v>
      </c>
      <c r="J34" s="187">
        <v>0</v>
      </c>
      <c r="K34" s="187">
        <v>0</v>
      </c>
      <c r="L34" s="187">
        <v>0</v>
      </c>
      <c r="M34" s="187">
        <v>0</v>
      </c>
      <c r="N34" s="187">
        <v>-10</v>
      </c>
      <c r="O34" s="187">
        <v>-40</v>
      </c>
      <c r="P34" s="187">
        <v>-70</v>
      </c>
      <c r="Q34" s="187">
        <v>-90</v>
      </c>
      <c r="R34" s="187">
        <v>-110</v>
      </c>
      <c r="S34" s="187">
        <v>-130</v>
      </c>
      <c r="T34" s="187">
        <v>-140</v>
      </c>
      <c r="U34" s="188">
        <v>-150</v>
      </c>
    </row>
    <row r="35" spans="2:21" s="34" customFormat="1" ht="12" customHeight="1" collapsed="1" x14ac:dyDescent="0.35">
      <c r="B35" s="86" t="s">
        <v>87</v>
      </c>
      <c r="C35" s="186">
        <f t="shared" ref="C35:U35" si="13">C31-C33-C34</f>
        <v>0</v>
      </c>
      <c r="D35" s="186">
        <f t="shared" si="13"/>
        <v>0</v>
      </c>
      <c r="E35" s="186">
        <f t="shared" si="13"/>
        <v>0</v>
      </c>
      <c r="F35" s="186">
        <f t="shared" si="13"/>
        <v>0</v>
      </c>
      <c r="G35" s="186">
        <f t="shared" si="13"/>
        <v>437.75277472397011</v>
      </c>
      <c r="H35" s="182">
        <f t="shared" si="13"/>
        <v>503.63826819574695</v>
      </c>
      <c r="I35" s="182">
        <f t="shared" si="13"/>
        <v>568.1633563834348</v>
      </c>
      <c r="J35" s="182">
        <f t="shared" si="13"/>
        <v>624.44244028574258</v>
      </c>
      <c r="K35" s="182">
        <f t="shared" si="13"/>
        <v>683.38426181414616</v>
      </c>
      <c r="L35" s="182">
        <f t="shared" si="13"/>
        <v>739.48301953530279</v>
      </c>
      <c r="M35" s="182">
        <f t="shared" si="13"/>
        <v>792.03661876458375</v>
      </c>
      <c r="N35" s="182">
        <f t="shared" si="13"/>
        <v>851.45988460949343</v>
      </c>
      <c r="O35" s="182">
        <f t="shared" si="13"/>
        <v>914.02467476525055</v>
      </c>
      <c r="P35" s="182">
        <f t="shared" si="13"/>
        <v>916.03183852167831</v>
      </c>
      <c r="Q35" s="182">
        <f t="shared" si="13"/>
        <v>869.21352847727371</v>
      </c>
      <c r="R35" s="182">
        <f t="shared" si="13"/>
        <v>816.08493270806571</v>
      </c>
      <c r="S35" s="182">
        <f t="shared" si="13"/>
        <v>763.47867299407221</v>
      </c>
      <c r="T35" s="182">
        <f t="shared" si="13"/>
        <v>692.39174021003612</v>
      </c>
      <c r="U35" s="183">
        <f t="shared" si="13"/>
        <v>622.10113826272016</v>
      </c>
    </row>
    <row r="36" spans="2:21" s="34" customFormat="1" ht="3.65" customHeight="1" x14ac:dyDescent="0.35">
      <c r="B36" s="86"/>
      <c r="C36" s="186"/>
      <c r="D36" s="186"/>
      <c r="E36" s="186"/>
      <c r="F36" s="186"/>
      <c r="G36" s="186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3"/>
    </row>
    <row r="37" spans="2:21" s="34" customFormat="1" ht="12" customHeight="1" x14ac:dyDescent="0.35">
      <c r="B37" s="86" t="s">
        <v>88</v>
      </c>
      <c r="C37" s="189">
        <f t="shared" ref="C37:U37" si="14">C35+C30+C34</f>
        <v>0</v>
      </c>
      <c r="D37" s="189">
        <f t="shared" si="14"/>
        <v>0</v>
      </c>
      <c r="E37" s="189">
        <f t="shared" si="14"/>
        <v>0</v>
      </c>
      <c r="F37" s="189">
        <f t="shared" si="14"/>
        <v>0</v>
      </c>
      <c r="G37" s="189">
        <f t="shared" si="14"/>
        <v>1117.7527747239701</v>
      </c>
      <c r="H37" s="190">
        <f t="shared" si="14"/>
        <v>1183.6382681957471</v>
      </c>
      <c r="I37" s="190">
        <f t="shared" si="14"/>
        <v>1248.1633563834348</v>
      </c>
      <c r="J37" s="190">
        <f t="shared" si="14"/>
        <v>1304.4424402857426</v>
      </c>
      <c r="K37" s="190">
        <f t="shared" si="14"/>
        <v>1363.3842618141462</v>
      </c>
      <c r="L37" s="190">
        <f t="shared" si="14"/>
        <v>1419.4830195353029</v>
      </c>
      <c r="M37" s="190">
        <f t="shared" si="14"/>
        <v>1472.0366187645836</v>
      </c>
      <c r="N37" s="190">
        <f t="shared" si="14"/>
        <v>1521.4598846094934</v>
      </c>
      <c r="O37" s="190">
        <f t="shared" si="14"/>
        <v>1554.0246747652504</v>
      </c>
      <c r="P37" s="190">
        <f t="shared" si="14"/>
        <v>1526.0318385216783</v>
      </c>
      <c r="Q37" s="190">
        <f t="shared" si="14"/>
        <v>1459.2135284772737</v>
      </c>
      <c r="R37" s="190">
        <f t="shared" si="14"/>
        <v>1386.0849327080657</v>
      </c>
      <c r="S37" s="190">
        <f t="shared" si="14"/>
        <v>1313.4786729940722</v>
      </c>
      <c r="T37" s="190">
        <f t="shared" si="14"/>
        <v>1232.391740210036</v>
      </c>
      <c r="U37" s="191">
        <f t="shared" si="14"/>
        <v>1152.1011382627203</v>
      </c>
    </row>
    <row r="38" spans="2:21" s="34" customFormat="1" ht="12" customHeight="1" x14ac:dyDescent="0.35">
      <c r="B38" s="86" t="s">
        <v>266</v>
      </c>
      <c r="C38" s="398">
        <v>0</v>
      </c>
      <c r="D38" s="398">
        <v>0</v>
      </c>
      <c r="E38" s="398">
        <v>0</v>
      </c>
      <c r="F38" s="398">
        <v>0</v>
      </c>
      <c r="G38" s="398">
        <f>+G31+G30+G29+G28</f>
        <v>2378.5093244119148</v>
      </c>
      <c r="H38" s="398">
        <f t="shared" ref="H38:U38" si="15">+H31+H30+H29+H28</f>
        <v>2328.7775453207428</v>
      </c>
      <c r="I38" s="398">
        <f t="shared" si="15"/>
        <v>2276.2149305038943</v>
      </c>
      <c r="J38" s="398">
        <f t="shared" si="15"/>
        <v>2220.7180455954817</v>
      </c>
      <c r="K38" s="398">
        <f t="shared" si="15"/>
        <v>2162.179963286876</v>
      </c>
      <c r="L38" s="398">
        <f t="shared" si="15"/>
        <v>2100.4901464465524</v>
      </c>
      <c r="M38" s="398">
        <f t="shared" si="15"/>
        <v>2035.5343272849086</v>
      </c>
      <c r="N38" s="398">
        <f t="shared" si="15"/>
        <v>1967.1943824277951</v>
      </c>
      <c r="O38" s="398">
        <f t="shared" si="15"/>
        <v>1895.3482037577369</v>
      </c>
      <c r="P38" s="398">
        <f t="shared" si="15"/>
        <v>1819.8695648768544</v>
      </c>
      <c r="Q38" s="398">
        <f t="shared" si="15"/>
        <v>1740.6279830403464</v>
      </c>
      <c r="R38" s="398">
        <f t="shared" si="15"/>
        <v>1657.488576404081</v>
      </c>
      <c r="S38" s="398">
        <f t="shared" si="15"/>
        <v>1570.3119164243435</v>
      </c>
      <c r="T38" s="398">
        <f t="shared" si="15"/>
        <v>1478.9538752420622</v>
      </c>
      <c r="U38" s="191">
        <f t="shared" si="15"/>
        <v>1383.2654678779154</v>
      </c>
    </row>
    <row r="39" spans="2:21" s="34" customFormat="1" ht="5.75" customHeight="1" x14ac:dyDescent="0.35">
      <c r="B39" s="86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51"/>
    </row>
    <row r="40" spans="2:21" s="34" customFormat="1" ht="12" customHeight="1" x14ac:dyDescent="0.35">
      <c r="B40" s="399" t="s">
        <v>264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397"/>
    </row>
    <row r="41" spans="2:21" s="34" customFormat="1" ht="12" customHeight="1" x14ac:dyDescent="0.35">
      <c r="B41" s="461" t="s">
        <v>265</v>
      </c>
      <c r="C41" s="462"/>
      <c r="D41" s="463">
        <f>D61/D62</f>
        <v>0.69942196531791923</v>
      </c>
      <c r="E41" s="463">
        <f>E61/E62</f>
        <v>0.70044543429844108</v>
      </c>
      <c r="F41" s="463">
        <f>F61/F62</f>
        <v>0.69390508114295069</v>
      </c>
      <c r="G41" s="463">
        <f>G61/G62</f>
        <v>0.67066099283082592</v>
      </c>
      <c r="H41" s="463">
        <f t="shared" ref="H41:U41" si="16">H61/H62</f>
        <v>0.62064584897211128</v>
      </c>
      <c r="I41" s="463">
        <f t="shared" si="16"/>
        <v>0.56346231004901703</v>
      </c>
      <c r="J41" s="463">
        <f t="shared" si="16"/>
        <v>0.49898766065431055</v>
      </c>
      <c r="K41" s="463">
        <f t="shared" si="16"/>
        <v>0.42679015390571057</v>
      </c>
      <c r="L41" s="463">
        <f t="shared" si="16"/>
        <v>0.34800928803013681</v>
      </c>
      <c r="M41" s="463">
        <f t="shared" si="16"/>
        <v>0.26270067597592411</v>
      </c>
      <c r="N41" s="463">
        <f t="shared" si="16"/>
        <v>0.1714739957187072</v>
      </c>
      <c r="O41" s="463">
        <f t="shared" si="16"/>
        <v>9.8123083900575794E-2</v>
      </c>
      <c r="P41" s="463">
        <f t="shared" si="16"/>
        <v>9.2433295877465529E-2</v>
      </c>
      <c r="Q41" s="463">
        <f t="shared" si="16"/>
        <v>8.7914085012351109E-2</v>
      </c>
      <c r="R41" s="463">
        <f t="shared" si="16"/>
        <v>8.424568129962548E-2</v>
      </c>
      <c r="S41" s="463">
        <f t="shared" si="16"/>
        <v>8.1970358487617564E-2</v>
      </c>
      <c r="T41" s="463">
        <f t="shared" si="16"/>
        <v>7.9646860395657465E-2</v>
      </c>
      <c r="U41" s="464">
        <f t="shared" si="16"/>
        <v>7.7856775409795256E-2</v>
      </c>
    </row>
    <row r="42" spans="2:21" s="34" customFormat="1" ht="12" customHeight="1" x14ac:dyDescent="0.35">
      <c r="B42" s="336" t="s">
        <v>267</v>
      </c>
      <c r="C42" s="90"/>
      <c r="D42" s="398">
        <v>0</v>
      </c>
      <c r="E42" s="398">
        <v>0</v>
      </c>
      <c r="F42" s="398">
        <v>0</v>
      </c>
      <c r="G42" s="176">
        <f>G61/G38</f>
        <v>3.9027712368009913</v>
      </c>
      <c r="H42" s="176">
        <f t="shared" ref="H42:U42" si="17">H61/H38</f>
        <v>3.5276018598283705</v>
      </c>
      <c r="I42" s="176">
        <f t="shared" si="17"/>
        <v>3.1443525505026897</v>
      </c>
      <c r="J42" s="176">
        <f t="shared" si="17"/>
        <v>2.7466091233607681</v>
      </c>
      <c r="K42" s="176">
        <f t="shared" si="17"/>
        <v>2.3271266740524639</v>
      </c>
      <c r="L42" s="176">
        <f t="shared" si="17"/>
        <v>1.8918864702182046</v>
      </c>
      <c r="M42" s="176">
        <f t="shared" si="17"/>
        <v>1.4326022764748731</v>
      </c>
      <c r="N42" s="176">
        <f t="shared" si="17"/>
        <v>0.94466177309833843</v>
      </c>
      <c r="O42" s="176">
        <f t="shared" si="17"/>
        <v>0.56454006597764206</v>
      </c>
      <c r="P42" s="176">
        <f t="shared" si="17"/>
        <v>0.598944023811814</v>
      </c>
      <c r="Q42" s="176">
        <f t="shared" si="17"/>
        <v>0.63770088198925001</v>
      </c>
      <c r="R42" s="176">
        <f t="shared" si="17"/>
        <v>0.68175432162044314</v>
      </c>
      <c r="S42" s="176">
        <f t="shared" si="17"/>
        <v>0.73870674218747556</v>
      </c>
      <c r="T42" s="176">
        <f t="shared" si="17"/>
        <v>0.79786125838905297</v>
      </c>
      <c r="U42" s="402">
        <f t="shared" si="17"/>
        <v>0.86751243912777853</v>
      </c>
    </row>
    <row r="43" spans="2:21" s="34" customFormat="1" ht="12" customHeight="1" x14ac:dyDescent="0.35">
      <c r="B43" s="461" t="s">
        <v>270</v>
      </c>
      <c r="C43" s="465"/>
      <c r="D43" s="466">
        <v>0</v>
      </c>
      <c r="E43" s="466">
        <v>0</v>
      </c>
      <c r="F43" s="466">
        <v>0</v>
      </c>
      <c r="G43" s="467">
        <f t="shared" ref="G43:U43" si="18">(G35+G28+G29+G30)/(G28+G29-G87)</f>
        <v>1.0177164468378881</v>
      </c>
      <c r="H43" s="467">
        <f t="shared" si="18"/>
        <v>1.0497547843082449</v>
      </c>
      <c r="I43" s="467">
        <f t="shared" si="18"/>
        <v>1.0851880566330154</v>
      </c>
      <c r="J43" s="467">
        <f t="shared" si="18"/>
        <v>1.1210054193451224</v>
      </c>
      <c r="K43" s="467">
        <f t="shared" si="18"/>
        <v>1.1636109145509657</v>
      </c>
      <c r="L43" s="467">
        <f t="shared" si="18"/>
        <v>1.2111753880256624</v>
      </c>
      <c r="M43" s="467">
        <f t="shared" si="18"/>
        <v>1.2643942572523772</v>
      </c>
      <c r="N43" s="467">
        <f t="shared" si="18"/>
        <v>1.3325519181545697</v>
      </c>
      <c r="O43" s="468">
        <f t="shared" si="18"/>
        <v>1.7984397629808444</v>
      </c>
      <c r="P43" s="468">
        <f t="shared" si="18"/>
        <v>13.315060482420378</v>
      </c>
      <c r="Q43" s="468">
        <f t="shared" si="18"/>
        <v>12.736466124827851</v>
      </c>
      <c r="R43" s="468">
        <f t="shared" si="18"/>
        <v>12.131584320744556</v>
      </c>
      <c r="S43" s="468">
        <f t="shared" si="18"/>
        <v>11.505667197919029</v>
      </c>
      <c r="T43" s="468">
        <f t="shared" si="18"/>
        <v>10.774869944515942</v>
      </c>
      <c r="U43" s="469">
        <f t="shared" si="18"/>
        <v>10.118355309963043</v>
      </c>
    </row>
    <row r="44" spans="2:21" s="34" customFormat="1" ht="12" customHeight="1" x14ac:dyDescent="0.35">
      <c r="B44" s="336" t="s">
        <v>271</v>
      </c>
      <c r="C44" s="173"/>
      <c r="D44" s="398">
        <v>0</v>
      </c>
      <c r="E44" s="398">
        <v>0</v>
      </c>
      <c r="F44" s="398">
        <v>0</v>
      </c>
      <c r="G44" s="176">
        <f t="shared" ref="G44:U44" si="19">G83/(G28+G29-G87)</f>
        <v>0.53920923724205616</v>
      </c>
      <c r="H44" s="176">
        <f t="shared" si="19"/>
        <v>1.0456623703187948</v>
      </c>
      <c r="I44" s="176">
        <f t="shared" si="19"/>
        <v>1.0721279793593341</v>
      </c>
      <c r="J44" s="176">
        <f t="shared" si="19"/>
        <v>1.1117087022984899</v>
      </c>
      <c r="K44" s="176">
        <f t="shared" si="19"/>
        <v>1.1536349977292659</v>
      </c>
      <c r="L44" s="176">
        <f t="shared" si="19"/>
        <v>1.1950321173394343</v>
      </c>
      <c r="M44" s="176">
        <f t="shared" si="19"/>
        <v>1.2527159690981688</v>
      </c>
      <c r="N44" s="176">
        <f t="shared" si="19"/>
        <v>1.306074547611368</v>
      </c>
      <c r="O44" s="176">
        <f t="shared" si="19"/>
        <v>1.7312452854898448</v>
      </c>
      <c r="P44" s="176">
        <f t="shared" si="19"/>
        <v>12.640566626108338</v>
      </c>
      <c r="Q44" s="176">
        <f t="shared" si="19"/>
        <v>11.856756990986485</v>
      </c>
      <c r="R44" s="176">
        <f t="shared" si="19"/>
        <v>11.118774754769403</v>
      </c>
      <c r="S44" s="176">
        <f t="shared" si="19"/>
        <v>10.369410970356727</v>
      </c>
      <c r="T44" s="176">
        <f t="shared" si="19"/>
        <v>9.5916676249499844</v>
      </c>
      <c r="U44" s="402">
        <f t="shared" si="19"/>
        <v>8.885010732462618</v>
      </c>
    </row>
    <row r="45" spans="2:21" s="34" customFormat="1" ht="12" customHeight="1" x14ac:dyDescent="0.35">
      <c r="B45" s="461" t="s">
        <v>326</v>
      </c>
      <c r="C45" s="465"/>
      <c r="D45" s="466">
        <v>0</v>
      </c>
      <c r="E45" s="466">
        <v>0</v>
      </c>
      <c r="F45" s="466">
        <v>0</v>
      </c>
      <c r="G45" s="468">
        <f t="shared" ref="G45:U45" si="20">G26/(G28+G29)</f>
        <v>2.0180802005870651</v>
      </c>
      <c r="H45" s="468">
        <f t="shared" si="20"/>
        <v>2.2181650482481037</v>
      </c>
      <c r="I45" s="468">
        <f t="shared" si="20"/>
        <v>2.467887528554999</v>
      </c>
      <c r="J45" s="468">
        <f t="shared" si="20"/>
        <v>2.7919512768361603</v>
      </c>
      <c r="K45" s="468">
        <f t="shared" si="20"/>
        <v>3.2374425483432967</v>
      </c>
      <c r="L45" s="468">
        <f t="shared" si="20"/>
        <v>3.8873969397530277</v>
      </c>
      <c r="M45" s="468">
        <f t="shared" si="20"/>
        <v>4.9238856489717211</v>
      </c>
      <c r="N45" s="468">
        <f t="shared" si="20"/>
        <v>6.8670969831084356</v>
      </c>
      <c r="O45" s="468">
        <f t="shared" si="20"/>
        <v>10.787411518256912</v>
      </c>
      <c r="P45" s="468">
        <f t="shared" si="20"/>
        <v>14.042203432691803</v>
      </c>
      <c r="Q45" s="468">
        <f t="shared" si="20"/>
        <v>13.186575629093555</v>
      </c>
      <c r="R45" s="468">
        <f t="shared" si="20"/>
        <v>12.332504288720861</v>
      </c>
      <c r="S45" s="468">
        <f t="shared" si="20"/>
        <v>11.42876212827035</v>
      </c>
      <c r="T45" s="468">
        <f t="shared" si="20"/>
        <v>10.533859510271114</v>
      </c>
      <c r="U45" s="469">
        <f t="shared" si="20"/>
        <v>9.6867329683327572</v>
      </c>
    </row>
    <row r="46" spans="2:21" s="34" customFormat="1" ht="12" customHeight="1" thickBot="1" x14ac:dyDescent="0.4">
      <c r="B46" s="54" t="s">
        <v>269</v>
      </c>
      <c r="C46" s="175"/>
      <c r="D46" s="175">
        <v>0</v>
      </c>
      <c r="E46" s="175">
        <v>0</v>
      </c>
      <c r="F46" s="175">
        <v>0</v>
      </c>
      <c r="G46" s="177">
        <f t="shared" ref="G46:U46" si="21">G83/(G28+G29)</f>
        <v>1.0322923302948255</v>
      </c>
      <c r="H46" s="177">
        <f t="shared" si="21"/>
        <v>2.1191240789053154</v>
      </c>
      <c r="I46" s="177">
        <f t="shared" si="21"/>
        <v>2.3249458807911543</v>
      </c>
      <c r="J46" s="177">
        <f t="shared" si="21"/>
        <v>2.6180890577164981</v>
      </c>
      <c r="K46" s="177">
        <f t="shared" si="21"/>
        <v>3.0153271980975838</v>
      </c>
      <c r="L46" s="177">
        <f t="shared" si="21"/>
        <v>3.5787071200522695</v>
      </c>
      <c r="M46" s="177">
        <f t="shared" si="21"/>
        <v>4.5186797653278763</v>
      </c>
      <c r="N46" s="177">
        <f t="shared" si="21"/>
        <v>6.2199381391986304</v>
      </c>
      <c r="O46" s="177">
        <f t="shared" si="21"/>
        <v>9.6960903192839645</v>
      </c>
      <c r="P46" s="177">
        <f t="shared" si="21"/>
        <v>12.640566626108338</v>
      </c>
      <c r="Q46" s="177">
        <f t="shared" si="21"/>
        <v>11.856756990986485</v>
      </c>
      <c r="R46" s="177">
        <f t="shared" si="21"/>
        <v>11.118774754769403</v>
      </c>
      <c r="S46" s="177">
        <f t="shared" si="21"/>
        <v>10.369410970356727</v>
      </c>
      <c r="T46" s="177">
        <f t="shared" si="21"/>
        <v>9.5916676249499844</v>
      </c>
      <c r="U46" s="403">
        <f t="shared" si="21"/>
        <v>8.885010732462618</v>
      </c>
    </row>
    <row r="47" spans="2:21" s="34" customFormat="1" x14ac:dyDescent="0.35">
      <c r="B47" s="34" t="s">
        <v>325</v>
      </c>
      <c r="D47" s="309"/>
      <c r="G47" s="489">
        <f>G67/G61</f>
        <v>1.3864384463462802</v>
      </c>
      <c r="H47" s="489">
        <f t="shared" ref="H47:R47" si="22">H67/H61</f>
        <v>1.4838709677419355</v>
      </c>
      <c r="I47" s="489">
        <f t="shared" si="22"/>
        <v>1.6081657998913295</v>
      </c>
      <c r="J47" s="489">
        <f t="shared" si="22"/>
        <v>1.7755715456781127</v>
      </c>
      <c r="K47" s="489">
        <f t="shared" si="22"/>
        <v>2.0172242464392185</v>
      </c>
      <c r="L47" s="489">
        <f t="shared" si="22"/>
        <v>2.383056060394241</v>
      </c>
      <c r="M47" s="489">
        <f t="shared" si="22"/>
        <v>3.0142884358925528</v>
      </c>
      <c r="N47" s="489">
        <f t="shared" si="22"/>
        <v>4.3641255605381204</v>
      </c>
      <c r="O47" s="489">
        <f t="shared" si="22"/>
        <v>6.9439252336448716</v>
      </c>
      <c r="P47" s="489">
        <f t="shared" si="22"/>
        <v>6.1926605504587258</v>
      </c>
      <c r="Q47" s="489">
        <f t="shared" si="22"/>
        <v>5.468468468468477</v>
      </c>
      <c r="R47" s="489">
        <f t="shared" si="22"/>
        <v>4.7699115044247868</v>
      </c>
      <c r="S47" s="277"/>
      <c r="T47" s="277"/>
      <c r="U47" s="277"/>
    </row>
    <row r="48" spans="2:21" ht="15" thickBot="1" x14ac:dyDescent="0.4">
      <c r="G48" s="408"/>
      <c r="H48" s="408"/>
    </row>
    <row r="49" spans="2:21" ht="16" thickBot="1" x14ac:dyDescent="0.4">
      <c r="B49" s="299" t="s">
        <v>106</v>
      </c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1"/>
    </row>
    <row r="50" spans="2:21" ht="16" thickBot="1" x14ac:dyDescent="0.4">
      <c r="B50" s="306" t="s">
        <v>110</v>
      </c>
      <c r="C50" s="2">
        <v>2009</v>
      </c>
      <c r="D50" s="2">
        <v>2010</v>
      </c>
      <c r="E50" s="2">
        <v>2011</v>
      </c>
      <c r="F50" s="2">
        <v>2012</v>
      </c>
      <c r="G50" s="2">
        <v>2013</v>
      </c>
      <c r="H50" s="2">
        <v>2014</v>
      </c>
      <c r="I50" s="2">
        <v>2015</v>
      </c>
      <c r="J50" s="2">
        <v>2016</v>
      </c>
      <c r="K50" s="2">
        <v>2017</v>
      </c>
      <c r="L50" s="2">
        <v>2018</v>
      </c>
      <c r="M50" s="2">
        <v>2019</v>
      </c>
      <c r="N50" s="2">
        <v>2020</v>
      </c>
      <c r="O50" s="2">
        <v>2021</v>
      </c>
      <c r="P50" s="2">
        <v>2022</v>
      </c>
      <c r="Q50" s="2">
        <v>2023</v>
      </c>
      <c r="R50" s="2">
        <v>2024</v>
      </c>
      <c r="S50" s="2">
        <v>2025</v>
      </c>
      <c r="T50" s="2">
        <v>2026</v>
      </c>
      <c r="U50" s="3">
        <v>2027</v>
      </c>
    </row>
    <row r="51" spans="2:21" ht="15.5" x14ac:dyDescent="0.35">
      <c r="B51" s="305" t="s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2:21" ht="15.5" x14ac:dyDescent="0.35">
      <c r="B52" s="304" t="s">
        <v>107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 ht="15.5" x14ac:dyDescent="0.35">
      <c r="B53" s="313" t="s">
        <v>2</v>
      </c>
      <c r="C53" s="202">
        <v>0</v>
      </c>
      <c r="D53" s="407">
        <f>C53+D92+D91</f>
        <v>1082.4499999999998</v>
      </c>
      <c r="E53" s="407">
        <f>D53+E92+E91</f>
        <v>2740.9749999999995</v>
      </c>
      <c r="F53" s="202">
        <f t="shared" ref="F53:U53" si="23">E53+F92</f>
        <v>4210.9749999999995</v>
      </c>
      <c r="G53" s="202">
        <f t="shared" si="23"/>
        <v>4210.9749999999995</v>
      </c>
      <c r="H53" s="202">
        <f t="shared" si="23"/>
        <v>4210.9749999999995</v>
      </c>
      <c r="I53" s="202">
        <f t="shared" si="23"/>
        <v>4210.9749999999995</v>
      </c>
      <c r="J53" s="202">
        <f t="shared" si="23"/>
        <v>4210.9749999999995</v>
      </c>
      <c r="K53" s="202">
        <f t="shared" si="23"/>
        <v>4210.9749999999995</v>
      </c>
      <c r="L53" s="202">
        <f t="shared" si="23"/>
        <v>4210.9749999999995</v>
      </c>
      <c r="M53" s="202">
        <f t="shared" si="23"/>
        <v>4210.9749999999995</v>
      </c>
      <c r="N53" s="202">
        <f t="shared" si="23"/>
        <v>4210.9749999999995</v>
      </c>
      <c r="O53" s="202">
        <f t="shared" si="23"/>
        <v>4210.9749999999995</v>
      </c>
      <c r="P53" s="202">
        <f t="shared" si="23"/>
        <v>4210.9749999999995</v>
      </c>
      <c r="Q53" s="202">
        <f t="shared" si="23"/>
        <v>4210.9749999999995</v>
      </c>
      <c r="R53" s="202">
        <f t="shared" si="23"/>
        <v>4210.9749999999995</v>
      </c>
      <c r="S53" s="202">
        <f t="shared" si="23"/>
        <v>4210.9749999999995</v>
      </c>
      <c r="T53" s="202">
        <f t="shared" si="23"/>
        <v>4210.9749999999995</v>
      </c>
      <c r="U53" s="203">
        <f t="shared" si="23"/>
        <v>4210.9749999999995</v>
      </c>
    </row>
    <row r="54" spans="2:21" ht="15.5" x14ac:dyDescent="0.35">
      <c r="B54" s="313" t="s">
        <v>76</v>
      </c>
      <c r="C54" s="202">
        <v>0</v>
      </c>
      <c r="D54" s="202">
        <f t="shared" ref="D54:U54" si="24">D136</f>
        <v>-42.45000000000001</v>
      </c>
      <c r="E54" s="202">
        <f t="shared" si="24"/>
        <v>-50.975000000000009</v>
      </c>
      <c r="F54" s="202">
        <f t="shared" si="24"/>
        <v>-50.975000000000009</v>
      </c>
      <c r="G54" s="202">
        <f t="shared" si="24"/>
        <v>347.48426598653214</v>
      </c>
      <c r="H54" s="202">
        <f t="shared" si="24"/>
        <v>810.23694535555774</v>
      </c>
      <c r="I54" s="202">
        <f t="shared" si="24"/>
        <v>1334.0227747099548</v>
      </c>
      <c r="J54" s="202">
        <f t="shared" si="24"/>
        <v>1913.2183834857881</v>
      </c>
      <c r="K54" s="202">
        <f t="shared" si="24"/>
        <v>2546.914911947134</v>
      </c>
      <c r="L54" s="202">
        <f t="shared" si="24"/>
        <v>3234.0522882700334</v>
      </c>
      <c r="M54" s="202">
        <f t="shared" si="24"/>
        <v>3973.422482092375</v>
      </c>
      <c r="N54" s="202">
        <f t="shared" si="24"/>
        <v>4768.0978024740816</v>
      </c>
      <c r="O54" s="202">
        <f t="shared" si="24"/>
        <v>5623.696535641775</v>
      </c>
      <c r="P54" s="202">
        <f t="shared" si="24"/>
        <v>6491.3125047640851</v>
      </c>
      <c r="Q54" s="202">
        <f t="shared" si="24"/>
        <v>7304.9881757988924</v>
      </c>
      <c r="R54" s="202">
        <f t="shared" si="24"/>
        <v>8072.1754733290336</v>
      </c>
      <c r="S54" s="202">
        <f t="shared" si="24"/>
        <v>8780.4819583738954</v>
      </c>
      <c r="T54" s="202">
        <f t="shared" si="24"/>
        <v>9424.4238008839911</v>
      </c>
      <c r="U54" s="203">
        <f t="shared" si="24"/>
        <v>10001.941778069195</v>
      </c>
    </row>
    <row r="55" spans="2:21" ht="15.5" x14ac:dyDescent="0.35">
      <c r="B55" s="7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3"/>
    </row>
    <row r="56" spans="2:21" ht="15.5" x14ac:dyDescent="0.35">
      <c r="B56" s="7" t="s">
        <v>108</v>
      </c>
      <c r="C56" s="307">
        <v>0</v>
      </c>
      <c r="D56" s="307">
        <f t="shared" ref="D56:U56" si="25">D53+D54</f>
        <v>1039.9999999999998</v>
      </c>
      <c r="E56" s="307">
        <f t="shared" si="25"/>
        <v>2689.9999999999995</v>
      </c>
      <c r="F56" s="307">
        <f t="shared" si="25"/>
        <v>4159.9999999999991</v>
      </c>
      <c r="G56" s="307">
        <f t="shared" si="25"/>
        <v>4558.459265986532</v>
      </c>
      <c r="H56" s="307">
        <f t="shared" si="25"/>
        <v>5021.211945355557</v>
      </c>
      <c r="I56" s="307">
        <f t="shared" si="25"/>
        <v>5544.9977747099547</v>
      </c>
      <c r="J56" s="307">
        <f t="shared" si="25"/>
        <v>6124.1933834857873</v>
      </c>
      <c r="K56" s="307">
        <f t="shared" si="25"/>
        <v>6757.8899119471334</v>
      </c>
      <c r="L56" s="307">
        <f t="shared" si="25"/>
        <v>7445.0272882700328</v>
      </c>
      <c r="M56" s="307">
        <f t="shared" si="25"/>
        <v>8184.397482092374</v>
      </c>
      <c r="N56" s="307">
        <f t="shared" si="25"/>
        <v>8979.072802474082</v>
      </c>
      <c r="O56" s="307">
        <f t="shared" si="25"/>
        <v>9834.6715356417735</v>
      </c>
      <c r="P56" s="307">
        <f t="shared" si="25"/>
        <v>10702.287504764085</v>
      </c>
      <c r="Q56" s="307">
        <f t="shared" si="25"/>
        <v>11515.963175798892</v>
      </c>
      <c r="R56" s="307">
        <f t="shared" si="25"/>
        <v>12283.150473329033</v>
      </c>
      <c r="S56" s="307">
        <f t="shared" si="25"/>
        <v>12991.456958373896</v>
      </c>
      <c r="T56" s="307">
        <f t="shared" si="25"/>
        <v>13635.398800883991</v>
      </c>
      <c r="U56" s="308">
        <f t="shared" si="25"/>
        <v>14212.916778069193</v>
      </c>
    </row>
    <row r="57" spans="2:21" ht="15.5" x14ac:dyDescent="0.35">
      <c r="B57" s="7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3"/>
    </row>
    <row r="58" spans="2:21" ht="15.5" x14ac:dyDescent="0.35">
      <c r="B58" s="304" t="s">
        <v>3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3"/>
    </row>
    <row r="59" spans="2:21" ht="15.5" x14ac:dyDescent="0.35">
      <c r="B59" s="7" t="s">
        <v>77</v>
      </c>
      <c r="C59" s="202">
        <v>0</v>
      </c>
      <c r="D59" s="202">
        <f t="shared" ref="D59:U59" si="26">C59+D86+D87</f>
        <v>2420.0000000000005</v>
      </c>
      <c r="E59" s="202">
        <f t="shared" si="26"/>
        <v>6290.0000000000018</v>
      </c>
      <c r="F59" s="202">
        <f t="shared" si="26"/>
        <v>9430.5555555555566</v>
      </c>
      <c r="G59" s="202">
        <f t="shared" si="26"/>
        <v>8352.7777777777792</v>
      </c>
      <c r="H59" s="202">
        <f t="shared" si="26"/>
        <v>7275.0000000000009</v>
      </c>
      <c r="I59" s="202">
        <f t="shared" si="26"/>
        <v>6197.2222222222226</v>
      </c>
      <c r="J59" s="202">
        <f t="shared" si="26"/>
        <v>5119.4444444444443</v>
      </c>
      <c r="K59" s="202">
        <f t="shared" si="26"/>
        <v>4041.6666666666661</v>
      </c>
      <c r="L59" s="202">
        <f t="shared" si="26"/>
        <v>2963.8888888888878</v>
      </c>
      <c r="M59" s="202">
        <f t="shared" si="26"/>
        <v>1886.1111111111097</v>
      </c>
      <c r="N59" s="202">
        <f t="shared" si="26"/>
        <v>808.33333333333167</v>
      </c>
      <c r="O59" s="202">
        <f t="shared" si="26"/>
        <v>-1.8189894035458565E-12</v>
      </c>
      <c r="P59" s="202">
        <f t="shared" si="26"/>
        <v>-1.8189894035458565E-12</v>
      </c>
      <c r="Q59" s="202">
        <f t="shared" si="26"/>
        <v>-1.8189894035458565E-12</v>
      </c>
      <c r="R59" s="202">
        <f t="shared" si="26"/>
        <v>-1.8189894035458565E-12</v>
      </c>
      <c r="S59" s="202">
        <f t="shared" si="26"/>
        <v>-1.8189894035458565E-12</v>
      </c>
      <c r="T59" s="202">
        <f t="shared" si="26"/>
        <v>-1.8189894035458565E-12</v>
      </c>
      <c r="U59" s="203">
        <f t="shared" si="26"/>
        <v>-1.8189894035458565E-12</v>
      </c>
    </row>
    <row r="60" spans="2:21" ht="15.5" x14ac:dyDescent="0.35">
      <c r="B60" s="7" t="s">
        <v>78</v>
      </c>
      <c r="C60" s="202">
        <v>0</v>
      </c>
      <c r="D60" s="202">
        <f>C60+D88</f>
        <v>0</v>
      </c>
      <c r="E60" s="202">
        <f>D60+E88</f>
        <v>0</v>
      </c>
      <c r="F60" s="202">
        <f t="shared" ref="F60:U60" si="27">E60+F88+F89</f>
        <v>0</v>
      </c>
      <c r="G60" s="202">
        <f t="shared" si="27"/>
        <v>930</v>
      </c>
      <c r="H60" s="202">
        <f t="shared" si="27"/>
        <v>940</v>
      </c>
      <c r="I60" s="202">
        <f t="shared" si="27"/>
        <v>960</v>
      </c>
      <c r="J60" s="202">
        <f t="shared" si="27"/>
        <v>980</v>
      </c>
      <c r="K60" s="202">
        <f t="shared" si="27"/>
        <v>990</v>
      </c>
      <c r="L60" s="202">
        <f t="shared" si="27"/>
        <v>1010</v>
      </c>
      <c r="M60" s="202">
        <f t="shared" si="27"/>
        <v>1030</v>
      </c>
      <c r="N60" s="202">
        <f t="shared" si="27"/>
        <v>1050</v>
      </c>
      <c r="O60" s="202">
        <f t="shared" si="27"/>
        <v>1070</v>
      </c>
      <c r="P60" s="202">
        <f t="shared" si="27"/>
        <v>1090</v>
      </c>
      <c r="Q60" s="202">
        <f t="shared" si="27"/>
        <v>1110</v>
      </c>
      <c r="R60" s="202">
        <f t="shared" si="27"/>
        <v>1130</v>
      </c>
      <c r="S60" s="202">
        <f t="shared" si="27"/>
        <v>1160</v>
      </c>
      <c r="T60" s="202">
        <f t="shared" si="27"/>
        <v>1180</v>
      </c>
      <c r="U60" s="203">
        <f t="shared" si="27"/>
        <v>1200</v>
      </c>
    </row>
    <row r="61" spans="2:21" ht="15.5" x14ac:dyDescent="0.35">
      <c r="B61" s="7" t="s">
        <v>4</v>
      </c>
      <c r="C61" s="307">
        <v>0</v>
      </c>
      <c r="D61" s="307">
        <f t="shared" ref="D61:U61" si="28">D59+D60</f>
        <v>2420.0000000000005</v>
      </c>
      <c r="E61" s="307">
        <f t="shared" si="28"/>
        <v>6290.0000000000018</v>
      </c>
      <c r="F61" s="307">
        <f t="shared" si="28"/>
        <v>9430.5555555555566</v>
      </c>
      <c r="G61" s="307">
        <f t="shared" si="28"/>
        <v>9282.7777777777792</v>
      </c>
      <c r="H61" s="307">
        <f t="shared" si="28"/>
        <v>8215</v>
      </c>
      <c r="I61" s="307">
        <f t="shared" si="28"/>
        <v>7157.2222222222226</v>
      </c>
      <c r="J61" s="307">
        <f t="shared" si="28"/>
        <v>6099.4444444444443</v>
      </c>
      <c r="K61" s="307">
        <f t="shared" si="28"/>
        <v>5031.6666666666661</v>
      </c>
      <c r="L61" s="307">
        <f t="shared" si="28"/>
        <v>3973.8888888888878</v>
      </c>
      <c r="M61" s="307">
        <f t="shared" si="28"/>
        <v>2916.1111111111095</v>
      </c>
      <c r="N61" s="307">
        <f t="shared" si="28"/>
        <v>1858.3333333333317</v>
      </c>
      <c r="O61" s="307">
        <f t="shared" si="28"/>
        <v>1069.9999999999982</v>
      </c>
      <c r="P61" s="307">
        <f t="shared" si="28"/>
        <v>1089.9999999999982</v>
      </c>
      <c r="Q61" s="307">
        <f t="shared" si="28"/>
        <v>1109.9999999999982</v>
      </c>
      <c r="R61" s="307">
        <f t="shared" si="28"/>
        <v>1129.9999999999982</v>
      </c>
      <c r="S61" s="307">
        <f t="shared" si="28"/>
        <v>1159.9999999999982</v>
      </c>
      <c r="T61" s="307">
        <f t="shared" si="28"/>
        <v>1179.9999999999982</v>
      </c>
      <c r="U61" s="308">
        <f t="shared" si="28"/>
        <v>1199.9999999999982</v>
      </c>
    </row>
    <row r="62" spans="2:21" ht="15.5" x14ac:dyDescent="0.35">
      <c r="B62" s="7" t="s">
        <v>5</v>
      </c>
      <c r="C62" s="307">
        <v>0</v>
      </c>
      <c r="D62" s="307">
        <f t="shared" ref="D62:U62" si="29">D56+D61</f>
        <v>3460</v>
      </c>
      <c r="E62" s="307">
        <f t="shared" si="29"/>
        <v>8980.0000000000018</v>
      </c>
      <c r="F62" s="307">
        <f t="shared" si="29"/>
        <v>13590.555555555555</v>
      </c>
      <c r="G62" s="307">
        <f t="shared" si="29"/>
        <v>13841.237043764311</v>
      </c>
      <c r="H62" s="307">
        <f t="shared" si="29"/>
        <v>13236.211945355557</v>
      </c>
      <c r="I62" s="307">
        <f t="shared" si="29"/>
        <v>12702.219996932177</v>
      </c>
      <c r="J62" s="307">
        <f t="shared" si="29"/>
        <v>12223.637827930232</v>
      </c>
      <c r="K62" s="307">
        <f t="shared" si="29"/>
        <v>11789.5565786138</v>
      </c>
      <c r="L62" s="307">
        <f t="shared" si="29"/>
        <v>11418.916177158921</v>
      </c>
      <c r="M62" s="307">
        <f t="shared" si="29"/>
        <v>11100.508593203484</v>
      </c>
      <c r="N62" s="307">
        <f t="shared" si="29"/>
        <v>10837.406135807414</v>
      </c>
      <c r="O62" s="307">
        <f t="shared" si="29"/>
        <v>10904.671535641772</v>
      </c>
      <c r="P62" s="307">
        <f t="shared" si="29"/>
        <v>11792.287504764083</v>
      </c>
      <c r="Q62" s="307">
        <f t="shared" si="29"/>
        <v>12625.96317579889</v>
      </c>
      <c r="R62" s="307">
        <f t="shared" si="29"/>
        <v>13413.150473329031</v>
      </c>
      <c r="S62" s="307">
        <f t="shared" si="29"/>
        <v>14151.456958373894</v>
      </c>
      <c r="T62" s="307">
        <f t="shared" si="29"/>
        <v>14815.39880088399</v>
      </c>
      <c r="U62" s="308">
        <f t="shared" si="29"/>
        <v>15412.916778069191</v>
      </c>
    </row>
    <row r="63" spans="2:21" ht="15.5" x14ac:dyDescent="0.35">
      <c r="B63" s="7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3"/>
    </row>
    <row r="64" spans="2:21" ht="15.5" x14ac:dyDescent="0.35">
      <c r="B64" s="304" t="s">
        <v>6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3"/>
    </row>
    <row r="65" spans="2:26" ht="15.5" x14ac:dyDescent="0.35">
      <c r="B65" s="7" t="s">
        <v>197</v>
      </c>
      <c r="C65" s="202">
        <v>0</v>
      </c>
      <c r="D65" s="202">
        <v>3460</v>
      </c>
      <c r="E65" s="202">
        <v>8980</v>
      </c>
      <c r="F65" s="202">
        <v>13550</v>
      </c>
      <c r="G65" s="202">
        <v>13550</v>
      </c>
      <c r="H65" s="202">
        <v>13550</v>
      </c>
      <c r="I65" s="202">
        <v>13550</v>
      </c>
      <c r="J65" s="202">
        <v>13550</v>
      </c>
      <c r="K65" s="202">
        <v>13550</v>
      </c>
      <c r="L65" s="202">
        <v>13550</v>
      </c>
      <c r="M65" s="202">
        <v>13550</v>
      </c>
      <c r="N65" s="202">
        <v>13550</v>
      </c>
      <c r="O65" s="202">
        <v>13550</v>
      </c>
      <c r="P65" s="202">
        <v>13550</v>
      </c>
      <c r="Q65" s="202">
        <v>13550</v>
      </c>
      <c r="R65" s="202">
        <v>13550</v>
      </c>
      <c r="S65" s="202">
        <v>13550</v>
      </c>
      <c r="T65" s="202">
        <v>13550</v>
      </c>
      <c r="U65" s="203">
        <v>13550</v>
      </c>
    </row>
    <row r="66" spans="2:26" ht="15.5" x14ac:dyDescent="0.35">
      <c r="B66" s="7" t="s">
        <v>7</v>
      </c>
      <c r="C66" s="202">
        <v>0</v>
      </c>
      <c r="D66" s="202">
        <f>D30</f>
        <v>0</v>
      </c>
      <c r="E66" s="202">
        <f t="shared" ref="E66:U66" si="30">D66+E30</f>
        <v>0</v>
      </c>
      <c r="F66" s="202">
        <f t="shared" si="30"/>
        <v>0</v>
      </c>
      <c r="G66" s="202">
        <f t="shared" si="30"/>
        <v>680</v>
      </c>
      <c r="H66" s="202">
        <f t="shared" si="30"/>
        <v>1360</v>
      </c>
      <c r="I66" s="202">
        <f t="shared" si="30"/>
        <v>2040</v>
      </c>
      <c r="J66" s="202">
        <f t="shared" si="30"/>
        <v>2720</v>
      </c>
      <c r="K66" s="202">
        <f t="shared" si="30"/>
        <v>3400</v>
      </c>
      <c r="L66" s="202">
        <f t="shared" si="30"/>
        <v>4080</v>
      </c>
      <c r="M66" s="202">
        <f t="shared" si="30"/>
        <v>4760</v>
      </c>
      <c r="N66" s="202">
        <f t="shared" si="30"/>
        <v>5440</v>
      </c>
      <c r="O66" s="202">
        <f t="shared" si="30"/>
        <v>6120</v>
      </c>
      <c r="P66" s="202">
        <f t="shared" si="30"/>
        <v>6800</v>
      </c>
      <c r="Q66" s="202">
        <f t="shared" si="30"/>
        <v>7480</v>
      </c>
      <c r="R66" s="202">
        <f t="shared" si="30"/>
        <v>8160</v>
      </c>
      <c r="S66" s="202">
        <f t="shared" si="30"/>
        <v>8840</v>
      </c>
      <c r="T66" s="202">
        <f t="shared" si="30"/>
        <v>9520</v>
      </c>
      <c r="U66" s="203">
        <f t="shared" si="30"/>
        <v>10200</v>
      </c>
    </row>
    <row r="67" spans="2:26" ht="15.5" x14ac:dyDescent="0.35">
      <c r="B67" s="7" t="s">
        <v>8</v>
      </c>
      <c r="C67" s="202">
        <v>0</v>
      </c>
      <c r="D67" s="187">
        <f>D65-D66</f>
        <v>3460</v>
      </c>
      <c r="E67" s="187">
        <f>E65-E66</f>
        <v>8980</v>
      </c>
      <c r="F67" s="187">
        <f>F65-F66</f>
        <v>13550</v>
      </c>
      <c r="G67" s="187">
        <f>G65-G66</f>
        <v>12870</v>
      </c>
      <c r="H67" s="187">
        <f t="shared" ref="H67:U67" si="31">H65-H66</f>
        <v>12190</v>
      </c>
      <c r="I67" s="202">
        <f t="shared" si="31"/>
        <v>11510</v>
      </c>
      <c r="J67" s="202">
        <f t="shared" si="31"/>
        <v>10830</v>
      </c>
      <c r="K67" s="202">
        <f t="shared" si="31"/>
        <v>10150</v>
      </c>
      <c r="L67" s="202">
        <f t="shared" si="31"/>
        <v>9470</v>
      </c>
      <c r="M67" s="202">
        <f t="shared" si="31"/>
        <v>8790</v>
      </c>
      <c r="N67" s="202">
        <f t="shared" si="31"/>
        <v>8110</v>
      </c>
      <c r="O67" s="202">
        <f t="shared" si="31"/>
        <v>7430</v>
      </c>
      <c r="P67" s="202">
        <f t="shared" si="31"/>
        <v>6750</v>
      </c>
      <c r="Q67" s="202">
        <f t="shared" si="31"/>
        <v>6070</v>
      </c>
      <c r="R67" s="202">
        <f t="shared" si="31"/>
        <v>5390</v>
      </c>
      <c r="S67" s="202">
        <f t="shared" si="31"/>
        <v>4710</v>
      </c>
      <c r="T67" s="202">
        <f t="shared" si="31"/>
        <v>4030</v>
      </c>
      <c r="U67" s="203">
        <f t="shared" si="31"/>
        <v>3350</v>
      </c>
    </row>
    <row r="68" spans="2:26" ht="15.5" x14ac:dyDescent="0.35">
      <c r="B68" s="7" t="s">
        <v>57</v>
      </c>
      <c r="C68" s="202">
        <v>0</v>
      </c>
      <c r="D68" s="202">
        <v>0</v>
      </c>
      <c r="E68" s="202">
        <v>0</v>
      </c>
      <c r="F68" s="202">
        <v>0</v>
      </c>
      <c r="G68" s="202">
        <f>G105</f>
        <v>1079.6930342384887</v>
      </c>
      <c r="H68" s="202">
        <f t="shared" ref="H68:U68" si="32">H105</f>
        <v>1088.4002361275088</v>
      </c>
      <c r="I68" s="202">
        <f t="shared" si="32"/>
        <v>1114.5218417945689</v>
      </c>
      <c r="J68" s="202">
        <f t="shared" si="32"/>
        <v>1131.9362455726091</v>
      </c>
      <c r="K68" s="202">
        <f t="shared" si="32"/>
        <v>1149.3506493506493</v>
      </c>
      <c r="L68" s="202">
        <f t="shared" si="32"/>
        <v>1175.4722550177094</v>
      </c>
      <c r="M68" s="202">
        <f t="shared" si="32"/>
        <v>1192.8866587957498</v>
      </c>
      <c r="N68" s="202">
        <f t="shared" si="32"/>
        <v>1219.0082644628098</v>
      </c>
      <c r="O68" s="202">
        <f t="shared" si="32"/>
        <v>1245.1298701298699</v>
      </c>
      <c r="P68" s="202">
        <f t="shared" si="32"/>
        <v>1262.5442739079101</v>
      </c>
      <c r="Q68" s="202">
        <f t="shared" si="32"/>
        <v>1288.6658795749704</v>
      </c>
      <c r="R68" s="202">
        <f t="shared" si="32"/>
        <v>1314.7874852420307</v>
      </c>
      <c r="S68" s="202">
        <f t="shared" si="32"/>
        <v>1340.9090909090908</v>
      </c>
      <c r="T68" s="202">
        <f t="shared" si="32"/>
        <v>1367.0306965761511</v>
      </c>
      <c r="U68" s="203">
        <f t="shared" si="32"/>
        <v>1393.1523022432114</v>
      </c>
    </row>
    <row r="69" spans="2:26" ht="15.5" x14ac:dyDescent="0.35">
      <c r="B69" s="7" t="s">
        <v>112</v>
      </c>
      <c r="C69" s="202">
        <v>0</v>
      </c>
      <c r="D69" s="202">
        <v>0</v>
      </c>
      <c r="E69" s="202">
        <v>0</v>
      </c>
      <c r="F69" s="202">
        <v>0</v>
      </c>
      <c r="G69" s="202">
        <v>0</v>
      </c>
      <c r="H69" s="202">
        <v>0</v>
      </c>
      <c r="I69" s="202">
        <v>0</v>
      </c>
      <c r="J69" s="202">
        <v>0</v>
      </c>
      <c r="K69" s="202">
        <v>0</v>
      </c>
      <c r="L69" s="202">
        <v>0</v>
      </c>
      <c r="M69" s="202">
        <v>0</v>
      </c>
      <c r="N69" s="202">
        <v>10</v>
      </c>
      <c r="O69" s="202">
        <v>50</v>
      </c>
      <c r="P69" s="202">
        <v>120</v>
      </c>
      <c r="Q69" s="202">
        <v>210</v>
      </c>
      <c r="R69" s="202">
        <v>320</v>
      </c>
      <c r="S69" s="187">
        <v>450</v>
      </c>
      <c r="T69" s="202">
        <v>590</v>
      </c>
      <c r="U69" s="203">
        <v>740</v>
      </c>
    </row>
    <row r="70" spans="2:26" ht="15.5" x14ac:dyDescent="0.35">
      <c r="B70" s="7" t="s">
        <v>9</v>
      </c>
      <c r="C70" s="202">
        <v>0</v>
      </c>
      <c r="D70" s="202">
        <f t="shared" ref="D70:U70" si="33">D99</f>
        <v>0</v>
      </c>
      <c r="E70" s="202">
        <f t="shared" si="33"/>
        <v>0</v>
      </c>
      <c r="F70" s="202">
        <f t="shared" si="33"/>
        <v>40.555555555555657</v>
      </c>
      <c r="G70" s="202">
        <f t="shared" si="33"/>
        <v>-108.45599047417886</v>
      </c>
      <c r="H70" s="202">
        <f t="shared" si="33"/>
        <v>-42.188290771951188</v>
      </c>
      <c r="I70" s="202">
        <f t="shared" si="33"/>
        <v>77.698155137607955</v>
      </c>
      <c r="J70" s="202">
        <f t="shared" si="33"/>
        <v>261.70158235762324</v>
      </c>
      <c r="K70" s="202">
        <f t="shared" si="33"/>
        <v>490.20592926315135</v>
      </c>
      <c r="L70" s="202">
        <f t="shared" si="33"/>
        <v>773.44392214121262</v>
      </c>
      <c r="M70" s="202">
        <f t="shared" si="33"/>
        <v>1117.6219344077358</v>
      </c>
      <c r="N70" s="202">
        <f t="shared" si="33"/>
        <v>1498.3978713446043</v>
      </c>
      <c r="O70" s="202">
        <f t="shared" si="33"/>
        <v>2179.5416655119038</v>
      </c>
      <c r="P70" s="202">
        <f t="shared" si="33"/>
        <v>3659.7432308561743</v>
      </c>
      <c r="Q70" s="202">
        <f t="shared" si="33"/>
        <v>5057.297296223921</v>
      </c>
      <c r="R70" s="202">
        <f t="shared" si="33"/>
        <v>6388.3629880870021</v>
      </c>
      <c r="S70" s="202">
        <f t="shared" si="33"/>
        <v>7650.5478674648039</v>
      </c>
      <c r="T70" s="202">
        <f t="shared" si="33"/>
        <v>8828.3681043078395</v>
      </c>
      <c r="U70" s="203">
        <f t="shared" si="33"/>
        <v>9929.7644758259812</v>
      </c>
    </row>
    <row r="71" spans="2:26" ht="15.5" x14ac:dyDescent="0.35">
      <c r="B71" s="7" t="s">
        <v>10</v>
      </c>
      <c r="C71" s="202">
        <v>0</v>
      </c>
      <c r="D71" s="186">
        <f t="shared" ref="D71:U71" si="34">SUM(D67:D70)</f>
        <v>3460</v>
      </c>
      <c r="E71" s="186">
        <f t="shared" si="34"/>
        <v>8980</v>
      </c>
      <c r="F71" s="186">
        <f t="shared" si="34"/>
        <v>13590.555555555555</v>
      </c>
      <c r="G71" s="186">
        <f t="shared" si="34"/>
        <v>13841.237043764311</v>
      </c>
      <c r="H71" s="307">
        <f t="shared" si="34"/>
        <v>13236.211945355557</v>
      </c>
      <c r="I71" s="307">
        <f t="shared" si="34"/>
        <v>12702.219996932177</v>
      </c>
      <c r="J71" s="307">
        <f t="shared" si="34"/>
        <v>12223.637827930233</v>
      </c>
      <c r="K71" s="307">
        <f t="shared" si="34"/>
        <v>11789.556578613801</v>
      </c>
      <c r="L71" s="307">
        <f t="shared" si="34"/>
        <v>11418.916177158922</v>
      </c>
      <c r="M71" s="307">
        <f t="shared" si="34"/>
        <v>11100.508593203485</v>
      </c>
      <c r="N71" s="307">
        <f t="shared" si="34"/>
        <v>10837.406135807414</v>
      </c>
      <c r="O71" s="307">
        <f t="shared" si="34"/>
        <v>10904.671535641774</v>
      </c>
      <c r="P71" s="307">
        <f t="shared" si="34"/>
        <v>11792.287504764085</v>
      </c>
      <c r="Q71" s="307">
        <f t="shared" si="34"/>
        <v>12625.96317579889</v>
      </c>
      <c r="R71" s="307">
        <f t="shared" si="34"/>
        <v>13413.150473329033</v>
      </c>
      <c r="S71" s="307">
        <f t="shared" si="34"/>
        <v>14151.456958373896</v>
      </c>
      <c r="T71" s="307">
        <f t="shared" si="34"/>
        <v>14815.398800883991</v>
      </c>
      <c r="U71" s="308">
        <f t="shared" si="34"/>
        <v>15412.916778069193</v>
      </c>
      <c r="W71" s="34"/>
      <c r="X71" s="34"/>
      <c r="Y71" s="34"/>
      <c r="Z71" s="34"/>
    </row>
    <row r="72" spans="2:26" x14ac:dyDescent="0.35">
      <c r="B72" s="329" t="s">
        <v>185</v>
      </c>
      <c r="C72" s="16"/>
      <c r="D72" s="269">
        <f t="shared" ref="D72:U72" si="35">D62-D71</f>
        <v>0</v>
      </c>
      <c r="E72" s="269">
        <f t="shared" si="35"/>
        <v>0</v>
      </c>
      <c r="F72" s="269">
        <f t="shared" si="35"/>
        <v>0</v>
      </c>
      <c r="G72" s="269">
        <f t="shared" si="35"/>
        <v>0</v>
      </c>
      <c r="H72" s="269">
        <f t="shared" si="35"/>
        <v>0</v>
      </c>
      <c r="I72" s="269">
        <f t="shared" si="35"/>
        <v>0</v>
      </c>
      <c r="J72" s="269">
        <f t="shared" si="35"/>
        <v>0</v>
      </c>
      <c r="K72" s="269">
        <f t="shared" si="35"/>
        <v>0</v>
      </c>
      <c r="L72" s="269">
        <f t="shared" si="35"/>
        <v>0</v>
      </c>
      <c r="M72" s="269">
        <f t="shared" si="35"/>
        <v>0</v>
      </c>
      <c r="N72" s="269">
        <f t="shared" si="35"/>
        <v>0</v>
      </c>
      <c r="O72" s="269">
        <f t="shared" si="35"/>
        <v>0</v>
      </c>
      <c r="P72" s="269">
        <f t="shared" si="35"/>
        <v>0</v>
      </c>
      <c r="Q72" s="269">
        <f t="shared" si="35"/>
        <v>0</v>
      </c>
      <c r="R72" s="269">
        <f t="shared" si="35"/>
        <v>0</v>
      </c>
      <c r="S72" s="269">
        <f t="shared" si="35"/>
        <v>0</v>
      </c>
      <c r="T72" s="269">
        <f t="shared" si="35"/>
        <v>0</v>
      </c>
      <c r="U72" s="269">
        <f t="shared" si="35"/>
        <v>0</v>
      </c>
    </row>
    <row r="73" spans="2:26" ht="15" thickBot="1" x14ac:dyDescent="0.4">
      <c r="B73" s="15"/>
      <c r="C73" s="16"/>
      <c r="D73" s="17"/>
      <c r="E73" s="17"/>
      <c r="F73" s="17"/>
      <c r="G73" s="13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2:26" ht="16" thickBot="1" x14ac:dyDescent="0.4">
      <c r="B74" s="299" t="s">
        <v>176</v>
      </c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1"/>
    </row>
    <row r="75" spans="2:26" ht="16" thickBot="1" x14ac:dyDescent="0.4">
      <c r="B75" s="306" t="s">
        <v>110</v>
      </c>
      <c r="C75" s="2">
        <v>2009</v>
      </c>
      <c r="D75" s="2">
        <v>2010</v>
      </c>
      <c r="E75" s="2">
        <v>2011</v>
      </c>
      <c r="F75" s="2">
        <v>2012</v>
      </c>
      <c r="G75" s="2">
        <v>2013</v>
      </c>
      <c r="H75" s="2">
        <v>2014</v>
      </c>
      <c r="I75" s="2">
        <v>2015</v>
      </c>
      <c r="J75" s="2">
        <v>2016</v>
      </c>
      <c r="K75" s="2">
        <v>2017</v>
      </c>
      <c r="L75" s="2">
        <v>2018</v>
      </c>
      <c r="M75" s="2">
        <v>2019</v>
      </c>
      <c r="N75" s="2">
        <v>2020</v>
      </c>
      <c r="O75" s="2">
        <v>2021</v>
      </c>
      <c r="P75" s="2">
        <v>2022</v>
      </c>
      <c r="Q75" s="2">
        <v>2023</v>
      </c>
      <c r="R75" s="2">
        <v>2024</v>
      </c>
      <c r="S75" s="2">
        <v>2025</v>
      </c>
      <c r="T75" s="2">
        <v>2026</v>
      </c>
      <c r="U75" s="3">
        <v>2027</v>
      </c>
    </row>
    <row r="76" spans="2:26" ht="15.5" x14ac:dyDescent="0.35">
      <c r="B76" s="305" t="s">
        <v>180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2:26" ht="15.5" x14ac:dyDescent="0.35">
      <c r="B77" s="336" t="s">
        <v>87</v>
      </c>
      <c r="C77" s="202"/>
      <c r="D77" s="202">
        <f t="shared" ref="D77:U77" si="36">D35</f>
        <v>0</v>
      </c>
      <c r="E77" s="202">
        <f t="shared" si="36"/>
        <v>0</v>
      </c>
      <c r="F77" s="202">
        <f t="shared" si="36"/>
        <v>0</v>
      </c>
      <c r="G77" s="202">
        <f t="shared" si="36"/>
        <v>437.75277472397011</v>
      </c>
      <c r="H77" s="202">
        <f t="shared" si="36"/>
        <v>503.63826819574695</v>
      </c>
      <c r="I77" s="202">
        <f t="shared" si="36"/>
        <v>568.1633563834348</v>
      </c>
      <c r="J77" s="202">
        <f t="shared" si="36"/>
        <v>624.44244028574258</v>
      </c>
      <c r="K77" s="202">
        <f t="shared" si="36"/>
        <v>683.38426181414616</v>
      </c>
      <c r="L77" s="202">
        <f t="shared" si="36"/>
        <v>739.48301953530279</v>
      </c>
      <c r="M77" s="202">
        <f t="shared" si="36"/>
        <v>792.03661876458375</v>
      </c>
      <c r="N77" s="202">
        <f t="shared" si="36"/>
        <v>851.45988460949343</v>
      </c>
      <c r="O77" s="202">
        <f t="shared" si="36"/>
        <v>914.02467476525055</v>
      </c>
      <c r="P77" s="202">
        <f t="shared" si="36"/>
        <v>916.03183852167831</v>
      </c>
      <c r="Q77" s="202">
        <f t="shared" si="36"/>
        <v>869.21352847727371</v>
      </c>
      <c r="R77" s="202">
        <f t="shared" si="36"/>
        <v>816.08493270806571</v>
      </c>
      <c r="S77" s="202">
        <f t="shared" si="36"/>
        <v>763.47867299407221</v>
      </c>
      <c r="T77" s="202">
        <f t="shared" si="36"/>
        <v>692.39174021003612</v>
      </c>
      <c r="U77" s="203">
        <f t="shared" si="36"/>
        <v>622.10113826272016</v>
      </c>
    </row>
    <row r="78" spans="2:26" ht="15.5" x14ac:dyDescent="0.35">
      <c r="B78" s="313" t="s">
        <v>30</v>
      </c>
      <c r="C78" s="202"/>
      <c r="D78" s="202">
        <f t="shared" ref="D78:U78" si="37">D30</f>
        <v>0</v>
      </c>
      <c r="E78" s="202">
        <f t="shared" si="37"/>
        <v>0</v>
      </c>
      <c r="F78" s="202">
        <f t="shared" si="37"/>
        <v>0</v>
      </c>
      <c r="G78" s="202">
        <f t="shared" si="37"/>
        <v>680</v>
      </c>
      <c r="H78" s="202">
        <f t="shared" si="37"/>
        <v>680</v>
      </c>
      <c r="I78" s="202">
        <f t="shared" si="37"/>
        <v>680</v>
      </c>
      <c r="J78" s="202">
        <f t="shared" si="37"/>
        <v>680</v>
      </c>
      <c r="K78" s="202">
        <f t="shared" si="37"/>
        <v>680</v>
      </c>
      <c r="L78" s="202">
        <f t="shared" si="37"/>
        <v>680</v>
      </c>
      <c r="M78" s="202">
        <f t="shared" si="37"/>
        <v>680</v>
      </c>
      <c r="N78" s="202">
        <f t="shared" si="37"/>
        <v>680</v>
      </c>
      <c r="O78" s="202">
        <f t="shared" si="37"/>
        <v>680</v>
      </c>
      <c r="P78" s="202">
        <f t="shared" si="37"/>
        <v>680</v>
      </c>
      <c r="Q78" s="202">
        <f t="shared" si="37"/>
        <v>680</v>
      </c>
      <c r="R78" s="202">
        <f t="shared" si="37"/>
        <v>680</v>
      </c>
      <c r="S78" s="202">
        <f t="shared" si="37"/>
        <v>680</v>
      </c>
      <c r="T78" s="202">
        <f t="shared" si="37"/>
        <v>680</v>
      </c>
      <c r="U78" s="203">
        <f t="shared" si="37"/>
        <v>680</v>
      </c>
    </row>
    <row r="79" spans="2:26" ht="15.5" x14ac:dyDescent="0.35">
      <c r="B79" s="313" t="s">
        <v>184</v>
      </c>
      <c r="C79" s="202"/>
      <c r="D79" s="202">
        <f t="shared" ref="D79:U79" si="38">C65-D65</f>
        <v>-3460</v>
      </c>
      <c r="E79" s="202">
        <f t="shared" si="38"/>
        <v>-5520</v>
      </c>
      <c r="F79" s="202">
        <f t="shared" si="38"/>
        <v>-4570</v>
      </c>
      <c r="G79" s="202">
        <f t="shared" si="38"/>
        <v>0</v>
      </c>
      <c r="H79" s="202">
        <f t="shared" si="38"/>
        <v>0</v>
      </c>
      <c r="I79" s="202">
        <f t="shared" si="38"/>
        <v>0</v>
      </c>
      <c r="J79" s="202">
        <f t="shared" si="38"/>
        <v>0</v>
      </c>
      <c r="K79" s="202">
        <f t="shared" si="38"/>
        <v>0</v>
      </c>
      <c r="L79" s="202">
        <f t="shared" si="38"/>
        <v>0</v>
      </c>
      <c r="M79" s="202">
        <f t="shared" si="38"/>
        <v>0</v>
      </c>
      <c r="N79" s="202">
        <f t="shared" si="38"/>
        <v>0</v>
      </c>
      <c r="O79" s="202">
        <f t="shared" si="38"/>
        <v>0</v>
      </c>
      <c r="P79" s="202">
        <f t="shared" si="38"/>
        <v>0</v>
      </c>
      <c r="Q79" s="202">
        <f t="shared" si="38"/>
        <v>0</v>
      </c>
      <c r="R79" s="202">
        <f t="shared" si="38"/>
        <v>0</v>
      </c>
      <c r="S79" s="202">
        <f t="shared" si="38"/>
        <v>0</v>
      </c>
      <c r="T79" s="202">
        <f t="shared" si="38"/>
        <v>0</v>
      </c>
      <c r="U79" s="203">
        <f t="shared" si="38"/>
        <v>0</v>
      </c>
    </row>
    <row r="80" spans="2:26" ht="15.5" x14ac:dyDescent="0.35">
      <c r="B80" s="313" t="s">
        <v>230</v>
      </c>
      <c r="C80" s="202"/>
      <c r="D80" s="202">
        <f t="shared" ref="D80:U80" si="39">C68-D68</f>
        <v>0</v>
      </c>
      <c r="E80" s="202">
        <f t="shared" si="39"/>
        <v>0</v>
      </c>
      <c r="F80" s="202">
        <f t="shared" si="39"/>
        <v>0</v>
      </c>
      <c r="G80" s="202">
        <f t="shared" si="39"/>
        <v>-1079.6930342384887</v>
      </c>
      <c r="H80" s="202">
        <f t="shared" si="39"/>
        <v>-8.707201889020098</v>
      </c>
      <c r="I80" s="202">
        <f t="shared" si="39"/>
        <v>-26.121605667060066</v>
      </c>
      <c r="J80" s="202">
        <f t="shared" si="39"/>
        <v>-17.414403778040196</v>
      </c>
      <c r="K80" s="202">
        <f t="shared" si="39"/>
        <v>-17.414403778040196</v>
      </c>
      <c r="L80" s="202">
        <f t="shared" si="39"/>
        <v>-26.121605667060066</v>
      </c>
      <c r="M80" s="202">
        <f t="shared" si="39"/>
        <v>-17.414403778040423</v>
      </c>
      <c r="N80" s="202">
        <f t="shared" si="39"/>
        <v>-26.121605667060066</v>
      </c>
      <c r="O80" s="202">
        <f t="shared" si="39"/>
        <v>-26.121605667060066</v>
      </c>
      <c r="P80" s="202">
        <f t="shared" si="39"/>
        <v>-17.414403778040196</v>
      </c>
      <c r="Q80" s="202">
        <f t="shared" si="39"/>
        <v>-26.121605667060294</v>
      </c>
      <c r="R80" s="202">
        <f t="shared" si="39"/>
        <v>-26.121605667060294</v>
      </c>
      <c r="S80" s="202">
        <f t="shared" si="39"/>
        <v>-26.121605667060066</v>
      </c>
      <c r="T80" s="202">
        <f t="shared" si="39"/>
        <v>-26.121605667060294</v>
      </c>
      <c r="U80" s="203">
        <f t="shared" si="39"/>
        <v>-26.121605667060294</v>
      </c>
    </row>
    <row r="81" spans="2:24" ht="15.5" x14ac:dyDescent="0.35">
      <c r="B81" s="313" t="s">
        <v>231</v>
      </c>
      <c r="C81" s="202"/>
      <c r="D81" s="202">
        <f t="shared" ref="D81:U81" si="40">C69-D69</f>
        <v>0</v>
      </c>
      <c r="E81" s="202">
        <f t="shared" si="40"/>
        <v>0</v>
      </c>
      <c r="F81" s="202">
        <f t="shared" si="40"/>
        <v>0</v>
      </c>
      <c r="G81" s="202">
        <f t="shared" si="40"/>
        <v>0</v>
      </c>
      <c r="H81" s="202">
        <f t="shared" si="40"/>
        <v>0</v>
      </c>
      <c r="I81" s="202">
        <f t="shared" si="40"/>
        <v>0</v>
      </c>
      <c r="J81" s="202">
        <f t="shared" si="40"/>
        <v>0</v>
      </c>
      <c r="K81" s="202">
        <f t="shared" si="40"/>
        <v>0</v>
      </c>
      <c r="L81" s="202">
        <f t="shared" si="40"/>
        <v>0</v>
      </c>
      <c r="M81" s="202">
        <f t="shared" si="40"/>
        <v>0</v>
      </c>
      <c r="N81" s="202">
        <f t="shared" si="40"/>
        <v>-10</v>
      </c>
      <c r="O81" s="202">
        <f t="shared" si="40"/>
        <v>-40</v>
      </c>
      <c r="P81" s="202">
        <f t="shared" si="40"/>
        <v>-70</v>
      </c>
      <c r="Q81" s="202">
        <f t="shared" si="40"/>
        <v>-90</v>
      </c>
      <c r="R81" s="202">
        <f t="shared" si="40"/>
        <v>-110</v>
      </c>
      <c r="S81" s="202">
        <f t="shared" si="40"/>
        <v>-130</v>
      </c>
      <c r="T81" s="202">
        <f t="shared" si="40"/>
        <v>-140</v>
      </c>
      <c r="U81" s="203">
        <f t="shared" si="40"/>
        <v>-150</v>
      </c>
    </row>
    <row r="82" spans="2:24" ht="15.5" x14ac:dyDescent="0.35">
      <c r="B82" s="313" t="s">
        <v>145</v>
      </c>
      <c r="C82" s="202"/>
      <c r="D82" s="202">
        <f t="shared" ref="D82:U82" si="41">D28+D29</f>
        <v>0</v>
      </c>
      <c r="E82" s="202">
        <f t="shared" si="41"/>
        <v>0</v>
      </c>
      <c r="F82" s="202">
        <f t="shared" si="41"/>
        <v>0</v>
      </c>
      <c r="G82" s="202">
        <f t="shared" si="41"/>
        <v>1178.5999999999999</v>
      </c>
      <c r="H82" s="202">
        <f t="shared" si="41"/>
        <v>1049.8666666666668</v>
      </c>
      <c r="I82" s="202">
        <f t="shared" si="41"/>
        <v>922.33333333333337</v>
      </c>
      <c r="J82" s="202">
        <f t="shared" si="41"/>
        <v>795.4</v>
      </c>
      <c r="K82" s="202">
        <f t="shared" si="41"/>
        <v>667.86666666666656</v>
      </c>
      <c r="L82" s="202">
        <f t="shared" si="41"/>
        <v>540.33333333333326</v>
      </c>
      <c r="M82" s="202">
        <f t="shared" si="41"/>
        <v>413.39999999999981</v>
      </c>
      <c r="N82" s="202">
        <f t="shared" si="41"/>
        <v>286.46666666666647</v>
      </c>
      <c r="O82" s="202">
        <f t="shared" si="41"/>
        <v>175.69999999999976</v>
      </c>
      <c r="P82" s="202">
        <f t="shared" si="41"/>
        <v>129.59999999999977</v>
      </c>
      <c r="Q82" s="202">
        <f t="shared" si="41"/>
        <v>131.99999999999977</v>
      </c>
      <c r="R82" s="202">
        <f t="shared" si="41"/>
        <v>134.39999999999978</v>
      </c>
      <c r="S82" s="202">
        <f t="shared" si="41"/>
        <v>137.39999999999978</v>
      </c>
      <c r="T82" s="202">
        <f t="shared" si="41"/>
        <v>140.39999999999978</v>
      </c>
      <c r="U82" s="203">
        <f t="shared" si="41"/>
        <v>142.79999999999976</v>
      </c>
    </row>
    <row r="83" spans="2:24" ht="15.5" x14ac:dyDescent="0.35">
      <c r="B83" s="7" t="s">
        <v>183</v>
      </c>
      <c r="C83" s="307"/>
      <c r="D83" s="307">
        <f>SUM(D77:D82)</f>
        <v>-3460</v>
      </c>
      <c r="E83" s="307">
        <f t="shared" ref="E83:U83" si="42">SUM(E77:E82)</f>
        <v>-5520</v>
      </c>
      <c r="F83" s="307">
        <f t="shared" si="42"/>
        <v>-4570</v>
      </c>
      <c r="G83" s="307">
        <f t="shared" si="42"/>
        <v>1216.6597404854813</v>
      </c>
      <c r="H83" s="307">
        <f t="shared" si="42"/>
        <v>2224.797732973394</v>
      </c>
      <c r="I83" s="307">
        <f t="shared" si="42"/>
        <v>2144.3750840497082</v>
      </c>
      <c r="J83" s="307">
        <f t="shared" si="42"/>
        <v>2082.4280365077025</v>
      </c>
      <c r="K83" s="307">
        <f t="shared" si="42"/>
        <v>2013.8365247027725</v>
      </c>
      <c r="L83" s="307">
        <f t="shared" si="42"/>
        <v>1933.6947472015761</v>
      </c>
      <c r="M83" s="307">
        <f t="shared" si="42"/>
        <v>1868.0222149865431</v>
      </c>
      <c r="N83" s="307">
        <f t="shared" si="42"/>
        <v>1781.8049456090998</v>
      </c>
      <c r="O83" s="307">
        <f t="shared" si="42"/>
        <v>1703.6030690981902</v>
      </c>
      <c r="P83" s="307">
        <f t="shared" si="42"/>
        <v>1638.2174347436378</v>
      </c>
      <c r="Q83" s="307">
        <f t="shared" si="42"/>
        <v>1565.0919228102132</v>
      </c>
      <c r="R83" s="307">
        <f t="shared" si="42"/>
        <v>1494.3633270410053</v>
      </c>
      <c r="S83" s="307">
        <f t="shared" si="42"/>
        <v>1424.757067327012</v>
      </c>
      <c r="T83" s="307">
        <f t="shared" si="42"/>
        <v>1346.6701345429756</v>
      </c>
      <c r="U83" s="308">
        <f t="shared" si="42"/>
        <v>1268.7795325956597</v>
      </c>
    </row>
    <row r="84" spans="2:24" ht="15.5" x14ac:dyDescent="0.35">
      <c r="B84" s="7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3"/>
    </row>
    <row r="85" spans="2:24" ht="15.5" x14ac:dyDescent="0.35">
      <c r="B85" s="304" t="s">
        <v>181</v>
      </c>
      <c r="C85" s="202"/>
      <c r="D85" s="202"/>
      <c r="E85" s="202"/>
      <c r="F85" s="202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203"/>
    </row>
    <row r="86" spans="2:24" ht="15.5" x14ac:dyDescent="0.35">
      <c r="B86" s="313" t="s">
        <v>190</v>
      </c>
      <c r="C86" s="202"/>
      <c r="D86" s="202">
        <f>N4</f>
        <v>2420.0000000000005</v>
      </c>
      <c r="E86" s="202">
        <f>O4</f>
        <v>3870.0000000000009</v>
      </c>
      <c r="F86" s="202">
        <f>P4</f>
        <v>3410.0000000000005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>
        <v>0</v>
      </c>
      <c r="T86" s="202">
        <v>0</v>
      </c>
      <c r="U86" s="203">
        <v>0</v>
      </c>
      <c r="W86" s="409">
        <f>SUM(D86:U86)</f>
        <v>9700.0000000000018</v>
      </c>
      <c r="X86" s="332" t="s">
        <v>273</v>
      </c>
    </row>
    <row r="87" spans="2:24" ht="15.5" x14ac:dyDescent="0.35">
      <c r="B87" s="313" t="s">
        <v>241</v>
      </c>
      <c r="C87" s="202"/>
      <c r="D87" s="202">
        <v>0</v>
      </c>
      <c r="E87" s="202">
        <v>0</v>
      </c>
      <c r="F87" s="407">
        <f>-(($D$86+$E$86+$F$86)/36)*1</f>
        <v>-269.44444444444451</v>
      </c>
      <c r="G87" s="407">
        <f t="shared" ref="G87:N87" si="43">-(($D$86+$E$86+$F$86)/36)*4</f>
        <v>-1077.7777777777781</v>
      </c>
      <c r="H87" s="407">
        <f t="shared" si="43"/>
        <v>-1077.7777777777781</v>
      </c>
      <c r="I87" s="407">
        <f t="shared" si="43"/>
        <v>-1077.7777777777781</v>
      </c>
      <c r="J87" s="407">
        <f t="shared" si="43"/>
        <v>-1077.7777777777781</v>
      </c>
      <c r="K87" s="407">
        <f t="shared" si="43"/>
        <v>-1077.7777777777781</v>
      </c>
      <c r="L87" s="407">
        <f t="shared" si="43"/>
        <v>-1077.7777777777781</v>
      </c>
      <c r="M87" s="407">
        <f t="shared" si="43"/>
        <v>-1077.7777777777781</v>
      </c>
      <c r="N87" s="407">
        <f t="shared" si="43"/>
        <v>-1077.7777777777781</v>
      </c>
      <c r="O87" s="407">
        <f>-(($D$86+$E$86+$F$86)/36)*3</f>
        <v>-808.33333333333348</v>
      </c>
      <c r="P87" s="407">
        <f>Loan!P22</f>
        <v>0</v>
      </c>
      <c r="Q87" s="407">
        <f>Loan!Q22</f>
        <v>0</v>
      </c>
      <c r="R87" s="202">
        <v>0</v>
      </c>
      <c r="S87" s="202">
        <v>0</v>
      </c>
      <c r="T87" s="202">
        <v>0</v>
      </c>
      <c r="U87" s="203">
        <v>0</v>
      </c>
      <c r="W87" s="409">
        <f>SUM(D87:U87)</f>
        <v>-9700.0000000000036</v>
      </c>
      <c r="X87" s="332" t="s">
        <v>273</v>
      </c>
    </row>
    <row r="88" spans="2:24" ht="15.5" x14ac:dyDescent="0.35">
      <c r="B88" s="313" t="s">
        <v>186</v>
      </c>
      <c r="C88" s="339"/>
      <c r="D88" s="202">
        <v>0</v>
      </c>
      <c r="E88" s="202">
        <v>0</v>
      </c>
      <c r="F88" s="202">
        <v>0</v>
      </c>
      <c r="G88" s="202">
        <v>930</v>
      </c>
      <c r="H88" s="202">
        <v>10</v>
      </c>
      <c r="I88" s="202">
        <v>20</v>
      </c>
      <c r="J88" s="202">
        <v>20</v>
      </c>
      <c r="K88" s="202">
        <v>10</v>
      </c>
      <c r="L88" s="202">
        <v>20</v>
      </c>
      <c r="M88" s="202">
        <v>20</v>
      </c>
      <c r="N88" s="202">
        <v>20</v>
      </c>
      <c r="O88" s="202">
        <v>20</v>
      </c>
      <c r="P88" s="202">
        <v>20</v>
      </c>
      <c r="Q88" s="202">
        <v>20</v>
      </c>
      <c r="R88" s="202">
        <v>20</v>
      </c>
      <c r="S88" s="202">
        <v>30</v>
      </c>
      <c r="T88" s="202">
        <v>20</v>
      </c>
      <c r="U88" s="203">
        <v>20</v>
      </c>
      <c r="V88" s="284"/>
    </row>
    <row r="89" spans="2:24" ht="15.5" x14ac:dyDescent="0.35">
      <c r="B89" s="313" t="s">
        <v>240</v>
      </c>
      <c r="C89" s="339"/>
      <c r="D89" s="202">
        <v>0</v>
      </c>
      <c r="E89" s="202">
        <v>0</v>
      </c>
      <c r="F89" s="202">
        <v>0</v>
      </c>
      <c r="G89" s="407">
        <f t="shared" ref="G89:U89" si="44">G123</f>
        <v>0</v>
      </c>
      <c r="H89" s="407">
        <f t="shared" si="44"/>
        <v>0</v>
      </c>
      <c r="I89" s="407">
        <f t="shared" si="44"/>
        <v>0</v>
      </c>
      <c r="J89" s="407">
        <f t="shared" si="44"/>
        <v>0</v>
      </c>
      <c r="K89" s="407">
        <f t="shared" si="44"/>
        <v>0</v>
      </c>
      <c r="L89" s="407">
        <f t="shared" si="44"/>
        <v>0</v>
      </c>
      <c r="M89" s="407">
        <f t="shared" si="44"/>
        <v>0</v>
      </c>
      <c r="N89" s="407">
        <f t="shared" si="44"/>
        <v>0</v>
      </c>
      <c r="O89" s="407">
        <f t="shared" si="44"/>
        <v>0</v>
      </c>
      <c r="P89" s="407">
        <f t="shared" si="44"/>
        <v>0</v>
      </c>
      <c r="Q89" s="407">
        <f t="shared" si="44"/>
        <v>0</v>
      </c>
      <c r="R89" s="407">
        <f t="shared" si="44"/>
        <v>0</v>
      </c>
      <c r="S89" s="407">
        <f t="shared" si="44"/>
        <v>0</v>
      </c>
      <c r="T89" s="407">
        <f t="shared" si="44"/>
        <v>0</v>
      </c>
      <c r="U89" s="417">
        <f t="shared" si="44"/>
        <v>0</v>
      </c>
      <c r="V89" s="284"/>
    </row>
    <row r="90" spans="2:24" ht="15.5" x14ac:dyDescent="0.35">
      <c r="B90" s="313" t="s">
        <v>145</v>
      </c>
      <c r="C90" s="202"/>
      <c r="D90" s="407">
        <f>-D117</f>
        <v>-42.45000000000001</v>
      </c>
      <c r="E90" s="407">
        <f>-E117</f>
        <v>-8.5250000000000021</v>
      </c>
      <c r="F90" s="407">
        <f>-F117</f>
        <v>0</v>
      </c>
      <c r="G90" s="202">
        <f t="shared" ref="G90:U90" si="45">-G82</f>
        <v>-1178.5999999999999</v>
      </c>
      <c r="H90" s="202">
        <f t="shared" si="45"/>
        <v>-1049.8666666666668</v>
      </c>
      <c r="I90" s="202">
        <f t="shared" si="45"/>
        <v>-922.33333333333337</v>
      </c>
      <c r="J90" s="202">
        <f t="shared" si="45"/>
        <v>-795.4</v>
      </c>
      <c r="K90" s="202">
        <f t="shared" si="45"/>
        <v>-667.86666666666656</v>
      </c>
      <c r="L90" s="202">
        <f t="shared" si="45"/>
        <v>-540.33333333333326</v>
      </c>
      <c r="M90" s="202">
        <f t="shared" si="45"/>
        <v>-413.39999999999981</v>
      </c>
      <c r="N90" s="202">
        <f t="shared" si="45"/>
        <v>-286.46666666666647</v>
      </c>
      <c r="O90" s="202">
        <f t="shared" si="45"/>
        <v>-175.69999999999976</v>
      </c>
      <c r="P90" s="202">
        <f t="shared" si="45"/>
        <v>-129.59999999999977</v>
      </c>
      <c r="Q90" s="202">
        <f t="shared" si="45"/>
        <v>-131.99999999999977</v>
      </c>
      <c r="R90" s="202">
        <f t="shared" si="45"/>
        <v>-134.39999999999978</v>
      </c>
      <c r="S90" s="202">
        <f t="shared" si="45"/>
        <v>-137.39999999999978</v>
      </c>
      <c r="T90" s="202">
        <f t="shared" si="45"/>
        <v>-140.39999999999978</v>
      </c>
      <c r="U90" s="203">
        <f t="shared" si="45"/>
        <v>-142.79999999999976</v>
      </c>
    </row>
    <row r="91" spans="2:24" ht="15.5" x14ac:dyDescent="0.35">
      <c r="B91" s="313" t="s">
        <v>303</v>
      </c>
      <c r="C91" s="202"/>
      <c r="D91" s="407">
        <f>-D90</f>
        <v>42.45000000000001</v>
      </c>
      <c r="E91" s="407">
        <f>-E90</f>
        <v>8.5250000000000021</v>
      </c>
      <c r="F91" s="407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3"/>
    </row>
    <row r="92" spans="2:24" ht="15.5" x14ac:dyDescent="0.35">
      <c r="B92" s="313" t="s">
        <v>191</v>
      </c>
      <c r="C92" s="202"/>
      <c r="D92" s="202">
        <f>N6</f>
        <v>1039.9999999999998</v>
      </c>
      <c r="E92" s="202">
        <f>O6</f>
        <v>1649.9999999999995</v>
      </c>
      <c r="F92" s="202">
        <f>P6</f>
        <v>1469.9999999999998</v>
      </c>
      <c r="G92" s="202">
        <v>0</v>
      </c>
      <c r="H92" s="202">
        <v>0</v>
      </c>
      <c r="I92" s="202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>
        <v>0</v>
      </c>
      <c r="T92" s="202">
        <v>0</v>
      </c>
      <c r="U92" s="203">
        <v>0</v>
      </c>
    </row>
    <row r="93" spans="2:24" ht="15.5" x14ac:dyDescent="0.35">
      <c r="B93" s="313" t="s">
        <v>255</v>
      </c>
      <c r="C93" s="202"/>
      <c r="D93" s="202">
        <v>0</v>
      </c>
      <c r="E93" s="202">
        <v>0</v>
      </c>
      <c r="F93" s="202">
        <v>0</v>
      </c>
      <c r="G93" s="202">
        <f t="shared" ref="G93:U93" si="46">G134</f>
        <v>-39.293508737437925</v>
      </c>
      <c r="H93" s="202">
        <f t="shared" si="46"/>
        <v>-40.885588826721317</v>
      </c>
      <c r="I93" s="202">
        <f t="shared" si="46"/>
        <v>-44.377527029037871</v>
      </c>
      <c r="J93" s="202">
        <f t="shared" si="46"/>
        <v>-45.246831509909292</v>
      </c>
      <c r="K93" s="202">
        <f t="shared" si="46"/>
        <v>-49.687733352799846</v>
      </c>
      <c r="L93" s="202">
        <f t="shared" si="46"/>
        <v>-52.345643212403438</v>
      </c>
      <c r="M93" s="202">
        <f t="shared" si="46"/>
        <v>-52.666424942242031</v>
      </c>
      <c r="N93" s="202">
        <f t="shared" si="46"/>
        <v>-56.784564227786966</v>
      </c>
      <c r="O93" s="202">
        <f t="shared" si="46"/>
        <v>-58.425941597557205</v>
      </c>
      <c r="P93" s="202">
        <f t="shared" si="46"/>
        <v>-48.415869399367502</v>
      </c>
      <c r="Q93" s="202">
        <f t="shared" si="46"/>
        <v>-55.537857442466944</v>
      </c>
      <c r="R93" s="202">
        <f t="shared" si="46"/>
        <v>-48.897635177924506</v>
      </c>
      <c r="S93" s="202">
        <f t="shared" si="46"/>
        <v>-55.172187949210084</v>
      </c>
      <c r="T93" s="202">
        <f t="shared" si="46"/>
        <v>-48.44989769994028</v>
      </c>
      <c r="U93" s="203">
        <f t="shared" si="46"/>
        <v>-44.583161077517524</v>
      </c>
    </row>
    <row r="94" spans="2:24" ht="15.5" x14ac:dyDescent="0.35">
      <c r="B94" s="7" t="s">
        <v>182</v>
      </c>
      <c r="C94" s="202"/>
      <c r="D94" s="307">
        <f>SUM(D86:D93)</f>
        <v>3460</v>
      </c>
      <c r="E94" s="307">
        <f t="shared" ref="E94:U94" si="47">SUM(E86:E93)</f>
        <v>5520</v>
      </c>
      <c r="F94" s="307">
        <f t="shared" si="47"/>
        <v>4610.5555555555557</v>
      </c>
      <c r="G94" s="307">
        <f t="shared" si="47"/>
        <v>-1365.6712865152158</v>
      </c>
      <c r="H94" s="307">
        <f t="shared" si="47"/>
        <v>-2158.5300332711663</v>
      </c>
      <c r="I94" s="307">
        <f t="shared" si="47"/>
        <v>-2024.4886381401491</v>
      </c>
      <c r="J94" s="307">
        <f t="shared" si="47"/>
        <v>-1898.4246092876872</v>
      </c>
      <c r="K94" s="307">
        <f t="shared" si="47"/>
        <v>-1785.3321777972444</v>
      </c>
      <c r="L94" s="307">
        <f t="shared" si="47"/>
        <v>-1650.4567543235148</v>
      </c>
      <c r="M94" s="307">
        <f t="shared" si="47"/>
        <v>-1523.8442027200199</v>
      </c>
      <c r="N94" s="307">
        <f t="shared" si="47"/>
        <v>-1401.0290086722314</v>
      </c>
      <c r="O94" s="307">
        <f t="shared" si="47"/>
        <v>-1022.4592749308905</v>
      </c>
      <c r="P94" s="307">
        <f t="shared" si="47"/>
        <v>-158.01586939936726</v>
      </c>
      <c r="Q94" s="307">
        <f t="shared" si="47"/>
        <v>-167.5378574424667</v>
      </c>
      <c r="R94" s="307">
        <f t="shared" si="47"/>
        <v>-163.29763517792429</v>
      </c>
      <c r="S94" s="307">
        <f t="shared" si="47"/>
        <v>-162.57218794920988</v>
      </c>
      <c r="T94" s="307">
        <f t="shared" si="47"/>
        <v>-168.84989769994007</v>
      </c>
      <c r="U94" s="308">
        <f t="shared" si="47"/>
        <v>-167.38316107751729</v>
      </c>
    </row>
    <row r="95" spans="2:24" ht="15.5" x14ac:dyDescent="0.35">
      <c r="B95" s="7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3"/>
    </row>
    <row r="96" spans="2:24" ht="15.5" x14ac:dyDescent="0.35">
      <c r="B96" s="7" t="s">
        <v>179</v>
      </c>
      <c r="C96" s="202"/>
      <c r="D96" s="186">
        <f>D83+D94</f>
        <v>0</v>
      </c>
      <c r="E96" s="186">
        <f t="shared" ref="E96:U96" si="48">E83+E94</f>
        <v>0</v>
      </c>
      <c r="F96" s="186">
        <f t="shared" si="48"/>
        <v>40.555555555555657</v>
      </c>
      <c r="G96" s="186">
        <f t="shared" si="48"/>
        <v>-149.01154602973452</v>
      </c>
      <c r="H96" s="186">
        <f t="shared" si="48"/>
        <v>66.267699702227674</v>
      </c>
      <c r="I96" s="186">
        <f t="shared" si="48"/>
        <v>119.88644590955914</v>
      </c>
      <c r="J96" s="186">
        <f t="shared" si="48"/>
        <v>184.00342722001528</v>
      </c>
      <c r="K96" s="186">
        <f t="shared" si="48"/>
        <v>228.50434690552811</v>
      </c>
      <c r="L96" s="186">
        <f t="shared" si="48"/>
        <v>283.23799287806128</v>
      </c>
      <c r="M96" s="186">
        <f t="shared" si="48"/>
        <v>344.17801226652318</v>
      </c>
      <c r="N96" s="186">
        <f t="shared" si="48"/>
        <v>380.77593693686845</v>
      </c>
      <c r="O96" s="186">
        <f t="shared" si="48"/>
        <v>681.14379416729969</v>
      </c>
      <c r="P96" s="186">
        <f t="shared" si="48"/>
        <v>1480.2015653442704</v>
      </c>
      <c r="Q96" s="186">
        <f t="shared" si="48"/>
        <v>1397.5540653677465</v>
      </c>
      <c r="R96" s="186">
        <f t="shared" si="48"/>
        <v>1331.0656918630809</v>
      </c>
      <c r="S96" s="186">
        <f t="shared" si="48"/>
        <v>1262.1848793778022</v>
      </c>
      <c r="T96" s="186">
        <f t="shared" si="48"/>
        <v>1177.8202368430354</v>
      </c>
      <c r="U96" s="308">
        <f t="shared" si="48"/>
        <v>1101.3963715181424</v>
      </c>
    </row>
    <row r="97" spans="1:21" ht="15.5" x14ac:dyDescent="0.35">
      <c r="B97" s="7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8" spans="1:21" ht="15.5" x14ac:dyDescent="0.35">
      <c r="B98" s="7" t="s">
        <v>177</v>
      </c>
      <c r="C98" s="202"/>
      <c r="D98" s="307">
        <v>0</v>
      </c>
      <c r="E98" s="307">
        <f t="shared" ref="E98:U98" si="49">D99</f>
        <v>0</v>
      </c>
      <c r="F98" s="307">
        <f t="shared" si="49"/>
        <v>0</v>
      </c>
      <c r="G98" s="307">
        <f t="shared" si="49"/>
        <v>40.555555555555657</v>
      </c>
      <c r="H98" s="307">
        <f t="shared" si="49"/>
        <v>-108.45599047417886</v>
      </c>
      <c r="I98" s="307">
        <f t="shared" si="49"/>
        <v>-42.188290771951188</v>
      </c>
      <c r="J98" s="307">
        <f t="shared" si="49"/>
        <v>77.698155137607955</v>
      </c>
      <c r="K98" s="307">
        <f t="shared" si="49"/>
        <v>261.70158235762324</v>
      </c>
      <c r="L98" s="307">
        <f t="shared" si="49"/>
        <v>490.20592926315135</v>
      </c>
      <c r="M98" s="307">
        <f t="shared" si="49"/>
        <v>773.44392214121262</v>
      </c>
      <c r="N98" s="307">
        <f t="shared" si="49"/>
        <v>1117.6219344077358</v>
      </c>
      <c r="O98" s="307">
        <f t="shared" si="49"/>
        <v>1498.3978713446043</v>
      </c>
      <c r="P98" s="307">
        <f t="shared" si="49"/>
        <v>2179.5416655119038</v>
      </c>
      <c r="Q98" s="307">
        <f t="shared" si="49"/>
        <v>3659.7432308561743</v>
      </c>
      <c r="R98" s="307">
        <f t="shared" si="49"/>
        <v>5057.297296223921</v>
      </c>
      <c r="S98" s="307">
        <f t="shared" si="49"/>
        <v>6388.3629880870021</v>
      </c>
      <c r="T98" s="307">
        <f t="shared" si="49"/>
        <v>7650.5478674648039</v>
      </c>
      <c r="U98" s="308">
        <f t="shared" si="49"/>
        <v>8828.3681043078395</v>
      </c>
    </row>
    <row r="99" spans="1:21" ht="15.5" x14ac:dyDescent="0.35">
      <c r="B99" s="7" t="s">
        <v>178</v>
      </c>
      <c r="C99" s="202"/>
      <c r="D99" s="307">
        <f t="shared" ref="D99:U99" si="50">D96+D98</f>
        <v>0</v>
      </c>
      <c r="E99" s="307">
        <f t="shared" si="50"/>
        <v>0</v>
      </c>
      <c r="F99" s="307">
        <f t="shared" si="50"/>
        <v>40.555555555555657</v>
      </c>
      <c r="G99" s="307">
        <f t="shared" si="50"/>
        <v>-108.45599047417886</v>
      </c>
      <c r="H99" s="307">
        <f t="shared" si="50"/>
        <v>-42.188290771951188</v>
      </c>
      <c r="I99" s="307">
        <f t="shared" si="50"/>
        <v>77.698155137607955</v>
      </c>
      <c r="J99" s="307">
        <f t="shared" si="50"/>
        <v>261.70158235762324</v>
      </c>
      <c r="K99" s="307">
        <f t="shared" si="50"/>
        <v>490.20592926315135</v>
      </c>
      <c r="L99" s="307">
        <f t="shared" si="50"/>
        <v>773.44392214121262</v>
      </c>
      <c r="M99" s="307">
        <f t="shared" si="50"/>
        <v>1117.6219344077358</v>
      </c>
      <c r="N99" s="307">
        <f t="shared" si="50"/>
        <v>1498.3978713446043</v>
      </c>
      <c r="O99" s="307">
        <f t="shared" si="50"/>
        <v>2179.5416655119038</v>
      </c>
      <c r="P99" s="307">
        <f t="shared" si="50"/>
        <v>3659.7432308561743</v>
      </c>
      <c r="Q99" s="307">
        <f t="shared" si="50"/>
        <v>5057.297296223921</v>
      </c>
      <c r="R99" s="307">
        <f t="shared" si="50"/>
        <v>6388.3629880870021</v>
      </c>
      <c r="S99" s="307">
        <f t="shared" si="50"/>
        <v>7650.5478674648039</v>
      </c>
      <c r="T99" s="307">
        <f t="shared" si="50"/>
        <v>8828.3681043078395</v>
      </c>
      <c r="U99" s="308">
        <f t="shared" si="50"/>
        <v>9929.7644758259812</v>
      </c>
    </row>
    <row r="100" spans="1:21" x14ac:dyDescent="0.35">
      <c r="A100" s="332"/>
      <c r="B100" s="329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</row>
    <row r="101" spans="1:21" x14ac:dyDescent="0.35">
      <c r="B101" s="15"/>
      <c r="C101" s="16"/>
      <c r="D101" s="17"/>
      <c r="E101" s="17"/>
      <c r="F101" s="17"/>
      <c r="G101" s="13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5.5" x14ac:dyDescent="0.35">
      <c r="B102" s="315" t="s">
        <v>193</v>
      </c>
      <c r="C102" s="414">
        <v>2009</v>
      </c>
      <c r="D102" s="414">
        <v>2010</v>
      </c>
      <c r="E102" s="414">
        <v>2011</v>
      </c>
      <c r="F102" s="414">
        <v>2012</v>
      </c>
      <c r="G102" s="414">
        <v>2013</v>
      </c>
      <c r="H102" s="414">
        <v>2014</v>
      </c>
      <c r="I102" s="414">
        <v>2015</v>
      </c>
      <c r="J102" s="414">
        <v>2016</v>
      </c>
      <c r="K102" s="414">
        <v>2017</v>
      </c>
      <c r="L102" s="414">
        <v>2018</v>
      </c>
      <c r="M102" s="414">
        <v>2019</v>
      </c>
      <c r="N102" s="414">
        <v>2020</v>
      </c>
      <c r="O102" s="414">
        <v>2021</v>
      </c>
      <c r="P102" s="414">
        <v>2022</v>
      </c>
      <c r="Q102" s="414">
        <v>2023</v>
      </c>
      <c r="R102" s="414">
        <v>2024</v>
      </c>
      <c r="S102" s="414">
        <v>2025</v>
      </c>
      <c r="T102" s="414">
        <v>2026</v>
      </c>
      <c r="U102" s="414">
        <v>2027</v>
      </c>
    </row>
    <row r="103" spans="1:21" ht="6.25" customHeight="1" x14ac:dyDescent="0.35">
      <c r="B103" s="315"/>
      <c r="C103" s="16"/>
      <c r="D103" s="17"/>
      <c r="E103" s="17"/>
      <c r="F103" s="17"/>
    </row>
    <row r="104" spans="1:21" x14ac:dyDescent="0.35">
      <c r="B104" s="314" t="s">
        <v>232</v>
      </c>
      <c r="C104" s="16"/>
      <c r="D104" s="17"/>
      <c r="E104" s="17"/>
      <c r="F104" s="17"/>
      <c r="G104" s="13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35">
      <c r="B105" s="316" t="s">
        <v>57</v>
      </c>
      <c r="C105" s="317"/>
      <c r="D105" s="319">
        <v>0</v>
      </c>
      <c r="E105" s="319">
        <v>0</v>
      </c>
      <c r="F105" s="319">
        <v>0</v>
      </c>
      <c r="G105" s="319">
        <f t="shared" ref="G105:U105" si="51">G21*G106</f>
        <v>1079.6930342384887</v>
      </c>
      <c r="H105" s="319">
        <f t="shared" si="51"/>
        <v>1088.4002361275088</v>
      </c>
      <c r="I105" s="319">
        <f t="shared" si="51"/>
        <v>1114.5218417945689</v>
      </c>
      <c r="J105" s="319">
        <f t="shared" si="51"/>
        <v>1131.9362455726091</v>
      </c>
      <c r="K105" s="319">
        <f t="shared" si="51"/>
        <v>1149.3506493506493</v>
      </c>
      <c r="L105" s="319">
        <f t="shared" si="51"/>
        <v>1175.4722550177094</v>
      </c>
      <c r="M105" s="319">
        <f t="shared" si="51"/>
        <v>1192.8866587957498</v>
      </c>
      <c r="N105" s="319">
        <f t="shared" si="51"/>
        <v>1219.0082644628098</v>
      </c>
      <c r="O105" s="319">
        <f t="shared" si="51"/>
        <v>1245.1298701298699</v>
      </c>
      <c r="P105" s="319">
        <f t="shared" si="51"/>
        <v>1262.5442739079101</v>
      </c>
      <c r="Q105" s="319">
        <f t="shared" si="51"/>
        <v>1288.6658795749704</v>
      </c>
      <c r="R105" s="319">
        <f t="shared" si="51"/>
        <v>1314.7874852420307</v>
      </c>
      <c r="S105" s="319">
        <f t="shared" si="51"/>
        <v>1340.9090909090908</v>
      </c>
      <c r="T105" s="319">
        <f t="shared" si="51"/>
        <v>1367.0306965761511</v>
      </c>
      <c r="U105" s="319">
        <f t="shared" si="51"/>
        <v>1393.1523022432114</v>
      </c>
    </row>
    <row r="106" spans="1:21" x14ac:dyDescent="0.35">
      <c r="B106" s="316" t="s">
        <v>192</v>
      </c>
      <c r="C106" s="317"/>
      <c r="D106" s="324"/>
      <c r="E106" s="324"/>
      <c r="F106" s="324"/>
      <c r="G106" s="325">
        <v>0.1848472922853088</v>
      </c>
      <c r="H106" s="325">
        <v>0.18449306559935805</v>
      </c>
      <c r="I106" s="325">
        <v>0.18705039522152736</v>
      </c>
      <c r="J106" s="325">
        <v>0.18809213628402349</v>
      </c>
      <c r="K106" s="325">
        <v>0.18909491233428105</v>
      </c>
      <c r="L106" s="325">
        <v>0.19147774651311086</v>
      </c>
      <c r="M106" s="325">
        <v>0.19239054838501055</v>
      </c>
      <c r="N106" s="325">
        <v>0.19465691099155508</v>
      </c>
      <c r="O106" s="325">
        <v>0.19685953516119076</v>
      </c>
      <c r="P106" s="325">
        <v>0.1976364508645895</v>
      </c>
      <c r="Q106" s="325">
        <v>0.19972819889354212</v>
      </c>
      <c r="R106" s="325">
        <v>0.20175915194624608</v>
      </c>
      <c r="S106" s="325">
        <v>0.2037303088303842</v>
      </c>
      <c r="T106" s="325">
        <v>0.20564265453497699</v>
      </c>
      <c r="U106" s="325">
        <v>0.20749716040610655</v>
      </c>
    </row>
    <row r="107" spans="1:21" x14ac:dyDescent="0.35">
      <c r="B107" s="316"/>
      <c r="C107" s="317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</row>
    <row r="108" spans="1:21" x14ac:dyDescent="0.35">
      <c r="B108" s="314" t="s">
        <v>294</v>
      </c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</row>
    <row r="109" spans="1:21" x14ac:dyDescent="0.35">
      <c r="B109" s="316" t="s">
        <v>295</v>
      </c>
      <c r="C109" s="317"/>
      <c r="D109" s="321">
        <v>0</v>
      </c>
      <c r="E109" s="321">
        <f>D112</f>
        <v>2420.0000000000005</v>
      </c>
      <c r="F109" s="321">
        <f>E112</f>
        <v>6290.0000000000018</v>
      </c>
      <c r="G109" s="321">
        <f t="shared" ref="G109:U109" si="52">F112</f>
        <v>9430.5555555555566</v>
      </c>
      <c r="H109" s="321">
        <f t="shared" si="52"/>
        <v>8352.7777777777792</v>
      </c>
      <c r="I109" s="321">
        <f t="shared" si="52"/>
        <v>7275.0000000000009</v>
      </c>
      <c r="J109" s="321">
        <f t="shared" si="52"/>
        <v>6197.2222222222226</v>
      </c>
      <c r="K109" s="321">
        <f t="shared" si="52"/>
        <v>5119.4444444444443</v>
      </c>
      <c r="L109" s="321">
        <f t="shared" si="52"/>
        <v>4041.6666666666661</v>
      </c>
      <c r="M109" s="321">
        <f t="shared" si="52"/>
        <v>2963.8888888888878</v>
      </c>
      <c r="N109" s="321">
        <f t="shared" si="52"/>
        <v>1886.1111111111097</v>
      </c>
      <c r="O109" s="321">
        <f t="shared" si="52"/>
        <v>808.33333333333167</v>
      </c>
      <c r="P109" s="321">
        <f t="shared" si="52"/>
        <v>-1.8189894035458565E-12</v>
      </c>
      <c r="Q109" s="321">
        <f t="shared" si="52"/>
        <v>-1.8189894035458565E-12</v>
      </c>
      <c r="R109" s="321">
        <f t="shared" si="52"/>
        <v>-1.8189894035458565E-12</v>
      </c>
      <c r="S109" s="321">
        <f t="shared" si="52"/>
        <v>-1.8189894035458565E-12</v>
      </c>
      <c r="T109" s="321">
        <f t="shared" si="52"/>
        <v>-1.8189894035458565E-12</v>
      </c>
      <c r="U109" s="321">
        <f t="shared" si="52"/>
        <v>-1.8189894035458565E-12</v>
      </c>
    </row>
    <row r="110" spans="1:21" x14ac:dyDescent="0.35">
      <c r="B110" s="316" t="s">
        <v>296</v>
      </c>
      <c r="D110" s="321">
        <f>N4</f>
        <v>2420.0000000000005</v>
      </c>
      <c r="E110" s="321">
        <f>O4</f>
        <v>3870.0000000000009</v>
      </c>
      <c r="F110" s="321">
        <f>P4</f>
        <v>3410.0000000000005</v>
      </c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</row>
    <row r="111" spans="1:21" x14ac:dyDescent="0.35">
      <c r="B111" s="316" t="s">
        <v>297</v>
      </c>
      <c r="C111" s="317"/>
      <c r="D111" s="321">
        <v>0</v>
      </c>
      <c r="E111" s="321">
        <v>0</v>
      </c>
      <c r="F111" s="321">
        <f t="shared" ref="F111:U111" si="53">F87</f>
        <v>-269.44444444444451</v>
      </c>
      <c r="G111" s="321">
        <f t="shared" si="53"/>
        <v>-1077.7777777777781</v>
      </c>
      <c r="H111" s="321">
        <f t="shared" si="53"/>
        <v>-1077.7777777777781</v>
      </c>
      <c r="I111" s="321">
        <f t="shared" si="53"/>
        <v>-1077.7777777777781</v>
      </c>
      <c r="J111" s="321">
        <f t="shared" si="53"/>
        <v>-1077.7777777777781</v>
      </c>
      <c r="K111" s="321">
        <f t="shared" si="53"/>
        <v>-1077.7777777777781</v>
      </c>
      <c r="L111" s="321">
        <f t="shared" si="53"/>
        <v>-1077.7777777777781</v>
      </c>
      <c r="M111" s="321">
        <f t="shared" si="53"/>
        <v>-1077.7777777777781</v>
      </c>
      <c r="N111" s="321">
        <f t="shared" si="53"/>
        <v>-1077.7777777777781</v>
      </c>
      <c r="O111" s="321">
        <f t="shared" si="53"/>
        <v>-808.33333333333348</v>
      </c>
      <c r="P111" s="321">
        <f t="shared" si="53"/>
        <v>0</v>
      </c>
      <c r="Q111" s="321">
        <f t="shared" si="53"/>
        <v>0</v>
      </c>
      <c r="R111" s="321">
        <f t="shared" si="53"/>
        <v>0</v>
      </c>
      <c r="S111" s="321">
        <f t="shared" si="53"/>
        <v>0</v>
      </c>
      <c r="T111" s="321">
        <f t="shared" si="53"/>
        <v>0</v>
      </c>
      <c r="U111" s="321">
        <f t="shared" si="53"/>
        <v>0</v>
      </c>
    </row>
    <row r="112" spans="1:21" x14ac:dyDescent="0.35">
      <c r="B112" s="316" t="s">
        <v>298</v>
      </c>
      <c r="C112" s="317"/>
      <c r="D112" s="321">
        <f>D109+D110+D111</f>
        <v>2420.0000000000005</v>
      </c>
      <c r="E112" s="321">
        <f>E109+E110+E111</f>
        <v>6290.0000000000018</v>
      </c>
      <c r="F112" s="321">
        <f>F109+F110+F111</f>
        <v>9430.5555555555566</v>
      </c>
      <c r="G112" s="321">
        <f t="shared" ref="G112:U112" si="54">G109+G110+G111</f>
        <v>8352.7777777777792</v>
      </c>
      <c r="H112" s="321">
        <f t="shared" si="54"/>
        <v>7275.0000000000009</v>
      </c>
      <c r="I112" s="321">
        <f t="shared" si="54"/>
        <v>6197.2222222222226</v>
      </c>
      <c r="J112" s="321">
        <f t="shared" si="54"/>
        <v>5119.4444444444443</v>
      </c>
      <c r="K112" s="321">
        <f t="shared" si="54"/>
        <v>4041.6666666666661</v>
      </c>
      <c r="L112" s="321">
        <f t="shared" si="54"/>
        <v>2963.8888888888878</v>
      </c>
      <c r="M112" s="321">
        <f t="shared" si="54"/>
        <v>1886.1111111111097</v>
      </c>
      <c r="N112" s="321">
        <f t="shared" si="54"/>
        <v>808.33333333333167</v>
      </c>
      <c r="O112" s="321">
        <f t="shared" si="54"/>
        <v>-1.8189894035458565E-12</v>
      </c>
      <c r="P112" s="321">
        <f t="shared" si="54"/>
        <v>-1.8189894035458565E-12</v>
      </c>
      <c r="Q112" s="321">
        <f t="shared" si="54"/>
        <v>-1.8189894035458565E-12</v>
      </c>
      <c r="R112" s="321">
        <f t="shared" si="54"/>
        <v>-1.8189894035458565E-12</v>
      </c>
      <c r="S112" s="321">
        <f t="shared" si="54"/>
        <v>-1.8189894035458565E-12</v>
      </c>
      <c r="T112" s="321">
        <f t="shared" si="54"/>
        <v>-1.8189894035458565E-12</v>
      </c>
      <c r="U112" s="321">
        <f t="shared" si="54"/>
        <v>-1.8189894035458565E-12</v>
      </c>
    </row>
    <row r="113" spans="2:21" x14ac:dyDescent="0.35">
      <c r="B113" s="329" t="s">
        <v>185</v>
      </c>
      <c r="C113" s="317"/>
      <c r="D113" s="440">
        <f>D59-D112</f>
        <v>0</v>
      </c>
      <c r="E113" s="440">
        <f t="shared" ref="E113:U113" si="55">E59-E112</f>
        <v>0</v>
      </c>
      <c r="F113" s="440">
        <f t="shared" si="55"/>
        <v>0</v>
      </c>
      <c r="G113" s="440">
        <f t="shared" si="55"/>
        <v>0</v>
      </c>
      <c r="H113" s="440">
        <f t="shared" si="55"/>
        <v>0</v>
      </c>
      <c r="I113" s="440">
        <f t="shared" si="55"/>
        <v>0</v>
      </c>
      <c r="J113" s="440">
        <f t="shared" si="55"/>
        <v>0</v>
      </c>
      <c r="K113" s="440">
        <f t="shared" si="55"/>
        <v>0</v>
      </c>
      <c r="L113" s="440">
        <f t="shared" si="55"/>
        <v>0</v>
      </c>
      <c r="M113" s="440">
        <f t="shared" si="55"/>
        <v>0</v>
      </c>
      <c r="N113" s="440">
        <f t="shared" si="55"/>
        <v>0</v>
      </c>
      <c r="O113" s="440">
        <f t="shared" si="55"/>
        <v>0</v>
      </c>
      <c r="P113" s="440">
        <f t="shared" si="55"/>
        <v>0</v>
      </c>
      <c r="Q113" s="440">
        <f t="shared" si="55"/>
        <v>0</v>
      </c>
      <c r="R113" s="440">
        <f t="shared" si="55"/>
        <v>0</v>
      </c>
      <c r="S113" s="440">
        <f t="shared" si="55"/>
        <v>0</v>
      </c>
      <c r="T113" s="440">
        <f t="shared" si="55"/>
        <v>0</v>
      </c>
      <c r="U113" s="440">
        <f t="shared" si="55"/>
        <v>0</v>
      </c>
    </row>
    <row r="114" spans="2:21" x14ac:dyDescent="0.35">
      <c r="B114" s="316"/>
      <c r="C114" s="317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</row>
    <row r="115" spans="2:21" x14ac:dyDescent="0.35">
      <c r="B115" s="316" t="s">
        <v>300</v>
      </c>
      <c r="C115" s="430">
        <v>2.5000000000000001E-3</v>
      </c>
      <c r="D115" s="321">
        <f>(D110+E110+F110)*C115</f>
        <v>24.250000000000004</v>
      </c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</row>
    <row r="116" spans="2:21" ht="15" thickBot="1" x14ac:dyDescent="0.4">
      <c r="B116" s="316" t="s">
        <v>299</v>
      </c>
      <c r="C116" s="430">
        <v>2.5000000000000001E-3</v>
      </c>
      <c r="D116" s="442">
        <f>(E110+F110)*C116</f>
        <v>18.200000000000006</v>
      </c>
      <c r="E116" s="442">
        <f>F110*C116</f>
        <v>8.5250000000000021</v>
      </c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</row>
    <row r="117" spans="2:21" ht="15" thickTop="1" x14ac:dyDescent="0.35">
      <c r="B117" s="316" t="s">
        <v>301</v>
      </c>
      <c r="C117" s="317"/>
      <c r="D117" s="321">
        <f>D115+D116</f>
        <v>42.45000000000001</v>
      </c>
      <c r="E117" s="321">
        <f>E115+E116</f>
        <v>8.5250000000000021</v>
      </c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</row>
    <row r="118" spans="2:21" x14ac:dyDescent="0.35">
      <c r="B118" s="316"/>
      <c r="C118" s="317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</row>
    <row r="119" spans="2:21" x14ac:dyDescent="0.35">
      <c r="B119" s="314" t="s">
        <v>274</v>
      </c>
      <c r="C119" s="16"/>
      <c r="D119" s="17"/>
      <c r="E119" s="17"/>
      <c r="F119" s="17"/>
      <c r="G119" s="13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2:21" x14ac:dyDescent="0.35">
      <c r="B120" s="316" t="s">
        <v>275</v>
      </c>
      <c r="C120" s="317"/>
      <c r="D120" s="319">
        <v>0</v>
      </c>
      <c r="E120" s="319">
        <v>0</v>
      </c>
      <c r="F120" s="319">
        <v>0</v>
      </c>
      <c r="G120" s="319">
        <v>0</v>
      </c>
      <c r="H120" s="319">
        <f>G124</f>
        <v>809.76977567886661</v>
      </c>
      <c r="I120" s="319">
        <f t="shared" ref="I120:U120" si="56">H124</f>
        <v>818.47697756788671</v>
      </c>
      <c r="J120" s="319">
        <f t="shared" si="56"/>
        <v>835.89138134592679</v>
      </c>
      <c r="K120" s="319">
        <f t="shared" si="56"/>
        <v>853.30578512396698</v>
      </c>
      <c r="L120" s="319">
        <f t="shared" si="56"/>
        <v>862.01298701298708</v>
      </c>
      <c r="M120" s="319">
        <f t="shared" si="56"/>
        <v>879.42739079102716</v>
      </c>
      <c r="N120" s="319">
        <f t="shared" si="56"/>
        <v>896.84179456906759</v>
      </c>
      <c r="O120" s="319">
        <f t="shared" si="56"/>
        <v>914.25619834710767</v>
      </c>
      <c r="P120" s="319">
        <f t="shared" si="56"/>
        <v>931.67060212514775</v>
      </c>
      <c r="Q120" s="319">
        <f t="shared" si="56"/>
        <v>949.08500590318795</v>
      </c>
      <c r="R120" s="319">
        <f t="shared" si="56"/>
        <v>966.49940968122814</v>
      </c>
      <c r="S120" s="319">
        <f t="shared" si="56"/>
        <v>983.91381345926834</v>
      </c>
      <c r="T120" s="319">
        <f t="shared" si="56"/>
        <v>1010.0354191263284</v>
      </c>
      <c r="U120" s="319">
        <f t="shared" si="56"/>
        <v>1027.4498229043686</v>
      </c>
    </row>
    <row r="121" spans="2:21" x14ac:dyDescent="0.35">
      <c r="B121" s="316" t="s">
        <v>276</v>
      </c>
      <c r="C121" s="317"/>
      <c r="D121" s="319">
        <v>0</v>
      </c>
      <c r="E121" s="319">
        <v>0</v>
      </c>
      <c r="F121" s="319">
        <v>0</v>
      </c>
      <c r="G121" s="319">
        <f t="shared" ref="G121:U121" si="57">(G105-F105)*G122</f>
        <v>809.76977567886661</v>
      </c>
      <c r="H121" s="319">
        <f t="shared" si="57"/>
        <v>8.707201889020098</v>
      </c>
      <c r="I121" s="319">
        <f t="shared" si="57"/>
        <v>17.414403778040043</v>
      </c>
      <c r="J121" s="319">
        <f t="shared" si="57"/>
        <v>17.414403778040196</v>
      </c>
      <c r="K121" s="319">
        <f t="shared" si="57"/>
        <v>8.707201889020098</v>
      </c>
      <c r="L121" s="319">
        <f t="shared" si="57"/>
        <v>17.414403778040043</v>
      </c>
      <c r="M121" s="319">
        <f t="shared" si="57"/>
        <v>17.414403778040423</v>
      </c>
      <c r="N121" s="319">
        <f t="shared" si="57"/>
        <v>17.414403778040043</v>
      </c>
      <c r="O121" s="319">
        <f t="shared" si="57"/>
        <v>17.414403778040043</v>
      </c>
      <c r="P121" s="319">
        <f t="shared" si="57"/>
        <v>17.414403778040196</v>
      </c>
      <c r="Q121" s="319">
        <f t="shared" si="57"/>
        <v>17.414403778040196</v>
      </c>
      <c r="R121" s="319">
        <f t="shared" si="57"/>
        <v>17.414403778040196</v>
      </c>
      <c r="S121" s="319">
        <f t="shared" si="57"/>
        <v>26.121605667060066</v>
      </c>
      <c r="T121" s="319">
        <f t="shared" si="57"/>
        <v>17.414403778040196</v>
      </c>
      <c r="U121" s="319">
        <f t="shared" si="57"/>
        <v>17.414403778040196</v>
      </c>
    </row>
    <row r="122" spans="2:21" x14ac:dyDescent="0.35">
      <c r="B122" s="316" t="s">
        <v>278</v>
      </c>
      <c r="C122" s="317"/>
      <c r="D122" s="324"/>
      <c r="E122" s="324"/>
      <c r="F122" s="324"/>
      <c r="G122" s="325">
        <v>0.75</v>
      </c>
      <c r="H122" s="325">
        <v>1</v>
      </c>
      <c r="I122" s="325">
        <v>0.66666666666666663</v>
      </c>
      <c r="J122" s="325">
        <v>1</v>
      </c>
      <c r="K122" s="325">
        <v>0.5</v>
      </c>
      <c r="L122" s="325">
        <v>0.66666666666666663</v>
      </c>
      <c r="M122" s="325">
        <v>1</v>
      </c>
      <c r="N122" s="325">
        <v>0.66666666666666663</v>
      </c>
      <c r="O122" s="325">
        <v>0.66666666666666663</v>
      </c>
      <c r="P122" s="325">
        <v>1</v>
      </c>
      <c r="Q122" s="325">
        <v>0.66666666666666663</v>
      </c>
      <c r="R122" s="325">
        <v>0.66666666666666663</v>
      </c>
      <c r="S122" s="325">
        <v>1</v>
      </c>
      <c r="T122" s="325">
        <v>0.66666666666666663</v>
      </c>
      <c r="U122" s="325">
        <v>0.66666666666666663</v>
      </c>
    </row>
    <row r="123" spans="2:21" x14ac:dyDescent="0.35">
      <c r="B123" s="316" t="s">
        <v>240</v>
      </c>
      <c r="C123" s="317"/>
      <c r="D123" s="324"/>
      <c r="E123" s="324"/>
      <c r="F123" s="324"/>
      <c r="G123" s="415">
        <v>0</v>
      </c>
      <c r="H123" s="415">
        <v>0</v>
      </c>
      <c r="I123" s="415">
        <v>0</v>
      </c>
      <c r="J123" s="415">
        <v>0</v>
      </c>
      <c r="K123" s="415">
        <v>0</v>
      </c>
      <c r="L123" s="415">
        <v>0</v>
      </c>
      <c r="M123" s="415">
        <v>0</v>
      </c>
      <c r="N123" s="415">
        <v>0</v>
      </c>
      <c r="O123" s="415">
        <v>0</v>
      </c>
      <c r="P123" s="415">
        <v>0</v>
      </c>
      <c r="Q123" s="415">
        <v>0</v>
      </c>
      <c r="R123" s="415">
        <v>0</v>
      </c>
      <c r="S123" s="415">
        <v>0</v>
      </c>
      <c r="T123" s="415">
        <v>0</v>
      </c>
      <c r="U123" s="415">
        <v>0</v>
      </c>
    </row>
    <row r="124" spans="2:21" x14ac:dyDescent="0.35">
      <c r="B124" s="316" t="s">
        <v>277</v>
      </c>
      <c r="C124" s="317"/>
      <c r="D124" s="324"/>
      <c r="E124" s="324"/>
      <c r="F124" s="324"/>
      <c r="G124" s="416">
        <f>G120+G121+G123</f>
        <v>809.76977567886661</v>
      </c>
      <c r="H124" s="416">
        <f t="shared" ref="H124:U124" si="58">H120+H121+H123</f>
        <v>818.47697756788671</v>
      </c>
      <c r="I124" s="416">
        <f t="shared" si="58"/>
        <v>835.89138134592679</v>
      </c>
      <c r="J124" s="416">
        <f t="shared" si="58"/>
        <v>853.30578512396698</v>
      </c>
      <c r="K124" s="416">
        <f t="shared" si="58"/>
        <v>862.01298701298708</v>
      </c>
      <c r="L124" s="416">
        <f t="shared" si="58"/>
        <v>879.42739079102716</v>
      </c>
      <c r="M124" s="416">
        <f t="shared" si="58"/>
        <v>896.84179456906759</v>
      </c>
      <c r="N124" s="416">
        <f t="shared" si="58"/>
        <v>914.25619834710767</v>
      </c>
      <c r="O124" s="416">
        <f t="shared" si="58"/>
        <v>931.67060212514775</v>
      </c>
      <c r="P124" s="416">
        <f t="shared" si="58"/>
        <v>949.08500590318795</v>
      </c>
      <c r="Q124" s="416">
        <f t="shared" si="58"/>
        <v>966.49940968122814</v>
      </c>
      <c r="R124" s="416">
        <f t="shared" si="58"/>
        <v>983.91381345926834</v>
      </c>
      <c r="S124" s="416">
        <f t="shared" si="58"/>
        <v>1010.0354191263284</v>
      </c>
      <c r="T124" s="416">
        <f t="shared" si="58"/>
        <v>1027.4498229043686</v>
      </c>
      <c r="U124" s="416">
        <f t="shared" si="58"/>
        <v>1044.8642266824088</v>
      </c>
    </row>
    <row r="125" spans="2:21" x14ac:dyDescent="0.35">
      <c r="B125" s="316"/>
      <c r="C125" s="317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</row>
    <row r="126" spans="2:21" x14ac:dyDescent="0.35">
      <c r="B126" s="314" t="s">
        <v>233</v>
      </c>
      <c r="C126" s="317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</row>
    <row r="127" spans="2:21" x14ac:dyDescent="0.35">
      <c r="B127" s="316" t="s">
        <v>195</v>
      </c>
      <c r="C127" s="317"/>
      <c r="D127" s="320">
        <f>D33</f>
        <v>0</v>
      </c>
      <c r="E127" s="320">
        <f>E33</f>
        <v>0</v>
      </c>
      <c r="F127" s="320">
        <f t="shared" ref="F127:U127" si="59">F31*F128</f>
        <v>0</v>
      </c>
      <c r="G127" s="320">
        <f t="shared" si="59"/>
        <v>82.156549687944789</v>
      </c>
      <c r="H127" s="320">
        <f t="shared" si="59"/>
        <v>95.272610458328799</v>
      </c>
      <c r="I127" s="320">
        <f t="shared" si="59"/>
        <v>105.71824078712598</v>
      </c>
      <c r="J127" s="320">
        <f t="shared" si="59"/>
        <v>120.8756053097391</v>
      </c>
      <c r="K127" s="320">
        <f t="shared" si="59"/>
        <v>130.9290348060633</v>
      </c>
      <c r="L127" s="320">
        <f t="shared" si="59"/>
        <v>140.6737935779164</v>
      </c>
      <c r="M127" s="320">
        <f t="shared" si="59"/>
        <v>150.097708520325</v>
      </c>
      <c r="N127" s="320">
        <f t="shared" si="59"/>
        <v>159.26783115163519</v>
      </c>
      <c r="O127" s="320">
        <f t="shared" si="59"/>
        <v>165.62352899248651</v>
      </c>
      <c r="P127" s="320">
        <f t="shared" si="59"/>
        <v>164.23772635517633</v>
      </c>
      <c r="Q127" s="320">
        <f t="shared" si="59"/>
        <v>149.41445456307289</v>
      </c>
      <c r="R127" s="320">
        <f t="shared" si="59"/>
        <v>137.00364369601536</v>
      </c>
      <c r="S127" s="320">
        <f t="shared" si="59"/>
        <v>119.43324343027142</v>
      </c>
      <c r="T127" s="320">
        <f t="shared" si="59"/>
        <v>106.16213503202621</v>
      </c>
      <c r="U127" s="320">
        <f t="shared" si="59"/>
        <v>88.36432961519553</v>
      </c>
    </row>
    <row r="128" spans="2:21" x14ac:dyDescent="0.35">
      <c r="B128" s="316" t="s">
        <v>194</v>
      </c>
      <c r="C128" s="317"/>
      <c r="D128" s="326">
        <v>0</v>
      </c>
      <c r="E128" s="326">
        <v>0</v>
      </c>
      <c r="F128" s="328">
        <f>G128</f>
        <v>0.15802091986112105</v>
      </c>
      <c r="G128" s="328">
        <v>0.15802091986112105</v>
      </c>
      <c r="H128" s="328">
        <v>0.15907644000795851</v>
      </c>
      <c r="I128" s="328">
        <v>0.15687954861953068</v>
      </c>
      <c r="J128" s="328">
        <v>0.16217989893584819</v>
      </c>
      <c r="K128" s="328">
        <v>0.16078459648084042</v>
      </c>
      <c r="L128" s="328">
        <v>0.1598281027676608</v>
      </c>
      <c r="M128" s="328">
        <v>0.15931667509970082</v>
      </c>
      <c r="N128" s="328">
        <v>0.15915201372283375</v>
      </c>
      <c r="O128" s="328">
        <v>0.15930728143794376</v>
      </c>
      <c r="P128" s="328">
        <v>0.16256822145799854</v>
      </c>
      <c r="Q128" s="328">
        <v>0.16089807467774875</v>
      </c>
      <c r="R128" s="328">
        <v>0.16250207573723705</v>
      </c>
      <c r="S128" s="328">
        <v>0.15862844089049913</v>
      </c>
      <c r="T128" s="328">
        <v>0.16120493557646226</v>
      </c>
      <c r="U128" s="328">
        <v>0.15766239791680375</v>
      </c>
    </row>
    <row r="129" spans="2:21" s="34" customFormat="1" x14ac:dyDescent="0.35">
      <c r="N129" s="327"/>
      <c r="O129" s="327"/>
      <c r="P129" s="327"/>
      <c r="Q129" s="327"/>
      <c r="R129" s="327"/>
      <c r="S129" s="327"/>
      <c r="T129" s="327"/>
      <c r="U129" s="327"/>
    </row>
    <row r="130" spans="2:21" s="34" customFormat="1" x14ac:dyDescent="0.35">
      <c r="B130" s="361" t="s">
        <v>234</v>
      </c>
      <c r="N130" s="327"/>
      <c r="O130" s="327"/>
      <c r="P130" s="327"/>
      <c r="Q130" s="327"/>
      <c r="R130" s="327"/>
      <c r="S130" s="327"/>
      <c r="T130" s="327"/>
      <c r="U130" s="327"/>
    </row>
    <row r="131" spans="2:21" s="34" customFormat="1" x14ac:dyDescent="0.35">
      <c r="B131" s="335" t="s">
        <v>198</v>
      </c>
      <c r="D131" s="277">
        <f t="shared" ref="D131:U131" si="60">C136</f>
        <v>0</v>
      </c>
      <c r="E131" s="277">
        <f t="shared" si="60"/>
        <v>-42.45000000000001</v>
      </c>
      <c r="F131" s="277">
        <f t="shared" si="60"/>
        <v>-50.975000000000009</v>
      </c>
      <c r="G131" s="277">
        <f t="shared" si="60"/>
        <v>-50.975000000000009</v>
      </c>
      <c r="H131" s="277">
        <f t="shared" si="60"/>
        <v>347.48426598653214</v>
      </c>
      <c r="I131" s="277">
        <f t="shared" si="60"/>
        <v>810.23694535555774</v>
      </c>
      <c r="J131" s="277">
        <f t="shared" si="60"/>
        <v>1334.0227747099548</v>
      </c>
      <c r="K131" s="277">
        <f t="shared" si="60"/>
        <v>1913.2183834857881</v>
      </c>
      <c r="L131" s="277">
        <f t="shared" si="60"/>
        <v>2546.914911947134</v>
      </c>
      <c r="M131" s="277">
        <f t="shared" si="60"/>
        <v>3234.0522882700334</v>
      </c>
      <c r="N131" s="277">
        <f t="shared" si="60"/>
        <v>3973.422482092375</v>
      </c>
      <c r="O131" s="277">
        <f t="shared" si="60"/>
        <v>4768.0978024740816</v>
      </c>
      <c r="P131" s="277">
        <f t="shared" si="60"/>
        <v>5623.696535641775</v>
      </c>
      <c r="Q131" s="277">
        <f t="shared" si="60"/>
        <v>6491.3125047640851</v>
      </c>
      <c r="R131" s="277">
        <f t="shared" si="60"/>
        <v>7304.9881757988924</v>
      </c>
      <c r="S131" s="277">
        <f t="shared" si="60"/>
        <v>8072.1754733290336</v>
      </c>
      <c r="T131" s="277">
        <f t="shared" si="60"/>
        <v>8780.4819583738954</v>
      </c>
      <c r="U131" s="277">
        <f t="shared" si="60"/>
        <v>9424.4238008839911</v>
      </c>
    </row>
    <row r="132" spans="2:21" s="34" customFormat="1" x14ac:dyDescent="0.35">
      <c r="B132" s="34" t="s">
        <v>87</v>
      </c>
      <c r="F132" s="277">
        <f t="shared" ref="F132:U132" si="61">F35</f>
        <v>0</v>
      </c>
      <c r="G132" s="277">
        <f t="shared" si="61"/>
        <v>437.75277472397011</v>
      </c>
      <c r="H132" s="277">
        <f t="shared" si="61"/>
        <v>503.63826819574695</v>
      </c>
      <c r="I132" s="277">
        <f t="shared" si="61"/>
        <v>568.1633563834348</v>
      </c>
      <c r="J132" s="277">
        <f t="shared" si="61"/>
        <v>624.44244028574258</v>
      </c>
      <c r="K132" s="277">
        <f t="shared" si="61"/>
        <v>683.38426181414616</v>
      </c>
      <c r="L132" s="277">
        <f t="shared" si="61"/>
        <v>739.48301953530279</v>
      </c>
      <c r="M132" s="277">
        <f t="shared" si="61"/>
        <v>792.03661876458375</v>
      </c>
      <c r="N132" s="277">
        <f t="shared" si="61"/>
        <v>851.45988460949343</v>
      </c>
      <c r="O132" s="277">
        <f t="shared" si="61"/>
        <v>914.02467476525055</v>
      </c>
      <c r="P132" s="277">
        <f t="shared" si="61"/>
        <v>916.03183852167831</v>
      </c>
      <c r="Q132" s="277">
        <f t="shared" si="61"/>
        <v>869.21352847727371</v>
      </c>
      <c r="R132" s="277">
        <f t="shared" si="61"/>
        <v>816.08493270806571</v>
      </c>
      <c r="S132" s="277">
        <f t="shared" si="61"/>
        <v>763.47867299407221</v>
      </c>
      <c r="T132" s="277">
        <f t="shared" si="61"/>
        <v>692.39174021003612</v>
      </c>
      <c r="U132" s="277">
        <f t="shared" si="61"/>
        <v>622.10113826272016</v>
      </c>
    </row>
    <row r="133" spans="2:21" s="34" customFormat="1" x14ac:dyDescent="0.35">
      <c r="B133" s="34" t="s">
        <v>302</v>
      </c>
      <c r="D133" s="277">
        <f>-D117</f>
        <v>-42.45000000000001</v>
      </c>
      <c r="E133" s="277">
        <f>-E117</f>
        <v>-8.5250000000000021</v>
      </c>
      <c r="F133" s="277">
        <f>F90</f>
        <v>0</v>
      </c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</row>
    <row r="134" spans="2:21" s="34" customFormat="1" x14ac:dyDescent="0.35">
      <c r="B134" s="335" t="s">
        <v>256</v>
      </c>
      <c r="G134" s="277">
        <f>-G132*G135</f>
        <v>-39.293508737437925</v>
      </c>
      <c r="H134" s="277">
        <f t="shared" ref="H134:U134" si="62">-H132*H135</f>
        <v>-40.885588826721317</v>
      </c>
      <c r="I134" s="277">
        <f t="shared" si="62"/>
        <v>-44.377527029037871</v>
      </c>
      <c r="J134" s="277">
        <f t="shared" si="62"/>
        <v>-45.246831509909292</v>
      </c>
      <c r="K134" s="277">
        <f t="shared" si="62"/>
        <v>-49.687733352799846</v>
      </c>
      <c r="L134" s="277">
        <f t="shared" si="62"/>
        <v>-52.345643212403438</v>
      </c>
      <c r="M134" s="277">
        <f t="shared" si="62"/>
        <v>-52.666424942242031</v>
      </c>
      <c r="N134" s="277">
        <f t="shared" si="62"/>
        <v>-56.784564227786966</v>
      </c>
      <c r="O134" s="277">
        <f t="shared" si="62"/>
        <v>-58.425941597557205</v>
      </c>
      <c r="P134" s="277">
        <f t="shared" si="62"/>
        <v>-48.415869399367502</v>
      </c>
      <c r="Q134" s="277">
        <f t="shared" si="62"/>
        <v>-55.537857442466944</v>
      </c>
      <c r="R134" s="277">
        <f t="shared" si="62"/>
        <v>-48.897635177924506</v>
      </c>
      <c r="S134" s="277">
        <f t="shared" si="62"/>
        <v>-55.172187949210084</v>
      </c>
      <c r="T134" s="277">
        <f t="shared" si="62"/>
        <v>-48.44989769994028</v>
      </c>
      <c r="U134" s="277">
        <f t="shared" si="62"/>
        <v>-44.583161077517524</v>
      </c>
    </row>
    <row r="135" spans="2:21" s="34" customFormat="1" x14ac:dyDescent="0.35">
      <c r="B135" s="34" t="s">
        <v>199</v>
      </c>
      <c r="D135" s="337"/>
      <c r="E135" s="337"/>
      <c r="F135" s="337"/>
      <c r="G135" s="338">
        <v>8.9761872468346743E-2</v>
      </c>
      <c r="H135" s="338">
        <v>8.1180465045262384E-2</v>
      </c>
      <c r="I135" s="338">
        <v>7.8106985483042901E-2</v>
      </c>
      <c r="J135" s="338">
        <v>7.245957127642462E-2</v>
      </c>
      <c r="K135" s="338">
        <v>7.2708337211185248E-2</v>
      </c>
      <c r="L135" s="338">
        <v>7.0786808932134598E-2</v>
      </c>
      <c r="M135" s="338">
        <v>6.6494936843186567E-2</v>
      </c>
      <c r="N135" s="338">
        <v>6.6690827429679994E-2</v>
      </c>
      <c r="O135" s="338">
        <v>6.3921624011477343E-2</v>
      </c>
      <c r="P135" s="338">
        <v>5.2853915511826083E-2</v>
      </c>
      <c r="Q135" s="338">
        <v>6.389437764476652E-2</v>
      </c>
      <c r="R135" s="338">
        <v>5.9917336073911358E-2</v>
      </c>
      <c r="S135" s="338">
        <v>7.226421627842701E-2</v>
      </c>
      <c r="T135" s="338">
        <v>6.9974690462429642E-2</v>
      </c>
      <c r="U135" s="338">
        <v>7.1665454916254409E-2</v>
      </c>
    </row>
    <row r="136" spans="2:21" s="34" customFormat="1" x14ac:dyDescent="0.35">
      <c r="B136" s="335" t="s">
        <v>200</v>
      </c>
      <c r="D136" s="277">
        <f>D131+D132+D133+D134</f>
        <v>-42.45000000000001</v>
      </c>
      <c r="E136" s="277">
        <f>E131+E132+E133+E134</f>
        <v>-50.975000000000009</v>
      </c>
      <c r="F136" s="277">
        <f>F131+F132+F133+F134</f>
        <v>-50.975000000000009</v>
      </c>
      <c r="G136" s="277">
        <f>G131+G132+G133+G134</f>
        <v>347.48426598653214</v>
      </c>
      <c r="H136" s="277">
        <f t="shared" ref="H136:U136" si="63">H131+H132+H133+H134</f>
        <v>810.23694535555774</v>
      </c>
      <c r="I136" s="277">
        <f t="shared" si="63"/>
        <v>1334.0227747099548</v>
      </c>
      <c r="J136" s="277">
        <f t="shared" si="63"/>
        <v>1913.2183834857881</v>
      </c>
      <c r="K136" s="277">
        <f t="shared" si="63"/>
        <v>2546.914911947134</v>
      </c>
      <c r="L136" s="277">
        <f t="shared" si="63"/>
        <v>3234.0522882700334</v>
      </c>
      <c r="M136" s="277">
        <f t="shared" si="63"/>
        <v>3973.422482092375</v>
      </c>
      <c r="N136" s="277">
        <f t="shared" si="63"/>
        <v>4768.0978024740816</v>
      </c>
      <c r="O136" s="277">
        <f t="shared" si="63"/>
        <v>5623.696535641775</v>
      </c>
      <c r="P136" s="277">
        <f t="shared" si="63"/>
        <v>6491.3125047640851</v>
      </c>
      <c r="Q136" s="277">
        <f t="shared" si="63"/>
        <v>7304.9881757988924</v>
      </c>
      <c r="R136" s="277">
        <f t="shared" si="63"/>
        <v>8072.1754733290336</v>
      </c>
      <c r="S136" s="277">
        <f t="shared" si="63"/>
        <v>8780.4819583738954</v>
      </c>
      <c r="T136" s="277">
        <f t="shared" si="63"/>
        <v>9424.4238008839911</v>
      </c>
      <c r="U136" s="277">
        <f t="shared" si="63"/>
        <v>10001.941778069195</v>
      </c>
    </row>
    <row r="137" spans="2:21" s="34" customFormat="1" ht="8.75" customHeight="1" x14ac:dyDescent="0.35"/>
    <row r="138" spans="2:21" s="34" customFormat="1" ht="25.75" customHeight="1" x14ac:dyDescent="0.35">
      <c r="B138" s="361" t="s">
        <v>235</v>
      </c>
      <c r="C138" s="356" t="s">
        <v>228</v>
      </c>
      <c r="E138" s="356" t="s">
        <v>227</v>
      </c>
      <c r="G138" s="356" t="s">
        <v>229</v>
      </c>
    </row>
    <row r="139" spans="2:21" s="34" customFormat="1" x14ac:dyDescent="0.35">
      <c r="B139" s="34" t="s">
        <v>224</v>
      </c>
      <c r="C139" s="277">
        <f>U68</f>
        <v>1393.1523022432114</v>
      </c>
      <c r="E139" s="357">
        <v>0.1</v>
      </c>
      <c r="G139" s="277">
        <f>C139*E139</f>
        <v>139.31523022432114</v>
      </c>
    </row>
    <row r="140" spans="2:21" s="34" customFormat="1" x14ac:dyDescent="0.35">
      <c r="B140" s="34" t="s">
        <v>8</v>
      </c>
      <c r="C140" s="277">
        <f>U67</f>
        <v>3350</v>
      </c>
      <c r="E140" s="357">
        <v>0.1</v>
      </c>
      <c r="G140" s="277">
        <f>C140*E140</f>
        <v>335</v>
      </c>
    </row>
    <row r="141" spans="2:21" s="34" customFormat="1" x14ac:dyDescent="0.35">
      <c r="B141" s="34" t="s">
        <v>226</v>
      </c>
      <c r="C141" s="277">
        <f>U69</f>
        <v>740</v>
      </c>
      <c r="E141" s="357">
        <v>0</v>
      </c>
      <c r="G141" s="277">
        <f>C141*E141</f>
        <v>0</v>
      </c>
    </row>
    <row r="142" spans="2:21" s="34" customFormat="1" x14ac:dyDescent="0.35">
      <c r="B142" s="34" t="s">
        <v>9</v>
      </c>
      <c r="C142" s="277">
        <f>U70</f>
        <v>9929.7644758259812</v>
      </c>
      <c r="E142" s="357">
        <v>1</v>
      </c>
      <c r="G142" s="358">
        <f>C142*E142</f>
        <v>9929.7644758259812</v>
      </c>
    </row>
    <row r="143" spans="2:21" s="34" customFormat="1" x14ac:dyDescent="0.35">
      <c r="B143" s="360" t="s">
        <v>236</v>
      </c>
      <c r="C143" s="277"/>
      <c r="G143" s="359">
        <f>SUM(G139:G142)</f>
        <v>10404.079706050303</v>
      </c>
    </row>
    <row r="144" spans="2:21" s="34" customFormat="1" x14ac:dyDescent="0.35">
      <c r="B144" s="34" t="s">
        <v>225</v>
      </c>
      <c r="C144" s="277">
        <f>-U60</f>
        <v>-1200</v>
      </c>
      <c r="E144" s="357">
        <v>1</v>
      </c>
      <c r="G144" s="358">
        <f>C144*E144</f>
        <v>-1200</v>
      </c>
    </row>
    <row r="145" spans="2:21" s="34" customFormat="1" x14ac:dyDescent="0.35">
      <c r="B145" s="360" t="s">
        <v>237</v>
      </c>
      <c r="C145" s="277"/>
      <c r="G145" s="359">
        <f>G143+G144</f>
        <v>9204.0797060503028</v>
      </c>
    </row>
    <row r="146" spans="2:21" s="34" customFormat="1" x14ac:dyDescent="0.35"/>
    <row r="147" spans="2:21" s="34" customFormat="1" ht="15" thickBot="1" x14ac:dyDescent="0.4"/>
    <row r="148" spans="2:21" s="34" customFormat="1" ht="17.5" thickBot="1" x14ac:dyDescent="0.4">
      <c r="B148" s="310" t="s">
        <v>238</v>
      </c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2"/>
    </row>
    <row r="149" spans="2:21" s="34" customFormat="1" ht="16" thickBot="1" x14ac:dyDescent="0.4">
      <c r="B149" s="95" t="s">
        <v>109</v>
      </c>
      <c r="C149" s="96">
        <v>2009</v>
      </c>
      <c r="D149" s="96">
        <v>2010</v>
      </c>
      <c r="E149" s="97">
        <v>2011</v>
      </c>
      <c r="F149" s="97">
        <v>2012</v>
      </c>
      <c r="G149" s="97">
        <v>2013</v>
      </c>
      <c r="H149" s="97">
        <v>2014</v>
      </c>
      <c r="I149" s="97">
        <v>2015</v>
      </c>
      <c r="J149" s="97">
        <v>2016</v>
      </c>
      <c r="K149" s="97">
        <v>2017</v>
      </c>
      <c r="L149" s="97">
        <v>2018</v>
      </c>
      <c r="M149" s="97">
        <v>2019</v>
      </c>
      <c r="N149" s="97">
        <v>2020</v>
      </c>
      <c r="O149" s="97">
        <v>2021</v>
      </c>
      <c r="P149" s="97">
        <v>2022</v>
      </c>
      <c r="Q149" s="97">
        <v>2023</v>
      </c>
      <c r="R149" s="97">
        <v>2024</v>
      </c>
      <c r="S149" s="97">
        <v>2025</v>
      </c>
      <c r="T149" s="97">
        <v>2026</v>
      </c>
      <c r="U149" s="98">
        <v>2027</v>
      </c>
    </row>
    <row r="150" spans="2:21" s="34" customFormat="1" ht="15.5" x14ac:dyDescent="0.35">
      <c r="B150" s="355" t="s">
        <v>247</v>
      </c>
      <c r="C150" s="198"/>
      <c r="D150" s="198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200"/>
    </row>
    <row r="151" spans="2:21" ht="15.5" x14ac:dyDescent="0.35">
      <c r="B151" s="103" t="s">
        <v>87</v>
      </c>
      <c r="C151" s="202"/>
      <c r="D151" s="202">
        <f t="shared" ref="D151:U151" si="64">D77</f>
        <v>0</v>
      </c>
      <c r="E151" s="202">
        <f t="shared" si="64"/>
        <v>0</v>
      </c>
      <c r="F151" s="202">
        <f t="shared" si="64"/>
        <v>0</v>
      </c>
      <c r="G151" s="202">
        <f t="shared" si="64"/>
        <v>437.75277472397011</v>
      </c>
      <c r="H151" s="202">
        <f t="shared" si="64"/>
        <v>503.63826819574695</v>
      </c>
      <c r="I151" s="202">
        <f t="shared" si="64"/>
        <v>568.1633563834348</v>
      </c>
      <c r="J151" s="202">
        <f t="shared" si="64"/>
        <v>624.44244028574258</v>
      </c>
      <c r="K151" s="202">
        <f t="shared" si="64"/>
        <v>683.38426181414616</v>
      </c>
      <c r="L151" s="202">
        <f t="shared" si="64"/>
        <v>739.48301953530279</v>
      </c>
      <c r="M151" s="202">
        <f t="shared" si="64"/>
        <v>792.03661876458375</v>
      </c>
      <c r="N151" s="202">
        <f t="shared" si="64"/>
        <v>851.45988460949343</v>
      </c>
      <c r="O151" s="202">
        <f t="shared" si="64"/>
        <v>914.02467476525055</v>
      </c>
      <c r="P151" s="202">
        <f t="shared" si="64"/>
        <v>916.03183852167831</v>
      </c>
      <c r="Q151" s="202">
        <f t="shared" si="64"/>
        <v>869.21352847727371</v>
      </c>
      <c r="R151" s="202">
        <f t="shared" si="64"/>
        <v>816.08493270806571</v>
      </c>
      <c r="S151" s="202">
        <f t="shared" si="64"/>
        <v>763.47867299407221</v>
      </c>
      <c r="T151" s="202">
        <f t="shared" si="64"/>
        <v>692.39174021003612</v>
      </c>
      <c r="U151" s="203">
        <f t="shared" si="64"/>
        <v>622.10113826272016</v>
      </c>
    </row>
    <row r="152" spans="2:21" ht="15.5" x14ac:dyDescent="0.35">
      <c r="B152" s="103" t="s">
        <v>30</v>
      </c>
      <c r="C152" s="202"/>
      <c r="D152" s="202"/>
      <c r="E152" s="202"/>
      <c r="F152" s="202"/>
      <c r="G152" s="202">
        <f t="shared" ref="G152:U152" si="65">G78</f>
        <v>680</v>
      </c>
      <c r="H152" s="202">
        <f t="shared" si="65"/>
        <v>680</v>
      </c>
      <c r="I152" s="202">
        <f t="shared" si="65"/>
        <v>680</v>
      </c>
      <c r="J152" s="202">
        <f t="shared" si="65"/>
        <v>680</v>
      </c>
      <c r="K152" s="202">
        <f t="shared" si="65"/>
        <v>680</v>
      </c>
      <c r="L152" s="202">
        <f t="shared" si="65"/>
        <v>680</v>
      </c>
      <c r="M152" s="202">
        <f t="shared" si="65"/>
        <v>680</v>
      </c>
      <c r="N152" s="202">
        <f t="shared" si="65"/>
        <v>680</v>
      </c>
      <c r="O152" s="202">
        <f t="shared" si="65"/>
        <v>680</v>
      </c>
      <c r="P152" s="202">
        <f t="shared" si="65"/>
        <v>680</v>
      </c>
      <c r="Q152" s="202">
        <f t="shared" si="65"/>
        <v>680</v>
      </c>
      <c r="R152" s="202">
        <f t="shared" si="65"/>
        <v>680</v>
      </c>
      <c r="S152" s="202">
        <f t="shared" si="65"/>
        <v>680</v>
      </c>
      <c r="T152" s="202">
        <f t="shared" si="65"/>
        <v>680</v>
      </c>
      <c r="U152" s="203">
        <f t="shared" si="65"/>
        <v>680</v>
      </c>
    </row>
    <row r="153" spans="2:21" ht="15.5" x14ac:dyDescent="0.35">
      <c r="B153" s="103" t="s">
        <v>184</v>
      </c>
      <c r="C153" s="202"/>
      <c r="D153" s="202">
        <f t="shared" ref="D153:F153" si="66">D79</f>
        <v>-3460</v>
      </c>
      <c r="E153" s="202">
        <f t="shared" si="66"/>
        <v>-5520</v>
      </c>
      <c r="F153" s="202">
        <f t="shared" si="66"/>
        <v>-4570</v>
      </c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3"/>
    </row>
    <row r="154" spans="2:21" ht="15.5" x14ac:dyDescent="0.35">
      <c r="B154" s="103" t="s">
        <v>257</v>
      </c>
      <c r="C154" s="202"/>
      <c r="D154" s="202"/>
      <c r="E154" s="202"/>
      <c r="F154" s="202">
        <f>-13860-D153-E153-F153</f>
        <v>-310</v>
      </c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3"/>
    </row>
    <row r="155" spans="2:21" ht="15.5" x14ac:dyDescent="0.35">
      <c r="B155" s="103" t="s">
        <v>230</v>
      </c>
      <c r="C155" s="202"/>
      <c r="D155" s="202"/>
      <c r="E155" s="202"/>
      <c r="F155" s="202"/>
      <c r="G155" s="202">
        <f t="shared" ref="G155:U155" si="67">G80</f>
        <v>-1079.6930342384887</v>
      </c>
      <c r="H155" s="202">
        <f t="shared" si="67"/>
        <v>-8.707201889020098</v>
      </c>
      <c r="I155" s="202">
        <f t="shared" si="67"/>
        <v>-26.121605667060066</v>
      </c>
      <c r="J155" s="202">
        <f t="shared" si="67"/>
        <v>-17.414403778040196</v>
      </c>
      <c r="K155" s="202">
        <f t="shared" si="67"/>
        <v>-17.414403778040196</v>
      </c>
      <c r="L155" s="202">
        <f t="shared" si="67"/>
        <v>-26.121605667060066</v>
      </c>
      <c r="M155" s="202">
        <f t="shared" si="67"/>
        <v>-17.414403778040423</v>
      </c>
      <c r="N155" s="202">
        <f t="shared" si="67"/>
        <v>-26.121605667060066</v>
      </c>
      <c r="O155" s="202">
        <f t="shared" si="67"/>
        <v>-26.121605667060066</v>
      </c>
      <c r="P155" s="202">
        <f t="shared" si="67"/>
        <v>-17.414403778040196</v>
      </c>
      <c r="Q155" s="202">
        <f t="shared" si="67"/>
        <v>-26.121605667060294</v>
      </c>
      <c r="R155" s="202">
        <f t="shared" si="67"/>
        <v>-26.121605667060294</v>
      </c>
      <c r="S155" s="202">
        <f t="shared" si="67"/>
        <v>-26.121605667060066</v>
      </c>
      <c r="T155" s="202">
        <f t="shared" si="67"/>
        <v>-26.121605667060294</v>
      </c>
      <c r="U155" s="203">
        <f t="shared" si="67"/>
        <v>-26.121605667060294</v>
      </c>
    </row>
    <row r="156" spans="2:21" ht="15.5" x14ac:dyDescent="0.35">
      <c r="B156" s="103" t="s">
        <v>231</v>
      </c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>
        <f t="shared" ref="N156:U157" si="68">N81</f>
        <v>-10</v>
      </c>
      <c r="O156" s="202">
        <f t="shared" si="68"/>
        <v>-40</v>
      </c>
      <c r="P156" s="202">
        <f t="shared" si="68"/>
        <v>-70</v>
      </c>
      <c r="Q156" s="202">
        <f t="shared" si="68"/>
        <v>-90</v>
      </c>
      <c r="R156" s="202">
        <f t="shared" si="68"/>
        <v>-110</v>
      </c>
      <c r="S156" s="202">
        <f t="shared" si="68"/>
        <v>-130</v>
      </c>
      <c r="T156" s="202">
        <f t="shared" si="68"/>
        <v>-140</v>
      </c>
      <c r="U156" s="203">
        <f t="shared" si="68"/>
        <v>-150</v>
      </c>
    </row>
    <row r="157" spans="2:21" ht="15.5" x14ac:dyDescent="0.35">
      <c r="B157" s="103" t="s">
        <v>145</v>
      </c>
      <c r="C157" s="202"/>
      <c r="D157" s="202"/>
      <c r="E157" s="202"/>
      <c r="F157" s="202"/>
      <c r="G157" s="202">
        <f t="shared" ref="G157:M157" si="69">G82</f>
        <v>1178.5999999999999</v>
      </c>
      <c r="H157" s="202">
        <f t="shared" si="69"/>
        <v>1049.8666666666668</v>
      </c>
      <c r="I157" s="202">
        <f t="shared" si="69"/>
        <v>922.33333333333337</v>
      </c>
      <c r="J157" s="202">
        <f t="shared" si="69"/>
        <v>795.4</v>
      </c>
      <c r="K157" s="202">
        <f t="shared" si="69"/>
        <v>667.86666666666656</v>
      </c>
      <c r="L157" s="202">
        <f t="shared" si="69"/>
        <v>540.33333333333326</v>
      </c>
      <c r="M157" s="202">
        <f t="shared" si="69"/>
        <v>413.39999999999981</v>
      </c>
      <c r="N157" s="202">
        <f t="shared" si="68"/>
        <v>286.46666666666647</v>
      </c>
      <c r="O157" s="202">
        <f t="shared" si="68"/>
        <v>175.69999999999976</v>
      </c>
      <c r="P157" s="202">
        <f t="shared" si="68"/>
        <v>129.59999999999977</v>
      </c>
      <c r="Q157" s="202">
        <f t="shared" si="68"/>
        <v>131.99999999999977</v>
      </c>
      <c r="R157" s="202">
        <f t="shared" si="68"/>
        <v>134.39999999999978</v>
      </c>
      <c r="S157" s="202">
        <f t="shared" si="68"/>
        <v>137.39999999999978</v>
      </c>
      <c r="T157" s="202">
        <f t="shared" si="68"/>
        <v>140.39999999999978</v>
      </c>
      <c r="U157" s="203">
        <f t="shared" si="68"/>
        <v>142.79999999999976</v>
      </c>
    </row>
    <row r="158" spans="2:21" ht="15.5" x14ac:dyDescent="0.35">
      <c r="B158" s="374" t="s">
        <v>248</v>
      </c>
      <c r="C158" s="307"/>
      <c r="D158" s="307">
        <f>SUM(D151:D157)</f>
        <v>-3460</v>
      </c>
      <c r="E158" s="307">
        <f t="shared" ref="E158:U158" si="70">SUM(E151:E157)</f>
        <v>-5520</v>
      </c>
      <c r="F158" s="307">
        <f t="shared" si="70"/>
        <v>-4880</v>
      </c>
      <c r="G158" s="307">
        <f t="shared" si="70"/>
        <v>1216.6597404854813</v>
      </c>
      <c r="H158" s="307">
        <f t="shared" si="70"/>
        <v>2224.797732973394</v>
      </c>
      <c r="I158" s="307">
        <f t="shared" si="70"/>
        <v>2144.3750840497082</v>
      </c>
      <c r="J158" s="307">
        <f t="shared" si="70"/>
        <v>2082.4280365077025</v>
      </c>
      <c r="K158" s="307">
        <f t="shared" si="70"/>
        <v>2013.8365247027725</v>
      </c>
      <c r="L158" s="307">
        <f t="shared" si="70"/>
        <v>1933.6947472015761</v>
      </c>
      <c r="M158" s="307">
        <f t="shared" si="70"/>
        <v>1868.0222149865431</v>
      </c>
      <c r="N158" s="307">
        <f t="shared" si="70"/>
        <v>1781.8049456090998</v>
      </c>
      <c r="O158" s="307">
        <f t="shared" si="70"/>
        <v>1703.6030690981902</v>
      </c>
      <c r="P158" s="307">
        <f t="shared" si="70"/>
        <v>1638.2174347436378</v>
      </c>
      <c r="Q158" s="307">
        <f t="shared" si="70"/>
        <v>1565.0919228102132</v>
      </c>
      <c r="R158" s="307">
        <f t="shared" si="70"/>
        <v>1494.3633270410053</v>
      </c>
      <c r="S158" s="307">
        <f t="shared" si="70"/>
        <v>1424.757067327012</v>
      </c>
      <c r="T158" s="307">
        <f t="shared" si="70"/>
        <v>1346.6701345429756</v>
      </c>
      <c r="U158" s="308">
        <f t="shared" si="70"/>
        <v>1268.7795325956597</v>
      </c>
    </row>
    <row r="159" spans="2:21" s="34" customFormat="1" ht="15.5" x14ac:dyDescent="0.35">
      <c r="B159" s="107" t="s">
        <v>307</v>
      </c>
      <c r="C159" s="204"/>
      <c r="D159" s="204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3">
        <f>G143</f>
        <v>10404.079706050303</v>
      </c>
    </row>
    <row r="160" spans="2:21" s="34" customFormat="1" ht="16" thickBot="1" x14ac:dyDescent="0.4">
      <c r="B160" s="123" t="s">
        <v>249</v>
      </c>
      <c r="C160" s="216"/>
      <c r="D160" s="363">
        <f t="shared" ref="D160:S160" si="71">D158+D159</f>
        <v>-3460</v>
      </c>
      <c r="E160" s="363">
        <f t="shared" si="71"/>
        <v>-5520</v>
      </c>
      <c r="F160" s="363">
        <f t="shared" si="71"/>
        <v>-4880</v>
      </c>
      <c r="G160" s="363">
        <f t="shared" si="71"/>
        <v>1216.6597404854813</v>
      </c>
      <c r="H160" s="363">
        <f t="shared" si="71"/>
        <v>2224.797732973394</v>
      </c>
      <c r="I160" s="363">
        <f t="shared" si="71"/>
        <v>2144.3750840497082</v>
      </c>
      <c r="J160" s="363">
        <f t="shared" si="71"/>
        <v>2082.4280365077025</v>
      </c>
      <c r="K160" s="363">
        <f t="shared" si="71"/>
        <v>2013.8365247027725</v>
      </c>
      <c r="L160" s="363">
        <f t="shared" si="71"/>
        <v>1933.6947472015761</v>
      </c>
      <c r="M160" s="363">
        <f t="shared" si="71"/>
        <v>1868.0222149865431</v>
      </c>
      <c r="N160" s="363">
        <f t="shared" si="71"/>
        <v>1781.8049456090998</v>
      </c>
      <c r="O160" s="363">
        <f t="shared" si="71"/>
        <v>1703.6030690981902</v>
      </c>
      <c r="P160" s="363">
        <f t="shared" si="71"/>
        <v>1638.2174347436378</v>
      </c>
      <c r="Q160" s="363">
        <f t="shared" si="71"/>
        <v>1565.0919228102132</v>
      </c>
      <c r="R160" s="363">
        <f t="shared" si="71"/>
        <v>1494.3633270410053</v>
      </c>
      <c r="S160" s="363">
        <f t="shared" si="71"/>
        <v>1424.757067327012</v>
      </c>
      <c r="T160" s="363">
        <f>T158+T159</f>
        <v>1346.6701345429756</v>
      </c>
      <c r="U160" s="364">
        <f>U158+U159</f>
        <v>11672.859238645962</v>
      </c>
    </row>
    <row r="161" spans="2:24" s="34" customFormat="1" ht="7.5" customHeight="1" x14ac:dyDescent="0.35">
      <c r="B161" s="369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2:24" s="34" customFormat="1" ht="15.5" x14ac:dyDescent="0.35">
      <c r="B162" s="370" t="s">
        <v>242</v>
      </c>
      <c r="C162" s="371">
        <f>IRR(D160:U160)</f>
        <v>0.10783163914184901</v>
      </c>
      <c r="D162" s="418">
        <f>C162/C162</f>
        <v>1</v>
      </c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</row>
    <row r="163" spans="2:24" s="34" customFormat="1" ht="15.5" x14ac:dyDescent="0.35">
      <c r="B163" s="372" t="s">
        <v>243</v>
      </c>
      <c r="C163" s="373">
        <f>IRR(D158:U158)</f>
        <v>8.2907316144799292E-2</v>
      </c>
      <c r="D163" s="419">
        <f>C163/C162</f>
        <v>0.76885890638959331</v>
      </c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</row>
    <row r="164" spans="2:24" s="34" customFormat="1" ht="15.5" x14ac:dyDescent="0.35">
      <c r="B164" s="372" t="s">
        <v>244</v>
      </c>
      <c r="C164" s="373">
        <f>C162-C163</f>
        <v>2.4924322997049719E-2</v>
      </c>
      <c r="D164" s="419">
        <f>C164/C162</f>
        <v>0.23114109361040672</v>
      </c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</row>
    <row r="165" spans="2:24" s="34" customFormat="1" ht="15" thickBot="1" x14ac:dyDescent="0.4"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</row>
    <row r="166" spans="2:24" s="34" customFormat="1" ht="17.5" thickBot="1" x14ac:dyDescent="0.4">
      <c r="B166" s="310" t="s">
        <v>239</v>
      </c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2"/>
    </row>
    <row r="167" spans="2:24" s="34" customFormat="1" ht="16" thickBot="1" x14ac:dyDescent="0.4">
      <c r="B167" s="95" t="s">
        <v>109</v>
      </c>
      <c r="C167" s="96">
        <v>2009</v>
      </c>
      <c r="D167" s="96">
        <v>2010</v>
      </c>
      <c r="E167" s="97">
        <v>2011</v>
      </c>
      <c r="F167" s="97">
        <v>2012</v>
      </c>
      <c r="G167" s="97">
        <v>2013</v>
      </c>
      <c r="H167" s="97">
        <v>2014</v>
      </c>
      <c r="I167" s="97">
        <v>2015</v>
      </c>
      <c r="J167" s="97">
        <v>2016</v>
      </c>
      <c r="K167" s="97">
        <v>2017</v>
      </c>
      <c r="L167" s="97">
        <v>2018</v>
      </c>
      <c r="M167" s="97">
        <v>2019</v>
      </c>
      <c r="N167" s="97">
        <v>2020</v>
      </c>
      <c r="O167" s="97">
        <v>2021</v>
      </c>
      <c r="P167" s="97">
        <v>2022</v>
      </c>
      <c r="Q167" s="97">
        <v>2023</v>
      </c>
      <c r="R167" s="97">
        <v>2024</v>
      </c>
      <c r="S167" s="97">
        <v>2025</v>
      </c>
      <c r="T167" s="97">
        <v>2026</v>
      </c>
      <c r="U167" s="98">
        <v>2027</v>
      </c>
    </row>
    <row r="168" spans="2:24" s="34" customFormat="1" ht="15.5" x14ac:dyDescent="0.35">
      <c r="B168" s="355" t="s">
        <v>247</v>
      </c>
      <c r="C168" s="198"/>
      <c r="D168" s="198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200"/>
    </row>
    <row r="169" spans="2:24" s="134" customFormat="1" ht="15.5" x14ac:dyDescent="0.35">
      <c r="B169" s="103" t="s">
        <v>248</v>
      </c>
      <c r="C169" s="201"/>
      <c r="D169" s="201">
        <f t="shared" ref="D169:U169" si="72">D158</f>
        <v>-3460</v>
      </c>
      <c r="E169" s="201">
        <f t="shared" si="72"/>
        <v>-5520</v>
      </c>
      <c r="F169" s="201">
        <f t="shared" si="72"/>
        <v>-4880</v>
      </c>
      <c r="G169" s="201">
        <f t="shared" si="72"/>
        <v>1216.6597404854813</v>
      </c>
      <c r="H169" s="201">
        <f t="shared" si="72"/>
        <v>2224.797732973394</v>
      </c>
      <c r="I169" s="201">
        <f t="shared" si="72"/>
        <v>2144.3750840497082</v>
      </c>
      <c r="J169" s="201">
        <f t="shared" si="72"/>
        <v>2082.4280365077025</v>
      </c>
      <c r="K169" s="201">
        <f t="shared" si="72"/>
        <v>2013.8365247027725</v>
      </c>
      <c r="L169" s="201">
        <f t="shared" si="72"/>
        <v>1933.6947472015761</v>
      </c>
      <c r="M169" s="201">
        <f t="shared" si="72"/>
        <v>1868.0222149865431</v>
      </c>
      <c r="N169" s="201">
        <f t="shared" si="72"/>
        <v>1781.8049456090998</v>
      </c>
      <c r="O169" s="201">
        <f t="shared" si="72"/>
        <v>1703.6030690981902</v>
      </c>
      <c r="P169" s="201">
        <f t="shared" si="72"/>
        <v>1638.2174347436378</v>
      </c>
      <c r="Q169" s="201">
        <f t="shared" si="72"/>
        <v>1565.0919228102132</v>
      </c>
      <c r="R169" s="201">
        <f t="shared" si="72"/>
        <v>1494.3633270410053</v>
      </c>
      <c r="S169" s="201">
        <f t="shared" si="72"/>
        <v>1424.757067327012</v>
      </c>
      <c r="T169" s="201">
        <f t="shared" si="72"/>
        <v>1346.6701345429756</v>
      </c>
      <c r="U169" s="203">
        <f t="shared" si="72"/>
        <v>1268.7795325956597</v>
      </c>
    </row>
    <row r="170" spans="2:24" s="34" customFormat="1" ht="15.5" x14ac:dyDescent="0.35">
      <c r="B170" s="355" t="s">
        <v>254</v>
      </c>
      <c r="C170" s="198"/>
      <c r="D170" s="198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200"/>
    </row>
    <row r="171" spans="2:24" ht="15.5" x14ac:dyDescent="0.35">
      <c r="B171" s="103" t="s">
        <v>190</v>
      </c>
      <c r="C171" s="202"/>
      <c r="D171" s="202">
        <f>D86</f>
        <v>2420.0000000000005</v>
      </c>
      <c r="E171" s="202">
        <f t="shared" ref="E171:F171" si="73">E86</f>
        <v>3870.0000000000009</v>
      </c>
      <c r="F171" s="202">
        <f t="shared" si="73"/>
        <v>3410.0000000000005</v>
      </c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3"/>
      <c r="W171" s="408">
        <f>SUM(D171:F171)</f>
        <v>9700.0000000000018</v>
      </c>
      <c r="X171" t="s">
        <v>305</v>
      </c>
    </row>
    <row r="172" spans="2:24" ht="15.5" x14ac:dyDescent="0.35">
      <c r="B172" s="103" t="s">
        <v>241</v>
      </c>
      <c r="C172" s="202"/>
      <c r="D172" s="202"/>
      <c r="E172" s="202"/>
      <c r="F172" s="202"/>
      <c r="G172" s="202">
        <f t="shared" ref="G172:P172" si="74">G87</f>
        <v>-1077.7777777777781</v>
      </c>
      <c r="H172" s="202">
        <f t="shared" si="74"/>
        <v>-1077.7777777777781</v>
      </c>
      <c r="I172" s="202">
        <f t="shared" si="74"/>
        <v>-1077.7777777777781</v>
      </c>
      <c r="J172" s="202">
        <f t="shared" si="74"/>
        <v>-1077.7777777777781</v>
      </c>
      <c r="K172" s="202">
        <f t="shared" si="74"/>
        <v>-1077.7777777777781</v>
      </c>
      <c r="L172" s="202">
        <f t="shared" si="74"/>
        <v>-1077.7777777777781</v>
      </c>
      <c r="M172" s="202">
        <f t="shared" si="74"/>
        <v>-1077.7777777777781</v>
      </c>
      <c r="N172" s="202">
        <f t="shared" si="74"/>
        <v>-1077.7777777777781</v>
      </c>
      <c r="O172" s="202">
        <f t="shared" si="74"/>
        <v>-808.33333333333348</v>
      </c>
      <c r="P172" s="202">
        <f t="shared" si="74"/>
        <v>0</v>
      </c>
      <c r="Q172" s="202"/>
      <c r="R172" s="202"/>
      <c r="S172" s="202"/>
      <c r="T172" s="202"/>
      <c r="U172" s="203"/>
      <c r="W172" s="276">
        <f>R4</f>
        <v>0.69985569985569995</v>
      </c>
      <c r="X172" t="s">
        <v>116</v>
      </c>
    </row>
    <row r="173" spans="2:24" ht="15.5" x14ac:dyDescent="0.35">
      <c r="B173" s="103" t="s">
        <v>186</v>
      </c>
      <c r="C173" s="339"/>
      <c r="D173" s="202"/>
      <c r="E173" s="202"/>
      <c r="F173" s="202"/>
      <c r="G173" s="202">
        <f>G88</f>
        <v>930</v>
      </c>
      <c r="H173" s="202">
        <f t="shared" ref="H173:T173" si="75">H88</f>
        <v>10</v>
      </c>
      <c r="I173" s="202">
        <f t="shared" si="75"/>
        <v>20</v>
      </c>
      <c r="J173" s="202">
        <f t="shared" si="75"/>
        <v>20</v>
      </c>
      <c r="K173" s="202">
        <f t="shared" si="75"/>
        <v>10</v>
      </c>
      <c r="L173" s="202">
        <f t="shared" si="75"/>
        <v>20</v>
      </c>
      <c r="M173" s="202">
        <f t="shared" si="75"/>
        <v>20</v>
      </c>
      <c r="N173" s="202">
        <f t="shared" si="75"/>
        <v>20</v>
      </c>
      <c r="O173" s="202">
        <f t="shared" si="75"/>
        <v>20</v>
      </c>
      <c r="P173" s="202">
        <f t="shared" si="75"/>
        <v>20</v>
      </c>
      <c r="Q173" s="202">
        <f t="shared" si="75"/>
        <v>20</v>
      </c>
      <c r="R173" s="202">
        <f t="shared" si="75"/>
        <v>20</v>
      </c>
      <c r="S173" s="202">
        <f t="shared" si="75"/>
        <v>30</v>
      </c>
      <c r="T173" s="202">
        <f t="shared" si="75"/>
        <v>20</v>
      </c>
      <c r="U173" s="203">
        <f>U88</f>
        <v>20</v>
      </c>
      <c r="V173" s="284"/>
    </row>
    <row r="174" spans="2:24" ht="15.5" x14ac:dyDescent="0.35">
      <c r="B174" s="103" t="s">
        <v>240</v>
      </c>
      <c r="C174" s="339"/>
      <c r="D174" s="202"/>
      <c r="E174" s="202"/>
      <c r="F174" s="202"/>
      <c r="G174" s="202">
        <f>G89</f>
        <v>0</v>
      </c>
      <c r="H174" s="202">
        <f t="shared" ref="H174:T174" si="76">H89</f>
        <v>0</v>
      </c>
      <c r="I174" s="202">
        <f t="shared" si="76"/>
        <v>0</v>
      </c>
      <c r="J174" s="202">
        <f t="shared" si="76"/>
        <v>0</v>
      </c>
      <c r="K174" s="202">
        <f t="shared" si="76"/>
        <v>0</v>
      </c>
      <c r="L174" s="202">
        <f t="shared" si="76"/>
        <v>0</v>
      </c>
      <c r="M174" s="202">
        <f t="shared" si="76"/>
        <v>0</v>
      </c>
      <c r="N174" s="202">
        <f t="shared" si="76"/>
        <v>0</v>
      </c>
      <c r="O174" s="202">
        <f t="shared" si="76"/>
        <v>0</v>
      </c>
      <c r="P174" s="202">
        <f t="shared" si="76"/>
        <v>0</v>
      </c>
      <c r="Q174" s="202">
        <f t="shared" si="76"/>
        <v>0</v>
      </c>
      <c r="R174" s="202">
        <f t="shared" si="76"/>
        <v>0</v>
      </c>
      <c r="S174" s="202">
        <f t="shared" si="76"/>
        <v>0</v>
      </c>
      <c r="T174" s="202">
        <f t="shared" si="76"/>
        <v>0</v>
      </c>
      <c r="U174" s="203">
        <f>U89</f>
        <v>0</v>
      </c>
      <c r="V174" s="284"/>
    </row>
    <row r="175" spans="2:24" ht="15.5" x14ac:dyDescent="0.35">
      <c r="B175" s="103" t="s">
        <v>145</v>
      </c>
      <c r="C175" s="202"/>
      <c r="D175" s="202">
        <f>D133</f>
        <v>-42.45000000000001</v>
      </c>
      <c r="E175" s="202">
        <f>E133</f>
        <v>-8.5250000000000021</v>
      </c>
      <c r="F175" s="202">
        <f>F133</f>
        <v>0</v>
      </c>
      <c r="G175" s="202">
        <f>G90</f>
        <v>-1178.5999999999999</v>
      </c>
      <c r="H175" s="202">
        <f t="shared" ref="H175:T175" si="77">H90</f>
        <v>-1049.8666666666668</v>
      </c>
      <c r="I175" s="202">
        <f t="shared" si="77"/>
        <v>-922.33333333333337</v>
      </c>
      <c r="J175" s="202">
        <f t="shared" si="77"/>
        <v>-795.4</v>
      </c>
      <c r="K175" s="202">
        <f t="shared" si="77"/>
        <v>-667.86666666666656</v>
      </c>
      <c r="L175" s="202">
        <f t="shared" si="77"/>
        <v>-540.33333333333326</v>
      </c>
      <c r="M175" s="202">
        <f t="shared" si="77"/>
        <v>-413.39999999999981</v>
      </c>
      <c r="N175" s="202">
        <f t="shared" si="77"/>
        <v>-286.46666666666647</v>
      </c>
      <c r="O175" s="202">
        <f t="shared" si="77"/>
        <v>-175.69999999999976</v>
      </c>
      <c r="P175" s="202">
        <f t="shared" si="77"/>
        <v>-129.59999999999977</v>
      </c>
      <c r="Q175" s="202">
        <f t="shared" si="77"/>
        <v>-131.99999999999977</v>
      </c>
      <c r="R175" s="202">
        <f t="shared" si="77"/>
        <v>-134.39999999999978</v>
      </c>
      <c r="S175" s="202">
        <f t="shared" si="77"/>
        <v>-137.39999999999978</v>
      </c>
      <c r="T175" s="202">
        <f t="shared" si="77"/>
        <v>-140.39999999999978</v>
      </c>
      <c r="U175" s="203">
        <f>U90</f>
        <v>-142.79999999999976</v>
      </c>
    </row>
    <row r="176" spans="2:24" ht="5.75" customHeight="1" thickBot="1" x14ac:dyDescent="0.4">
      <c r="B176" s="123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</row>
    <row r="177" spans="2:24" s="34" customFormat="1" ht="15.5" x14ac:dyDescent="0.35">
      <c r="B177" s="119" t="s">
        <v>253</v>
      </c>
      <c r="C177" s="213"/>
      <c r="D177" s="362">
        <f t="shared" ref="D177:U177" si="78">SUM(D169:D175)</f>
        <v>-1082.4499999999996</v>
      </c>
      <c r="E177" s="362">
        <f t="shared" si="78"/>
        <v>-1658.5249999999992</v>
      </c>
      <c r="F177" s="362">
        <f t="shared" si="78"/>
        <v>-1469.9999999999995</v>
      </c>
      <c r="G177" s="362">
        <f t="shared" si="78"/>
        <v>-109.71803729229669</v>
      </c>
      <c r="H177" s="362">
        <f t="shared" si="78"/>
        <v>107.15328852894913</v>
      </c>
      <c r="I177" s="362">
        <f t="shared" si="78"/>
        <v>164.26397293859679</v>
      </c>
      <c r="J177" s="362">
        <f t="shared" si="78"/>
        <v>229.25025872992444</v>
      </c>
      <c r="K177" s="362">
        <f t="shared" si="78"/>
        <v>278.19208025832791</v>
      </c>
      <c r="L177" s="362">
        <f t="shared" si="78"/>
        <v>335.58363609046478</v>
      </c>
      <c r="M177" s="362">
        <f t="shared" si="78"/>
        <v>396.84443720876521</v>
      </c>
      <c r="N177" s="362">
        <f t="shared" si="78"/>
        <v>437.56050116465531</v>
      </c>
      <c r="O177" s="362">
        <f t="shared" si="78"/>
        <v>739.56973576485689</v>
      </c>
      <c r="P177" s="362">
        <f t="shared" si="78"/>
        <v>1528.6174347436381</v>
      </c>
      <c r="Q177" s="362">
        <f t="shared" si="78"/>
        <v>1453.0919228102134</v>
      </c>
      <c r="R177" s="362">
        <f t="shared" si="78"/>
        <v>1379.9633270410054</v>
      </c>
      <c r="S177" s="362">
        <f t="shared" si="78"/>
        <v>1317.3570673270121</v>
      </c>
      <c r="T177" s="362">
        <f t="shared" si="78"/>
        <v>1226.2701345429757</v>
      </c>
      <c r="U177" s="365">
        <f t="shared" si="78"/>
        <v>1145.97953259566</v>
      </c>
      <c r="W177" s="277">
        <f>-Q6+D175+E175</f>
        <v>-4210.9749999999985</v>
      </c>
      <c r="X177" s="34" t="s">
        <v>306</v>
      </c>
    </row>
    <row r="178" spans="2:24" s="34" customFormat="1" ht="15.5" x14ac:dyDescent="0.35">
      <c r="B178" s="107" t="s">
        <v>308</v>
      </c>
      <c r="C178" s="204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3">
        <f>G145</f>
        <v>9204.0797060503028</v>
      </c>
      <c r="W178" s="277">
        <f>D177+E177+F177</f>
        <v>-4210.9749999999985</v>
      </c>
    </row>
    <row r="179" spans="2:24" s="34" customFormat="1" ht="16" thickBot="1" x14ac:dyDescent="0.4">
      <c r="B179" s="123" t="s">
        <v>250</v>
      </c>
      <c r="C179" s="216"/>
      <c r="D179" s="363">
        <f t="shared" ref="D179:S179" si="79">D177+D178</f>
        <v>-1082.4499999999996</v>
      </c>
      <c r="E179" s="363">
        <f t="shared" si="79"/>
        <v>-1658.5249999999992</v>
      </c>
      <c r="F179" s="363">
        <f t="shared" si="79"/>
        <v>-1469.9999999999995</v>
      </c>
      <c r="G179" s="363">
        <f t="shared" si="79"/>
        <v>-109.71803729229669</v>
      </c>
      <c r="H179" s="363">
        <f t="shared" si="79"/>
        <v>107.15328852894913</v>
      </c>
      <c r="I179" s="363">
        <f t="shared" si="79"/>
        <v>164.26397293859679</v>
      </c>
      <c r="J179" s="363">
        <f t="shared" si="79"/>
        <v>229.25025872992444</v>
      </c>
      <c r="K179" s="363">
        <f t="shared" si="79"/>
        <v>278.19208025832791</v>
      </c>
      <c r="L179" s="363">
        <f t="shared" si="79"/>
        <v>335.58363609046478</v>
      </c>
      <c r="M179" s="363">
        <f t="shared" si="79"/>
        <v>396.84443720876521</v>
      </c>
      <c r="N179" s="363">
        <f t="shared" si="79"/>
        <v>437.56050116465531</v>
      </c>
      <c r="O179" s="363">
        <f t="shared" si="79"/>
        <v>739.56973576485689</v>
      </c>
      <c r="P179" s="363">
        <f t="shared" si="79"/>
        <v>1528.6174347436381</v>
      </c>
      <c r="Q179" s="363">
        <f t="shared" si="79"/>
        <v>1453.0919228102134</v>
      </c>
      <c r="R179" s="363">
        <f t="shared" si="79"/>
        <v>1379.9633270410054</v>
      </c>
      <c r="S179" s="363">
        <f t="shared" si="79"/>
        <v>1317.3570673270121</v>
      </c>
      <c r="T179" s="363">
        <f>T177+T178</f>
        <v>1226.2701345429757</v>
      </c>
      <c r="U179" s="364">
        <f>U177+U178</f>
        <v>10350.059238645963</v>
      </c>
    </row>
    <row r="180" spans="2:24" s="34" customFormat="1" ht="7.5" customHeight="1" x14ac:dyDescent="0.35">
      <c r="B180" s="369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</row>
    <row r="181" spans="2:24" s="34" customFormat="1" ht="15.5" x14ac:dyDescent="0.35">
      <c r="B181" s="370" t="s">
        <v>242</v>
      </c>
      <c r="C181" s="371">
        <f>IRR(D179:U179)</f>
        <v>0.1241274695590513</v>
      </c>
      <c r="D181" s="418">
        <f>C181/C181</f>
        <v>1</v>
      </c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</row>
    <row r="182" spans="2:24" s="34" customFormat="1" ht="15.5" x14ac:dyDescent="0.35">
      <c r="B182" s="372" t="s">
        <v>243</v>
      </c>
      <c r="C182" s="373">
        <f>IRR(D177:U177)</f>
        <v>8.3056890504530578E-2</v>
      </c>
      <c r="D182" s="419">
        <f>C182/C181</f>
        <v>0.66912578496589614</v>
      </c>
      <c r="E182" s="367"/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</row>
    <row r="183" spans="2:24" s="34" customFormat="1" ht="15.5" x14ac:dyDescent="0.35">
      <c r="B183" s="372" t="s">
        <v>244</v>
      </c>
      <c r="C183" s="373">
        <f>C181-C182</f>
        <v>4.1070579054520717E-2</v>
      </c>
      <c r="D183" s="419">
        <f>C183/C181</f>
        <v>0.33087421503410386</v>
      </c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</row>
    <row r="184" spans="2:24" s="34" customFormat="1" x14ac:dyDescent="0.35"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</row>
    <row r="185" spans="2:24" s="34" customFormat="1" x14ac:dyDescent="0.35">
      <c r="H185" s="134"/>
      <c r="I185" s="134"/>
      <c r="J185" s="134"/>
      <c r="K185" s="134"/>
      <c r="L185" s="134"/>
      <c r="M185" s="134"/>
      <c r="N185" s="134"/>
      <c r="O185" s="134"/>
    </row>
    <row r="186" spans="2:24" s="34" customFormat="1" x14ac:dyDescent="0.35">
      <c r="B186" s="420" t="s">
        <v>279</v>
      </c>
      <c r="C186" s="421"/>
      <c r="D186" s="422">
        <v>2010</v>
      </c>
      <c r="E186" s="422">
        <v>2011</v>
      </c>
      <c r="F186" s="422">
        <v>2012</v>
      </c>
      <c r="G186" s="422" t="s">
        <v>166</v>
      </c>
      <c r="H186" s="134"/>
      <c r="I186" s="134"/>
      <c r="J186" s="134"/>
      <c r="K186" s="134"/>
      <c r="L186" s="134"/>
      <c r="M186" s="134"/>
      <c r="N186" s="134"/>
      <c r="O186" s="134"/>
    </row>
    <row r="187" spans="2:24" s="34" customFormat="1" x14ac:dyDescent="0.35">
      <c r="B187" s="421" t="s">
        <v>280</v>
      </c>
      <c r="C187" s="421"/>
      <c r="D187" s="423">
        <f>D92</f>
        <v>1039.9999999999998</v>
      </c>
      <c r="E187" s="423">
        <f>E92</f>
        <v>1649.9999999999995</v>
      </c>
      <c r="F187" s="423">
        <f>F92</f>
        <v>1469.9999999999998</v>
      </c>
      <c r="G187" s="423">
        <f>D187+E187+F187</f>
        <v>4159.9999999999991</v>
      </c>
    </row>
    <row r="188" spans="2:24" s="34" customFormat="1" x14ac:dyDescent="0.35">
      <c r="B188" s="421" t="s">
        <v>281</v>
      </c>
      <c r="C188" s="421"/>
      <c r="D188" s="424">
        <f>-D177</f>
        <v>1082.4499999999996</v>
      </c>
      <c r="E188" s="424">
        <f>-E177</f>
        <v>1658.5249999999992</v>
      </c>
      <c r="F188" s="424">
        <f>-F177</f>
        <v>1469.9999999999995</v>
      </c>
      <c r="G188" s="424">
        <f>D188+E188+F188</f>
        <v>4210.9749999999985</v>
      </c>
    </row>
    <row r="189" spans="2:24" s="34" customFormat="1" x14ac:dyDescent="0.35">
      <c r="B189" s="421" t="s">
        <v>309</v>
      </c>
      <c r="C189" s="421"/>
      <c r="D189" s="423">
        <f>D187-D188</f>
        <v>-42.449999999999818</v>
      </c>
      <c r="E189" s="423">
        <f>E187-E188</f>
        <v>-8.5249999999996362</v>
      </c>
      <c r="F189" s="423">
        <f>F187-F188</f>
        <v>0</v>
      </c>
      <c r="G189" s="423">
        <f>G187-G188</f>
        <v>-50.974999999999454</v>
      </c>
    </row>
    <row r="190" spans="2:24" s="34" customFormat="1" x14ac:dyDescent="0.35">
      <c r="C190" s="421" t="s">
        <v>164</v>
      </c>
      <c r="D190" s="426">
        <f>D133-D189</f>
        <v>-1.9184653865522705E-13</v>
      </c>
      <c r="E190" s="426">
        <f>E133-E189</f>
        <v>-3.659295089164516E-13</v>
      </c>
      <c r="F190" s="426">
        <f>F133-F189</f>
        <v>0</v>
      </c>
      <c r="G190" s="425"/>
    </row>
    <row r="191" spans="2:24" s="34" customFormat="1" x14ac:dyDescent="0.35"/>
    <row r="192" spans="2:24" s="34" customFormat="1" x14ac:dyDescent="0.35"/>
    <row r="193" s="34" customFormat="1" x14ac:dyDescent="0.35"/>
    <row r="194" s="34" customFormat="1" x14ac:dyDescent="0.35"/>
    <row r="195" s="34" customFormat="1" x14ac:dyDescent="0.35"/>
    <row r="196" s="34" customFormat="1" x14ac:dyDescent="0.35"/>
    <row r="197" s="34" customFormat="1" x14ac:dyDescent="0.35"/>
    <row r="198" s="34" customFormat="1" x14ac:dyDescent="0.35"/>
    <row r="199" s="34" customFormat="1" x14ac:dyDescent="0.35"/>
    <row r="200" s="34" customFormat="1" x14ac:dyDescent="0.35"/>
    <row r="201" s="34" customFormat="1" x14ac:dyDescent="0.35"/>
    <row r="202" s="34" customFormat="1" x14ac:dyDescent="0.35"/>
    <row r="203" s="34" customFormat="1" x14ac:dyDescent="0.35"/>
    <row r="204" s="34" customFormat="1" x14ac:dyDescent="0.35"/>
    <row r="205" s="34" customFormat="1" x14ac:dyDescent="0.35"/>
    <row r="206" s="34" customFormat="1" x14ac:dyDescent="0.35"/>
    <row r="207" s="34" customFormat="1" x14ac:dyDescent="0.35"/>
    <row r="208" s="34" customFormat="1" x14ac:dyDescent="0.35"/>
    <row r="209" s="34" customFormat="1" x14ac:dyDescent="0.35"/>
    <row r="210" s="34" customFormat="1" x14ac:dyDescent="0.35"/>
    <row r="211" s="34" customFormat="1" x14ac:dyDescent="0.35"/>
    <row r="212" s="34" customFormat="1" x14ac:dyDescent="0.35"/>
    <row r="213" s="34" customFormat="1" x14ac:dyDescent="0.35"/>
    <row r="214" s="34" customFormat="1" x14ac:dyDescent="0.35"/>
    <row r="215" s="34" customFormat="1" x14ac:dyDescent="0.35"/>
    <row r="216" s="34" customFormat="1" x14ac:dyDescent="0.35"/>
    <row r="217" s="34" customFormat="1" x14ac:dyDescent="0.35"/>
    <row r="218" s="34" customFormat="1" x14ac:dyDescent="0.35"/>
    <row r="219" s="34" customFormat="1" x14ac:dyDescent="0.35"/>
    <row r="220" s="34" customFormat="1" x14ac:dyDescent="0.35"/>
    <row r="221" s="34" customFormat="1" x14ac:dyDescent="0.35"/>
  </sheetData>
  <pageMargins left="0.75" right="0.75" top="1" bottom="1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5AAA-E4DD-4B4A-BA9E-E153567FC30A}">
  <dimension ref="A1:Z221"/>
  <sheetViews>
    <sheetView showGridLines="0" topLeftCell="A18" zoomScale="94" zoomScaleNormal="94" workbookViewId="0">
      <selection activeCell="D22" sqref="D22"/>
    </sheetView>
  </sheetViews>
  <sheetFormatPr baseColWidth="10" defaultColWidth="8.81640625" defaultRowHeight="14.5" outlineLevelRow="1" outlineLevelCol="1" x14ac:dyDescent="0.35"/>
  <cols>
    <col min="1" max="1" width="1.54296875" customWidth="1"/>
    <col min="2" max="2" width="43.1796875" customWidth="1"/>
    <col min="3" max="6" width="7.6328125" customWidth="1"/>
    <col min="7" max="16" width="7.81640625" customWidth="1"/>
    <col min="17" max="17" width="8.54296875" customWidth="1"/>
    <col min="18" max="18" width="7.81640625" customWidth="1"/>
    <col min="19" max="19" width="8.08984375" hidden="1" customWidth="1" outlineLevel="1"/>
    <col min="20" max="20" width="8" hidden="1" customWidth="1" outlineLevel="1"/>
    <col min="21" max="21" width="7.90625" hidden="1" customWidth="1" outlineLevel="1"/>
    <col min="22" max="22" width="12.453125" bestFit="1" customWidth="1" collapsed="1"/>
  </cols>
  <sheetData>
    <row r="1" spans="2:21" ht="15" thickBot="1" x14ac:dyDescent="0.4"/>
    <row r="2" spans="2:21" ht="12" customHeight="1" thickBot="1" x14ac:dyDescent="0.4">
      <c r="B2" s="377" t="s">
        <v>258</v>
      </c>
      <c r="C2" s="378"/>
      <c r="E2" s="377" t="s">
        <v>261</v>
      </c>
      <c r="F2" s="380"/>
      <c r="G2" s="380"/>
      <c r="H2" s="380"/>
      <c r="I2" s="380"/>
      <c r="J2" s="379"/>
      <c r="L2" s="377" t="s">
        <v>293</v>
      </c>
      <c r="M2" s="380"/>
      <c r="N2" s="380"/>
      <c r="O2" s="380"/>
      <c r="P2" s="380"/>
      <c r="Q2" s="380"/>
      <c r="R2" s="379"/>
      <c r="S2" s="34"/>
    </row>
    <row r="3" spans="2:21" ht="12" customHeight="1" x14ac:dyDescent="0.35">
      <c r="B3" s="59" t="s">
        <v>15</v>
      </c>
      <c r="C3" s="388">
        <v>300</v>
      </c>
      <c r="E3" s="381" t="s">
        <v>251</v>
      </c>
      <c r="F3" s="384"/>
      <c r="G3" s="384"/>
      <c r="H3" s="384"/>
      <c r="I3" s="384"/>
      <c r="J3" s="376">
        <v>0.69985569985569995</v>
      </c>
      <c r="K3" s="34"/>
      <c r="L3" s="433" t="s">
        <v>291</v>
      </c>
      <c r="M3" s="384"/>
      <c r="N3" s="34">
        <v>2010</v>
      </c>
      <c r="O3">
        <v>2011</v>
      </c>
      <c r="P3">
        <v>2012</v>
      </c>
      <c r="Q3" s="434" t="s">
        <v>290</v>
      </c>
      <c r="R3" s="435" t="s">
        <v>292</v>
      </c>
    </row>
    <row r="4" spans="2:21" ht="12" customHeight="1" thickBot="1" x14ac:dyDescent="0.4">
      <c r="B4" s="66" t="s">
        <v>16</v>
      </c>
      <c r="C4" s="452">
        <v>0.85</v>
      </c>
      <c r="E4" s="383" t="s">
        <v>263</v>
      </c>
      <c r="F4" s="386"/>
      <c r="G4" s="386"/>
      <c r="H4" s="386"/>
      <c r="I4" s="386"/>
      <c r="J4" s="445">
        <v>0.12</v>
      </c>
      <c r="L4" s="382" t="s">
        <v>288</v>
      </c>
      <c r="M4" s="436"/>
      <c r="N4" s="202">
        <f>Q4*N5</f>
        <v>2420.0000000000005</v>
      </c>
      <c r="O4" s="202">
        <f>Q4*O5</f>
        <v>3870.0000000000009</v>
      </c>
      <c r="P4" s="202">
        <f>Q4*P5</f>
        <v>3410.0000000000005</v>
      </c>
      <c r="Q4" s="202">
        <f>R4*Q8</f>
        <v>9700.0000000000018</v>
      </c>
      <c r="R4" s="437">
        <f>J3</f>
        <v>0.69985569985569995</v>
      </c>
    </row>
    <row r="5" spans="2:21" ht="12" customHeight="1" x14ac:dyDescent="0.35">
      <c r="B5" s="31" t="s">
        <v>111</v>
      </c>
      <c r="C5" s="451">
        <v>3.3</v>
      </c>
      <c r="E5" s="381" t="s">
        <v>252</v>
      </c>
      <c r="F5" s="443"/>
      <c r="G5" s="443"/>
      <c r="H5" s="443"/>
      <c r="I5" s="443"/>
      <c r="J5" s="444">
        <f>C162</f>
        <v>0.15063682044574689</v>
      </c>
      <c r="K5" s="269"/>
      <c r="L5" s="382"/>
      <c r="M5" s="436"/>
      <c r="N5" s="439">
        <v>0.24948453608247423</v>
      </c>
      <c r="O5" s="439">
        <v>0.39896907216494848</v>
      </c>
      <c r="P5" s="439">
        <v>0.35154639175257729</v>
      </c>
      <c r="Q5" s="438">
        <f>Q4/Q4</f>
        <v>1</v>
      </c>
      <c r="R5" s="437"/>
    </row>
    <row r="6" spans="2:21" ht="12" customHeight="1" thickBot="1" x14ac:dyDescent="0.4">
      <c r="B6" s="66" t="s">
        <v>262</v>
      </c>
      <c r="C6" s="455">
        <v>0.01</v>
      </c>
      <c r="E6" s="383" t="s">
        <v>131</v>
      </c>
      <c r="F6" s="386"/>
      <c r="G6" s="386"/>
      <c r="H6" s="386"/>
      <c r="I6" s="386"/>
      <c r="J6" s="404">
        <f>WACC!I30</f>
        <v>0.12920518238021639</v>
      </c>
      <c r="L6" s="382" t="s">
        <v>289</v>
      </c>
      <c r="M6" s="385"/>
      <c r="N6" s="202">
        <f>Q6*N7</f>
        <v>1039.9999999999998</v>
      </c>
      <c r="O6" s="202">
        <f>Q6*O7</f>
        <v>1649.9999999999995</v>
      </c>
      <c r="P6" s="202">
        <f>Q6*P7</f>
        <v>1469.9999999999998</v>
      </c>
      <c r="Q6" s="202">
        <f>R6*Q8</f>
        <v>4159.9999999999991</v>
      </c>
      <c r="R6" s="437">
        <f>1-R4</f>
        <v>0.30014430014430005</v>
      </c>
    </row>
    <row r="7" spans="2:21" ht="12" customHeight="1" thickBot="1" x14ac:dyDescent="0.4">
      <c r="B7" s="453" t="s">
        <v>68</v>
      </c>
      <c r="C7" s="454">
        <f>'Operating Data'!C23</f>
        <v>2947.3638769273243</v>
      </c>
      <c r="E7" s="381" t="s">
        <v>259</v>
      </c>
      <c r="F7" s="443"/>
      <c r="G7" s="443"/>
      <c r="H7" s="443"/>
      <c r="I7" s="443"/>
      <c r="J7" s="444">
        <f>C181</f>
        <v>0.20484207784112751</v>
      </c>
      <c r="K7" s="269"/>
      <c r="L7" s="383"/>
      <c r="M7" s="458"/>
      <c r="N7" s="448">
        <v>0.25</v>
      </c>
      <c r="O7" s="449">
        <v>0.39663461538461536</v>
      </c>
      <c r="P7" s="449">
        <v>0.35336538461538464</v>
      </c>
      <c r="Q7" s="450">
        <f>Q6/Q6</f>
        <v>1</v>
      </c>
      <c r="R7" s="459"/>
    </row>
    <row r="8" spans="2:21" ht="12" customHeight="1" thickBot="1" x14ac:dyDescent="0.4">
      <c r="B8" s="472" t="s">
        <v>304</v>
      </c>
      <c r="C8" s="473">
        <v>1.05</v>
      </c>
      <c r="E8" s="383" t="s">
        <v>260</v>
      </c>
      <c r="F8" s="386"/>
      <c r="G8" s="386"/>
      <c r="H8" s="386"/>
      <c r="I8" s="386"/>
      <c r="J8" s="404">
        <f>WACC!I21</f>
        <v>0.19548394126738794</v>
      </c>
      <c r="L8" s="456" t="s">
        <v>166</v>
      </c>
      <c r="M8" s="457"/>
      <c r="N8" s="446">
        <f>N4+N6</f>
        <v>3460</v>
      </c>
      <c r="O8" s="446">
        <f>O4+O6</f>
        <v>5520</v>
      </c>
      <c r="P8" s="446">
        <f>P4+P6</f>
        <v>4880</v>
      </c>
      <c r="Q8" s="447">
        <v>13860</v>
      </c>
      <c r="R8" s="460">
        <f>Q8/Q8</f>
        <v>1</v>
      </c>
    </row>
    <row r="9" spans="2:21" ht="6.25" customHeight="1" x14ac:dyDescent="0.35">
      <c r="E9" s="318"/>
      <c r="F9" s="318"/>
      <c r="G9" s="318"/>
      <c r="H9" s="392"/>
    </row>
    <row r="10" spans="2:21" ht="6.25" customHeight="1" thickBot="1" x14ac:dyDescent="0.4"/>
    <row r="11" spans="2:21" ht="12" customHeight="1" thickBot="1" x14ac:dyDescent="0.4">
      <c r="B11" s="302" t="s">
        <v>106</v>
      </c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8"/>
    </row>
    <row r="12" spans="2:21" s="68" customFormat="1" ht="12" customHeight="1" thickBot="1" x14ac:dyDescent="0.4">
      <c r="B12" s="306" t="s">
        <v>110</v>
      </c>
      <c r="C12" s="2">
        <v>2009</v>
      </c>
      <c r="D12" s="2">
        <v>2010</v>
      </c>
      <c r="E12" s="2">
        <v>2011</v>
      </c>
      <c r="F12" s="2">
        <v>2012</v>
      </c>
      <c r="G12" s="2">
        <v>2013</v>
      </c>
      <c r="H12" s="2">
        <v>2014</v>
      </c>
      <c r="I12" s="2">
        <v>2015</v>
      </c>
      <c r="J12" s="2">
        <v>2016</v>
      </c>
      <c r="K12" s="2">
        <v>2017</v>
      </c>
      <c r="L12" s="2">
        <v>2018</v>
      </c>
      <c r="M12" s="2">
        <v>2019</v>
      </c>
      <c r="N12" s="2">
        <v>2020</v>
      </c>
      <c r="O12" s="2">
        <v>2021</v>
      </c>
      <c r="P12" s="2">
        <v>2022</v>
      </c>
      <c r="Q12" s="2">
        <v>2023</v>
      </c>
      <c r="R12" s="2">
        <v>2024</v>
      </c>
      <c r="S12" s="2">
        <v>2025</v>
      </c>
      <c r="T12" s="2">
        <v>2026</v>
      </c>
      <c r="U12" s="3">
        <v>2027</v>
      </c>
    </row>
    <row r="13" spans="2:21" s="34" customFormat="1" ht="12" customHeight="1" x14ac:dyDescent="0.35">
      <c r="B13" s="303" t="s">
        <v>175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6"/>
    </row>
    <row r="14" spans="2:21" s="34" customFormat="1" ht="12" customHeight="1" x14ac:dyDescent="0.35">
      <c r="B14" s="31" t="s">
        <v>15</v>
      </c>
      <c r="C14" s="178">
        <v>0</v>
      </c>
      <c r="D14" s="178">
        <v>0</v>
      </c>
      <c r="E14" s="178">
        <v>0</v>
      </c>
      <c r="F14" s="178">
        <v>0</v>
      </c>
      <c r="G14" s="178">
        <v>300</v>
      </c>
      <c r="H14" s="178">
        <v>300</v>
      </c>
      <c r="I14" s="178">
        <v>300</v>
      </c>
      <c r="J14" s="178">
        <v>300</v>
      </c>
      <c r="K14" s="178">
        <v>300</v>
      </c>
      <c r="L14" s="178">
        <v>300</v>
      </c>
      <c r="M14" s="178">
        <v>300</v>
      </c>
      <c r="N14" s="178">
        <v>300</v>
      </c>
      <c r="O14" s="178">
        <v>300</v>
      </c>
      <c r="P14" s="178">
        <v>300</v>
      </c>
      <c r="Q14" s="178">
        <v>300</v>
      </c>
      <c r="R14" s="178">
        <v>300</v>
      </c>
      <c r="S14" s="178">
        <v>300</v>
      </c>
      <c r="T14" s="178">
        <v>300</v>
      </c>
      <c r="U14" s="179">
        <v>300</v>
      </c>
    </row>
    <row r="15" spans="2:21" s="34" customFormat="1" ht="12" customHeight="1" x14ac:dyDescent="0.35">
      <c r="B15" s="35" t="s">
        <v>16</v>
      </c>
      <c r="C15" s="72">
        <v>0</v>
      </c>
      <c r="D15" s="72">
        <v>0</v>
      </c>
      <c r="E15" s="72">
        <v>0</v>
      </c>
      <c r="F15" s="72">
        <v>0</v>
      </c>
      <c r="G15" s="72">
        <f t="shared" ref="G15:U15" si="0">$C$4</f>
        <v>0.85</v>
      </c>
      <c r="H15" s="72">
        <f t="shared" si="0"/>
        <v>0.85</v>
      </c>
      <c r="I15" s="72">
        <f t="shared" si="0"/>
        <v>0.85</v>
      </c>
      <c r="J15" s="72">
        <f t="shared" si="0"/>
        <v>0.85</v>
      </c>
      <c r="K15" s="72">
        <f t="shared" si="0"/>
        <v>0.85</v>
      </c>
      <c r="L15" s="72">
        <f t="shared" si="0"/>
        <v>0.85</v>
      </c>
      <c r="M15" s="72">
        <f t="shared" si="0"/>
        <v>0.85</v>
      </c>
      <c r="N15" s="72">
        <f t="shared" si="0"/>
        <v>0.85</v>
      </c>
      <c r="O15" s="72">
        <f t="shared" si="0"/>
        <v>0.85</v>
      </c>
      <c r="P15" s="72">
        <f t="shared" si="0"/>
        <v>0.85</v>
      </c>
      <c r="Q15" s="72">
        <f t="shared" si="0"/>
        <v>0.85</v>
      </c>
      <c r="R15" s="72">
        <f t="shared" si="0"/>
        <v>0.85</v>
      </c>
      <c r="S15" s="72">
        <f t="shared" si="0"/>
        <v>0.85</v>
      </c>
      <c r="T15" s="72">
        <f t="shared" si="0"/>
        <v>0.85</v>
      </c>
      <c r="U15" s="73">
        <f t="shared" si="0"/>
        <v>0.85</v>
      </c>
    </row>
    <row r="16" spans="2:21" s="34" customFormat="1" ht="12" customHeight="1" x14ac:dyDescent="0.35">
      <c r="B16" s="35" t="s">
        <v>80</v>
      </c>
      <c r="C16" s="180">
        <v>0</v>
      </c>
      <c r="D16" s="180">
        <v>0</v>
      </c>
      <c r="E16" s="180">
        <v>0</v>
      </c>
      <c r="F16" s="180">
        <v>0</v>
      </c>
      <c r="G16" s="180">
        <f t="shared" ref="G16:U16" si="1">G14*1000*24*365*G15/1000000</f>
        <v>2233.8000000000002</v>
      </c>
      <c r="H16" s="180">
        <f t="shared" si="1"/>
        <v>2233.8000000000002</v>
      </c>
      <c r="I16" s="180">
        <f t="shared" si="1"/>
        <v>2233.8000000000002</v>
      </c>
      <c r="J16" s="180">
        <f t="shared" si="1"/>
        <v>2233.8000000000002</v>
      </c>
      <c r="K16" s="180">
        <f t="shared" si="1"/>
        <v>2233.8000000000002</v>
      </c>
      <c r="L16" s="180">
        <f t="shared" si="1"/>
        <v>2233.8000000000002</v>
      </c>
      <c r="M16" s="180">
        <f t="shared" si="1"/>
        <v>2233.8000000000002</v>
      </c>
      <c r="N16" s="180">
        <f t="shared" si="1"/>
        <v>2233.8000000000002</v>
      </c>
      <c r="O16" s="180">
        <f t="shared" si="1"/>
        <v>2233.8000000000002</v>
      </c>
      <c r="P16" s="180">
        <f t="shared" si="1"/>
        <v>2233.8000000000002</v>
      </c>
      <c r="Q16" s="180">
        <f t="shared" si="1"/>
        <v>2233.8000000000002</v>
      </c>
      <c r="R16" s="180">
        <f t="shared" si="1"/>
        <v>2233.8000000000002</v>
      </c>
      <c r="S16" s="180">
        <f t="shared" si="1"/>
        <v>2233.8000000000002</v>
      </c>
      <c r="T16" s="180">
        <f t="shared" si="1"/>
        <v>2233.8000000000002</v>
      </c>
      <c r="U16" s="181">
        <f t="shared" si="1"/>
        <v>2233.8000000000002</v>
      </c>
    </row>
    <row r="17" spans="2:22" s="34" customFormat="1" ht="12" customHeight="1" x14ac:dyDescent="0.35">
      <c r="B17" s="35" t="s">
        <v>81</v>
      </c>
      <c r="C17" s="180">
        <v>0</v>
      </c>
      <c r="D17" s="180">
        <v>0</v>
      </c>
      <c r="E17" s="180">
        <v>0</v>
      </c>
      <c r="F17" s="180">
        <v>0</v>
      </c>
      <c r="G17" s="180">
        <v>201</v>
      </c>
      <c r="H17" s="180">
        <v>201</v>
      </c>
      <c r="I17" s="180">
        <v>201</v>
      </c>
      <c r="J17" s="180">
        <v>201</v>
      </c>
      <c r="K17" s="180">
        <v>201</v>
      </c>
      <c r="L17" s="180">
        <v>201</v>
      </c>
      <c r="M17" s="180">
        <v>201</v>
      </c>
      <c r="N17" s="180">
        <v>201</v>
      </c>
      <c r="O17" s="180">
        <v>201</v>
      </c>
      <c r="P17" s="180">
        <v>201</v>
      </c>
      <c r="Q17" s="180">
        <v>201</v>
      </c>
      <c r="R17" s="180">
        <v>201</v>
      </c>
      <c r="S17" s="180">
        <v>201</v>
      </c>
      <c r="T17" s="180">
        <v>201</v>
      </c>
      <c r="U17" s="181">
        <v>201</v>
      </c>
    </row>
    <row r="18" spans="2:22" s="34" customFormat="1" ht="12" customHeight="1" x14ac:dyDescent="0.35">
      <c r="B18" s="78" t="s">
        <v>82</v>
      </c>
      <c r="C18" s="180">
        <v>0</v>
      </c>
      <c r="D18" s="180">
        <v>0</v>
      </c>
      <c r="E18" s="180">
        <v>0</v>
      </c>
      <c r="F18" s="180">
        <v>0</v>
      </c>
      <c r="G18" s="180">
        <f t="shared" ref="G18:U18" si="2">G16-G17</f>
        <v>2032.8000000000002</v>
      </c>
      <c r="H18" s="180">
        <f t="shared" si="2"/>
        <v>2032.8000000000002</v>
      </c>
      <c r="I18" s="180">
        <f t="shared" si="2"/>
        <v>2032.8000000000002</v>
      </c>
      <c r="J18" s="180">
        <f t="shared" si="2"/>
        <v>2032.8000000000002</v>
      </c>
      <c r="K18" s="180">
        <f t="shared" si="2"/>
        <v>2032.8000000000002</v>
      </c>
      <c r="L18" s="180">
        <f t="shared" si="2"/>
        <v>2032.8000000000002</v>
      </c>
      <c r="M18" s="180">
        <f t="shared" si="2"/>
        <v>2032.8000000000002</v>
      </c>
      <c r="N18" s="180">
        <f t="shared" si="2"/>
        <v>2032.8000000000002</v>
      </c>
      <c r="O18" s="180">
        <f t="shared" si="2"/>
        <v>2032.8000000000002</v>
      </c>
      <c r="P18" s="180">
        <f t="shared" si="2"/>
        <v>2032.8000000000002</v>
      </c>
      <c r="Q18" s="180">
        <f t="shared" si="2"/>
        <v>2032.8000000000002</v>
      </c>
      <c r="R18" s="180">
        <f t="shared" si="2"/>
        <v>2032.8000000000002</v>
      </c>
      <c r="S18" s="180">
        <f t="shared" si="2"/>
        <v>2032.8000000000002</v>
      </c>
      <c r="T18" s="180">
        <f t="shared" si="2"/>
        <v>2032.8000000000002</v>
      </c>
      <c r="U18" s="181">
        <f t="shared" si="2"/>
        <v>2032.8000000000002</v>
      </c>
    </row>
    <row r="19" spans="2:22" s="34" customFormat="1" ht="12" customHeight="1" x14ac:dyDescent="0.35">
      <c r="B19" s="35" t="s">
        <v>111</v>
      </c>
      <c r="C19" s="195">
        <v>0</v>
      </c>
      <c r="D19" s="195">
        <v>0</v>
      </c>
      <c r="E19" s="195">
        <v>0</v>
      </c>
      <c r="F19" s="195">
        <v>0</v>
      </c>
      <c r="G19" s="195">
        <f>C5</f>
        <v>3.3</v>
      </c>
      <c r="H19" s="195">
        <f t="shared" ref="H19:U19" si="3">G19*(1+$C$6)</f>
        <v>3.3329999999999997</v>
      </c>
      <c r="I19" s="195">
        <f t="shared" si="3"/>
        <v>3.3663299999999996</v>
      </c>
      <c r="J19" s="195">
        <f t="shared" si="3"/>
        <v>3.3999932999999998</v>
      </c>
      <c r="K19" s="195">
        <f t="shared" si="3"/>
        <v>3.4339932329999998</v>
      </c>
      <c r="L19" s="195">
        <f t="shared" si="3"/>
        <v>3.4683331653299998</v>
      </c>
      <c r="M19" s="195">
        <f t="shared" si="3"/>
        <v>3.5030164969833</v>
      </c>
      <c r="N19" s="195">
        <f t="shared" si="3"/>
        <v>3.5380466619531332</v>
      </c>
      <c r="O19" s="195">
        <f t="shared" si="3"/>
        <v>3.5734271285726646</v>
      </c>
      <c r="P19" s="195">
        <f t="shared" si="3"/>
        <v>3.6091613998583911</v>
      </c>
      <c r="Q19" s="195">
        <f t="shared" si="3"/>
        <v>3.645253013856975</v>
      </c>
      <c r="R19" s="195">
        <f t="shared" si="3"/>
        <v>3.6817055439955446</v>
      </c>
      <c r="S19" s="195">
        <f t="shared" si="3"/>
        <v>3.7185225994355</v>
      </c>
      <c r="T19" s="195">
        <f t="shared" si="3"/>
        <v>3.7557078254298553</v>
      </c>
      <c r="U19" s="196">
        <f t="shared" si="3"/>
        <v>3.7932649036841539</v>
      </c>
    </row>
    <row r="20" spans="2:22" s="34" customFormat="1" ht="12" customHeight="1" x14ac:dyDescent="0.35">
      <c r="B20" s="303" t="s">
        <v>174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6"/>
    </row>
    <row r="21" spans="2:22" s="34" customFormat="1" ht="12" customHeight="1" x14ac:dyDescent="0.35">
      <c r="B21" s="82" t="s">
        <v>21</v>
      </c>
      <c r="C21" s="182">
        <f>C18*C19</f>
        <v>0</v>
      </c>
      <c r="D21" s="182">
        <f>D18*D19</f>
        <v>0</v>
      </c>
      <c r="E21" s="182">
        <f>E18*E19</f>
        <v>0</v>
      </c>
      <c r="F21" s="182">
        <f>F18*F19</f>
        <v>0</v>
      </c>
      <c r="G21" s="182">
        <f>G18*G19</f>
        <v>6708.2400000000007</v>
      </c>
      <c r="H21" s="182">
        <f t="shared" ref="H21:U21" si="4">H18*H19</f>
        <v>6775.3224</v>
      </c>
      <c r="I21" s="182">
        <f t="shared" si="4"/>
        <v>6843.0756240000001</v>
      </c>
      <c r="J21" s="182">
        <f t="shared" si="4"/>
        <v>6911.50638024</v>
      </c>
      <c r="K21" s="182">
        <f t="shared" si="4"/>
        <v>6980.6214440424001</v>
      </c>
      <c r="L21" s="182">
        <f t="shared" si="4"/>
        <v>7050.427658482824</v>
      </c>
      <c r="M21" s="182">
        <f t="shared" si="4"/>
        <v>7120.9319350676524</v>
      </c>
      <c r="N21" s="182">
        <f t="shared" si="4"/>
        <v>7192.1412544183295</v>
      </c>
      <c r="O21" s="182">
        <f t="shared" si="4"/>
        <v>7264.0626669625135</v>
      </c>
      <c r="P21" s="182">
        <f t="shared" si="4"/>
        <v>7336.7032936321384</v>
      </c>
      <c r="Q21" s="182">
        <f t="shared" si="4"/>
        <v>7410.0703265684597</v>
      </c>
      <c r="R21" s="182">
        <f t="shared" si="4"/>
        <v>7484.1710298341441</v>
      </c>
      <c r="S21" s="182">
        <f t="shared" si="4"/>
        <v>7559.0127401324853</v>
      </c>
      <c r="T21" s="182">
        <f t="shared" si="4"/>
        <v>7634.6028675338102</v>
      </c>
      <c r="U21" s="183">
        <f t="shared" si="4"/>
        <v>7710.9488962091491</v>
      </c>
    </row>
    <row r="22" spans="2:22" s="34" customFormat="1" ht="12" customHeight="1" x14ac:dyDescent="0.35">
      <c r="B22" s="323" t="s">
        <v>189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5"/>
    </row>
    <row r="23" spans="2:22" s="34" customFormat="1" ht="12" customHeight="1" x14ac:dyDescent="0.35">
      <c r="B23" s="35" t="s">
        <v>41</v>
      </c>
      <c r="C23" s="180">
        <v>0</v>
      </c>
      <c r="D23" s="180">
        <v>0</v>
      </c>
      <c r="E23" s="180">
        <v>0</v>
      </c>
      <c r="F23" s="180">
        <v>0</v>
      </c>
      <c r="G23" s="180">
        <f>($C$7*$C$8)*((1.03^(G12-2012)))</f>
        <v>3187.5740328969018</v>
      </c>
      <c r="H23" s="180">
        <f t="shared" ref="H23:U23" si="5">($C$7*((1.03^(H12-2012))))*$C$8</f>
        <v>3283.201253883808</v>
      </c>
      <c r="I23" s="180">
        <f t="shared" si="5"/>
        <v>3381.6972915003225</v>
      </c>
      <c r="J23" s="180">
        <f t="shared" si="5"/>
        <v>3483.1482102453319</v>
      </c>
      <c r="K23" s="180">
        <f t="shared" si="5"/>
        <v>3587.6426565526917</v>
      </c>
      <c r="L23" s="180">
        <f t="shared" si="5"/>
        <v>3695.2719362492726</v>
      </c>
      <c r="M23" s="180">
        <f t="shared" si="5"/>
        <v>3806.1300943367514</v>
      </c>
      <c r="N23" s="180">
        <f t="shared" si="5"/>
        <v>3920.3139971668534</v>
      </c>
      <c r="O23" s="180">
        <f t="shared" si="5"/>
        <v>4037.923417081859</v>
      </c>
      <c r="P23" s="180">
        <f t="shared" si="5"/>
        <v>4159.0611195943147</v>
      </c>
      <c r="Q23" s="180">
        <f t="shared" si="5"/>
        <v>4283.8329531821446</v>
      </c>
      <c r="R23" s="180">
        <f t="shared" si="5"/>
        <v>4412.3479417776089</v>
      </c>
      <c r="S23" s="180">
        <f t="shared" si="5"/>
        <v>4544.7183800309358</v>
      </c>
      <c r="T23" s="180">
        <f t="shared" si="5"/>
        <v>4681.0599314318652</v>
      </c>
      <c r="U23" s="181">
        <f t="shared" si="5"/>
        <v>4821.4917293748204</v>
      </c>
    </row>
    <row r="24" spans="2:22" s="34" customFormat="1" ht="12" customHeight="1" x14ac:dyDescent="0.35">
      <c r="B24" s="35" t="s">
        <v>84</v>
      </c>
      <c r="C24" s="180">
        <v>0</v>
      </c>
      <c r="D24" s="180">
        <v>0</v>
      </c>
      <c r="E24" s="180">
        <v>0</v>
      </c>
      <c r="F24" s="180">
        <v>0</v>
      </c>
      <c r="G24" s="180">
        <f t="shared" ref="G24:U24" si="6">((1.55*G14*((1.04)^(G12-2012))))*($C$4/85%)</f>
        <v>483.6</v>
      </c>
      <c r="H24" s="180">
        <f t="shared" si="6"/>
        <v>502.94400000000007</v>
      </c>
      <c r="I24" s="180">
        <f t="shared" si="6"/>
        <v>523.06176000000005</v>
      </c>
      <c r="J24" s="180">
        <f t="shared" si="6"/>
        <v>543.98423040000011</v>
      </c>
      <c r="K24" s="180">
        <f t="shared" si="6"/>
        <v>565.74359961600021</v>
      </c>
      <c r="L24" s="180">
        <f t="shared" si="6"/>
        <v>588.37334360064017</v>
      </c>
      <c r="M24" s="180">
        <f t="shared" si="6"/>
        <v>611.90827734466575</v>
      </c>
      <c r="N24" s="180">
        <f t="shared" si="6"/>
        <v>636.38460843845246</v>
      </c>
      <c r="O24" s="180">
        <f t="shared" si="6"/>
        <v>661.83999277599059</v>
      </c>
      <c r="P24" s="180">
        <f t="shared" si="6"/>
        <v>688.31359248703018</v>
      </c>
      <c r="Q24" s="180">
        <f t="shared" si="6"/>
        <v>715.84613618651144</v>
      </c>
      <c r="R24" s="180">
        <f t="shared" si="6"/>
        <v>744.47998163397199</v>
      </c>
      <c r="S24" s="180">
        <f t="shared" si="6"/>
        <v>774.25918089933089</v>
      </c>
      <c r="T24" s="180">
        <f t="shared" si="6"/>
        <v>805.22954813530419</v>
      </c>
      <c r="U24" s="181">
        <f t="shared" si="6"/>
        <v>837.43873006071624</v>
      </c>
    </row>
    <row r="25" spans="2:22" s="34" customFormat="1" ht="12" customHeight="1" x14ac:dyDescent="0.35">
      <c r="B25" s="82" t="s">
        <v>25</v>
      </c>
      <c r="C25" s="180">
        <v>0</v>
      </c>
      <c r="D25" s="180">
        <v>0</v>
      </c>
      <c r="E25" s="180">
        <v>0</v>
      </c>
      <c r="F25" s="180">
        <v>0</v>
      </c>
      <c r="G25" s="393">
        <f t="shared" ref="G25:U25" si="7">SUM(G23:G24)</f>
        <v>3671.1740328969017</v>
      </c>
      <c r="H25" s="393">
        <f t="shared" si="7"/>
        <v>3786.145253883808</v>
      </c>
      <c r="I25" s="393">
        <f t="shared" si="7"/>
        <v>3904.7590515003226</v>
      </c>
      <c r="J25" s="393">
        <f t="shared" si="7"/>
        <v>4027.1324406453323</v>
      </c>
      <c r="K25" s="393">
        <f t="shared" si="7"/>
        <v>4153.3862561686919</v>
      </c>
      <c r="L25" s="393">
        <f t="shared" si="7"/>
        <v>4283.6452798499131</v>
      </c>
      <c r="M25" s="393">
        <f t="shared" si="7"/>
        <v>4418.0383716814176</v>
      </c>
      <c r="N25" s="393">
        <f t="shared" si="7"/>
        <v>4556.6986056053056</v>
      </c>
      <c r="O25" s="393">
        <f t="shared" si="7"/>
        <v>4699.7634098578492</v>
      </c>
      <c r="P25" s="393">
        <f t="shared" si="7"/>
        <v>4847.374712081345</v>
      </c>
      <c r="Q25" s="393">
        <f t="shared" si="7"/>
        <v>4999.6790893686557</v>
      </c>
      <c r="R25" s="393">
        <f t="shared" si="7"/>
        <v>5156.8279234115807</v>
      </c>
      <c r="S25" s="393">
        <f t="shared" si="7"/>
        <v>5318.9775609302669</v>
      </c>
      <c r="T25" s="393">
        <f t="shared" si="7"/>
        <v>5486.2894795671691</v>
      </c>
      <c r="U25" s="394">
        <f t="shared" si="7"/>
        <v>5658.9304594355362</v>
      </c>
      <c r="V25" s="145"/>
    </row>
    <row r="26" spans="2:22" s="34" customFormat="1" ht="12" customHeight="1" x14ac:dyDescent="0.35">
      <c r="B26" s="85" t="s">
        <v>272</v>
      </c>
      <c r="C26" s="182">
        <f t="shared" ref="C26:U26" si="8">C21-C25</f>
        <v>0</v>
      </c>
      <c r="D26" s="182">
        <f t="shared" si="8"/>
        <v>0</v>
      </c>
      <c r="E26" s="182">
        <f t="shared" si="8"/>
        <v>0</v>
      </c>
      <c r="F26" s="182">
        <f t="shared" si="8"/>
        <v>0</v>
      </c>
      <c r="G26" s="182">
        <f t="shared" si="8"/>
        <v>3037.065967103099</v>
      </c>
      <c r="H26" s="182">
        <f t="shared" si="8"/>
        <v>2989.177146116192</v>
      </c>
      <c r="I26" s="182">
        <f t="shared" si="8"/>
        <v>2938.3165724996775</v>
      </c>
      <c r="J26" s="182">
        <f t="shared" si="8"/>
        <v>2884.3739395946677</v>
      </c>
      <c r="K26" s="182">
        <f t="shared" si="8"/>
        <v>2827.2351878737081</v>
      </c>
      <c r="L26" s="182">
        <f t="shared" si="8"/>
        <v>2766.7823786329109</v>
      </c>
      <c r="M26" s="182">
        <f t="shared" si="8"/>
        <v>2702.8935633862347</v>
      </c>
      <c r="N26" s="182">
        <f t="shared" si="8"/>
        <v>2635.4426488130239</v>
      </c>
      <c r="O26" s="182">
        <f t="shared" si="8"/>
        <v>2564.2992571046643</v>
      </c>
      <c r="P26" s="182">
        <f t="shared" si="8"/>
        <v>2489.3285815507934</v>
      </c>
      <c r="Q26" s="182">
        <f t="shared" si="8"/>
        <v>2410.391237199804</v>
      </c>
      <c r="R26" s="182">
        <f t="shared" si="8"/>
        <v>2327.3431064225633</v>
      </c>
      <c r="S26" s="182">
        <f t="shared" si="8"/>
        <v>2240.0351792022184</v>
      </c>
      <c r="T26" s="182">
        <f t="shared" si="8"/>
        <v>2148.3133879666411</v>
      </c>
      <c r="U26" s="183">
        <f t="shared" si="8"/>
        <v>2052.0184367736128</v>
      </c>
    </row>
    <row r="27" spans="2:22" s="34" customFormat="1" ht="12" customHeight="1" x14ac:dyDescent="0.35">
      <c r="B27" s="323" t="s">
        <v>145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2:22" s="34" customFormat="1" ht="12" customHeight="1" x14ac:dyDescent="0.35">
      <c r="B28" s="35" t="s">
        <v>187</v>
      </c>
      <c r="C28" s="180">
        <v>0</v>
      </c>
      <c r="D28" s="180">
        <v>0</v>
      </c>
      <c r="E28" s="180">
        <v>0</v>
      </c>
      <c r="F28" s="410">
        <v>0</v>
      </c>
      <c r="G28" s="410">
        <f t="shared" ref="G28:U28" si="9">$J$4*((G109+G112)/2)</f>
        <v>1067</v>
      </c>
      <c r="H28" s="410">
        <f t="shared" si="9"/>
        <v>937.66666666666686</v>
      </c>
      <c r="I28" s="410">
        <f t="shared" si="9"/>
        <v>808.33333333333337</v>
      </c>
      <c r="J28" s="410">
        <f t="shared" si="9"/>
        <v>679</v>
      </c>
      <c r="K28" s="410">
        <f t="shared" si="9"/>
        <v>549.66666666666652</v>
      </c>
      <c r="L28" s="410">
        <f t="shared" si="9"/>
        <v>420.3333333333332</v>
      </c>
      <c r="M28" s="410">
        <f t="shared" si="9"/>
        <v>290.99999999999983</v>
      </c>
      <c r="N28" s="410">
        <f t="shared" si="9"/>
        <v>161.66666666666649</v>
      </c>
      <c r="O28" s="410">
        <f t="shared" si="9"/>
        <v>48.499999999999787</v>
      </c>
      <c r="P28" s="410">
        <f t="shared" si="9"/>
        <v>-2.1827872842550277E-13</v>
      </c>
      <c r="Q28" s="410">
        <f t="shared" si="9"/>
        <v>-2.1827872842550277E-13</v>
      </c>
      <c r="R28" s="410">
        <f t="shared" si="9"/>
        <v>-2.1827872842550277E-13</v>
      </c>
      <c r="S28" s="410">
        <f t="shared" si="9"/>
        <v>-2.1827872842550277E-13</v>
      </c>
      <c r="T28" s="410">
        <f t="shared" si="9"/>
        <v>-2.1827872842550277E-13</v>
      </c>
      <c r="U28" s="441">
        <f t="shared" si="9"/>
        <v>-2.1827872842550277E-13</v>
      </c>
    </row>
    <row r="29" spans="2:22" s="34" customFormat="1" ht="12" customHeight="1" x14ac:dyDescent="0.35">
      <c r="B29" s="35" t="s">
        <v>188</v>
      </c>
      <c r="C29" s="180">
        <v>0</v>
      </c>
      <c r="D29" s="180">
        <v>0</v>
      </c>
      <c r="E29" s="180">
        <v>0</v>
      </c>
      <c r="F29" s="180">
        <v>0</v>
      </c>
      <c r="G29" s="187">
        <f>$J$4*G60</f>
        <v>111.6</v>
      </c>
      <c r="H29" s="187">
        <f t="shared" ref="H29:U29" si="10">$J$4*((G60+H60)/2)</f>
        <v>112.2</v>
      </c>
      <c r="I29" s="187">
        <f t="shared" si="10"/>
        <v>114</v>
      </c>
      <c r="J29" s="187">
        <f t="shared" si="10"/>
        <v>116.39999999999999</v>
      </c>
      <c r="K29" s="187">
        <f t="shared" si="10"/>
        <v>118.19999999999999</v>
      </c>
      <c r="L29" s="187">
        <f t="shared" si="10"/>
        <v>120</v>
      </c>
      <c r="M29" s="187">
        <f t="shared" si="10"/>
        <v>122.39999999999999</v>
      </c>
      <c r="N29" s="187">
        <f t="shared" si="10"/>
        <v>124.8</v>
      </c>
      <c r="O29" s="187">
        <f t="shared" si="10"/>
        <v>127.19999999999999</v>
      </c>
      <c r="P29" s="187">
        <f t="shared" si="10"/>
        <v>129.6</v>
      </c>
      <c r="Q29" s="187">
        <f t="shared" si="10"/>
        <v>132</v>
      </c>
      <c r="R29" s="187">
        <f t="shared" si="10"/>
        <v>134.4</v>
      </c>
      <c r="S29" s="187">
        <f t="shared" si="10"/>
        <v>137.4</v>
      </c>
      <c r="T29" s="187">
        <f t="shared" si="10"/>
        <v>140.4</v>
      </c>
      <c r="U29" s="340">
        <f t="shared" si="10"/>
        <v>142.79999999999998</v>
      </c>
    </row>
    <row r="30" spans="2:22" s="34" customFormat="1" ht="12" customHeight="1" x14ac:dyDescent="0.35">
      <c r="B30" s="35" t="s">
        <v>30</v>
      </c>
      <c r="C30" s="180">
        <v>0</v>
      </c>
      <c r="D30" s="180">
        <v>0</v>
      </c>
      <c r="E30" s="180">
        <v>0</v>
      </c>
      <c r="F30" s="180">
        <v>0</v>
      </c>
      <c r="G30" s="187">
        <v>680</v>
      </c>
      <c r="H30" s="187">
        <v>680</v>
      </c>
      <c r="I30" s="187">
        <v>680</v>
      </c>
      <c r="J30" s="187">
        <v>680</v>
      </c>
      <c r="K30" s="187">
        <v>680</v>
      </c>
      <c r="L30" s="187">
        <v>680</v>
      </c>
      <c r="M30" s="187">
        <v>680</v>
      </c>
      <c r="N30" s="187">
        <v>680</v>
      </c>
      <c r="O30" s="187">
        <v>680</v>
      </c>
      <c r="P30" s="187">
        <v>680</v>
      </c>
      <c r="Q30" s="187">
        <v>680</v>
      </c>
      <c r="R30" s="187">
        <v>680</v>
      </c>
      <c r="S30" s="187">
        <v>680</v>
      </c>
      <c r="T30" s="187">
        <v>680</v>
      </c>
      <c r="U30" s="340">
        <v>680</v>
      </c>
    </row>
    <row r="31" spans="2:22" s="34" customFormat="1" ht="12" hidden="1" customHeight="1" outlineLevel="1" x14ac:dyDescent="0.35">
      <c r="B31" s="52" t="s">
        <v>86</v>
      </c>
      <c r="C31" s="186">
        <f t="shared" ref="C31:U31" si="11">C26-C28-C29-C30</f>
        <v>0</v>
      </c>
      <c r="D31" s="186">
        <f t="shared" si="11"/>
        <v>0</v>
      </c>
      <c r="E31" s="186">
        <f t="shared" si="11"/>
        <v>0</v>
      </c>
      <c r="F31" s="186">
        <f t="shared" si="11"/>
        <v>0</v>
      </c>
      <c r="G31" s="186">
        <f t="shared" si="11"/>
        <v>1178.465967103099</v>
      </c>
      <c r="H31" s="186">
        <f t="shared" si="11"/>
        <v>1259.310479449525</v>
      </c>
      <c r="I31" s="186">
        <f t="shared" si="11"/>
        <v>1335.983239166344</v>
      </c>
      <c r="J31" s="186">
        <f t="shared" si="11"/>
        <v>1408.9739395946676</v>
      </c>
      <c r="K31" s="186">
        <f t="shared" si="11"/>
        <v>1479.3685212070418</v>
      </c>
      <c r="L31" s="186">
        <f t="shared" si="11"/>
        <v>1546.4490452995778</v>
      </c>
      <c r="M31" s="186">
        <f t="shared" si="11"/>
        <v>1609.4935633862347</v>
      </c>
      <c r="N31" s="186">
        <f t="shared" si="11"/>
        <v>1668.9759821463572</v>
      </c>
      <c r="O31" s="186">
        <f t="shared" si="11"/>
        <v>1708.5992571046645</v>
      </c>
      <c r="P31" s="186">
        <f t="shared" si="11"/>
        <v>1679.7285815507935</v>
      </c>
      <c r="Q31" s="186">
        <f t="shared" si="11"/>
        <v>1598.391237199804</v>
      </c>
      <c r="R31" s="186">
        <f t="shared" si="11"/>
        <v>1512.9431064225632</v>
      </c>
      <c r="S31" s="186">
        <f t="shared" si="11"/>
        <v>1422.6351792022183</v>
      </c>
      <c r="T31" s="186">
        <f t="shared" si="11"/>
        <v>1327.913387966641</v>
      </c>
      <c r="U31" s="183">
        <f t="shared" si="11"/>
        <v>1229.2184367736129</v>
      </c>
    </row>
    <row r="32" spans="2:22" s="34" customFormat="1" ht="12" hidden="1" customHeight="1" outlineLevel="1" x14ac:dyDescent="0.35">
      <c r="B32" s="323" t="s">
        <v>32</v>
      </c>
      <c r="C32" s="46"/>
      <c r="D32" s="46"/>
      <c r="E32" s="46"/>
      <c r="F32" s="46"/>
      <c r="G32" s="46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</row>
    <row r="33" spans="2:21" s="34" customFormat="1" ht="12" hidden="1" customHeight="1" outlineLevel="1" x14ac:dyDescent="0.35">
      <c r="B33" s="35" t="s">
        <v>195</v>
      </c>
      <c r="C33" s="180">
        <v>0</v>
      </c>
      <c r="D33" s="180">
        <v>0</v>
      </c>
      <c r="E33" s="180">
        <v>0</v>
      </c>
      <c r="F33" s="187">
        <f>F127</f>
        <v>0</v>
      </c>
      <c r="G33" s="187">
        <f>G127</f>
        <v>186.22227614665732</v>
      </c>
      <c r="H33" s="187">
        <f t="shared" ref="H33:U33" si="12">H127</f>
        <v>200.32662793554584</v>
      </c>
      <c r="I33" s="187">
        <f t="shared" si="12"/>
        <v>209.58844752367455</v>
      </c>
      <c r="J33" s="187">
        <f t="shared" si="12"/>
        <v>228.50725112670708</v>
      </c>
      <c r="K33" s="187">
        <f t="shared" si="12"/>
        <v>237.85967072873183</v>
      </c>
      <c r="L33" s="187">
        <f t="shared" si="12"/>
        <v>247.16601693709185</v>
      </c>
      <c r="M33" s="187">
        <f t="shared" si="12"/>
        <v>256.41916311306449</v>
      </c>
      <c r="N33" s="187">
        <f t="shared" si="12"/>
        <v>265.62088841363698</v>
      </c>
      <c r="O33" s="187">
        <f t="shared" si="12"/>
        <v>272.19230271623439</v>
      </c>
      <c r="P33" s="187">
        <f t="shared" si="12"/>
        <v>273.07048803487913</v>
      </c>
      <c r="Q33" s="187">
        <f t="shared" si="12"/>
        <v>257.17807264723325</v>
      </c>
      <c r="R33" s="187">
        <f t="shared" si="12"/>
        <v>245.85639526601005</v>
      </c>
      <c r="S33" s="187">
        <f t="shared" si="12"/>
        <v>225.67040043282373</v>
      </c>
      <c r="T33" s="187">
        <f t="shared" si="12"/>
        <v>214.06619215828411</v>
      </c>
      <c r="U33" s="51">
        <f t="shared" si="12"/>
        <v>193.80152630527283</v>
      </c>
    </row>
    <row r="34" spans="2:21" s="34" customFormat="1" ht="12" hidden="1" customHeight="1" outlineLevel="1" x14ac:dyDescent="0.35">
      <c r="B34" s="35" t="s">
        <v>196</v>
      </c>
      <c r="C34" s="180">
        <v>0</v>
      </c>
      <c r="D34" s="180">
        <v>0</v>
      </c>
      <c r="E34" s="180">
        <v>0</v>
      </c>
      <c r="F34" s="180">
        <v>0</v>
      </c>
      <c r="G34" s="187">
        <v>0</v>
      </c>
      <c r="H34" s="187">
        <v>0</v>
      </c>
      <c r="I34" s="187">
        <v>0</v>
      </c>
      <c r="J34" s="187">
        <v>0</v>
      </c>
      <c r="K34" s="187">
        <v>0</v>
      </c>
      <c r="L34" s="187">
        <v>0</v>
      </c>
      <c r="M34" s="187">
        <v>0</v>
      </c>
      <c r="N34" s="187">
        <v>-10</v>
      </c>
      <c r="O34" s="187">
        <v>-40</v>
      </c>
      <c r="P34" s="187">
        <v>-70</v>
      </c>
      <c r="Q34" s="187">
        <v>-90</v>
      </c>
      <c r="R34" s="187">
        <v>-110</v>
      </c>
      <c r="S34" s="187">
        <v>-130</v>
      </c>
      <c r="T34" s="187">
        <v>-140</v>
      </c>
      <c r="U34" s="188">
        <v>-150</v>
      </c>
    </row>
    <row r="35" spans="2:21" s="34" customFormat="1" ht="12" customHeight="1" collapsed="1" x14ac:dyDescent="0.35">
      <c r="B35" s="86" t="s">
        <v>87</v>
      </c>
      <c r="C35" s="186">
        <f t="shared" ref="C35:U35" si="13">C31-C33-C34</f>
        <v>0</v>
      </c>
      <c r="D35" s="186">
        <f t="shared" si="13"/>
        <v>0</v>
      </c>
      <c r="E35" s="186">
        <f t="shared" si="13"/>
        <v>0</v>
      </c>
      <c r="F35" s="186">
        <f t="shared" si="13"/>
        <v>0</v>
      </c>
      <c r="G35" s="186">
        <f t="shared" si="13"/>
        <v>992.2436909564417</v>
      </c>
      <c r="H35" s="182">
        <f t="shared" si="13"/>
        <v>1058.9838515139791</v>
      </c>
      <c r="I35" s="182">
        <f t="shared" si="13"/>
        <v>1126.3947916426694</v>
      </c>
      <c r="J35" s="182">
        <f t="shared" si="13"/>
        <v>1180.4666884679605</v>
      </c>
      <c r="K35" s="182">
        <f t="shared" si="13"/>
        <v>1241.50885047831</v>
      </c>
      <c r="L35" s="182">
        <f t="shared" si="13"/>
        <v>1299.283028362486</v>
      </c>
      <c r="M35" s="182">
        <f t="shared" si="13"/>
        <v>1353.0744002731701</v>
      </c>
      <c r="N35" s="182">
        <f t="shared" si="13"/>
        <v>1413.3550937327202</v>
      </c>
      <c r="O35" s="182">
        <f t="shared" si="13"/>
        <v>1476.4069543884302</v>
      </c>
      <c r="P35" s="182">
        <f t="shared" si="13"/>
        <v>1476.6580935159143</v>
      </c>
      <c r="Q35" s="182">
        <f t="shared" si="13"/>
        <v>1431.2131645525708</v>
      </c>
      <c r="R35" s="182">
        <f t="shared" si="13"/>
        <v>1377.0867111565531</v>
      </c>
      <c r="S35" s="182">
        <f t="shared" si="13"/>
        <v>1326.9647787693946</v>
      </c>
      <c r="T35" s="182">
        <f t="shared" si="13"/>
        <v>1253.8471958083569</v>
      </c>
      <c r="U35" s="183">
        <f t="shared" si="13"/>
        <v>1185.4169104683401</v>
      </c>
    </row>
    <row r="36" spans="2:21" s="34" customFormat="1" ht="3.65" customHeight="1" x14ac:dyDescent="0.35">
      <c r="B36" s="86"/>
      <c r="C36" s="186"/>
      <c r="D36" s="186"/>
      <c r="E36" s="186"/>
      <c r="F36" s="186"/>
      <c r="G36" s="186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3"/>
    </row>
    <row r="37" spans="2:21" s="34" customFormat="1" ht="12" customHeight="1" x14ac:dyDescent="0.35">
      <c r="B37" s="86" t="s">
        <v>88</v>
      </c>
      <c r="C37" s="189">
        <f t="shared" ref="C37:U37" si="14">C35+C30+C34</f>
        <v>0</v>
      </c>
      <c r="D37" s="189">
        <f t="shared" si="14"/>
        <v>0</v>
      </c>
      <c r="E37" s="189">
        <f t="shared" si="14"/>
        <v>0</v>
      </c>
      <c r="F37" s="189">
        <f t="shared" si="14"/>
        <v>0</v>
      </c>
      <c r="G37" s="189">
        <f t="shared" si="14"/>
        <v>1672.2436909564417</v>
      </c>
      <c r="H37" s="190">
        <f t="shared" si="14"/>
        <v>1738.9838515139791</v>
      </c>
      <c r="I37" s="190">
        <f t="shared" si="14"/>
        <v>1806.3947916426694</v>
      </c>
      <c r="J37" s="190">
        <f t="shared" si="14"/>
        <v>1860.4666884679605</v>
      </c>
      <c r="K37" s="190">
        <f t="shared" si="14"/>
        <v>1921.50885047831</v>
      </c>
      <c r="L37" s="190">
        <f t="shared" si="14"/>
        <v>1979.283028362486</v>
      </c>
      <c r="M37" s="190">
        <f t="shared" si="14"/>
        <v>2033.0744002731701</v>
      </c>
      <c r="N37" s="190">
        <f t="shared" si="14"/>
        <v>2083.35509373272</v>
      </c>
      <c r="O37" s="190">
        <f t="shared" si="14"/>
        <v>2116.4069543884302</v>
      </c>
      <c r="P37" s="190">
        <f t="shared" si="14"/>
        <v>2086.6580935159145</v>
      </c>
      <c r="Q37" s="190">
        <f t="shared" si="14"/>
        <v>2021.2131645525706</v>
      </c>
      <c r="R37" s="190">
        <f t="shared" si="14"/>
        <v>1947.0867111565531</v>
      </c>
      <c r="S37" s="190">
        <f t="shared" si="14"/>
        <v>1876.9647787693946</v>
      </c>
      <c r="T37" s="190">
        <f t="shared" si="14"/>
        <v>1793.8471958083569</v>
      </c>
      <c r="U37" s="191">
        <f t="shared" si="14"/>
        <v>1715.4169104683401</v>
      </c>
    </row>
    <row r="38" spans="2:21" s="34" customFormat="1" ht="12" customHeight="1" x14ac:dyDescent="0.35">
      <c r="B38" s="86" t="s">
        <v>266</v>
      </c>
      <c r="C38" s="398">
        <v>0</v>
      </c>
      <c r="D38" s="398">
        <v>0</v>
      </c>
      <c r="E38" s="398">
        <v>0</v>
      </c>
      <c r="F38" s="398">
        <v>0</v>
      </c>
      <c r="G38" s="398">
        <f>+G31+G30+G29+G28</f>
        <v>3037.065967103099</v>
      </c>
      <c r="H38" s="398">
        <f t="shared" ref="H38:U38" si="15">+H31+H30+H29+H28</f>
        <v>2989.177146116192</v>
      </c>
      <c r="I38" s="398">
        <f t="shared" si="15"/>
        <v>2938.3165724996775</v>
      </c>
      <c r="J38" s="398">
        <f t="shared" si="15"/>
        <v>2884.3739395946677</v>
      </c>
      <c r="K38" s="398">
        <f t="shared" si="15"/>
        <v>2827.2351878737081</v>
      </c>
      <c r="L38" s="398">
        <f t="shared" si="15"/>
        <v>2766.7823786329109</v>
      </c>
      <c r="M38" s="398">
        <f t="shared" si="15"/>
        <v>2702.8935633862347</v>
      </c>
      <c r="N38" s="398">
        <f t="shared" si="15"/>
        <v>2635.4426488130239</v>
      </c>
      <c r="O38" s="398">
        <f t="shared" si="15"/>
        <v>2564.2992571046643</v>
      </c>
      <c r="P38" s="398">
        <f t="shared" si="15"/>
        <v>2489.3285815507934</v>
      </c>
      <c r="Q38" s="398">
        <f t="shared" si="15"/>
        <v>2410.391237199804</v>
      </c>
      <c r="R38" s="398">
        <f t="shared" si="15"/>
        <v>2327.3431064225633</v>
      </c>
      <c r="S38" s="398">
        <f t="shared" si="15"/>
        <v>2240.0351792022184</v>
      </c>
      <c r="T38" s="398">
        <f t="shared" si="15"/>
        <v>2148.3133879666411</v>
      </c>
      <c r="U38" s="191">
        <f t="shared" si="15"/>
        <v>2052.0184367736128</v>
      </c>
    </row>
    <row r="39" spans="2:21" s="34" customFormat="1" ht="5.75" customHeight="1" x14ac:dyDescent="0.35">
      <c r="B39" s="86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51"/>
    </row>
    <row r="40" spans="2:21" s="34" customFormat="1" ht="12" customHeight="1" x14ac:dyDescent="0.35">
      <c r="B40" s="399" t="s">
        <v>264</v>
      </c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397"/>
    </row>
    <row r="41" spans="2:21" s="34" customFormat="1" ht="12" customHeight="1" x14ac:dyDescent="0.35">
      <c r="B41" s="461" t="s">
        <v>265</v>
      </c>
      <c r="C41" s="462"/>
      <c r="D41" s="463">
        <f>D61/D62</f>
        <v>0.69942196531791923</v>
      </c>
      <c r="E41" s="463">
        <f>E61/E62</f>
        <v>0.70044543429844108</v>
      </c>
      <c r="F41" s="463">
        <f>F61/F62</f>
        <v>0.69390508114295069</v>
      </c>
      <c r="G41" s="463">
        <f>G61/G62</f>
        <v>0.64706582789834244</v>
      </c>
      <c r="H41" s="463">
        <f t="shared" ref="H41:U41" si="16">H61/H62</f>
        <v>0.57644296505793602</v>
      </c>
      <c r="I41" s="463">
        <f t="shared" si="16"/>
        <v>0.50290242499671445</v>
      </c>
      <c r="J41" s="463">
        <f t="shared" si="16"/>
        <v>0.42746173200235577</v>
      </c>
      <c r="K41" s="463">
        <f t="shared" si="16"/>
        <v>0.35057901946418457</v>
      </c>
      <c r="L41" s="463">
        <f t="shared" si="16"/>
        <v>0.27402388837298036</v>
      </c>
      <c r="M41" s="463">
        <f t="shared" si="16"/>
        <v>0.19827639037700789</v>
      </c>
      <c r="N41" s="463">
        <f t="shared" si="16"/>
        <v>0.12414858038392571</v>
      </c>
      <c r="O41" s="463">
        <f t="shared" si="16"/>
        <v>6.8755803869800999E-2</v>
      </c>
      <c r="P41" s="463">
        <f t="shared" si="16"/>
        <v>6.4189639421120798E-2</v>
      </c>
      <c r="Q41" s="463">
        <f t="shared" si="16"/>
        <v>6.0521135342918038E-2</v>
      </c>
      <c r="R41" s="463">
        <f t="shared" si="16"/>
        <v>5.7490926372971339E-2</v>
      </c>
      <c r="S41" s="463">
        <f t="shared" si="16"/>
        <v>5.5459011541578486E-2</v>
      </c>
      <c r="T41" s="463">
        <f t="shared" si="16"/>
        <v>5.3387727538748202E-2</v>
      </c>
      <c r="U41" s="464">
        <f t="shared" si="16"/>
        <v>5.1673085451232718E-2</v>
      </c>
    </row>
    <row r="42" spans="2:21" s="34" customFormat="1" ht="12" customHeight="1" x14ac:dyDescent="0.35">
      <c r="B42" s="336" t="s">
        <v>267</v>
      </c>
      <c r="C42" s="90"/>
      <c r="D42" s="398">
        <v>0</v>
      </c>
      <c r="E42" s="398">
        <v>0</v>
      </c>
      <c r="F42" s="398">
        <v>0</v>
      </c>
      <c r="G42" s="176">
        <f>G61/G38</f>
        <v>3.0564952748234653</v>
      </c>
      <c r="H42" s="176">
        <f t="shared" ref="H42:U42" si="17">H61/H38</f>
        <v>2.7482479620432221</v>
      </c>
      <c r="I42" s="176">
        <f t="shared" si="17"/>
        <v>2.4358240664767608</v>
      </c>
      <c r="J42" s="176">
        <f t="shared" si="17"/>
        <v>2.1146510723576917</v>
      </c>
      <c r="K42" s="176">
        <f t="shared" si="17"/>
        <v>1.7797128050216633</v>
      </c>
      <c r="L42" s="176">
        <f t="shared" si="17"/>
        <v>1.4362853109005334</v>
      </c>
      <c r="M42" s="176">
        <f t="shared" si="17"/>
        <v>1.0788849219270595</v>
      </c>
      <c r="N42" s="176">
        <f t="shared" si="17"/>
        <v>0.70513138814472243</v>
      </c>
      <c r="O42" s="176">
        <f t="shared" si="17"/>
        <v>0.41726799125938563</v>
      </c>
      <c r="P42" s="176">
        <f t="shared" si="17"/>
        <v>0.43786907364432931</v>
      </c>
      <c r="Q42" s="176">
        <f t="shared" si="17"/>
        <v>0.46050615471432998</v>
      </c>
      <c r="R42" s="176">
        <f t="shared" si="17"/>
        <v>0.4855321920011007</v>
      </c>
      <c r="S42" s="176">
        <f t="shared" si="17"/>
        <v>0.51784901003792649</v>
      </c>
      <c r="T42" s="176">
        <f t="shared" si="17"/>
        <v>0.54926809403578558</v>
      </c>
      <c r="U42" s="402">
        <f t="shared" si="17"/>
        <v>0.58479006742588402</v>
      </c>
    </row>
    <row r="43" spans="2:21" s="34" customFormat="1" ht="12" customHeight="1" x14ac:dyDescent="0.35">
      <c r="B43" s="461" t="s">
        <v>270</v>
      </c>
      <c r="C43" s="465"/>
      <c r="D43" s="466">
        <v>0</v>
      </c>
      <c r="E43" s="466">
        <v>0</v>
      </c>
      <c r="F43" s="466">
        <v>0</v>
      </c>
      <c r="G43" s="467">
        <f t="shared" ref="G43:U43" si="18">(G35+G28+G29+G30)/(G28+G29-G87)</f>
        <v>1.2634602764808875</v>
      </c>
      <c r="H43" s="467">
        <f t="shared" si="18"/>
        <v>1.3107690645693624</v>
      </c>
      <c r="I43" s="467">
        <f t="shared" si="18"/>
        <v>1.364288268695296</v>
      </c>
      <c r="J43" s="467">
        <f t="shared" si="18"/>
        <v>1.4178401644390188</v>
      </c>
      <c r="K43" s="468">
        <f t="shared" si="18"/>
        <v>1.4833350086758654</v>
      </c>
      <c r="L43" s="468">
        <f t="shared" si="18"/>
        <v>1.5571343305131065</v>
      </c>
      <c r="M43" s="468">
        <f t="shared" si="18"/>
        <v>1.6406322818993582</v>
      </c>
      <c r="N43" s="468">
        <f t="shared" si="18"/>
        <v>1.7444247400754571</v>
      </c>
      <c r="O43" s="468">
        <f t="shared" si="18"/>
        <v>2.3699471099099929</v>
      </c>
      <c r="P43" s="468">
        <f t="shared" si="18"/>
        <v>17.640880351203073</v>
      </c>
      <c r="Q43" s="468">
        <f t="shared" si="18"/>
        <v>16.994039125398292</v>
      </c>
      <c r="R43" s="468">
        <f t="shared" si="18"/>
        <v>16.30570469610533</v>
      </c>
      <c r="S43" s="468">
        <f t="shared" si="18"/>
        <v>15.606730558729243</v>
      </c>
      <c r="T43" s="468">
        <f t="shared" si="18"/>
        <v>14.773840425985473</v>
      </c>
      <c r="U43" s="469">
        <f t="shared" si="18"/>
        <v>14.063143630730695</v>
      </c>
    </row>
    <row r="44" spans="2:21" s="34" customFormat="1" ht="12" customHeight="1" x14ac:dyDescent="0.35">
      <c r="B44" s="336" t="s">
        <v>271</v>
      </c>
      <c r="C44" s="173"/>
      <c r="D44" s="398">
        <v>0</v>
      </c>
      <c r="E44" s="398">
        <v>0</v>
      </c>
      <c r="F44" s="398">
        <v>0</v>
      </c>
      <c r="G44" s="176">
        <f t="shared" ref="G44:U44" si="19">G83/(G28+G29-G87)</f>
        <v>0.71390691169760656</v>
      </c>
      <c r="H44" s="176">
        <f t="shared" si="19"/>
        <v>1.3060690311469025</v>
      </c>
      <c r="I44" s="176">
        <f t="shared" si="19"/>
        <v>1.3492891019823354</v>
      </c>
      <c r="J44" s="176">
        <f t="shared" si="19"/>
        <v>1.4071631212681743</v>
      </c>
      <c r="K44" s="176">
        <f t="shared" si="19"/>
        <v>1.4718779218311471</v>
      </c>
      <c r="L44" s="176">
        <f t="shared" si="19"/>
        <v>1.5385941945521096</v>
      </c>
      <c r="M44" s="176">
        <f t="shared" si="19"/>
        <v>1.6272200648598816</v>
      </c>
      <c r="N44" s="176">
        <f t="shared" si="19"/>
        <v>1.7151044814056193</v>
      </c>
      <c r="O44" s="176">
        <f t="shared" si="19"/>
        <v>2.2988113082772568</v>
      </c>
      <c r="P44" s="176">
        <f t="shared" si="19"/>
        <v>16.94643590675863</v>
      </c>
      <c r="Q44" s="176">
        <f t="shared" si="19"/>
        <v>16.084948216307382</v>
      </c>
      <c r="R44" s="176">
        <f t="shared" si="19"/>
        <v>15.264038029438661</v>
      </c>
      <c r="S44" s="176">
        <f t="shared" si="19"/>
        <v>14.442247298176111</v>
      </c>
      <c r="T44" s="176">
        <f t="shared" si="19"/>
        <v>13.563014215159258</v>
      </c>
      <c r="U44" s="402">
        <f t="shared" si="19"/>
        <v>12.802639429050021</v>
      </c>
    </row>
    <row r="45" spans="2:21" s="34" customFormat="1" ht="12" customHeight="1" x14ac:dyDescent="0.35">
      <c r="B45" s="461" t="s">
        <v>326</v>
      </c>
      <c r="C45" s="465"/>
      <c r="D45" s="466">
        <v>0</v>
      </c>
      <c r="E45" s="466">
        <v>0</v>
      </c>
      <c r="F45" s="466">
        <v>0</v>
      </c>
      <c r="G45" s="468">
        <f t="shared" ref="G45:U45" si="20">G26/(G28+G29)</f>
        <v>2.5768419880392832</v>
      </c>
      <c r="H45" s="468">
        <f t="shared" si="20"/>
        <v>2.8471969260695249</v>
      </c>
      <c r="I45" s="468">
        <f t="shared" si="20"/>
        <v>3.1857425795081431</v>
      </c>
      <c r="J45" s="468">
        <f t="shared" si="20"/>
        <v>3.6263187573480864</v>
      </c>
      <c r="K45" s="468">
        <f t="shared" si="20"/>
        <v>4.2332329624781027</v>
      </c>
      <c r="L45" s="468">
        <f t="shared" si="20"/>
        <v>5.1205102627382688</v>
      </c>
      <c r="M45" s="468">
        <f t="shared" si="20"/>
        <v>6.5382040720518528</v>
      </c>
      <c r="N45" s="468">
        <f t="shared" si="20"/>
        <v>9.1998230700943413</v>
      </c>
      <c r="O45" s="468">
        <f t="shared" si="20"/>
        <v>14.594759573731746</v>
      </c>
      <c r="P45" s="468">
        <f t="shared" si="20"/>
        <v>19.207782265052451</v>
      </c>
      <c r="Q45" s="468">
        <f t="shared" si="20"/>
        <v>18.260539675756121</v>
      </c>
      <c r="R45" s="468">
        <f t="shared" si="20"/>
        <v>17.316540970406006</v>
      </c>
      <c r="S45" s="468">
        <f t="shared" si="20"/>
        <v>16.303021682694482</v>
      </c>
      <c r="T45" s="468">
        <f t="shared" si="20"/>
        <v>15.301377407169833</v>
      </c>
      <c r="U45" s="469">
        <f t="shared" si="20"/>
        <v>14.369877008218602</v>
      </c>
    </row>
    <row r="46" spans="2:21" s="34" customFormat="1" ht="12" customHeight="1" thickBot="1" x14ac:dyDescent="0.4">
      <c r="B46" s="54" t="s">
        <v>269</v>
      </c>
      <c r="C46" s="175"/>
      <c r="D46" s="175">
        <v>0</v>
      </c>
      <c r="E46" s="175">
        <v>0</v>
      </c>
      <c r="F46" s="175">
        <v>0</v>
      </c>
      <c r="G46" s="177">
        <f t="shared" ref="G46:U46" si="21">G83/(G28+G29)</f>
        <v>1.3667433318822686</v>
      </c>
      <c r="H46" s="177">
        <f t="shared" si="21"/>
        <v>2.6468604122878894</v>
      </c>
      <c r="I46" s="177">
        <f t="shared" si="21"/>
        <v>2.925979174169862</v>
      </c>
      <c r="J46" s="177">
        <f t="shared" si="21"/>
        <v>3.3138882178375164</v>
      </c>
      <c r="K46" s="177">
        <f t="shared" si="21"/>
        <v>3.8471384265496762</v>
      </c>
      <c r="L46" s="177">
        <f t="shared" si="21"/>
        <v>4.6075564991285987</v>
      </c>
      <c r="M46" s="177">
        <f t="shared" si="21"/>
        <v>5.8695558787449711</v>
      </c>
      <c r="N46" s="177">
        <f t="shared" si="21"/>
        <v>8.1678674437958616</v>
      </c>
      <c r="O46" s="177">
        <f t="shared" si="21"/>
        <v>12.874826149051982</v>
      </c>
      <c r="P46" s="177">
        <f t="shared" si="21"/>
        <v>16.94643590675863</v>
      </c>
      <c r="Q46" s="177">
        <f t="shared" si="21"/>
        <v>16.084948216307382</v>
      </c>
      <c r="R46" s="177">
        <f t="shared" si="21"/>
        <v>15.264038029438661</v>
      </c>
      <c r="S46" s="177">
        <f t="shared" si="21"/>
        <v>14.442247298176111</v>
      </c>
      <c r="T46" s="177">
        <f t="shared" si="21"/>
        <v>13.563014215159258</v>
      </c>
      <c r="U46" s="403">
        <f t="shared" si="21"/>
        <v>12.802639429050021</v>
      </c>
    </row>
    <row r="47" spans="2:21" s="34" customFormat="1" x14ac:dyDescent="0.35">
      <c r="B47" s="34" t="s">
        <v>325</v>
      </c>
      <c r="D47" s="309"/>
      <c r="G47" s="489">
        <f>G67/G61</f>
        <v>1.3864384463462802</v>
      </c>
      <c r="H47" s="489">
        <f t="shared" ref="H47:R47" si="22">H67/H61</f>
        <v>1.4838709677419355</v>
      </c>
      <c r="I47" s="489">
        <f t="shared" si="22"/>
        <v>1.6081657998913295</v>
      </c>
      <c r="J47" s="489">
        <f t="shared" si="22"/>
        <v>1.7755715456781127</v>
      </c>
      <c r="K47" s="489">
        <f t="shared" si="22"/>
        <v>2.0172242464392185</v>
      </c>
      <c r="L47" s="489">
        <f t="shared" si="22"/>
        <v>2.383056060394241</v>
      </c>
      <c r="M47" s="489">
        <f t="shared" si="22"/>
        <v>3.0142884358925528</v>
      </c>
      <c r="N47" s="489">
        <f t="shared" si="22"/>
        <v>4.3641255605381204</v>
      </c>
      <c r="O47" s="489">
        <f t="shared" si="22"/>
        <v>6.9439252336448716</v>
      </c>
      <c r="P47" s="489">
        <f t="shared" si="22"/>
        <v>6.1926605504587258</v>
      </c>
      <c r="Q47" s="489">
        <f t="shared" si="22"/>
        <v>5.468468468468477</v>
      </c>
      <c r="R47" s="489">
        <f t="shared" si="22"/>
        <v>4.7699115044247868</v>
      </c>
      <c r="S47" s="277"/>
      <c r="T47" s="277"/>
      <c r="U47" s="277"/>
    </row>
    <row r="48" spans="2:21" ht="15" thickBot="1" x14ac:dyDescent="0.4">
      <c r="G48" s="408"/>
      <c r="H48" s="408"/>
    </row>
    <row r="49" spans="2:21" ht="16" thickBot="1" x14ac:dyDescent="0.4">
      <c r="B49" s="299" t="s">
        <v>106</v>
      </c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1"/>
    </row>
    <row r="50" spans="2:21" ht="16" thickBot="1" x14ac:dyDescent="0.4">
      <c r="B50" s="306" t="s">
        <v>110</v>
      </c>
      <c r="C50" s="2">
        <v>2009</v>
      </c>
      <c r="D50" s="2">
        <v>2010</v>
      </c>
      <c r="E50" s="2">
        <v>2011</v>
      </c>
      <c r="F50" s="2">
        <v>2012</v>
      </c>
      <c r="G50" s="2">
        <v>2013</v>
      </c>
      <c r="H50" s="2">
        <v>2014</v>
      </c>
      <c r="I50" s="2">
        <v>2015</v>
      </c>
      <c r="J50" s="2">
        <v>2016</v>
      </c>
      <c r="K50" s="2">
        <v>2017</v>
      </c>
      <c r="L50" s="2">
        <v>2018</v>
      </c>
      <c r="M50" s="2">
        <v>2019</v>
      </c>
      <c r="N50" s="2">
        <v>2020</v>
      </c>
      <c r="O50" s="2">
        <v>2021</v>
      </c>
      <c r="P50" s="2">
        <v>2022</v>
      </c>
      <c r="Q50" s="2">
        <v>2023</v>
      </c>
      <c r="R50" s="2">
        <v>2024</v>
      </c>
      <c r="S50" s="2">
        <v>2025</v>
      </c>
      <c r="T50" s="2">
        <v>2026</v>
      </c>
      <c r="U50" s="3">
        <v>2027</v>
      </c>
    </row>
    <row r="51" spans="2:21" ht="15.5" x14ac:dyDescent="0.35">
      <c r="B51" s="305" t="s">
        <v>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r="52" spans="2:21" ht="15.5" x14ac:dyDescent="0.35">
      <c r="B52" s="304" t="s">
        <v>107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 ht="15.5" x14ac:dyDescent="0.35">
      <c r="B53" s="313" t="s">
        <v>2</v>
      </c>
      <c r="C53" s="202">
        <v>0</v>
      </c>
      <c r="D53" s="407">
        <f>C53+D92+D91</f>
        <v>1082.4499999999998</v>
      </c>
      <c r="E53" s="407">
        <f>D53+E92+E91</f>
        <v>2740.9749999999995</v>
      </c>
      <c r="F53" s="202">
        <f t="shared" ref="F53:U53" si="23">E53+F92</f>
        <v>4210.9749999999995</v>
      </c>
      <c r="G53" s="202">
        <f t="shared" si="23"/>
        <v>4210.9749999999995</v>
      </c>
      <c r="H53" s="202">
        <f t="shared" si="23"/>
        <v>4210.9749999999995</v>
      </c>
      <c r="I53" s="202">
        <f t="shared" si="23"/>
        <v>4210.9749999999995</v>
      </c>
      <c r="J53" s="202">
        <f t="shared" si="23"/>
        <v>4210.9749999999995</v>
      </c>
      <c r="K53" s="202">
        <f t="shared" si="23"/>
        <v>4210.9749999999995</v>
      </c>
      <c r="L53" s="202">
        <f t="shared" si="23"/>
        <v>4210.9749999999995</v>
      </c>
      <c r="M53" s="202">
        <f t="shared" si="23"/>
        <v>4210.9749999999995</v>
      </c>
      <c r="N53" s="202">
        <f t="shared" si="23"/>
        <v>4210.9749999999995</v>
      </c>
      <c r="O53" s="202">
        <f t="shared" si="23"/>
        <v>4210.9749999999995</v>
      </c>
      <c r="P53" s="202">
        <f t="shared" si="23"/>
        <v>4210.9749999999995</v>
      </c>
      <c r="Q53" s="202">
        <f t="shared" si="23"/>
        <v>4210.9749999999995</v>
      </c>
      <c r="R53" s="202">
        <f t="shared" si="23"/>
        <v>4210.9749999999995</v>
      </c>
      <c r="S53" s="202">
        <f t="shared" si="23"/>
        <v>4210.9749999999995</v>
      </c>
      <c r="T53" s="202">
        <f t="shared" si="23"/>
        <v>4210.9749999999995</v>
      </c>
      <c r="U53" s="203">
        <f t="shared" si="23"/>
        <v>4210.9749999999995</v>
      </c>
    </row>
    <row r="54" spans="2:21" ht="15.5" x14ac:dyDescent="0.35">
      <c r="B54" s="313" t="s">
        <v>76</v>
      </c>
      <c r="C54" s="202">
        <v>0</v>
      </c>
      <c r="D54" s="202">
        <f t="shared" ref="D54:U54" si="24">D136</f>
        <v>-42.45000000000001</v>
      </c>
      <c r="E54" s="202">
        <f t="shared" si="24"/>
        <v>-50.975000000000009</v>
      </c>
      <c r="F54" s="202">
        <f t="shared" si="24"/>
        <v>-50.975000000000009</v>
      </c>
      <c r="G54" s="202">
        <f t="shared" si="24"/>
        <v>852.20303931128785</v>
      </c>
      <c r="H54" s="202">
        <f t="shared" si="24"/>
        <v>1825.218089283939</v>
      </c>
      <c r="I54" s="202">
        <f t="shared" si="24"/>
        <v>2863.6335792875993</v>
      </c>
      <c r="J54" s="202">
        <f t="shared" si="24"/>
        <v>3958.5641576030707</v>
      </c>
      <c r="K54" s="202">
        <f t="shared" si="24"/>
        <v>5109.8049639301335</v>
      </c>
      <c r="L54" s="202">
        <f t="shared" si="24"/>
        <v>6317.115892815159</v>
      </c>
      <c r="M54" s="202">
        <f t="shared" si="24"/>
        <v>7580.217696298032</v>
      </c>
      <c r="N54" s="202">
        <f t="shared" si="24"/>
        <v>8899.3149693777632</v>
      </c>
      <c r="O54" s="202">
        <f t="shared" si="24"/>
        <v>10281.347593539846</v>
      </c>
      <c r="P54" s="202">
        <f t="shared" si="24"/>
        <v>11679.958524941216</v>
      </c>
      <c r="Q54" s="202">
        <f t="shared" si="24"/>
        <v>13019.725215067703</v>
      </c>
      <c r="R54" s="202">
        <f t="shared" si="24"/>
        <v>14314.300558948971</v>
      </c>
      <c r="S54" s="202">
        <f t="shared" si="24"/>
        <v>15545.373267951518</v>
      </c>
      <c r="T54" s="202">
        <f t="shared" si="24"/>
        <v>16711.482894345998</v>
      </c>
      <c r="U54" s="203">
        <f t="shared" si="24"/>
        <v>17811.946362660201</v>
      </c>
    </row>
    <row r="55" spans="2:21" ht="15.5" x14ac:dyDescent="0.35">
      <c r="B55" s="7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3"/>
    </row>
    <row r="56" spans="2:21" ht="15.5" x14ac:dyDescent="0.35">
      <c r="B56" s="7" t="s">
        <v>108</v>
      </c>
      <c r="C56" s="307">
        <v>0</v>
      </c>
      <c r="D56" s="307">
        <f t="shared" ref="D56:U56" si="25">D53+D54</f>
        <v>1039.9999999999998</v>
      </c>
      <c r="E56" s="307">
        <f t="shared" si="25"/>
        <v>2689.9999999999995</v>
      </c>
      <c r="F56" s="307">
        <f t="shared" si="25"/>
        <v>4159.9999999999991</v>
      </c>
      <c r="G56" s="307">
        <f t="shared" si="25"/>
        <v>5063.1780393112876</v>
      </c>
      <c r="H56" s="307">
        <f t="shared" si="25"/>
        <v>6036.1930892839382</v>
      </c>
      <c r="I56" s="307">
        <f t="shared" si="25"/>
        <v>7074.6085792875983</v>
      </c>
      <c r="J56" s="307">
        <f t="shared" si="25"/>
        <v>8169.5391576030706</v>
      </c>
      <c r="K56" s="307">
        <f t="shared" si="25"/>
        <v>9320.7799639301338</v>
      </c>
      <c r="L56" s="307">
        <f t="shared" si="25"/>
        <v>10528.090892815158</v>
      </c>
      <c r="M56" s="307">
        <f t="shared" si="25"/>
        <v>11791.192696298032</v>
      </c>
      <c r="N56" s="307">
        <f t="shared" si="25"/>
        <v>13110.289969377762</v>
      </c>
      <c r="O56" s="307">
        <f t="shared" si="25"/>
        <v>14492.322593539844</v>
      </c>
      <c r="P56" s="307">
        <f t="shared" si="25"/>
        <v>15890.933524941214</v>
      </c>
      <c r="Q56" s="307">
        <f t="shared" si="25"/>
        <v>17230.700215067704</v>
      </c>
      <c r="R56" s="307">
        <f t="shared" si="25"/>
        <v>18525.275558948972</v>
      </c>
      <c r="S56" s="307">
        <f t="shared" si="25"/>
        <v>19756.348267951518</v>
      </c>
      <c r="T56" s="307">
        <f t="shared" si="25"/>
        <v>20922.457894345996</v>
      </c>
      <c r="U56" s="308">
        <f t="shared" si="25"/>
        <v>22022.9213626602</v>
      </c>
    </row>
    <row r="57" spans="2:21" ht="15.5" x14ac:dyDescent="0.35">
      <c r="B57" s="7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3"/>
    </row>
    <row r="58" spans="2:21" ht="15.5" x14ac:dyDescent="0.35">
      <c r="B58" s="304" t="s">
        <v>3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3"/>
    </row>
    <row r="59" spans="2:21" ht="15.5" x14ac:dyDescent="0.35">
      <c r="B59" s="7" t="s">
        <v>77</v>
      </c>
      <c r="C59" s="202">
        <v>0</v>
      </c>
      <c r="D59" s="202">
        <f t="shared" ref="D59:U59" si="26">C59+D86+D87</f>
        <v>2420.0000000000005</v>
      </c>
      <c r="E59" s="202">
        <f t="shared" si="26"/>
        <v>6290.0000000000018</v>
      </c>
      <c r="F59" s="202">
        <f t="shared" si="26"/>
        <v>9430.5555555555566</v>
      </c>
      <c r="G59" s="202">
        <f t="shared" si="26"/>
        <v>8352.7777777777792</v>
      </c>
      <c r="H59" s="202">
        <f t="shared" si="26"/>
        <v>7275.0000000000009</v>
      </c>
      <c r="I59" s="202">
        <f t="shared" si="26"/>
        <v>6197.2222222222226</v>
      </c>
      <c r="J59" s="202">
        <f t="shared" si="26"/>
        <v>5119.4444444444443</v>
      </c>
      <c r="K59" s="202">
        <f t="shared" si="26"/>
        <v>4041.6666666666661</v>
      </c>
      <c r="L59" s="202">
        <f t="shared" si="26"/>
        <v>2963.8888888888878</v>
      </c>
      <c r="M59" s="202">
        <f t="shared" si="26"/>
        <v>1886.1111111111097</v>
      </c>
      <c r="N59" s="202">
        <f t="shared" si="26"/>
        <v>808.33333333333167</v>
      </c>
      <c r="O59" s="202">
        <f t="shared" si="26"/>
        <v>-1.8189894035458565E-12</v>
      </c>
      <c r="P59" s="202">
        <f t="shared" si="26"/>
        <v>-1.8189894035458565E-12</v>
      </c>
      <c r="Q59" s="202">
        <f t="shared" si="26"/>
        <v>-1.8189894035458565E-12</v>
      </c>
      <c r="R59" s="202">
        <f t="shared" si="26"/>
        <v>-1.8189894035458565E-12</v>
      </c>
      <c r="S59" s="202">
        <f t="shared" si="26"/>
        <v>-1.8189894035458565E-12</v>
      </c>
      <c r="T59" s="202">
        <f t="shared" si="26"/>
        <v>-1.8189894035458565E-12</v>
      </c>
      <c r="U59" s="203">
        <f t="shared" si="26"/>
        <v>-1.8189894035458565E-12</v>
      </c>
    </row>
    <row r="60" spans="2:21" ht="15.5" x14ac:dyDescent="0.35">
      <c r="B60" s="7" t="s">
        <v>78</v>
      </c>
      <c r="C60" s="202">
        <v>0</v>
      </c>
      <c r="D60" s="202">
        <f>C60+D88</f>
        <v>0</v>
      </c>
      <c r="E60" s="202">
        <f>D60+E88</f>
        <v>0</v>
      </c>
      <c r="F60" s="202">
        <f t="shared" ref="F60:U60" si="27">E60+F88+F89</f>
        <v>0</v>
      </c>
      <c r="G60" s="202">
        <f t="shared" si="27"/>
        <v>930</v>
      </c>
      <c r="H60" s="202">
        <f t="shared" si="27"/>
        <v>940</v>
      </c>
      <c r="I60" s="202">
        <f t="shared" si="27"/>
        <v>960</v>
      </c>
      <c r="J60" s="202">
        <f t="shared" si="27"/>
        <v>980</v>
      </c>
      <c r="K60" s="202">
        <f t="shared" si="27"/>
        <v>990</v>
      </c>
      <c r="L60" s="202">
        <f t="shared" si="27"/>
        <v>1010</v>
      </c>
      <c r="M60" s="202">
        <f t="shared" si="27"/>
        <v>1030</v>
      </c>
      <c r="N60" s="202">
        <f t="shared" si="27"/>
        <v>1050</v>
      </c>
      <c r="O60" s="202">
        <f t="shared" si="27"/>
        <v>1070</v>
      </c>
      <c r="P60" s="202">
        <f t="shared" si="27"/>
        <v>1090</v>
      </c>
      <c r="Q60" s="202">
        <f t="shared" si="27"/>
        <v>1110</v>
      </c>
      <c r="R60" s="202">
        <f t="shared" si="27"/>
        <v>1130</v>
      </c>
      <c r="S60" s="202">
        <f t="shared" si="27"/>
        <v>1160</v>
      </c>
      <c r="T60" s="202">
        <f t="shared" si="27"/>
        <v>1180</v>
      </c>
      <c r="U60" s="203">
        <f t="shared" si="27"/>
        <v>1200</v>
      </c>
    </row>
    <row r="61" spans="2:21" ht="15.5" x14ac:dyDescent="0.35">
      <c r="B61" s="7" t="s">
        <v>4</v>
      </c>
      <c r="C61" s="307">
        <v>0</v>
      </c>
      <c r="D61" s="307">
        <f t="shared" ref="D61:U61" si="28">D59+D60</f>
        <v>2420.0000000000005</v>
      </c>
      <c r="E61" s="307">
        <f t="shared" si="28"/>
        <v>6290.0000000000018</v>
      </c>
      <c r="F61" s="307">
        <f t="shared" si="28"/>
        <v>9430.5555555555566</v>
      </c>
      <c r="G61" s="307">
        <f t="shared" si="28"/>
        <v>9282.7777777777792</v>
      </c>
      <c r="H61" s="307">
        <f t="shared" si="28"/>
        <v>8215</v>
      </c>
      <c r="I61" s="307">
        <f t="shared" si="28"/>
        <v>7157.2222222222226</v>
      </c>
      <c r="J61" s="307">
        <f t="shared" si="28"/>
        <v>6099.4444444444443</v>
      </c>
      <c r="K61" s="307">
        <f t="shared" si="28"/>
        <v>5031.6666666666661</v>
      </c>
      <c r="L61" s="307">
        <f t="shared" si="28"/>
        <v>3973.8888888888878</v>
      </c>
      <c r="M61" s="307">
        <f t="shared" si="28"/>
        <v>2916.1111111111095</v>
      </c>
      <c r="N61" s="307">
        <f t="shared" si="28"/>
        <v>1858.3333333333317</v>
      </c>
      <c r="O61" s="307">
        <f t="shared" si="28"/>
        <v>1069.9999999999982</v>
      </c>
      <c r="P61" s="307">
        <f t="shared" si="28"/>
        <v>1089.9999999999982</v>
      </c>
      <c r="Q61" s="307">
        <f t="shared" si="28"/>
        <v>1109.9999999999982</v>
      </c>
      <c r="R61" s="307">
        <f t="shared" si="28"/>
        <v>1129.9999999999982</v>
      </c>
      <c r="S61" s="307">
        <f t="shared" si="28"/>
        <v>1159.9999999999982</v>
      </c>
      <c r="T61" s="307">
        <f t="shared" si="28"/>
        <v>1179.9999999999982</v>
      </c>
      <c r="U61" s="308">
        <f t="shared" si="28"/>
        <v>1199.9999999999982</v>
      </c>
    </row>
    <row r="62" spans="2:21" ht="15.5" x14ac:dyDescent="0.35">
      <c r="B62" s="7" t="s">
        <v>5</v>
      </c>
      <c r="C62" s="307">
        <v>0</v>
      </c>
      <c r="D62" s="307">
        <f t="shared" ref="D62:U62" si="29">D56+D61</f>
        <v>3460</v>
      </c>
      <c r="E62" s="307">
        <f t="shared" si="29"/>
        <v>8980.0000000000018</v>
      </c>
      <c r="F62" s="307">
        <f t="shared" si="29"/>
        <v>13590.555555555555</v>
      </c>
      <c r="G62" s="307">
        <f t="shared" si="29"/>
        <v>14345.955817089067</v>
      </c>
      <c r="H62" s="307">
        <f t="shared" si="29"/>
        <v>14251.193089283937</v>
      </c>
      <c r="I62" s="307">
        <f t="shared" si="29"/>
        <v>14231.830801509821</v>
      </c>
      <c r="J62" s="307">
        <f t="shared" si="29"/>
        <v>14268.983602047516</v>
      </c>
      <c r="K62" s="307">
        <f t="shared" si="29"/>
        <v>14352.4466305968</v>
      </c>
      <c r="L62" s="307">
        <f t="shared" si="29"/>
        <v>14501.979781704045</v>
      </c>
      <c r="M62" s="307">
        <f t="shared" si="29"/>
        <v>14707.303807409142</v>
      </c>
      <c r="N62" s="307">
        <f t="shared" si="29"/>
        <v>14968.623302711094</v>
      </c>
      <c r="O62" s="307">
        <f t="shared" si="29"/>
        <v>15562.322593539842</v>
      </c>
      <c r="P62" s="307">
        <f t="shared" si="29"/>
        <v>16980.933524941211</v>
      </c>
      <c r="Q62" s="307">
        <f t="shared" si="29"/>
        <v>18340.7002150677</v>
      </c>
      <c r="R62" s="307">
        <f t="shared" si="29"/>
        <v>19655.275558948968</v>
      </c>
      <c r="S62" s="307">
        <f t="shared" si="29"/>
        <v>20916.348267951515</v>
      </c>
      <c r="T62" s="307">
        <f t="shared" si="29"/>
        <v>22102.457894345993</v>
      </c>
      <c r="U62" s="308">
        <f t="shared" si="29"/>
        <v>23222.9213626602</v>
      </c>
    </row>
    <row r="63" spans="2:21" ht="15.5" x14ac:dyDescent="0.35">
      <c r="B63" s="7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3"/>
    </row>
    <row r="64" spans="2:21" ht="15.5" x14ac:dyDescent="0.35">
      <c r="B64" s="304" t="s">
        <v>6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3"/>
    </row>
    <row r="65" spans="2:26" ht="15.5" x14ac:dyDescent="0.35">
      <c r="B65" s="7" t="s">
        <v>197</v>
      </c>
      <c r="C65" s="202">
        <v>0</v>
      </c>
      <c r="D65" s="202">
        <v>3460</v>
      </c>
      <c r="E65" s="202">
        <v>8980</v>
      </c>
      <c r="F65" s="202">
        <v>13550</v>
      </c>
      <c r="G65" s="202">
        <v>13550</v>
      </c>
      <c r="H65" s="202">
        <v>13550</v>
      </c>
      <c r="I65" s="202">
        <v>13550</v>
      </c>
      <c r="J65" s="202">
        <v>13550</v>
      </c>
      <c r="K65" s="202">
        <v>13550</v>
      </c>
      <c r="L65" s="202">
        <v>13550</v>
      </c>
      <c r="M65" s="202">
        <v>13550</v>
      </c>
      <c r="N65" s="202">
        <v>13550</v>
      </c>
      <c r="O65" s="202">
        <v>13550</v>
      </c>
      <c r="P65" s="202">
        <v>13550</v>
      </c>
      <c r="Q65" s="202">
        <v>13550</v>
      </c>
      <c r="R65" s="202">
        <v>13550</v>
      </c>
      <c r="S65" s="202">
        <v>13550</v>
      </c>
      <c r="T65" s="202">
        <v>13550</v>
      </c>
      <c r="U65" s="203">
        <v>13550</v>
      </c>
    </row>
    <row r="66" spans="2:26" ht="15.5" x14ac:dyDescent="0.35">
      <c r="B66" s="7" t="s">
        <v>7</v>
      </c>
      <c r="C66" s="202">
        <v>0</v>
      </c>
      <c r="D66" s="202">
        <f>D30</f>
        <v>0</v>
      </c>
      <c r="E66" s="202">
        <f t="shared" ref="E66:U66" si="30">D66+E30</f>
        <v>0</v>
      </c>
      <c r="F66" s="202">
        <f t="shared" si="30"/>
        <v>0</v>
      </c>
      <c r="G66" s="202">
        <f t="shared" si="30"/>
        <v>680</v>
      </c>
      <c r="H66" s="202">
        <f t="shared" si="30"/>
        <v>1360</v>
      </c>
      <c r="I66" s="202">
        <f t="shared" si="30"/>
        <v>2040</v>
      </c>
      <c r="J66" s="202">
        <f t="shared" si="30"/>
        <v>2720</v>
      </c>
      <c r="K66" s="202">
        <f t="shared" si="30"/>
        <v>3400</v>
      </c>
      <c r="L66" s="202">
        <f t="shared" si="30"/>
        <v>4080</v>
      </c>
      <c r="M66" s="202">
        <f t="shared" si="30"/>
        <v>4760</v>
      </c>
      <c r="N66" s="202">
        <f t="shared" si="30"/>
        <v>5440</v>
      </c>
      <c r="O66" s="202">
        <f t="shared" si="30"/>
        <v>6120</v>
      </c>
      <c r="P66" s="202">
        <f t="shared" si="30"/>
        <v>6800</v>
      </c>
      <c r="Q66" s="202">
        <f t="shared" si="30"/>
        <v>7480</v>
      </c>
      <c r="R66" s="202">
        <f t="shared" si="30"/>
        <v>8160</v>
      </c>
      <c r="S66" s="202">
        <f t="shared" si="30"/>
        <v>8840</v>
      </c>
      <c r="T66" s="202">
        <f t="shared" si="30"/>
        <v>9520</v>
      </c>
      <c r="U66" s="203">
        <f t="shared" si="30"/>
        <v>10200</v>
      </c>
    </row>
    <row r="67" spans="2:26" ht="15.5" x14ac:dyDescent="0.35">
      <c r="B67" s="7" t="s">
        <v>8</v>
      </c>
      <c r="C67" s="202">
        <v>0</v>
      </c>
      <c r="D67" s="187">
        <f>D65-D66</f>
        <v>3460</v>
      </c>
      <c r="E67" s="187">
        <f>E65-E66</f>
        <v>8980</v>
      </c>
      <c r="F67" s="187">
        <f>F65-F66</f>
        <v>13550</v>
      </c>
      <c r="G67" s="187">
        <f>G65-G66</f>
        <v>12870</v>
      </c>
      <c r="H67" s="187">
        <f t="shared" ref="H67:U67" si="31">H65-H66</f>
        <v>12190</v>
      </c>
      <c r="I67" s="202">
        <f t="shared" si="31"/>
        <v>11510</v>
      </c>
      <c r="J67" s="202">
        <f t="shared" si="31"/>
        <v>10830</v>
      </c>
      <c r="K67" s="202">
        <f t="shared" si="31"/>
        <v>10150</v>
      </c>
      <c r="L67" s="202">
        <f t="shared" si="31"/>
        <v>9470</v>
      </c>
      <c r="M67" s="202">
        <f t="shared" si="31"/>
        <v>8790</v>
      </c>
      <c r="N67" s="202">
        <f t="shared" si="31"/>
        <v>8110</v>
      </c>
      <c r="O67" s="202">
        <f t="shared" si="31"/>
        <v>7430</v>
      </c>
      <c r="P67" s="202">
        <f t="shared" si="31"/>
        <v>6750</v>
      </c>
      <c r="Q67" s="202">
        <f t="shared" si="31"/>
        <v>6070</v>
      </c>
      <c r="R67" s="202">
        <f t="shared" si="31"/>
        <v>5390</v>
      </c>
      <c r="S67" s="202">
        <f t="shared" si="31"/>
        <v>4710</v>
      </c>
      <c r="T67" s="202">
        <f t="shared" si="31"/>
        <v>4030</v>
      </c>
      <c r="U67" s="203">
        <f t="shared" si="31"/>
        <v>3350</v>
      </c>
    </row>
    <row r="68" spans="2:26" ht="15.5" x14ac:dyDescent="0.35">
      <c r="B68" s="7" t="s">
        <v>57</v>
      </c>
      <c r="C68" s="202">
        <v>0</v>
      </c>
      <c r="D68" s="202">
        <v>0</v>
      </c>
      <c r="E68" s="202">
        <v>0</v>
      </c>
      <c r="F68" s="202">
        <v>0</v>
      </c>
      <c r="G68" s="202">
        <f>G105</f>
        <v>1240</v>
      </c>
      <c r="H68" s="202">
        <f t="shared" ref="H68:U68" si="32">H105</f>
        <v>1250</v>
      </c>
      <c r="I68" s="202">
        <f t="shared" si="32"/>
        <v>1280</v>
      </c>
      <c r="J68" s="202">
        <f t="shared" si="32"/>
        <v>1300</v>
      </c>
      <c r="K68" s="202">
        <f t="shared" si="32"/>
        <v>1320</v>
      </c>
      <c r="L68" s="202">
        <f t="shared" si="32"/>
        <v>1350</v>
      </c>
      <c r="M68" s="202">
        <f t="shared" si="32"/>
        <v>1370</v>
      </c>
      <c r="N68" s="202">
        <f t="shared" si="32"/>
        <v>1400</v>
      </c>
      <c r="O68" s="202">
        <f t="shared" si="32"/>
        <v>1430</v>
      </c>
      <c r="P68" s="202">
        <f t="shared" si="32"/>
        <v>1450</v>
      </c>
      <c r="Q68" s="202">
        <f t="shared" si="32"/>
        <v>1480</v>
      </c>
      <c r="R68" s="202">
        <f t="shared" si="32"/>
        <v>1510</v>
      </c>
      <c r="S68" s="202">
        <f t="shared" si="32"/>
        <v>1540</v>
      </c>
      <c r="T68" s="202">
        <f t="shared" si="32"/>
        <v>1570</v>
      </c>
      <c r="U68" s="203">
        <f t="shared" si="32"/>
        <v>1600</v>
      </c>
    </row>
    <row r="69" spans="2:26" ht="15.5" x14ac:dyDescent="0.35">
      <c r="B69" s="7" t="s">
        <v>112</v>
      </c>
      <c r="C69" s="202">
        <v>0</v>
      </c>
      <c r="D69" s="202">
        <v>0</v>
      </c>
      <c r="E69" s="202">
        <v>0</v>
      </c>
      <c r="F69" s="202">
        <v>0</v>
      </c>
      <c r="G69" s="202">
        <v>0</v>
      </c>
      <c r="H69" s="202">
        <v>0</v>
      </c>
      <c r="I69" s="202">
        <v>0</v>
      </c>
      <c r="J69" s="202">
        <v>0</v>
      </c>
      <c r="K69" s="202">
        <v>0</v>
      </c>
      <c r="L69" s="202">
        <v>0</v>
      </c>
      <c r="M69" s="202">
        <v>0</v>
      </c>
      <c r="N69" s="202">
        <v>10</v>
      </c>
      <c r="O69" s="202">
        <v>50</v>
      </c>
      <c r="P69" s="202">
        <v>120</v>
      </c>
      <c r="Q69" s="202">
        <v>210</v>
      </c>
      <c r="R69" s="202">
        <v>320</v>
      </c>
      <c r="S69" s="187">
        <v>450</v>
      </c>
      <c r="T69" s="202">
        <v>590</v>
      </c>
      <c r="U69" s="203">
        <v>740</v>
      </c>
    </row>
    <row r="70" spans="2:26" ht="15.5" x14ac:dyDescent="0.35">
      <c r="B70" s="7" t="s">
        <v>9</v>
      </c>
      <c r="C70" s="202">
        <v>0</v>
      </c>
      <c r="D70" s="202">
        <f t="shared" ref="D70:U70" si="33">D99</f>
        <v>0</v>
      </c>
      <c r="E70" s="202">
        <f t="shared" si="33"/>
        <v>0</v>
      </c>
      <c r="F70" s="202">
        <f t="shared" si="33"/>
        <v>40.555555555555657</v>
      </c>
      <c r="G70" s="202">
        <f t="shared" si="33"/>
        <v>235.95581708906548</v>
      </c>
      <c r="H70" s="202">
        <f t="shared" si="33"/>
        <v>811.19308928393821</v>
      </c>
      <c r="I70" s="202">
        <f t="shared" si="33"/>
        <v>1441.8308015098205</v>
      </c>
      <c r="J70" s="202">
        <f t="shared" si="33"/>
        <v>2138.9836020475141</v>
      </c>
      <c r="K70" s="202">
        <f t="shared" si="33"/>
        <v>2882.4466305967981</v>
      </c>
      <c r="L70" s="202">
        <f t="shared" si="33"/>
        <v>3681.9797817040453</v>
      </c>
      <c r="M70" s="202">
        <f t="shared" si="33"/>
        <v>4547.3038074091401</v>
      </c>
      <c r="N70" s="202">
        <f t="shared" si="33"/>
        <v>5448.6233027110939</v>
      </c>
      <c r="O70" s="202">
        <f t="shared" si="33"/>
        <v>6652.3225935398432</v>
      </c>
      <c r="P70" s="202">
        <f t="shared" si="33"/>
        <v>8660.9335249412143</v>
      </c>
      <c r="Q70" s="202">
        <f t="shared" si="33"/>
        <v>10580.700215067702</v>
      </c>
      <c r="R70" s="202">
        <f t="shared" si="33"/>
        <v>12435.27555894897</v>
      </c>
      <c r="S70" s="202">
        <f t="shared" si="33"/>
        <v>14216.348267951518</v>
      </c>
      <c r="T70" s="202">
        <f t="shared" si="33"/>
        <v>15912.457894346</v>
      </c>
      <c r="U70" s="203">
        <f t="shared" si="33"/>
        <v>17532.921362660207</v>
      </c>
    </row>
    <row r="71" spans="2:26" ht="15.5" x14ac:dyDescent="0.35">
      <c r="B71" s="7" t="s">
        <v>10</v>
      </c>
      <c r="C71" s="202">
        <v>0</v>
      </c>
      <c r="D71" s="186">
        <f t="shared" ref="D71:U71" si="34">SUM(D67:D70)</f>
        <v>3460</v>
      </c>
      <c r="E71" s="186">
        <f t="shared" si="34"/>
        <v>8980</v>
      </c>
      <c r="F71" s="186">
        <f t="shared" si="34"/>
        <v>13590.555555555555</v>
      </c>
      <c r="G71" s="186">
        <f t="shared" si="34"/>
        <v>14345.955817089065</v>
      </c>
      <c r="H71" s="307">
        <f t="shared" si="34"/>
        <v>14251.193089283937</v>
      </c>
      <c r="I71" s="307">
        <f t="shared" si="34"/>
        <v>14231.830801509821</v>
      </c>
      <c r="J71" s="307">
        <f t="shared" si="34"/>
        <v>14268.983602047514</v>
      </c>
      <c r="K71" s="307">
        <f t="shared" si="34"/>
        <v>14352.446630596798</v>
      </c>
      <c r="L71" s="307">
        <f t="shared" si="34"/>
        <v>14501.979781704045</v>
      </c>
      <c r="M71" s="307">
        <f t="shared" si="34"/>
        <v>14707.30380740914</v>
      </c>
      <c r="N71" s="307">
        <f t="shared" si="34"/>
        <v>14968.623302711094</v>
      </c>
      <c r="O71" s="307">
        <f t="shared" si="34"/>
        <v>15562.322593539844</v>
      </c>
      <c r="P71" s="307">
        <f t="shared" si="34"/>
        <v>16980.933524941214</v>
      </c>
      <c r="Q71" s="307">
        <f t="shared" si="34"/>
        <v>18340.7002150677</v>
      </c>
      <c r="R71" s="307">
        <f t="shared" si="34"/>
        <v>19655.275558948968</v>
      </c>
      <c r="S71" s="307">
        <f t="shared" si="34"/>
        <v>20916.348267951518</v>
      </c>
      <c r="T71" s="307">
        <f t="shared" si="34"/>
        <v>22102.457894346</v>
      </c>
      <c r="U71" s="308">
        <f t="shared" si="34"/>
        <v>23222.921362660207</v>
      </c>
      <c r="W71" s="34"/>
      <c r="X71" s="34"/>
      <c r="Y71" s="34"/>
      <c r="Z71" s="34"/>
    </row>
    <row r="72" spans="2:26" x14ac:dyDescent="0.35">
      <c r="B72" s="329" t="s">
        <v>185</v>
      </c>
      <c r="C72" s="16"/>
      <c r="D72" s="269">
        <f t="shared" ref="D72:U72" si="35">D62-D71</f>
        <v>0</v>
      </c>
      <c r="E72" s="269">
        <f t="shared" si="35"/>
        <v>0</v>
      </c>
      <c r="F72" s="269">
        <f t="shared" si="35"/>
        <v>0</v>
      </c>
      <c r="G72" s="269">
        <f t="shared" si="35"/>
        <v>0</v>
      </c>
      <c r="H72" s="269">
        <f t="shared" si="35"/>
        <v>0</v>
      </c>
      <c r="I72" s="269">
        <f t="shared" si="35"/>
        <v>0</v>
      </c>
      <c r="J72" s="269">
        <f t="shared" si="35"/>
        <v>0</v>
      </c>
      <c r="K72" s="269">
        <f t="shared" si="35"/>
        <v>0</v>
      </c>
      <c r="L72" s="269">
        <f t="shared" si="35"/>
        <v>0</v>
      </c>
      <c r="M72" s="269">
        <f t="shared" si="35"/>
        <v>0</v>
      </c>
      <c r="N72" s="269">
        <f t="shared" si="35"/>
        <v>0</v>
      </c>
      <c r="O72" s="269">
        <f t="shared" si="35"/>
        <v>0</v>
      </c>
      <c r="P72" s="269">
        <f t="shared" si="35"/>
        <v>0</v>
      </c>
      <c r="Q72" s="269">
        <f t="shared" si="35"/>
        <v>0</v>
      </c>
      <c r="R72" s="269">
        <f t="shared" si="35"/>
        <v>0</v>
      </c>
      <c r="S72" s="269">
        <f t="shared" si="35"/>
        <v>0</v>
      </c>
      <c r="T72" s="269">
        <f t="shared" si="35"/>
        <v>0</v>
      </c>
      <c r="U72" s="269">
        <f t="shared" si="35"/>
        <v>0</v>
      </c>
    </row>
    <row r="73" spans="2:26" ht="15" thickBot="1" x14ac:dyDescent="0.4">
      <c r="B73" s="15"/>
      <c r="C73" s="16"/>
      <c r="D73" s="17"/>
      <c r="E73" s="17"/>
      <c r="F73" s="17"/>
      <c r="G73" s="13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2:26" ht="16" thickBot="1" x14ac:dyDescent="0.4">
      <c r="B74" s="299" t="s">
        <v>176</v>
      </c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1"/>
    </row>
    <row r="75" spans="2:26" ht="16" thickBot="1" x14ac:dyDescent="0.4">
      <c r="B75" s="306" t="s">
        <v>110</v>
      </c>
      <c r="C75" s="2">
        <v>2009</v>
      </c>
      <c r="D75" s="2">
        <v>2010</v>
      </c>
      <c r="E75" s="2">
        <v>2011</v>
      </c>
      <c r="F75" s="2">
        <v>2012</v>
      </c>
      <c r="G75" s="2">
        <v>2013</v>
      </c>
      <c r="H75" s="2">
        <v>2014</v>
      </c>
      <c r="I75" s="2">
        <v>2015</v>
      </c>
      <c r="J75" s="2">
        <v>2016</v>
      </c>
      <c r="K75" s="2">
        <v>2017</v>
      </c>
      <c r="L75" s="2">
        <v>2018</v>
      </c>
      <c r="M75" s="2">
        <v>2019</v>
      </c>
      <c r="N75" s="2">
        <v>2020</v>
      </c>
      <c r="O75" s="2">
        <v>2021</v>
      </c>
      <c r="P75" s="2">
        <v>2022</v>
      </c>
      <c r="Q75" s="2">
        <v>2023</v>
      </c>
      <c r="R75" s="2">
        <v>2024</v>
      </c>
      <c r="S75" s="2">
        <v>2025</v>
      </c>
      <c r="T75" s="2">
        <v>2026</v>
      </c>
      <c r="U75" s="3">
        <v>2027</v>
      </c>
    </row>
    <row r="76" spans="2:26" ht="15.5" x14ac:dyDescent="0.35">
      <c r="B76" s="305" t="s">
        <v>180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r="77" spans="2:26" ht="15.5" x14ac:dyDescent="0.35">
      <c r="B77" s="336" t="s">
        <v>87</v>
      </c>
      <c r="C77" s="202"/>
      <c r="D77" s="202">
        <f t="shared" ref="D77:U77" si="36">D35</f>
        <v>0</v>
      </c>
      <c r="E77" s="202">
        <f t="shared" si="36"/>
        <v>0</v>
      </c>
      <c r="F77" s="202">
        <f t="shared" si="36"/>
        <v>0</v>
      </c>
      <c r="G77" s="202">
        <f t="shared" si="36"/>
        <v>992.2436909564417</v>
      </c>
      <c r="H77" s="202">
        <f t="shared" si="36"/>
        <v>1058.9838515139791</v>
      </c>
      <c r="I77" s="202">
        <f t="shared" si="36"/>
        <v>1126.3947916426694</v>
      </c>
      <c r="J77" s="202">
        <f t="shared" si="36"/>
        <v>1180.4666884679605</v>
      </c>
      <c r="K77" s="202">
        <f t="shared" si="36"/>
        <v>1241.50885047831</v>
      </c>
      <c r="L77" s="202">
        <f t="shared" si="36"/>
        <v>1299.283028362486</v>
      </c>
      <c r="M77" s="202">
        <f t="shared" si="36"/>
        <v>1353.0744002731701</v>
      </c>
      <c r="N77" s="202">
        <f t="shared" si="36"/>
        <v>1413.3550937327202</v>
      </c>
      <c r="O77" s="202">
        <f t="shared" si="36"/>
        <v>1476.4069543884302</v>
      </c>
      <c r="P77" s="202">
        <f t="shared" si="36"/>
        <v>1476.6580935159143</v>
      </c>
      <c r="Q77" s="202">
        <f t="shared" si="36"/>
        <v>1431.2131645525708</v>
      </c>
      <c r="R77" s="202">
        <f t="shared" si="36"/>
        <v>1377.0867111565531</v>
      </c>
      <c r="S77" s="202">
        <f t="shared" si="36"/>
        <v>1326.9647787693946</v>
      </c>
      <c r="T77" s="202">
        <f t="shared" si="36"/>
        <v>1253.8471958083569</v>
      </c>
      <c r="U77" s="203">
        <f t="shared" si="36"/>
        <v>1185.4169104683401</v>
      </c>
    </row>
    <row r="78" spans="2:26" ht="15.5" x14ac:dyDescent="0.35">
      <c r="B78" s="313" t="s">
        <v>30</v>
      </c>
      <c r="C78" s="202"/>
      <c r="D78" s="202">
        <f t="shared" ref="D78:U78" si="37">D30</f>
        <v>0</v>
      </c>
      <c r="E78" s="202">
        <f t="shared" si="37"/>
        <v>0</v>
      </c>
      <c r="F78" s="202">
        <f t="shared" si="37"/>
        <v>0</v>
      </c>
      <c r="G78" s="202">
        <f t="shared" si="37"/>
        <v>680</v>
      </c>
      <c r="H78" s="202">
        <f t="shared" si="37"/>
        <v>680</v>
      </c>
      <c r="I78" s="202">
        <f t="shared" si="37"/>
        <v>680</v>
      </c>
      <c r="J78" s="202">
        <f t="shared" si="37"/>
        <v>680</v>
      </c>
      <c r="K78" s="202">
        <f t="shared" si="37"/>
        <v>680</v>
      </c>
      <c r="L78" s="202">
        <f t="shared" si="37"/>
        <v>680</v>
      </c>
      <c r="M78" s="202">
        <f t="shared" si="37"/>
        <v>680</v>
      </c>
      <c r="N78" s="202">
        <f t="shared" si="37"/>
        <v>680</v>
      </c>
      <c r="O78" s="202">
        <f t="shared" si="37"/>
        <v>680</v>
      </c>
      <c r="P78" s="202">
        <f t="shared" si="37"/>
        <v>680</v>
      </c>
      <c r="Q78" s="202">
        <f t="shared" si="37"/>
        <v>680</v>
      </c>
      <c r="R78" s="202">
        <f t="shared" si="37"/>
        <v>680</v>
      </c>
      <c r="S78" s="202">
        <f t="shared" si="37"/>
        <v>680</v>
      </c>
      <c r="T78" s="202">
        <f t="shared" si="37"/>
        <v>680</v>
      </c>
      <c r="U78" s="203">
        <f t="shared" si="37"/>
        <v>680</v>
      </c>
    </row>
    <row r="79" spans="2:26" ht="15.5" x14ac:dyDescent="0.35">
      <c r="B79" s="313" t="s">
        <v>184</v>
      </c>
      <c r="C79" s="202"/>
      <c r="D79" s="202">
        <f t="shared" ref="D79:U79" si="38">C65-D65</f>
        <v>-3460</v>
      </c>
      <c r="E79" s="202">
        <f t="shared" si="38"/>
        <v>-5520</v>
      </c>
      <c r="F79" s="202">
        <f t="shared" si="38"/>
        <v>-4570</v>
      </c>
      <c r="G79" s="202">
        <f t="shared" si="38"/>
        <v>0</v>
      </c>
      <c r="H79" s="202">
        <f t="shared" si="38"/>
        <v>0</v>
      </c>
      <c r="I79" s="202">
        <f t="shared" si="38"/>
        <v>0</v>
      </c>
      <c r="J79" s="202">
        <f t="shared" si="38"/>
        <v>0</v>
      </c>
      <c r="K79" s="202">
        <f t="shared" si="38"/>
        <v>0</v>
      </c>
      <c r="L79" s="202">
        <f t="shared" si="38"/>
        <v>0</v>
      </c>
      <c r="M79" s="202">
        <f t="shared" si="38"/>
        <v>0</v>
      </c>
      <c r="N79" s="202">
        <f t="shared" si="38"/>
        <v>0</v>
      </c>
      <c r="O79" s="202">
        <f t="shared" si="38"/>
        <v>0</v>
      </c>
      <c r="P79" s="202">
        <f t="shared" si="38"/>
        <v>0</v>
      </c>
      <c r="Q79" s="202">
        <f t="shared" si="38"/>
        <v>0</v>
      </c>
      <c r="R79" s="202">
        <f t="shared" si="38"/>
        <v>0</v>
      </c>
      <c r="S79" s="202">
        <f t="shared" si="38"/>
        <v>0</v>
      </c>
      <c r="T79" s="202">
        <f t="shared" si="38"/>
        <v>0</v>
      </c>
      <c r="U79" s="203">
        <f t="shared" si="38"/>
        <v>0</v>
      </c>
    </row>
    <row r="80" spans="2:26" ht="15.5" x14ac:dyDescent="0.35">
      <c r="B80" s="313" t="s">
        <v>230</v>
      </c>
      <c r="C80" s="202"/>
      <c r="D80" s="202">
        <f t="shared" ref="D80:U80" si="39">C68-D68</f>
        <v>0</v>
      </c>
      <c r="E80" s="202">
        <f t="shared" si="39"/>
        <v>0</v>
      </c>
      <c r="F80" s="202">
        <f t="shared" si="39"/>
        <v>0</v>
      </c>
      <c r="G80" s="202">
        <f t="shared" si="39"/>
        <v>-1240</v>
      </c>
      <c r="H80" s="202">
        <f t="shared" si="39"/>
        <v>-10</v>
      </c>
      <c r="I80" s="202">
        <f t="shared" si="39"/>
        <v>-30</v>
      </c>
      <c r="J80" s="202">
        <f t="shared" si="39"/>
        <v>-20</v>
      </c>
      <c r="K80" s="202">
        <f t="shared" si="39"/>
        <v>-20</v>
      </c>
      <c r="L80" s="202">
        <f t="shared" si="39"/>
        <v>-30</v>
      </c>
      <c r="M80" s="202">
        <f t="shared" si="39"/>
        <v>-20</v>
      </c>
      <c r="N80" s="202">
        <f t="shared" si="39"/>
        <v>-30</v>
      </c>
      <c r="O80" s="202">
        <f t="shared" si="39"/>
        <v>-30</v>
      </c>
      <c r="P80" s="202">
        <f t="shared" si="39"/>
        <v>-20</v>
      </c>
      <c r="Q80" s="202">
        <f t="shared" si="39"/>
        <v>-30</v>
      </c>
      <c r="R80" s="202">
        <f t="shared" si="39"/>
        <v>-30</v>
      </c>
      <c r="S80" s="202">
        <f t="shared" si="39"/>
        <v>-30</v>
      </c>
      <c r="T80" s="202">
        <f t="shared" si="39"/>
        <v>-30</v>
      </c>
      <c r="U80" s="203">
        <f t="shared" si="39"/>
        <v>-30</v>
      </c>
    </row>
    <row r="81" spans="2:24" ht="15.5" x14ac:dyDescent="0.35">
      <c r="B81" s="313" t="s">
        <v>231</v>
      </c>
      <c r="C81" s="202"/>
      <c r="D81" s="202">
        <f t="shared" ref="D81:U81" si="40">C69-D69</f>
        <v>0</v>
      </c>
      <c r="E81" s="202">
        <f t="shared" si="40"/>
        <v>0</v>
      </c>
      <c r="F81" s="202">
        <f t="shared" si="40"/>
        <v>0</v>
      </c>
      <c r="G81" s="202">
        <f t="shared" si="40"/>
        <v>0</v>
      </c>
      <c r="H81" s="202">
        <f t="shared" si="40"/>
        <v>0</v>
      </c>
      <c r="I81" s="202">
        <f t="shared" si="40"/>
        <v>0</v>
      </c>
      <c r="J81" s="202">
        <f t="shared" si="40"/>
        <v>0</v>
      </c>
      <c r="K81" s="202">
        <f t="shared" si="40"/>
        <v>0</v>
      </c>
      <c r="L81" s="202">
        <f t="shared" si="40"/>
        <v>0</v>
      </c>
      <c r="M81" s="202">
        <f t="shared" si="40"/>
        <v>0</v>
      </c>
      <c r="N81" s="202">
        <f t="shared" si="40"/>
        <v>-10</v>
      </c>
      <c r="O81" s="202">
        <f t="shared" si="40"/>
        <v>-40</v>
      </c>
      <c r="P81" s="202">
        <f t="shared" si="40"/>
        <v>-70</v>
      </c>
      <c r="Q81" s="202">
        <f t="shared" si="40"/>
        <v>-90</v>
      </c>
      <c r="R81" s="202">
        <f t="shared" si="40"/>
        <v>-110</v>
      </c>
      <c r="S81" s="202">
        <f t="shared" si="40"/>
        <v>-130</v>
      </c>
      <c r="T81" s="202">
        <f t="shared" si="40"/>
        <v>-140</v>
      </c>
      <c r="U81" s="203">
        <f t="shared" si="40"/>
        <v>-150</v>
      </c>
    </row>
    <row r="82" spans="2:24" ht="15.5" x14ac:dyDescent="0.35">
      <c r="B82" s="313" t="s">
        <v>145</v>
      </c>
      <c r="C82" s="202"/>
      <c r="D82" s="202">
        <f t="shared" ref="D82:U82" si="41">D28+D29</f>
        <v>0</v>
      </c>
      <c r="E82" s="202">
        <f t="shared" si="41"/>
        <v>0</v>
      </c>
      <c r="F82" s="202">
        <f t="shared" si="41"/>
        <v>0</v>
      </c>
      <c r="G82" s="202">
        <f t="shared" si="41"/>
        <v>1178.5999999999999</v>
      </c>
      <c r="H82" s="202">
        <f t="shared" si="41"/>
        <v>1049.8666666666668</v>
      </c>
      <c r="I82" s="202">
        <f t="shared" si="41"/>
        <v>922.33333333333337</v>
      </c>
      <c r="J82" s="202">
        <f t="shared" si="41"/>
        <v>795.4</v>
      </c>
      <c r="K82" s="202">
        <f t="shared" si="41"/>
        <v>667.86666666666656</v>
      </c>
      <c r="L82" s="202">
        <f t="shared" si="41"/>
        <v>540.33333333333326</v>
      </c>
      <c r="M82" s="202">
        <f t="shared" si="41"/>
        <v>413.39999999999981</v>
      </c>
      <c r="N82" s="202">
        <f t="shared" si="41"/>
        <v>286.46666666666647</v>
      </c>
      <c r="O82" s="202">
        <f t="shared" si="41"/>
        <v>175.69999999999976</v>
      </c>
      <c r="P82" s="202">
        <f t="shared" si="41"/>
        <v>129.59999999999977</v>
      </c>
      <c r="Q82" s="202">
        <f t="shared" si="41"/>
        <v>131.99999999999977</v>
      </c>
      <c r="R82" s="202">
        <f t="shared" si="41"/>
        <v>134.39999999999978</v>
      </c>
      <c r="S82" s="202">
        <f t="shared" si="41"/>
        <v>137.39999999999978</v>
      </c>
      <c r="T82" s="202">
        <f t="shared" si="41"/>
        <v>140.39999999999978</v>
      </c>
      <c r="U82" s="203">
        <f t="shared" si="41"/>
        <v>142.79999999999976</v>
      </c>
    </row>
    <row r="83" spans="2:24" ht="15.5" x14ac:dyDescent="0.35">
      <c r="B83" s="7" t="s">
        <v>183</v>
      </c>
      <c r="C83" s="307"/>
      <c r="D83" s="307">
        <f>SUM(D77:D82)</f>
        <v>-3460</v>
      </c>
      <c r="E83" s="307">
        <f t="shared" ref="E83:U83" si="42">SUM(E77:E82)</f>
        <v>-5520</v>
      </c>
      <c r="F83" s="307">
        <f t="shared" si="42"/>
        <v>-4570</v>
      </c>
      <c r="G83" s="307">
        <f t="shared" si="42"/>
        <v>1610.8436909564416</v>
      </c>
      <c r="H83" s="307">
        <f t="shared" si="42"/>
        <v>2778.8505181806458</v>
      </c>
      <c r="I83" s="307">
        <f t="shared" si="42"/>
        <v>2698.7281249760026</v>
      </c>
      <c r="J83" s="307">
        <f t="shared" si="42"/>
        <v>2635.8666884679606</v>
      </c>
      <c r="K83" s="307">
        <f t="shared" si="42"/>
        <v>2569.3755171449766</v>
      </c>
      <c r="L83" s="307">
        <f t="shared" si="42"/>
        <v>2489.6163616958193</v>
      </c>
      <c r="M83" s="307">
        <f t="shared" si="42"/>
        <v>2426.47440027317</v>
      </c>
      <c r="N83" s="307">
        <f t="shared" si="42"/>
        <v>2339.8217603993862</v>
      </c>
      <c r="O83" s="307">
        <f t="shared" si="42"/>
        <v>2262.10695438843</v>
      </c>
      <c r="P83" s="307">
        <f t="shared" si="42"/>
        <v>2196.2580935159144</v>
      </c>
      <c r="Q83" s="307">
        <f t="shared" si="42"/>
        <v>2123.2131645525706</v>
      </c>
      <c r="R83" s="307">
        <f t="shared" si="42"/>
        <v>2051.4867111565527</v>
      </c>
      <c r="S83" s="307">
        <f t="shared" si="42"/>
        <v>1984.3647787693944</v>
      </c>
      <c r="T83" s="307">
        <f t="shared" si="42"/>
        <v>1904.2471958083568</v>
      </c>
      <c r="U83" s="308">
        <f t="shared" si="42"/>
        <v>1828.2169104683398</v>
      </c>
    </row>
    <row r="84" spans="2:24" ht="15.5" x14ac:dyDescent="0.35">
      <c r="B84" s="7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  <c r="T84" s="202"/>
      <c r="U84" s="203"/>
    </row>
    <row r="85" spans="2:24" ht="15.5" x14ac:dyDescent="0.35">
      <c r="B85" s="304" t="s">
        <v>181</v>
      </c>
      <c r="C85" s="202"/>
      <c r="D85" s="202"/>
      <c r="E85" s="202"/>
      <c r="F85" s="202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203"/>
    </row>
    <row r="86" spans="2:24" ht="15.5" x14ac:dyDescent="0.35">
      <c r="B86" s="313" t="s">
        <v>190</v>
      </c>
      <c r="C86" s="202"/>
      <c r="D86" s="202">
        <f>N4</f>
        <v>2420.0000000000005</v>
      </c>
      <c r="E86" s="202">
        <f>O4</f>
        <v>3870.0000000000009</v>
      </c>
      <c r="F86" s="202">
        <f>P4</f>
        <v>3410.0000000000005</v>
      </c>
      <c r="G86" s="202">
        <v>0</v>
      </c>
      <c r="H86" s="202">
        <v>0</v>
      </c>
      <c r="I86" s="202">
        <v>0</v>
      </c>
      <c r="J86" s="202">
        <v>0</v>
      </c>
      <c r="K86" s="202">
        <v>0</v>
      </c>
      <c r="L86" s="202">
        <v>0</v>
      </c>
      <c r="M86" s="202">
        <v>0</v>
      </c>
      <c r="N86" s="202">
        <v>0</v>
      </c>
      <c r="O86" s="202">
        <v>0</v>
      </c>
      <c r="P86" s="202">
        <v>0</v>
      </c>
      <c r="Q86" s="202">
        <v>0</v>
      </c>
      <c r="R86" s="202">
        <v>0</v>
      </c>
      <c r="S86" s="202">
        <v>0</v>
      </c>
      <c r="T86" s="202">
        <v>0</v>
      </c>
      <c r="U86" s="203">
        <v>0</v>
      </c>
      <c r="W86" s="409">
        <f>SUM(D86:U86)</f>
        <v>9700.0000000000018</v>
      </c>
      <c r="X86" s="332" t="s">
        <v>273</v>
      </c>
    </row>
    <row r="87" spans="2:24" ht="15.5" x14ac:dyDescent="0.35">
      <c r="B87" s="313" t="s">
        <v>241</v>
      </c>
      <c r="C87" s="202"/>
      <c r="D87" s="202">
        <v>0</v>
      </c>
      <c r="E87" s="202">
        <v>0</v>
      </c>
      <c r="F87" s="407">
        <f>-(($D$86+$E$86+$F$86)/36)*1</f>
        <v>-269.44444444444451</v>
      </c>
      <c r="G87" s="407">
        <f t="shared" ref="G87:N87" si="43">-(($D$86+$E$86+$F$86)/36)*4</f>
        <v>-1077.7777777777781</v>
      </c>
      <c r="H87" s="407">
        <f t="shared" si="43"/>
        <v>-1077.7777777777781</v>
      </c>
      <c r="I87" s="407">
        <f t="shared" si="43"/>
        <v>-1077.7777777777781</v>
      </c>
      <c r="J87" s="407">
        <f t="shared" si="43"/>
        <v>-1077.7777777777781</v>
      </c>
      <c r="K87" s="407">
        <f t="shared" si="43"/>
        <v>-1077.7777777777781</v>
      </c>
      <c r="L87" s="407">
        <f t="shared" si="43"/>
        <v>-1077.7777777777781</v>
      </c>
      <c r="M87" s="407">
        <f t="shared" si="43"/>
        <v>-1077.7777777777781</v>
      </c>
      <c r="N87" s="407">
        <f t="shared" si="43"/>
        <v>-1077.7777777777781</v>
      </c>
      <c r="O87" s="407">
        <f>-(($D$86+$E$86+$F$86)/36)*3</f>
        <v>-808.33333333333348</v>
      </c>
      <c r="P87" s="407">
        <f>Loan!P22</f>
        <v>0</v>
      </c>
      <c r="Q87" s="407">
        <f>Loan!Q22</f>
        <v>0</v>
      </c>
      <c r="R87" s="202">
        <v>0</v>
      </c>
      <c r="S87" s="202">
        <v>0</v>
      </c>
      <c r="T87" s="202">
        <v>0</v>
      </c>
      <c r="U87" s="203">
        <v>0</v>
      </c>
      <c r="W87" s="409">
        <f>SUM(D87:U87)</f>
        <v>-9700.0000000000036</v>
      </c>
      <c r="X87" s="332" t="s">
        <v>273</v>
      </c>
    </row>
    <row r="88" spans="2:24" ht="15.5" x14ac:dyDescent="0.35">
      <c r="B88" s="313" t="s">
        <v>186</v>
      </c>
      <c r="C88" s="339"/>
      <c r="D88" s="202">
        <v>0</v>
      </c>
      <c r="E88" s="202">
        <v>0</v>
      </c>
      <c r="F88" s="202">
        <v>0</v>
      </c>
      <c r="G88" s="202">
        <v>930</v>
      </c>
      <c r="H88" s="202">
        <v>10</v>
      </c>
      <c r="I88" s="202">
        <v>20</v>
      </c>
      <c r="J88" s="202">
        <v>20</v>
      </c>
      <c r="K88" s="202">
        <v>10</v>
      </c>
      <c r="L88" s="202">
        <v>20</v>
      </c>
      <c r="M88" s="202">
        <v>20</v>
      </c>
      <c r="N88" s="202">
        <v>20</v>
      </c>
      <c r="O88" s="202">
        <v>20</v>
      </c>
      <c r="P88" s="202">
        <v>20</v>
      </c>
      <c r="Q88" s="202">
        <v>20</v>
      </c>
      <c r="R88" s="202">
        <v>20</v>
      </c>
      <c r="S88" s="202">
        <v>30</v>
      </c>
      <c r="T88" s="202">
        <v>20</v>
      </c>
      <c r="U88" s="203">
        <v>20</v>
      </c>
      <c r="V88" s="284"/>
    </row>
    <row r="89" spans="2:24" ht="15.5" x14ac:dyDescent="0.35">
      <c r="B89" s="313" t="s">
        <v>240</v>
      </c>
      <c r="C89" s="339"/>
      <c r="D89" s="202">
        <v>0</v>
      </c>
      <c r="E89" s="202">
        <v>0</v>
      </c>
      <c r="F89" s="202">
        <v>0</v>
      </c>
      <c r="G89" s="407">
        <f t="shared" ref="G89:U89" si="44">G123</f>
        <v>0</v>
      </c>
      <c r="H89" s="407">
        <f t="shared" si="44"/>
        <v>0</v>
      </c>
      <c r="I89" s="407">
        <f t="shared" si="44"/>
        <v>0</v>
      </c>
      <c r="J89" s="407">
        <f t="shared" si="44"/>
        <v>0</v>
      </c>
      <c r="K89" s="407">
        <f t="shared" si="44"/>
        <v>0</v>
      </c>
      <c r="L89" s="407">
        <f t="shared" si="44"/>
        <v>0</v>
      </c>
      <c r="M89" s="407">
        <f t="shared" si="44"/>
        <v>0</v>
      </c>
      <c r="N89" s="407">
        <f t="shared" si="44"/>
        <v>0</v>
      </c>
      <c r="O89" s="407">
        <f t="shared" si="44"/>
        <v>0</v>
      </c>
      <c r="P89" s="407">
        <f t="shared" si="44"/>
        <v>0</v>
      </c>
      <c r="Q89" s="407">
        <f t="shared" si="44"/>
        <v>0</v>
      </c>
      <c r="R89" s="407">
        <f t="shared" si="44"/>
        <v>0</v>
      </c>
      <c r="S89" s="407">
        <f t="shared" si="44"/>
        <v>0</v>
      </c>
      <c r="T89" s="407">
        <f t="shared" si="44"/>
        <v>0</v>
      </c>
      <c r="U89" s="417">
        <f t="shared" si="44"/>
        <v>0</v>
      </c>
      <c r="V89" s="284"/>
    </row>
    <row r="90" spans="2:24" ht="15.5" x14ac:dyDescent="0.35">
      <c r="B90" s="313" t="s">
        <v>145</v>
      </c>
      <c r="C90" s="202"/>
      <c r="D90" s="407">
        <f>-D117</f>
        <v>-42.45000000000001</v>
      </c>
      <c r="E90" s="407">
        <f>-E117</f>
        <v>-8.5250000000000021</v>
      </c>
      <c r="F90" s="407">
        <f>-F117</f>
        <v>0</v>
      </c>
      <c r="G90" s="202">
        <f t="shared" ref="G90:U90" si="45">-G82</f>
        <v>-1178.5999999999999</v>
      </c>
      <c r="H90" s="202">
        <f t="shared" si="45"/>
        <v>-1049.8666666666668</v>
      </c>
      <c r="I90" s="202">
        <f t="shared" si="45"/>
        <v>-922.33333333333337</v>
      </c>
      <c r="J90" s="202">
        <f t="shared" si="45"/>
        <v>-795.4</v>
      </c>
      <c r="K90" s="202">
        <f t="shared" si="45"/>
        <v>-667.86666666666656</v>
      </c>
      <c r="L90" s="202">
        <f t="shared" si="45"/>
        <v>-540.33333333333326</v>
      </c>
      <c r="M90" s="202">
        <f t="shared" si="45"/>
        <v>-413.39999999999981</v>
      </c>
      <c r="N90" s="202">
        <f t="shared" si="45"/>
        <v>-286.46666666666647</v>
      </c>
      <c r="O90" s="202">
        <f t="shared" si="45"/>
        <v>-175.69999999999976</v>
      </c>
      <c r="P90" s="202">
        <f t="shared" si="45"/>
        <v>-129.59999999999977</v>
      </c>
      <c r="Q90" s="202">
        <f t="shared" si="45"/>
        <v>-131.99999999999977</v>
      </c>
      <c r="R90" s="202">
        <f t="shared" si="45"/>
        <v>-134.39999999999978</v>
      </c>
      <c r="S90" s="202">
        <f t="shared" si="45"/>
        <v>-137.39999999999978</v>
      </c>
      <c r="T90" s="202">
        <f t="shared" si="45"/>
        <v>-140.39999999999978</v>
      </c>
      <c r="U90" s="203">
        <f t="shared" si="45"/>
        <v>-142.79999999999976</v>
      </c>
    </row>
    <row r="91" spans="2:24" ht="15.5" x14ac:dyDescent="0.35">
      <c r="B91" s="313" t="s">
        <v>303</v>
      </c>
      <c r="C91" s="202"/>
      <c r="D91" s="407">
        <f>-D90</f>
        <v>42.45000000000001</v>
      </c>
      <c r="E91" s="407">
        <f>-E90</f>
        <v>8.5250000000000021</v>
      </c>
      <c r="F91" s="407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3"/>
    </row>
    <row r="92" spans="2:24" ht="15.5" x14ac:dyDescent="0.35">
      <c r="B92" s="313" t="s">
        <v>191</v>
      </c>
      <c r="C92" s="202"/>
      <c r="D92" s="202">
        <f>N6</f>
        <v>1039.9999999999998</v>
      </c>
      <c r="E92" s="202">
        <f>O6</f>
        <v>1649.9999999999995</v>
      </c>
      <c r="F92" s="202">
        <f>P6</f>
        <v>1469.9999999999998</v>
      </c>
      <c r="G92" s="202">
        <v>0</v>
      </c>
      <c r="H92" s="202">
        <v>0</v>
      </c>
      <c r="I92" s="202">
        <v>0</v>
      </c>
      <c r="J92" s="202">
        <v>0</v>
      </c>
      <c r="K92" s="202">
        <v>0</v>
      </c>
      <c r="L92" s="202">
        <v>0</v>
      </c>
      <c r="M92" s="202">
        <v>0</v>
      </c>
      <c r="N92" s="202">
        <v>0</v>
      </c>
      <c r="O92" s="202">
        <v>0</v>
      </c>
      <c r="P92" s="202">
        <v>0</v>
      </c>
      <c r="Q92" s="202">
        <v>0</v>
      </c>
      <c r="R92" s="202">
        <v>0</v>
      </c>
      <c r="S92" s="202">
        <v>0</v>
      </c>
      <c r="T92" s="202">
        <v>0</v>
      </c>
      <c r="U92" s="203">
        <v>0</v>
      </c>
    </row>
    <row r="93" spans="2:24" ht="15.5" x14ac:dyDescent="0.35">
      <c r="B93" s="313" t="s">
        <v>255</v>
      </c>
      <c r="C93" s="202"/>
      <c r="D93" s="202">
        <v>0</v>
      </c>
      <c r="E93" s="202">
        <v>0</v>
      </c>
      <c r="F93" s="202">
        <v>0</v>
      </c>
      <c r="G93" s="202">
        <f t="shared" ref="G93:U93" si="46">G134</f>
        <v>-89.065651645153778</v>
      </c>
      <c r="H93" s="202">
        <f t="shared" si="46"/>
        <v>-85.968801541327906</v>
      </c>
      <c r="I93" s="202">
        <f t="shared" si="46"/>
        <v>-87.979301639009108</v>
      </c>
      <c r="J93" s="202">
        <f t="shared" si="46"/>
        <v>-85.536110152489115</v>
      </c>
      <c r="K93" s="202">
        <f t="shared" si="46"/>
        <v>-90.268044151247935</v>
      </c>
      <c r="L93" s="202">
        <f t="shared" si="46"/>
        <v>-91.972099477460517</v>
      </c>
      <c r="M93" s="202">
        <f t="shared" si="46"/>
        <v>-89.97259679029699</v>
      </c>
      <c r="N93" s="202">
        <f t="shared" si="46"/>
        <v>-94.25782065298803</v>
      </c>
      <c r="O93" s="202">
        <f t="shared" si="46"/>
        <v>-94.37433022634761</v>
      </c>
      <c r="P93" s="202">
        <f t="shared" si="46"/>
        <v>-78.047162114544307</v>
      </c>
      <c r="Q93" s="202">
        <f t="shared" si="46"/>
        <v>-91.446474426083327</v>
      </c>
      <c r="R93" s="202">
        <f t="shared" si="46"/>
        <v>-82.511367275284485</v>
      </c>
      <c r="S93" s="202">
        <f t="shared" si="46"/>
        <v>-95.892069766846575</v>
      </c>
      <c r="T93" s="202">
        <f t="shared" si="46"/>
        <v>-87.737569413875178</v>
      </c>
      <c r="U93" s="203">
        <f t="shared" si="46"/>
        <v>-84.953442154134422</v>
      </c>
    </row>
    <row r="94" spans="2:24" ht="15.5" x14ac:dyDescent="0.35">
      <c r="B94" s="7" t="s">
        <v>182</v>
      </c>
      <c r="C94" s="202"/>
      <c r="D94" s="307">
        <f>SUM(D86:D93)</f>
        <v>3460</v>
      </c>
      <c r="E94" s="307">
        <f t="shared" ref="E94:U94" si="47">SUM(E86:E93)</f>
        <v>5520</v>
      </c>
      <c r="F94" s="307">
        <f t="shared" si="47"/>
        <v>4610.5555555555557</v>
      </c>
      <c r="G94" s="307">
        <f t="shared" si="47"/>
        <v>-1415.4434294229318</v>
      </c>
      <c r="H94" s="307">
        <f t="shared" si="47"/>
        <v>-2203.6132459857731</v>
      </c>
      <c r="I94" s="307">
        <f t="shared" si="47"/>
        <v>-2068.0904127501203</v>
      </c>
      <c r="J94" s="307">
        <f t="shared" si="47"/>
        <v>-1938.713887930267</v>
      </c>
      <c r="K94" s="307">
        <f t="shared" si="47"/>
        <v>-1825.9124885956926</v>
      </c>
      <c r="L94" s="307">
        <f t="shared" si="47"/>
        <v>-1690.0832105885718</v>
      </c>
      <c r="M94" s="307">
        <f t="shared" si="47"/>
        <v>-1561.150374568075</v>
      </c>
      <c r="N94" s="307">
        <f t="shared" si="47"/>
        <v>-1438.5022650974327</v>
      </c>
      <c r="O94" s="307">
        <f t="shared" si="47"/>
        <v>-1058.4076635596809</v>
      </c>
      <c r="P94" s="307">
        <f t="shared" si="47"/>
        <v>-187.64716211454407</v>
      </c>
      <c r="Q94" s="307">
        <f t="shared" si="47"/>
        <v>-203.44647442608311</v>
      </c>
      <c r="R94" s="307">
        <f t="shared" si="47"/>
        <v>-196.91136727528425</v>
      </c>
      <c r="S94" s="307">
        <f t="shared" si="47"/>
        <v>-203.29206976684634</v>
      </c>
      <c r="T94" s="307">
        <f t="shared" si="47"/>
        <v>-208.13756941387496</v>
      </c>
      <c r="U94" s="308">
        <f t="shared" si="47"/>
        <v>-207.75344215413418</v>
      </c>
    </row>
    <row r="95" spans="2:24" ht="15.5" x14ac:dyDescent="0.35">
      <c r="B95" s="7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3"/>
    </row>
    <row r="96" spans="2:24" ht="15.5" x14ac:dyDescent="0.35">
      <c r="B96" s="7" t="s">
        <v>179</v>
      </c>
      <c r="C96" s="202"/>
      <c r="D96" s="186">
        <f>D83+D94</f>
        <v>0</v>
      </c>
      <c r="E96" s="186">
        <f t="shared" ref="E96:U96" si="48">E83+E94</f>
        <v>0</v>
      </c>
      <c r="F96" s="186">
        <f t="shared" si="48"/>
        <v>40.555555555555657</v>
      </c>
      <c r="G96" s="186">
        <f t="shared" si="48"/>
        <v>195.40026153350982</v>
      </c>
      <c r="H96" s="186">
        <f t="shared" si="48"/>
        <v>575.23727219487273</v>
      </c>
      <c r="I96" s="186">
        <f t="shared" si="48"/>
        <v>630.6377122258823</v>
      </c>
      <c r="J96" s="186">
        <f t="shared" si="48"/>
        <v>697.15280053769357</v>
      </c>
      <c r="K96" s="186">
        <f t="shared" si="48"/>
        <v>743.46302854928399</v>
      </c>
      <c r="L96" s="186">
        <f t="shared" si="48"/>
        <v>799.53315110724748</v>
      </c>
      <c r="M96" s="186">
        <f t="shared" si="48"/>
        <v>865.32402570509498</v>
      </c>
      <c r="N96" s="186">
        <f t="shared" si="48"/>
        <v>901.31949530195357</v>
      </c>
      <c r="O96" s="186">
        <f t="shared" si="48"/>
        <v>1203.6992908287491</v>
      </c>
      <c r="P96" s="186">
        <f t="shared" si="48"/>
        <v>2008.6109314013704</v>
      </c>
      <c r="Q96" s="186">
        <f t="shared" si="48"/>
        <v>1919.7666901264874</v>
      </c>
      <c r="R96" s="186">
        <f t="shared" si="48"/>
        <v>1854.5753438812685</v>
      </c>
      <c r="S96" s="186">
        <f t="shared" si="48"/>
        <v>1781.072709002548</v>
      </c>
      <c r="T96" s="186">
        <f t="shared" si="48"/>
        <v>1696.1096263944819</v>
      </c>
      <c r="U96" s="308">
        <f t="shared" si="48"/>
        <v>1620.4634683142058</v>
      </c>
    </row>
    <row r="97" spans="1:21" ht="15.5" x14ac:dyDescent="0.35">
      <c r="B97" s="7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8" spans="1:21" ht="15.5" x14ac:dyDescent="0.35">
      <c r="B98" s="7" t="s">
        <v>177</v>
      </c>
      <c r="C98" s="202"/>
      <c r="D98" s="307">
        <v>0</v>
      </c>
      <c r="E98" s="307">
        <f t="shared" ref="E98:U98" si="49">D99</f>
        <v>0</v>
      </c>
      <c r="F98" s="307">
        <f t="shared" si="49"/>
        <v>0</v>
      </c>
      <c r="G98" s="307">
        <f t="shared" si="49"/>
        <v>40.555555555555657</v>
      </c>
      <c r="H98" s="307">
        <f t="shared" si="49"/>
        <v>235.95581708906548</v>
      </c>
      <c r="I98" s="307">
        <f t="shared" si="49"/>
        <v>811.19308928393821</v>
      </c>
      <c r="J98" s="307">
        <f t="shared" si="49"/>
        <v>1441.8308015098205</v>
      </c>
      <c r="K98" s="307">
        <f t="shared" si="49"/>
        <v>2138.9836020475141</v>
      </c>
      <c r="L98" s="307">
        <f t="shared" si="49"/>
        <v>2882.4466305967981</v>
      </c>
      <c r="M98" s="307">
        <f t="shared" si="49"/>
        <v>3681.9797817040453</v>
      </c>
      <c r="N98" s="307">
        <f t="shared" si="49"/>
        <v>4547.3038074091401</v>
      </c>
      <c r="O98" s="307">
        <f t="shared" si="49"/>
        <v>5448.6233027110939</v>
      </c>
      <c r="P98" s="307">
        <f t="shared" si="49"/>
        <v>6652.3225935398432</v>
      </c>
      <c r="Q98" s="307">
        <f t="shared" si="49"/>
        <v>8660.9335249412143</v>
      </c>
      <c r="R98" s="307">
        <f t="shared" si="49"/>
        <v>10580.700215067702</v>
      </c>
      <c r="S98" s="307">
        <f t="shared" si="49"/>
        <v>12435.27555894897</v>
      </c>
      <c r="T98" s="307">
        <f t="shared" si="49"/>
        <v>14216.348267951518</v>
      </c>
      <c r="U98" s="308">
        <f t="shared" si="49"/>
        <v>15912.457894346</v>
      </c>
    </row>
    <row r="99" spans="1:21" ht="15.5" x14ac:dyDescent="0.35">
      <c r="B99" s="7" t="s">
        <v>178</v>
      </c>
      <c r="C99" s="202"/>
      <c r="D99" s="307">
        <f t="shared" ref="D99:U99" si="50">D96+D98</f>
        <v>0</v>
      </c>
      <c r="E99" s="307">
        <f t="shared" si="50"/>
        <v>0</v>
      </c>
      <c r="F99" s="307">
        <f t="shared" si="50"/>
        <v>40.555555555555657</v>
      </c>
      <c r="G99" s="307">
        <f t="shared" si="50"/>
        <v>235.95581708906548</v>
      </c>
      <c r="H99" s="307">
        <f t="shared" si="50"/>
        <v>811.19308928393821</v>
      </c>
      <c r="I99" s="307">
        <f t="shared" si="50"/>
        <v>1441.8308015098205</v>
      </c>
      <c r="J99" s="307">
        <f t="shared" si="50"/>
        <v>2138.9836020475141</v>
      </c>
      <c r="K99" s="307">
        <f t="shared" si="50"/>
        <v>2882.4466305967981</v>
      </c>
      <c r="L99" s="307">
        <f t="shared" si="50"/>
        <v>3681.9797817040453</v>
      </c>
      <c r="M99" s="307">
        <f t="shared" si="50"/>
        <v>4547.3038074091401</v>
      </c>
      <c r="N99" s="307">
        <f t="shared" si="50"/>
        <v>5448.6233027110939</v>
      </c>
      <c r="O99" s="307">
        <f t="shared" si="50"/>
        <v>6652.3225935398432</v>
      </c>
      <c r="P99" s="307">
        <f t="shared" si="50"/>
        <v>8660.9335249412143</v>
      </c>
      <c r="Q99" s="307">
        <f t="shared" si="50"/>
        <v>10580.700215067702</v>
      </c>
      <c r="R99" s="307">
        <f t="shared" si="50"/>
        <v>12435.27555894897</v>
      </c>
      <c r="S99" s="307">
        <f t="shared" si="50"/>
        <v>14216.348267951518</v>
      </c>
      <c r="T99" s="307">
        <f t="shared" si="50"/>
        <v>15912.457894346</v>
      </c>
      <c r="U99" s="308">
        <f t="shared" si="50"/>
        <v>17532.921362660207</v>
      </c>
    </row>
    <row r="100" spans="1:21" x14ac:dyDescent="0.35">
      <c r="A100" s="332"/>
      <c r="B100" s="329"/>
      <c r="C100" s="333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</row>
    <row r="101" spans="1:21" x14ac:dyDescent="0.35">
      <c r="B101" s="15"/>
      <c r="C101" s="16"/>
      <c r="D101" s="17"/>
      <c r="E101" s="17"/>
      <c r="F101" s="17"/>
      <c r="G101" s="13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:21" ht="15.5" x14ac:dyDescent="0.35">
      <c r="B102" s="315" t="s">
        <v>193</v>
      </c>
      <c r="C102" s="414">
        <v>2009</v>
      </c>
      <c r="D102" s="414">
        <v>2010</v>
      </c>
      <c r="E102" s="414">
        <v>2011</v>
      </c>
      <c r="F102" s="414">
        <v>2012</v>
      </c>
      <c r="G102" s="414">
        <v>2013</v>
      </c>
      <c r="H102" s="414">
        <v>2014</v>
      </c>
      <c r="I102" s="414">
        <v>2015</v>
      </c>
      <c r="J102" s="414">
        <v>2016</v>
      </c>
      <c r="K102" s="414">
        <v>2017</v>
      </c>
      <c r="L102" s="414">
        <v>2018</v>
      </c>
      <c r="M102" s="414">
        <v>2019</v>
      </c>
      <c r="N102" s="414">
        <v>2020</v>
      </c>
      <c r="O102" s="414">
        <v>2021</v>
      </c>
      <c r="P102" s="414">
        <v>2022</v>
      </c>
      <c r="Q102" s="414">
        <v>2023</v>
      </c>
      <c r="R102" s="414">
        <v>2024</v>
      </c>
      <c r="S102" s="414">
        <v>2025</v>
      </c>
      <c r="T102" s="414">
        <v>2026</v>
      </c>
      <c r="U102" s="414">
        <v>2027</v>
      </c>
    </row>
    <row r="103" spans="1:21" ht="6.25" customHeight="1" x14ac:dyDescent="0.35">
      <c r="B103" s="315"/>
      <c r="C103" s="16"/>
      <c r="D103" s="17"/>
      <c r="E103" s="17"/>
      <c r="F103" s="17"/>
    </row>
    <row r="104" spans="1:21" x14ac:dyDescent="0.35">
      <c r="B104" s="314" t="s">
        <v>232</v>
      </c>
      <c r="C104" s="16"/>
      <c r="D104" s="17"/>
      <c r="E104" s="17"/>
      <c r="F104" s="17"/>
      <c r="G104" s="13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:21" x14ac:dyDescent="0.35">
      <c r="B105" s="316" t="s">
        <v>57</v>
      </c>
      <c r="C105" s="317"/>
      <c r="D105" s="319">
        <v>0</v>
      </c>
      <c r="E105" s="319">
        <v>0</v>
      </c>
      <c r="F105" s="319">
        <v>0</v>
      </c>
      <c r="G105" s="319">
        <f t="shared" ref="G105:U105" si="51">G21*G106</f>
        <v>1240</v>
      </c>
      <c r="H105" s="319">
        <f t="shared" si="51"/>
        <v>1250</v>
      </c>
      <c r="I105" s="319">
        <f t="shared" si="51"/>
        <v>1280</v>
      </c>
      <c r="J105" s="319">
        <f t="shared" si="51"/>
        <v>1300</v>
      </c>
      <c r="K105" s="319">
        <f t="shared" si="51"/>
        <v>1320</v>
      </c>
      <c r="L105" s="319">
        <f t="shared" si="51"/>
        <v>1350</v>
      </c>
      <c r="M105" s="319">
        <f t="shared" si="51"/>
        <v>1370</v>
      </c>
      <c r="N105" s="319">
        <f t="shared" si="51"/>
        <v>1400</v>
      </c>
      <c r="O105" s="319">
        <f t="shared" si="51"/>
        <v>1430</v>
      </c>
      <c r="P105" s="319">
        <f t="shared" si="51"/>
        <v>1450</v>
      </c>
      <c r="Q105" s="319">
        <f t="shared" si="51"/>
        <v>1480</v>
      </c>
      <c r="R105" s="319">
        <f t="shared" si="51"/>
        <v>1510</v>
      </c>
      <c r="S105" s="319">
        <f t="shared" si="51"/>
        <v>1540</v>
      </c>
      <c r="T105" s="319">
        <f t="shared" si="51"/>
        <v>1570</v>
      </c>
      <c r="U105" s="319">
        <f t="shared" si="51"/>
        <v>1600</v>
      </c>
    </row>
    <row r="106" spans="1:21" x14ac:dyDescent="0.35">
      <c r="B106" s="316" t="s">
        <v>192</v>
      </c>
      <c r="C106" s="317"/>
      <c r="D106" s="324"/>
      <c r="E106" s="324"/>
      <c r="F106" s="324"/>
      <c r="G106" s="325">
        <v>0.1848472922853088</v>
      </c>
      <c r="H106" s="325">
        <v>0.18449306559935805</v>
      </c>
      <c r="I106" s="325">
        <v>0.18705039522152736</v>
      </c>
      <c r="J106" s="325">
        <v>0.18809213628402349</v>
      </c>
      <c r="K106" s="325">
        <v>0.18909491233428105</v>
      </c>
      <c r="L106" s="325">
        <v>0.19147774651311086</v>
      </c>
      <c r="M106" s="325">
        <v>0.19239054838501055</v>
      </c>
      <c r="N106" s="325">
        <v>0.19465691099155508</v>
      </c>
      <c r="O106" s="325">
        <v>0.19685953516119076</v>
      </c>
      <c r="P106" s="325">
        <v>0.1976364508645895</v>
      </c>
      <c r="Q106" s="325">
        <v>0.19972819889354212</v>
      </c>
      <c r="R106" s="325">
        <v>0.20175915194624608</v>
      </c>
      <c r="S106" s="325">
        <v>0.2037303088303842</v>
      </c>
      <c r="T106" s="325">
        <v>0.20564265453497699</v>
      </c>
      <c r="U106" s="325">
        <v>0.20749716040610655</v>
      </c>
    </row>
    <row r="107" spans="1:21" x14ac:dyDescent="0.35">
      <c r="B107" s="316"/>
      <c r="C107" s="317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</row>
    <row r="108" spans="1:21" x14ac:dyDescent="0.35">
      <c r="B108" s="314" t="s">
        <v>294</v>
      </c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</row>
    <row r="109" spans="1:21" x14ac:dyDescent="0.35">
      <c r="B109" s="316" t="s">
        <v>295</v>
      </c>
      <c r="C109" s="317"/>
      <c r="D109" s="321">
        <v>0</v>
      </c>
      <c r="E109" s="321">
        <f>D112</f>
        <v>2420.0000000000005</v>
      </c>
      <c r="F109" s="321">
        <f>E112</f>
        <v>6290.0000000000018</v>
      </c>
      <c r="G109" s="321">
        <f t="shared" ref="G109:U109" si="52">F112</f>
        <v>9430.5555555555566</v>
      </c>
      <c r="H109" s="321">
        <f t="shared" si="52"/>
        <v>8352.7777777777792</v>
      </c>
      <c r="I109" s="321">
        <f t="shared" si="52"/>
        <v>7275.0000000000009</v>
      </c>
      <c r="J109" s="321">
        <f t="shared" si="52"/>
        <v>6197.2222222222226</v>
      </c>
      <c r="K109" s="321">
        <f t="shared" si="52"/>
        <v>5119.4444444444443</v>
      </c>
      <c r="L109" s="321">
        <f t="shared" si="52"/>
        <v>4041.6666666666661</v>
      </c>
      <c r="M109" s="321">
        <f t="shared" si="52"/>
        <v>2963.8888888888878</v>
      </c>
      <c r="N109" s="321">
        <f t="shared" si="52"/>
        <v>1886.1111111111097</v>
      </c>
      <c r="O109" s="321">
        <f t="shared" si="52"/>
        <v>808.33333333333167</v>
      </c>
      <c r="P109" s="321">
        <f t="shared" si="52"/>
        <v>-1.8189894035458565E-12</v>
      </c>
      <c r="Q109" s="321">
        <f t="shared" si="52"/>
        <v>-1.8189894035458565E-12</v>
      </c>
      <c r="R109" s="321">
        <f t="shared" si="52"/>
        <v>-1.8189894035458565E-12</v>
      </c>
      <c r="S109" s="321">
        <f t="shared" si="52"/>
        <v>-1.8189894035458565E-12</v>
      </c>
      <c r="T109" s="321">
        <f t="shared" si="52"/>
        <v>-1.8189894035458565E-12</v>
      </c>
      <c r="U109" s="321">
        <f t="shared" si="52"/>
        <v>-1.8189894035458565E-12</v>
      </c>
    </row>
    <row r="110" spans="1:21" x14ac:dyDescent="0.35">
      <c r="B110" s="316" t="s">
        <v>296</v>
      </c>
      <c r="D110" s="321">
        <f>N4</f>
        <v>2420.0000000000005</v>
      </c>
      <c r="E110" s="321">
        <f>O4</f>
        <v>3870.0000000000009</v>
      </c>
      <c r="F110" s="321">
        <f>P4</f>
        <v>3410.0000000000005</v>
      </c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</row>
    <row r="111" spans="1:21" x14ac:dyDescent="0.35">
      <c r="B111" s="316" t="s">
        <v>297</v>
      </c>
      <c r="C111" s="317"/>
      <c r="D111" s="321">
        <v>0</v>
      </c>
      <c r="E111" s="321">
        <v>0</v>
      </c>
      <c r="F111" s="321">
        <f t="shared" ref="F111:U111" si="53">F87</f>
        <v>-269.44444444444451</v>
      </c>
      <c r="G111" s="321">
        <f t="shared" si="53"/>
        <v>-1077.7777777777781</v>
      </c>
      <c r="H111" s="321">
        <f t="shared" si="53"/>
        <v>-1077.7777777777781</v>
      </c>
      <c r="I111" s="321">
        <f t="shared" si="53"/>
        <v>-1077.7777777777781</v>
      </c>
      <c r="J111" s="321">
        <f t="shared" si="53"/>
        <v>-1077.7777777777781</v>
      </c>
      <c r="K111" s="321">
        <f t="shared" si="53"/>
        <v>-1077.7777777777781</v>
      </c>
      <c r="L111" s="321">
        <f t="shared" si="53"/>
        <v>-1077.7777777777781</v>
      </c>
      <c r="M111" s="321">
        <f t="shared" si="53"/>
        <v>-1077.7777777777781</v>
      </c>
      <c r="N111" s="321">
        <f t="shared" si="53"/>
        <v>-1077.7777777777781</v>
      </c>
      <c r="O111" s="321">
        <f t="shared" si="53"/>
        <v>-808.33333333333348</v>
      </c>
      <c r="P111" s="321">
        <f t="shared" si="53"/>
        <v>0</v>
      </c>
      <c r="Q111" s="321">
        <f t="shared" si="53"/>
        <v>0</v>
      </c>
      <c r="R111" s="321">
        <f t="shared" si="53"/>
        <v>0</v>
      </c>
      <c r="S111" s="321">
        <f t="shared" si="53"/>
        <v>0</v>
      </c>
      <c r="T111" s="321">
        <f t="shared" si="53"/>
        <v>0</v>
      </c>
      <c r="U111" s="321">
        <f t="shared" si="53"/>
        <v>0</v>
      </c>
    </row>
    <row r="112" spans="1:21" x14ac:dyDescent="0.35">
      <c r="B112" s="316" t="s">
        <v>298</v>
      </c>
      <c r="C112" s="317"/>
      <c r="D112" s="321">
        <f>D109+D110+D111</f>
        <v>2420.0000000000005</v>
      </c>
      <c r="E112" s="321">
        <f>E109+E110+E111</f>
        <v>6290.0000000000018</v>
      </c>
      <c r="F112" s="321">
        <f>F109+F110+F111</f>
        <v>9430.5555555555566</v>
      </c>
      <c r="G112" s="321">
        <f t="shared" ref="G112:U112" si="54">G109+G110+G111</f>
        <v>8352.7777777777792</v>
      </c>
      <c r="H112" s="321">
        <f t="shared" si="54"/>
        <v>7275.0000000000009</v>
      </c>
      <c r="I112" s="321">
        <f t="shared" si="54"/>
        <v>6197.2222222222226</v>
      </c>
      <c r="J112" s="321">
        <f t="shared" si="54"/>
        <v>5119.4444444444443</v>
      </c>
      <c r="K112" s="321">
        <f t="shared" si="54"/>
        <v>4041.6666666666661</v>
      </c>
      <c r="L112" s="321">
        <f t="shared" si="54"/>
        <v>2963.8888888888878</v>
      </c>
      <c r="M112" s="321">
        <f t="shared" si="54"/>
        <v>1886.1111111111097</v>
      </c>
      <c r="N112" s="321">
        <f t="shared" si="54"/>
        <v>808.33333333333167</v>
      </c>
      <c r="O112" s="321">
        <f t="shared" si="54"/>
        <v>-1.8189894035458565E-12</v>
      </c>
      <c r="P112" s="321">
        <f t="shared" si="54"/>
        <v>-1.8189894035458565E-12</v>
      </c>
      <c r="Q112" s="321">
        <f t="shared" si="54"/>
        <v>-1.8189894035458565E-12</v>
      </c>
      <c r="R112" s="321">
        <f t="shared" si="54"/>
        <v>-1.8189894035458565E-12</v>
      </c>
      <c r="S112" s="321">
        <f t="shared" si="54"/>
        <v>-1.8189894035458565E-12</v>
      </c>
      <c r="T112" s="321">
        <f t="shared" si="54"/>
        <v>-1.8189894035458565E-12</v>
      </c>
      <c r="U112" s="321">
        <f t="shared" si="54"/>
        <v>-1.8189894035458565E-12</v>
      </c>
    </row>
    <row r="113" spans="2:21" x14ac:dyDescent="0.35">
      <c r="B113" s="329" t="s">
        <v>185</v>
      </c>
      <c r="C113" s="317"/>
      <c r="D113" s="440">
        <f>D59-D112</f>
        <v>0</v>
      </c>
      <c r="E113" s="440">
        <f t="shared" ref="E113:U113" si="55">E59-E112</f>
        <v>0</v>
      </c>
      <c r="F113" s="440">
        <f t="shared" si="55"/>
        <v>0</v>
      </c>
      <c r="G113" s="440">
        <f t="shared" si="55"/>
        <v>0</v>
      </c>
      <c r="H113" s="440">
        <f t="shared" si="55"/>
        <v>0</v>
      </c>
      <c r="I113" s="440">
        <f t="shared" si="55"/>
        <v>0</v>
      </c>
      <c r="J113" s="440">
        <f t="shared" si="55"/>
        <v>0</v>
      </c>
      <c r="K113" s="440">
        <f t="shared" si="55"/>
        <v>0</v>
      </c>
      <c r="L113" s="440">
        <f t="shared" si="55"/>
        <v>0</v>
      </c>
      <c r="M113" s="440">
        <f t="shared" si="55"/>
        <v>0</v>
      </c>
      <c r="N113" s="440">
        <f t="shared" si="55"/>
        <v>0</v>
      </c>
      <c r="O113" s="440">
        <f t="shared" si="55"/>
        <v>0</v>
      </c>
      <c r="P113" s="440">
        <f t="shared" si="55"/>
        <v>0</v>
      </c>
      <c r="Q113" s="440">
        <f t="shared" si="55"/>
        <v>0</v>
      </c>
      <c r="R113" s="440">
        <f t="shared" si="55"/>
        <v>0</v>
      </c>
      <c r="S113" s="440">
        <f t="shared" si="55"/>
        <v>0</v>
      </c>
      <c r="T113" s="440">
        <f t="shared" si="55"/>
        <v>0</v>
      </c>
      <c r="U113" s="440">
        <f t="shared" si="55"/>
        <v>0</v>
      </c>
    </row>
    <row r="114" spans="2:21" x14ac:dyDescent="0.35">
      <c r="B114" s="316"/>
      <c r="C114" s="317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</row>
    <row r="115" spans="2:21" x14ac:dyDescent="0.35">
      <c r="B115" s="316" t="s">
        <v>300</v>
      </c>
      <c r="C115" s="430">
        <v>2.5000000000000001E-3</v>
      </c>
      <c r="D115" s="321">
        <f>(D110+E110+F110)*C115</f>
        <v>24.250000000000004</v>
      </c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</row>
    <row r="116" spans="2:21" ht="15" thickBot="1" x14ac:dyDescent="0.4">
      <c r="B116" s="316" t="s">
        <v>299</v>
      </c>
      <c r="C116" s="430">
        <v>2.5000000000000001E-3</v>
      </c>
      <c r="D116" s="442">
        <f>(E110+F110)*C116</f>
        <v>18.200000000000006</v>
      </c>
      <c r="E116" s="442">
        <f>F110*C116</f>
        <v>8.5250000000000021</v>
      </c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</row>
    <row r="117" spans="2:21" ht="15" thickTop="1" x14ac:dyDescent="0.35">
      <c r="B117" s="316" t="s">
        <v>301</v>
      </c>
      <c r="C117" s="317"/>
      <c r="D117" s="321">
        <f>D115+D116</f>
        <v>42.45000000000001</v>
      </c>
      <c r="E117" s="321">
        <f>E115+E116</f>
        <v>8.5250000000000021</v>
      </c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</row>
    <row r="118" spans="2:21" x14ac:dyDescent="0.35">
      <c r="B118" s="316"/>
      <c r="C118" s="317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</row>
    <row r="119" spans="2:21" x14ac:dyDescent="0.35">
      <c r="B119" s="314" t="s">
        <v>274</v>
      </c>
      <c r="C119" s="16"/>
      <c r="D119" s="17"/>
      <c r="E119" s="17"/>
      <c r="F119" s="17"/>
      <c r="G119" s="13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2:21" x14ac:dyDescent="0.35">
      <c r="B120" s="316" t="s">
        <v>275</v>
      </c>
      <c r="C120" s="317"/>
      <c r="D120" s="319">
        <v>0</v>
      </c>
      <c r="E120" s="319">
        <v>0</v>
      </c>
      <c r="F120" s="319">
        <v>0</v>
      </c>
      <c r="G120" s="319">
        <v>0</v>
      </c>
      <c r="H120" s="319">
        <f>G124</f>
        <v>930</v>
      </c>
      <c r="I120" s="319">
        <f t="shared" ref="I120:U120" si="56">H124</f>
        <v>940</v>
      </c>
      <c r="J120" s="319">
        <f t="shared" si="56"/>
        <v>960</v>
      </c>
      <c r="K120" s="319">
        <f t="shared" si="56"/>
        <v>980</v>
      </c>
      <c r="L120" s="319">
        <f t="shared" si="56"/>
        <v>990</v>
      </c>
      <c r="M120" s="319">
        <f t="shared" si="56"/>
        <v>1010</v>
      </c>
      <c r="N120" s="319">
        <f t="shared" si="56"/>
        <v>1030</v>
      </c>
      <c r="O120" s="319">
        <f t="shared" si="56"/>
        <v>1050</v>
      </c>
      <c r="P120" s="319">
        <f t="shared" si="56"/>
        <v>1070</v>
      </c>
      <c r="Q120" s="319">
        <f t="shared" si="56"/>
        <v>1090</v>
      </c>
      <c r="R120" s="319">
        <f t="shared" si="56"/>
        <v>1110</v>
      </c>
      <c r="S120" s="319">
        <f t="shared" si="56"/>
        <v>1130</v>
      </c>
      <c r="T120" s="319">
        <f t="shared" si="56"/>
        <v>1160</v>
      </c>
      <c r="U120" s="319">
        <f t="shared" si="56"/>
        <v>1180</v>
      </c>
    </row>
    <row r="121" spans="2:21" x14ac:dyDescent="0.35">
      <c r="B121" s="316" t="s">
        <v>276</v>
      </c>
      <c r="C121" s="317"/>
      <c r="D121" s="319">
        <v>0</v>
      </c>
      <c r="E121" s="319">
        <v>0</v>
      </c>
      <c r="F121" s="319">
        <v>0</v>
      </c>
      <c r="G121" s="319">
        <f t="shared" ref="G121:U121" si="57">(G105-F105)*G122</f>
        <v>930</v>
      </c>
      <c r="H121" s="319">
        <f t="shared" si="57"/>
        <v>10</v>
      </c>
      <c r="I121" s="319">
        <f t="shared" si="57"/>
        <v>20</v>
      </c>
      <c r="J121" s="319">
        <f t="shared" si="57"/>
        <v>20</v>
      </c>
      <c r="K121" s="319">
        <f t="shared" si="57"/>
        <v>10</v>
      </c>
      <c r="L121" s="319">
        <f t="shared" si="57"/>
        <v>20</v>
      </c>
      <c r="M121" s="319">
        <f t="shared" si="57"/>
        <v>20</v>
      </c>
      <c r="N121" s="319">
        <f t="shared" si="57"/>
        <v>20</v>
      </c>
      <c r="O121" s="319">
        <f t="shared" si="57"/>
        <v>20</v>
      </c>
      <c r="P121" s="319">
        <f t="shared" si="57"/>
        <v>20</v>
      </c>
      <c r="Q121" s="319">
        <f t="shared" si="57"/>
        <v>20</v>
      </c>
      <c r="R121" s="319">
        <f t="shared" si="57"/>
        <v>20</v>
      </c>
      <c r="S121" s="319">
        <f t="shared" si="57"/>
        <v>30</v>
      </c>
      <c r="T121" s="319">
        <f t="shared" si="57"/>
        <v>20</v>
      </c>
      <c r="U121" s="319">
        <f t="shared" si="57"/>
        <v>20</v>
      </c>
    </row>
    <row r="122" spans="2:21" x14ac:dyDescent="0.35">
      <c r="B122" s="316" t="s">
        <v>278</v>
      </c>
      <c r="C122" s="317"/>
      <c r="D122" s="324"/>
      <c r="E122" s="324"/>
      <c r="F122" s="324"/>
      <c r="G122" s="325">
        <v>0.75</v>
      </c>
      <c r="H122" s="325">
        <v>1</v>
      </c>
      <c r="I122" s="325">
        <v>0.66666666666666663</v>
      </c>
      <c r="J122" s="325">
        <v>1</v>
      </c>
      <c r="K122" s="325">
        <v>0.5</v>
      </c>
      <c r="L122" s="325">
        <v>0.66666666666666663</v>
      </c>
      <c r="M122" s="325">
        <v>1</v>
      </c>
      <c r="N122" s="325">
        <v>0.66666666666666663</v>
      </c>
      <c r="O122" s="325">
        <v>0.66666666666666663</v>
      </c>
      <c r="P122" s="325">
        <v>1</v>
      </c>
      <c r="Q122" s="325">
        <v>0.66666666666666663</v>
      </c>
      <c r="R122" s="325">
        <v>0.66666666666666663</v>
      </c>
      <c r="S122" s="325">
        <v>1</v>
      </c>
      <c r="T122" s="325">
        <v>0.66666666666666663</v>
      </c>
      <c r="U122" s="325">
        <v>0.66666666666666663</v>
      </c>
    </row>
    <row r="123" spans="2:21" x14ac:dyDescent="0.35">
      <c r="B123" s="316" t="s">
        <v>240</v>
      </c>
      <c r="C123" s="317"/>
      <c r="D123" s="324"/>
      <c r="E123" s="324"/>
      <c r="F123" s="324"/>
      <c r="G123" s="415">
        <v>0</v>
      </c>
      <c r="H123" s="415">
        <v>0</v>
      </c>
      <c r="I123" s="415">
        <v>0</v>
      </c>
      <c r="J123" s="415">
        <v>0</v>
      </c>
      <c r="K123" s="415">
        <v>0</v>
      </c>
      <c r="L123" s="415">
        <v>0</v>
      </c>
      <c r="M123" s="415">
        <v>0</v>
      </c>
      <c r="N123" s="415">
        <v>0</v>
      </c>
      <c r="O123" s="415">
        <v>0</v>
      </c>
      <c r="P123" s="415">
        <v>0</v>
      </c>
      <c r="Q123" s="415">
        <v>0</v>
      </c>
      <c r="R123" s="415">
        <v>0</v>
      </c>
      <c r="S123" s="415">
        <v>0</v>
      </c>
      <c r="T123" s="415">
        <v>0</v>
      </c>
      <c r="U123" s="415">
        <v>0</v>
      </c>
    </row>
    <row r="124" spans="2:21" x14ac:dyDescent="0.35">
      <c r="B124" s="316" t="s">
        <v>277</v>
      </c>
      <c r="C124" s="317"/>
      <c r="D124" s="324"/>
      <c r="E124" s="324"/>
      <c r="F124" s="324"/>
      <c r="G124" s="416">
        <f>G120+G121+G123</f>
        <v>930</v>
      </c>
      <c r="H124" s="416">
        <f t="shared" ref="H124:U124" si="58">H120+H121+H123</f>
        <v>940</v>
      </c>
      <c r="I124" s="416">
        <f t="shared" si="58"/>
        <v>960</v>
      </c>
      <c r="J124" s="416">
        <f t="shared" si="58"/>
        <v>980</v>
      </c>
      <c r="K124" s="416">
        <f t="shared" si="58"/>
        <v>990</v>
      </c>
      <c r="L124" s="416">
        <f t="shared" si="58"/>
        <v>1010</v>
      </c>
      <c r="M124" s="416">
        <f t="shared" si="58"/>
        <v>1030</v>
      </c>
      <c r="N124" s="416">
        <f t="shared" si="58"/>
        <v>1050</v>
      </c>
      <c r="O124" s="416">
        <f t="shared" si="58"/>
        <v>1070</v>
      </c>
      <c r="P124" s="416">
        <f t="shared" si="58"/>
        <v>1090</v>
      </c>
      <c r="Q124" s="416">
        <f t="shared" si="58"/>
        <v>1110</v>
      </c>
      <c r="R124" s="416">
        <f t="shared" si="58"/>
        <v>1130</v>
      </c>
      <c r="S124" s="416">
        <f t="shared" si="58"/>
        <v>1160</v>
      </c>
      <c r="T124" s="416">
        <f t="shared" si="58"/>
        <v>1180</v>
      </c>
      <c r="U124" s="416">
        <f t="shared" si="58"/>
        <v>1200</v>
      </c>
    </row>
    <row r="125" spans="2:21" x14ac:dyDescent="0.35">
      <c r="B125" s="316"/>
      <c r="C125" s="317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</row>
    <row r="126" spans="2:21" x14ac:dyDescent="0.35">
      <c r="B126" s="314" t="s">
        <v>233</v>
      </c>
      <c r="C126" s="317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</row>
    <row r="127" spans="2:21" x14ac:dyDescent="0.35">
      <c r="B127" s="316" t="s">
        <v>195</v>
      </c>
      <c r="C127" s="317"/>
      <c r="D127" s="320">
        <f>D33</f>
        <v>0</v>
      </c>
      <c r="E127" s="320">
        <f>E33</f>
        <v>0</v>
      </c>
      <c r="F127" s="320">
        <f t="shared" ref="F127:U127" si="59">F31*F128</f>
        <v>0</v>
      </c>
      <c r="G127" s="320">
        <f t="shared" si="59"/>
        <v>186.22227614665732</v>
      </c>
      <c r="H127" s="320">
        <f t="shared" si="59"/>
        <v>200.32662793554584</v>
      </c>
      <c r="I127" s="320">
        <f t="shared" si="59"/>
        <v>209.58844752367455</v>
      </c>
      <c r="J127" s="320">
        <f t="shared" si="59"/>
        <v>228.50725112670708</v>
      </c>
      <c r="K127" s="320">
        <f t="shared" si="59"/>
        <v>237.85967072873183</v>
      </c>
      <c r="L127" s="320">
        <f t="shared" si="59"/>
        <v>247.16601693709185</v>
      </c>
      <c r="M127" s="320">
        <f t="shared" si="59"/>
        <v>256.41916311306449</v>
      </c>
      <c r="N127" s="320">
        <f t="shared" si="59"/>
        <v>265.62088841363698</v>
      </c>
      <c r="O127" s="320">
        <f t="shared" si="59"/>
        <v>272.19230271623439</v>
      </c>
      <c r="P127" s="320">
        <f t="shared" si="59"/>
        <v>273.07048803487913</v>
      </c>
      <c r="Q127" s="320">
        <f t="shared" si="59"/>
        <v>257.17807264723325</v>
      </c>
      <c r="R127" s="320">
        <f t="shared" si="59"/>
        <v>245.85639526601005</v>
      </c>
      <c r="S127" s="320">
        <f t="shared" si="59"/>
        <v>225.67040043282373</v>
      </c>
      <c r="T127" s="320">
        <f t="shared" si="59"/>
        <v>214.06619215828411</v>
      </c>
      <c r="U127" s="320">
        <f t="shared" si="59"/>
        <v>193.80152630527283</v>
      </c>
    </row>
    <row r="128" spans="2:21" x14ac:dyDescent="0.35">
      <c r="B128" s="316" t="s">
        <v>194</v>
      </c>
      <c r="C128" s="317"/>
      <c r="D128" s="326">
        <v>0</v>
      </c>
      <c r="E128" s="326">
        <v>0</v>
      </c>
      <c r="F128" s="328">
        <f>G128</f>
        <v>0.15802091986112105</v>
      </c>
      <c r="G128" s="328">
        <v>0.15802091986112105</v>
      </c>
      <c r="H128" s="328">
        <v>0.15907644000795851</v>
      </c>
      <c r="I128" s="328">
        <v>0.15687954861953068</v>
      </c>
      <c r="J128" s="328">
        <v>0.16217989893584819</v>
      </c>
      <c r="K128" s="328">
        <v>0.16078459648084042</v>
      </c>
      <c r="L128" s="328">
        <v>0.1598281027676608</v>
      </c>
      <c r="M128" s="328">
        <v>0.15931667509970082</v>
      </c>
      <c r="N128" s="328">
        <v>0.15915201372283375</v>
      </c>
      <c r="O128" s="328">
        <v>0.15930728143794376</v>
      </c>
      <c r="P128" s="328">
        <v>0.16256822145799854</v>
      </c>
      <c r="Q128" s="328">
        <v>0.16089807467774875</v>
      </c>
      <c r="R128" s="328">
        <v>0.16250207573723705</v>
      </c>
      <c r="S128" s="328">
        <v>0.15862844089049913</v>
      </c>
      <c r="T128" s="328">
        <v>0.16120493557646226</v>
      </c>
      <c r="U128" s="328">
        <v>0.15766239791680375</v>
      </c>
    </row>
    <row r="129" spans="2:21" s="34" customFormat="1" x14ac:dyDescent="0.35">
      <c r="N129" s="327"/>
      <c r="O129" s="327"/>
      <c r="P129" s="327"/>
      <c r="Q129" s="327"/>
      <c r="R129" s="327"/>
      <c r="S129" s="327"/>
      <c r="T129" s="327"/>
      <c r="U129" s="327"/>
    </row>
    <row r="130" spans="2:21" s="34" customFormat="1" x14ac:dyDescent="0.35">
      <c r="B130" s="361" t="s">
        <v>234</v>
      </c>
      <c r="N130" s="327"/>
      <c r="O130" s="327"/>
      <c r="P130" s="327"/>
      <c r="Q130" s="327"/>
      <c r="R130" s="327"/>
      <c r="S130" s="327"/>
      <c r="T130" s="327"/>
      <c r="U130" s="327"/>
    </row>
    <row r="131" spans="2:21" s="34" customFormat="1" x14ac:dyDescent="0.35">
      <c r="B131" s="335" t="s">
        <v>198</v>
      </c>
      <c r="D131" s="277">
        <f t="shared" ref="D131:U131" si="60">C136</f>
        <v>0</v>
      </c>
      <c r="E131" s="277">
        <f t="shared" si="60"/>
        <v>-42.45000000000001</v>
      </c>
      <c r="F131" s="277">
        <f t="shared" si="60"/>
        <v>-50.975000000000009</v>
      </c>
      <c r="G131" s="277">
        <f t="shared" si="60"/>
        <v>-50.975000000000009</v>
      </c>
      <c r="H131" s="277">
        <f t="shared" si="60"/>
        <v>852.20303931128785</v>
      </c>
      <c r="I131" s="277">
        <f t="shared" si="60"/>
        <v>1825.218089283939</v>
      </c>
      <c r="J131" s="277">
        <f t="shared" si="60"/>
        <v>2863.6335792875993</v>
      </c>
      <c r="K131" s="277">
        <f t="shared" si="60"/>
        <v>3958.5641576030707</v>
      </c>
      <c r="L131" s="277">
        <f t="shared" si="60"/>
        <v>5109.8049639301335</v>
      </c>
      <c r="M131" s="277">
        <f t="shared" si="60"/>
        <v>6317.115892815159</v>
      </c>
      <c r="N131" s="277">
        <f t="shared" si="60"/>
        <v>7580.217696298032</v>
      </c>
      <c r="O131" s="277">
        <f t="shared" si="60"/>
        <v>8899.3149693777632</v>
      </c>
      <c r="P131" s="277">
        <f t="shared" si="60"/>
        <v>10281.347593539846</v>
      </c>
      <c r="Q131" s="277">
        <f t="shared" si="60"/>
        <v>11679.958524941216</v>
      </c>
      <c r="R131" s="277">
        <f t="shared" si="60"/>
        <v>13019.725215067703</v>
      </c>
      <c r="S131" s="277">
        <f t="shared" si="60"/>
        <v>14314.300558948971</v>
      </c>
      <c r="T131" s="277">
        <f t="shared" si="60"/>
        <v>15545.373267951518</v>
      </c>
      <c r="U131" s="277">
        <f t="shared" si="60"/>
        <v>16711.482894345998</v>
      </c>
    </row>
    <row r="132" spans="2:21" s="34" customFormat="1" x14ac:dyDescent="0.35">
      <c r="B132" s="34" t="s">
        <v>87</v>
      </c>
      <c r="F132" s="277">
        <f t="shared" ref="F132:U132" si="61">F35</f>
        <v>0</v>
      </c>
      <c r="G132" s="277">
        <f t="shared" si="61"/>
        <v>992.2436909564417</v>
      </c>
      <c r="H132" s="277">
        <f t="shared" si="61"/>
        <v>1058.9838515139791</v>
      </c>
      <c r="I132" s="277">
        <f t="shared" si="61"/>
        <v>1126.3947916426694</v>
      </c>
      <c r="J132" s="277">
        <f t="shared" si="61"/>
        <v>1180.4666884679605</v>
      </c>
      <c r="K132" s="277">
        <f t="shared" si="61"/>
        <v>1241.50885047831</v>
      </c>
      <c r="L132" s="277">
        <f t="shared" si="61"/>
        <v>1299.283028362486</v>
      </c>
      <c r="M132" s="277">
        <f t="shared" si="61"/>
        <v>1353.0744002731701</v>
      </c>
      <c r="N132" s="277">
        <f t="shared" si="61"/>
        <v>1413.3550937327202</v>
      </c>
      <c r="O132" s="277">
        <f t="shared" si="61"/>
        <v>1476.4069543884302</v>
      </c>
      <c r="P132" s="277">
        <f t="shared" si="61"/>
        <v>1476.6580935159143</v>
      </c>
      <c r="Q132" s="277">
        <f t="shared" si="61"/>
        <v>1431.2131645525708</v>
      </c>
      <c r="R132" s="277">
        <f t="shared" si="61"/>
        <v>1377.0867111565531</v>
      </c>
      <c r="S132" s="277">
        <f t="shared" si="61"/>
        <v>1326.9647787693946</v>
      </c>
      <c r="T132" s="277">
        <f t="shared" si="61"/>
        <v>1253.8471958083569</v>
      </c>
      <c r="U132" s="277">
        <f t="shared" si="61"/>
        <v>1185.4169104683401</v>
      </c>
    </row>
    <row r="133" spans="2:21" s="34" customFormat="1" x14ac:dyDescent="0.35">
      <c r="B133" s="34" t="s">
        <v>302</v>
      </c>
      <c r="D133" s="277">
        <f>-D117</f>
        <v>-42.45000000000001</v>
      </c>
      <c r="E133" s="277">
        <f>-E117</f>
        <v>-8.5250000000000021</v>
      </c>
      <c r="F133" s="277">
        <f>F90</f>
        <v>0</v>
      </c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</row>
    <row r="134" spans="2:21" s="34" customFormat="1" x14ac:dyDescent="0.35">
      <c r="B134" s="335" t="s">
        <v>256</v>
      </c>
      <c r="G134" s="277">
        <f>-G132*G135</f>
        <v>-89.065651645153778</v>
      </c>
      <c r="H134" s="277">
        <f t="shared" ref="H134:U134" si="62">-H132*H135</f>
        <v>-85.968801541327906</v>
      </c>
      <c r="I134" s="277">
        <f t="shared" si="62"/>
        <v>-87.979301639009108</v>
      </c>
      <c r="J134" s="277">
        <f t="shared" si="62"/>
        <v>-85.536110152489115</v>
      </c>
      <c r="K134" s="277">
        <f t="shared" si="62"/>
        <v>-90.268044151247935</v>
      </c>
      <c r="L134" s="277">
        <f t="shared" si="62"/>
        <v>-91.972099477460517</v>
      </c>
      <c r="M134" s="277">
        <f t="shared" si="62"/>
        <v>-89.97259679029699</v>
      </c>
      <c r="N134" s="277">
        <f t="shared" si="62"/>
        <v>-94.25782065298803</v>
      </c>
      <c r="O134" s="277">
        <f t="shared" si="62"/>
        <v>-94.37433022634761</v>
      </c>
      <c r="P134" s="277">
        <f t="shared" si="62"/>
        <v>-78.047162114544307</v>
      </c>
      <c r="Q134" s="277">
        <f t="shared" si="62"/>
        <v>-91.446474426083327</v>
      </c>
      <c r="R134" s="277">
        <f t="shared" si="62"/>
        <v>-82.511367275284485</v>
      </c>
      <c r="S134" s="277">
        <f t="shared" si="62"/>
        <v>-95.892069766846575</v>
      </c>
      <c r="T134" s="277">
        <f t="shared" si="62"/>
        <v>-87.737569413875178</v>
      </c>
      <c r="U134" s="277">
        <f t="shared" si="62"/>
        <v>-84.953442154134422</v>
      </c>
    </row>
    <row r="135" spans="2:21" s="34" customFormat="1" x14ac:dyDescent="0.35">
      <c r="B135" s="34" t="s">
        <v>199</v>
      </c>
      <c r="D135" s="337"/>
      <c r="E135" s="337"/>
      <c r="F135" s="337"/>
      <c r="G135" s="338">
        <v>8.9761872468346743E-2</v>
      </c>
      <c r="H135" s="338">
        <v>8.1180465045262384E-2</v>
      </c>
      <c r="I135" s="338">
        <v>7.8106985483042901E-2</v>
      </c>
      <c r="J135" s="338">
        <v>7.245957127642462E-2</v>
      </c>
      <c r="K135" s="338">
        <v>7.2708337211185248E-2</v>
      </c>
      <c r="L135" s="338">
        <v>7.0786808932134598E-2</v>
      </c>
      <c r="M135" s="338">
        <v>6.6494936843186567E-2</v>
      </c>
      <c r="N135" s="338">
        <v>6.6690827429679994E-2</v>
      </c>
      <c r="O135" s="338">
        <v>6.3921624011477343E-2</v>
      </c>
      <c r="P135" s="338">
        <v>5.2853915511826083E-2</v>
      </c>
      <c r="Q135" s="338">
        <v>6.389437764476652E-2</v>
      </c>
      <c r="R135" s="338">
        <v>5.9917336073911358E-2</v>
      </c>
      <c r="S135" s="338">
        <v>7.226421627842701E-2</v>
      </c>
      <c r="T135" s="338">
        <v>6.9974690462429642E-2</v>
      </c>
      <c r="U135" s="338">
        <v>7.1665454916254409E-2</v>
      </c>
    </row>
    <row r="136" spans="2:21" s="34" customFormat="1" x14ac:dyDescent="0.35">
      <c r="B136" s="335" t="s">
        <v>200</v>
      </c>
      <c r="D136" s="277">
        <f>D131+D132+D133+D134</f>
        <v>-42.45000000000001</v>
      </c>
      <c r="E136" s="277">
        <f>E131+E132+E133+E134</f>
        <v>-50.975000000000009</v>
      </c>
      <c r="F136" s="277">
        <f>F131+F132+F133+F134</f>
        <v>-50.975000000000009</v>
      </c>
      <c r="G136" s="277">
        <f>G131+G132+G133+G134</f>
        <v>852.20303931128785</v>
      </c>
      <c r="H136" s="277">
        <f t="shared" ref="H136:U136" si="63">H131+H132+H133+H134</f>
        <v>1825.218089283939</v>
      </c>
      <c r="I136" s="277">
        <f t="shared" si="63"/>
        <v>2863.6335792875993</v>
      </c>
      <c r="J136" s="277">
        <f t="shared" si="63"/>
        <v>3958.5641576030707</v>
      </c>
      <c r="K136" s="277">
        <f t="shared" si="63"/>
        <v>5109.8049639301335</v>
      </c>
      <c r="L136" s="277">
        <f t="shared" si="63"/>
        <v>6317.115892815159</v>
      </c>
      <c r="M136" s="277">
        <f t="shared" si="63"/>
        <v>7580.217696298032</v>
      </c>
      <c r="N136" s="277">
        <f t="shared" si="63"/>
        <v>8899.3149693777632</v>
      </c>
      <c r="O136" s="277">
        <f t="shared" si="63"/>
        <v>10281.347593539846</v>
      </c>
      <c r="P136" s="277">
        <f t="shared" si="63"/>
        <v>11679.958524941216</v>
      </c>
      <c r="Q136" s="277">
        <f t="shared" si="63"/>
        <v>13019.725215067703</v>
      </c>
      <c r="R136" s="277">
        <f t="shared" si="63"/>
        <v>14314.300558948971</v>
      </c>
      <c r="S136" s="277">
        <f t="shared" si="63"/>
        <v>15545.373267951518</v>
      </c>
      <c r="T136" s="277">
        <f t="shared" si="63"/>
        <v>16711.482894345998</v>
      </c>
      <c r="U136" s="277">
        <f t="shared" si="63"/>
        <v>17811.946362660201</v>
      </c>
    </row>
    <row r="137" spans="2:21" s="34" customFormat="1" ht="8.75" customHeight="1" x14ac:dyDescent="0.35"/>
    <row r="138" spans="2:21" s="34" customFormat="1" ht="25.75" customHeight="1" x14ac:dyDescent="0.35">
      <c r="B138" s="361" t="s">
        <v>235</v>
      </c>
      <c r="C138" s="356" t="s">
        <v>228</v>
      </c>
      <c r="E138" s="356" t="s">
        <v>227</v>
      </c>
      <c r="G138" s="356" t="s">
        <v>229</v>
      </c>
    </row>
    <row r="139" spans="2:21" s="34" customFormat="1" x14ac:dyDescent="0.35">
      <c r="B139" s="34" t="s">
        <v>224</v>
      </c>
      <c r="C139" s="277">
        <f>U68</f>
        <v>1600</v>
      </c>
      <c r="E139" s="357">
        <v>0.1</v>
      </c>
      <c r="G139" s="277">
        <f>C139*E139</f>
        <v>160</v>
      </c>
    </row>
    <row r="140" spans="2:21" s="34" customFormat="1" x14ac:dyDescent="0.35">
      <c r="B140" s="34" t="s">
        <v>8</v>
      </c>
      <c r="C140" s="277">
        <f>U67</f>
        <v>3350</v>
      </c>
      <c r="E140" s="357">
        <v>0.1</v>
      </c>
      <c r="G140" s="277">
        <f>C140*E140</f>
        <v>335</v>
      </c>
    </row>
    <row r="141" spans="2:21" s="34" customFormat="1" x14ac:dyDescent="0.35">
      <c r="B141" s="34" t="s">
        <v>226</v>
      </c>
      <c r="C141" s="277">
        <f>U69</f>
        <v>740</v>
      </c>
      <c r="E141" s="357">
        <v>0</v>
      </c>
      <c r="G141" s="277">
        <f>C141*E141</f>
        <v>0</v>
      </c>
    </row>
    <row r="142" spans="2:21" s="34" customFormat="1" x14ac:dyDescent="0.35">
      <c r="B142" s="34" t="s">
        <v>9</v>
      </c>
      <c r="C142" s="277">
        <f>U70</f>
        <v>17532.921362660207</v>
      </c>
      <c r="E142" s="357">
        <v>1</v>
      </c>
      <c r="G142" s="358">
        <f>C142*E142</f>
        <v>17532.921362660207</v>
      </c>
    </row>
    <row r="143" spans="2:21" s="34" customFormat="1" x14ac:dyDescent="0.35">
      <c r="B143" s="360" t="s">
        <v>236</v>
      </c>
      <c r="C143" s="277"/>
      <c r="G143" s="359">
        <f>SUM(G139:G142)</f>
        <v>18027.921362660207</v>
      </c>
    </row>
    <row r="144" spans="2:21" s="34" customFormat="1" x14ac:dyDescent="0.35">
      <c r="B144" s="34" t="s">
        <v>225</v>
      </c>
      <c r="C144" s="277">
        <f>-U60</f>
        <v>-1200</v>
      </c>
      <c r="E144" s="357">
        <v>1</v>
      </c>
      <c r="G144" s="358">
        <f>C144*E144</f>
        <v>-1200</v>
      </c>
    </row>
    <row r="145" spans="2:21" s="34" customFormat="1" x14ac:dyDescent="0.35">
      <c r="B145" s="360" t="s">
        <v>237</v>
      </c>
      <c r="C145" s="277"/>
      <c r="G145" s="359">
        <f>G143+G144</f>
        <v>16827.921362660207</v>
      </c>
    </row>
    <row r="146" spans="2:21" s="34" customFormat="1" x14ac:dyDescent="0.35"/>
    <row r="147" spans="2:21" s="34" customFormat="1" ht="15" thickBot="1" x14ac:dyDescent="0.4"/>
    <row r="148" spans="2:21" s="34" customFormat="1" ht="17.5" thickBot="1" x14ac:dyDescent="0.4">
      <c r="B148" s="310" t="s">
        <v>238</v>
      </c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2"/>
    </row>
    <row r="149" spans="2:21" s="34" customFormat="1" ht="16" thickBot="1" x14ac:dyDescent="0.4">
      <c r="B149" s="95" t="s">
        <v>109</v>
      </c>
      <c r="C149" s="96">
        <v>2009</v>
      </c>
      <c r="D149" s="96">
        <v>2010</v>
      </c>
      <c r="E149" s="97">
        <v>2011</v>
      </c>
      <c r="F149" s="97">
        <v>2012</v>
      </c>
      <c r="G149" s="97">
        <v>2013</v>
      </c>
      <c r="H149" s="97">
        <v>2014</v>
      </c>
      <c r="I149" s="97">
        <v>2015</v>
      </c>
      <c r="J149" s="97">
        <v>2016</v>
      </c>
      <c r="K149" s="97">
        <v>2017</v>
      </c>
      <c r="L149" s="97">
        <v>2018</v>
      </c>
      <c r="M149" s="97">
        <v>2019</v>
      </c>
      <c r="N149" s="97">
        <v>2020</v>
      </c>
      <c r="O149" s="97">
        <v>2021</v>
      </c>
      <c r="P149" s="97">
        <v>2022</v>
      </c>
      <c r="Q149" s="97">
        <v>2023</v>
      </c>
      <c r="R149" s="97">
        <v>2024</v>
      </c>
      <c r="S149" s="97">
        <v>2025</v>
      </c>
      <c r="T149" s="97">
        <v>2026</v>
      </c>
      <c r="U149" s="98">
        <v>2027</v>
      </c>
    </row>
    <row r="150" spans="2:21" s="34" customFormat="1" ht="15.5" x14ac:dyDescent="0.35">
      <c r="B150" s="355" t="s">
        <v>247</v>
      </c>
      <c r="C150" s="198"/>
      <c r="D150" s="198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200"/>
    </row>
    <row r="151" spans="2:21" ht="15.5" x14ac:dyDescent="0.35">
      <c r="B151" s="103" t="s">
        <v>87</v>
      </c>
      <c r="C151" s="202"/>
      <c r="D151" s="202">
        <f t="shared" ref="D151:U151" si="64">D77</f>
        <v>0</v>
      </c>
      <c r="E151" s="202">
        <f t="shared" si="64"/>
        <v>0</v>
      </c>
      <c r="F151" s="202">
        <f t="shared" si="64"/>
        <v>0</v>
      </c>
      <c r="G151" s="202">
        <f t="shared" si="64"/>
        <v>992.2436909564417</v>
      </c>
      <c r="H151" s="202">
        <f t="shared" si="64"/>
        <v>1058.9838515139791</v>
      </c>
      <c r="I151" s="202">
        <f t="shared" si="64"/>
        <v>1126.3947916426694</v>
      </c>
      <c r="J151" s="202">
        <f t="shared" si="64"/>
        <v>1180.4666884679605</v>
      </c>
      <c r="K151" s="202">
        <f t="shared" si="64"/>
        <v>1241.50885047831</v>
      </c>
      <c r="L151" s="202">
        <f t="shared" si="64"/>
        <v>1299.283028362486</v>
      </c>
      <c r="M151" s="202">
        <f t="shared" si="64"/>
        <v>1353.0744002731701</v>
      </c>
      <c r="N151" s="202">
        <f t="shared" si="64"/>
        <v>1413.3550937327202</v>
      </c>
      <c r="O151" s="202">
        <f t="shared" si="64"/>
        <v>1476.4069543884302</v>
      </c>
      <c r="P151" s="202">
        <f t="shared" si="64"/>
        <v>1476.6580935159143</v>
      </c>
      <c r="Q151" s="202">
        <f t="shared" si="64"/>
        <v>1431.2131645525708</v>
      </c>
      <c r="R151" s="202">
        <f t="shared" si="64"/>
        <v>1377.0867111565531</v>
      </c>
      <c r="S151" s="202">
        <f t="shared" si="64"/>
        <v>1326.9647787693946</v>
      </c>
      <c r="T151" s="202">
        <f t="shared" si="64"/>
        <v>1253.8471958083569</v>
      </c>
      <c r="U151" s="203">
        <f t="shared" si="64"/>
        <v>1185.4169104683401</v>
      </c>
    </row>
    <row r="152" spans="2:21" ht="15.5" x14ac:dyDescent="0.35">
      <c r="B152" s="103" t="s">
        <v>30</v>
      </c>
      <c r="C152" s="202"/>
      <c r="D152" s="202"/>
      <c r="E152" s="202"/>
      <c r="F152" s="202"/>
      <c r="G152" s="202">
        <f t="shared" ref="G152:U152" si="65">G78</f>
        <v>680</v>
      </c>
      <c r="H152" s="202">
        <f t="shared" si="65"/>
        <v>680</v>
      </c>
      <c r="I152" s="202">
        <f t="shared" si="65"/>
        <v>680</v>
      </c>
      <c r="J152" s="202">
        <f t="shared" si="65"/>
        <v>680</v>
      </c>
      <c r="K152" s="202">
        <f t="shared" si="65"/>
        <v>680</v>
      </c>
      <c r="L152" s="202">
        <f t="shared" si="65"/>
        <v>680</v>
      </c>
      <c r="M152" s="202">
        <f t="shared" si="65"/>
        <v>680</v>
      </c>
      <c r="N152" s="202">
        <f t="shared" si="65"/>
        <v>680</v>
      </c>
      <c r="O152" s="202">
        <f t="shared" si="65"/>
        <v>680</v>
      </c>
      <c r="P152" s="202">
        <f t="shared" si="65"/>
        <v>680</v>
      </c>
      <c r="Q152" s="202">
        <f t="shared" si="65"/>
        <v>680</v>
      </c>
      <c r="R152" s="202">
        <f t="shared" si="65"/>
        <v>680</v>
      </c>
      <c r="S152" s="202">
        <f t="shared" si="65"/>
        <v>680</v>
      </c>
      <c r="T152" s="202">
        <f t="shared" si="65"/>
        <v>680</v>
      </c>
      <c r="U152" s="203">
        <f t="shared" si="65"/>
        <v>680</v>
      </c>
    </row>
    <row r="153" spans="2:21" ht="15.5" x14ac:dyDescent="0.35">
      <c r="B153" s="103" t="s">
        <v>184</v>
      </c>
      <c r="C153" s="202"/>
      <c r="D153" s="202">
        <f t="shared" ref="D153:F153" si="66">D79</f>
        <v>-3460</v>
      </c>
      <c r="E153" s="202">
        <f t="shared" si="66"/>
        <v>-5520</v>
      </c>
      <c r="F153" s="202">
        <f t="shared" si="66"/>
        <v>-4570</v>
      </c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3"/>
    </row>
    <row r="154" spans="2:21" ht="15.5" x14ac:dyDescent="0.35">
      <c r="B154" s="103" t="s">
        <v>257</v>
      </c>
      <c r="C154" s="202"/>
      <c r="D154" s="202"/>
      <c r="E154" s="202"/>
      <c r="F154" s="202">
        <f>-13860-D153-E153-F153</f>
        <v>-310</v>
      </c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3"/>
    </row>
    <row r="155" spans="2:21" ht="15.5" x14ac:dyDescent="0.35">
      <c r="B155" s="103" t="s">
        <v>230</v>
      </c>
      <c r="C155" s="202"/>
      <c r="D155" s="202"/>
      <c r="E155" s="202"/>
      <c r="F155" s="202"/>
      <c r="G155" s="202">
        <f t="shared" ref="G155:U155" si="67">G80</f>
        <v>-1240</v>
      </c>
      <c r="H155" s="202">
        <f t="shared" si="67"/>
        <v>-10</v>
      </c>
      <c r="I155" s="202">
        <f t="shared" si="67"/>
        <v>-30</v>
      </c>
      <c r="J155" s="202">
        <f t="shared" si="67"/>
        <v>-20</v>
      </c>
      <c r="K155" s="202">
        <f t="shared" si="67"/>
        <v>-20</v>
      </c>
      <c r="L155" s="202">
        <f t="shared" si="67"/>
        <v>-30</v>
      </c>
      <c r="M155" s="202">
        <f t="shared" si="67"/>
        <v>-20</v>
      </c>
      <c r="N155" s="202">
        <f t="shared" si="67"/>
        <v>-30</v>
      </c>
      <c r="O155" s="202">
        <f t="shared" si="67"/>
        <v>-30</v>
      </c>
      <c r="P155" s="202">
        <f t="shared" si="67"/>
        <v>-20</v>
      </c>
      <c r="Q155" s="202">
        <f t="shared" si="67"/>
        <v>-30</v>
      </c>
      <c r="R155" s="202">
        <f t="shared" si="67"/>
        <v>-30</v>
      </c>
      <c r="S155" s="202">
        <f t="shared" si="67"/>
        <v>-30</v>
      </c>
      <c r="T155" s="202">
        <f t="shared" si="67"/>
        <v>-30</v>
      </c>
      <c r="U155" s="203">
        <f t="shared" si="67"/>
        <v>-30</v>
      </c>
    </row>
    <row r="156" spans="2:21" ht="15.5" x14ac:dyDescent="0.35">
      <c r="B156" s="103" t="s">
        <v>231</v>
      </c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>
        <f t="shared" ref="N156:U157" si="68">N81</f>
        <v>-10</v>
      </c>
      <c r="O156" s="202">
        <f t="shared" si="68"/>
        <v>-40</v>
      </c>
      <c r="P156" s="202">
        <f t="shared" si="68"/>
        <v>-70</v>
      </c>
      <c r="Q156" s="202">
        <f t="shared" si="68"/>
        <v>-90</v>
      </c>
      <c r="R156" s="202">
        <f t="shared" si="68"/>
        <v>-110</v>
      </c>
      <c r="S156" s="202">
        <f t="shared" si="68"/>
        <v>-130</v>
      </c>
      <c r="T156" s="202">
        <f t="shared" si="68"/>
        <v>-140</v>
      </c>
      <c r="U156" s="203">
        <f t="shared" si="68"/>
        <v>-150</v>
      </c>
    </row>
    <row r="157" spans="2:21" ht="15.5" x14ac:dyDescent="0.35">
      <c r="B157" s="103" t="s">
        <v>145</v>
      </c>
      <c r="C157" s="202"/>
      <c r="D157" s="202"/>
      <c r="E157" s="202"/>
      <c r="F157" s="202"/>
      <c r="G157" s="202">
        <f t="shared" ref="G157:M157" si="69">G82</f>
        <v>1178.5999999999999</v>
      </c>
      <c r="H157" s="202">
        <f t="shared" si="69"/>
        <v>1049.8666666666668</v>
      </c>
      <c r="I157" s="202">
        <f t="shared" si="69"/>
        <v>922.33333333333337</v>
      </c>
      <c r="J157" s="202">
        <f t="shared" si="69"/>
        <v>795.4</v>
      </c>
      <c r="K157" s="202">
        <f t="shared" si="69"/>
        <v>667.86666666666656</v>
      </c>
      <c r="L157" s="202">
        <f t="shared" si="69"/>
        <v>540.33333333333326</v>
      </c>
      <c r="M157" s="202">
        <f t="shared" si="69"/>
        <v>413.39999999999981</v>
      </c>
      <c r="N157" s="202">
        <f t="shared" si="68"/>
        <v>286.46666666666647</v>
      </c>
      <c r="O157" s="202">
        <f t="shared" si="68"/>
        <v>175.69999999999976</v>
      </c>
      <c r="P157" s="202">
        <f t="shared" si="68"/>
        <v>129.59999999999977</v>
      </c>
      <c r="Q157" s="202">
        <f t="shared" si="68"/>
        <v>131.99999999999977</v>
      </c>
      <c r="R157" s="202">
        <f t="shared" si="68"/>
        <v>134.39999999999978</v>
      </c>
      <c r="S157" s="202">
        <f t="shared" si="68"/>
        <v>137.39999999999978</v>
      </c>
      <c r="T157" s="202">
        <f t="shared" si="68"/>
        <v>140.39999999999978</v>
      </c>
      <c r="U157" s="203">
        <f t="shared" si="68"/>
        <v>142.79999999999976</v>
      </c>
    </row>
    <row r="158" spans="2:21" ht="15.5" x14ac:dyDescent="0.35">
      <c r="B158" s="374" t="s">
        <v>248</v>
      </c>
      <c r="C158" s="307"/>
      <c r="D158" s="307">
        <f>SUM(D151:D157)</f>
        <v>-3460</v>
      </c>
      <c r="E158" s="307">
        <f t="shared" ref="E158:U158" si="70">SUM(E151:E157)</f>
        <v>-5520</v>
      </c>
      <c r="F158" s="307">
        <f t="shared" si="70"/>
        <v>-4880</v>
      </c>
      <c r="G158" s="307">
        <f t="shared" si="70"/>
        <v>1610.8436909564416</v>
      </c>
      <c r="H158" s="307">
        <f t="shared" si="70"/>
        <v>2778.8505181806458</v>
      </c>
      <c r="I158" s="307">
        <f t="shared" si="70"/>
        <v>2698.7281249760026</v>
      </c>
      <c r="J158" s="307">
        <f t="shared" si="70"/>
        <v>2635.8666884679606</v>
      </c>
      <c r="K158" s="307">
        <f t="shared" si="70"/>
        <v>2569.3755171449766</v>
      </c>
      <c r="L158" s="307">
        <f t="shared" si="70"/>
        <v>2489.6163616958193</v>
      </c>
      <c r="M158" s="307">
        <f t="shared" si="70"/>
        <v>2426.47440027317</v>
      </c>
      <c r="N158" s="307">
        <f t="shared" si="70"/>
        <v>2339.8217603993862</v>
      </c>
      <c r="O158" s="307">
        <f t="shared" si="70"/>
        <v>2262.10695438843</v>
      </c>
      <c r="P158" s="307">
        <f t="shared" si="70"/>
        <v>2196.2580935159144</v>
      </c>
      <c r="Q158" s="307">
        <f t="shared" si="70"/>
        <v>2123.2131645525706</v>
      </c>
      <c r="R158" s="307">
        <f t="shared" si="70"/>
        <v>2051.4867111565527</v>
      </c>
      <c r="S158" s="307">
        <f t="shared" si="70"/>
        <v>1984.3647787693944</v>
      </c>
      <c r="T158" s="307">
        <f t="shared" si="70"/>
        <v>1904.2471958083568</v>
      </c>
      <c r="U158" s="308">
        <f t="shared" si="70"/>
        <v>1828.2169104683398</v>
      </c>
    </row>
    <row r="159" spans="2:21" s="34" customFormat="1" ht="15.5" x14ac:dyDescent="0.35">
      <c r="B159" s="107" t="s">
        <v>307</v>
      </c>
      <c r="C159" s="204"/>
      <c r="D159" s="204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3">
        <f>G143</f>
        <v>18027.921362660207</v>
      </c>
    </row>
    <row r="160" spans="2:21" s="34" customFormat="1" ht="16" thickBot="1" x14ac:dyDescent="0.4">
      <c r="B160" s="123" t="s">
        <v>249</v>
      </c>
      <c r="C160" s="216"/>
      <c r="D160" s="363">
        <f t="shared" ref="D160:S160" si="71">D158+D159</f>
        <v>-3460</v>
      </c>
      <c r="E160" s="363">
        <f t="shared" si="71"/>
        <v>-5520</v>
      </c>
      <c r="F160" s="363">
        <f t="shared" si="71"/>
        <v>-4880</v>
      </c>
      <c r="G160" s="363">
        <f t="shared" si="71"/>
        <v>1610.8436909564416</v>
      </c>
      <c r="H160" s="363">
        <f t="shared" si="71"/>
        <v>2778.8505181806458</v>
      </c>
      <c r="I160" s="363">
        <f t="shared" si="71"/>
        <v>2698.7281249760026</v>
      </c>
      <c r="J160" s="363">
        <f t="shared" si="71"/>
        <v>2635.8666884679606</v>
      </c>
      <c r="K160" s="363">
        <f t="shared" si="71"/>
        <v>2569.3755171449766</v>
      </c>
      <c r="L160" s="363">
        <f t="shared" si="71"/>
        <v>2489.6163616958193</v>
      </c>
      <c r="M160" s="363">
        <f t="shared" si="71"/>
        <v>2426.47440027317</v>
      </c>
      <c r="N160" s="363">
        <f t="shared" si="71"/>
        <v>2339.8217603993862</v>
      </c>
      <c r="O160" s="363">
        <f t="shared" si="71"/>
        <v>2262.10695438843</v>
      </c>
      <c r="P160" s="363">
        <f t="shared" si="71"/>
        <v>2196.2580935159144</v>
      </c>
      <c r="Q160" s="363">
        <f t="shared" si="71"/>
        <v>2123.2131645525706</v>
      </c>
      <c r="R160" s="363">
        <f t="shared" si="71"/>
        <v>2051.4867111565527</v>
      </c>
      <c r="S160" s="363">
        <f t="shared" si="71"/>
        <v>1984.3647787693944</v>
      </c>
      <c r="T160" s="363">
        <f>T158+T159</f>
        <v>1904.2471958083568</v>
      </c>
      <c r="U160" s="364">
        <f>U158+U159</f>
        <v>19856.138273128548</v>
      </c>
    </row>
    <row r="161" spans="2:24" s="34" customFormat="1" ht="7.5" customHeight="1" x14ac:dyDescent="0.35">
      <c r="B161" s="369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2:24" s="34" customFormat="1" ht="15.5" x14ac:dyDescent="0.35">
      <c r="B162" s="370" t="s">
        <v>242</v>
      </c>
      <c r="C162" s="371">
        <f>IRR(D160:U160)</f>
        <v>0.15063682044574689</v>
      </c>
      <c r="D162" s="418">
        <f>C162/C162</f>
        <v>1</v>
      </c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</row>
    <row r="163" spans="2:24" s="34" customFormat="1" ht="15.5" x14ac:dyDescent="0.35">
      <c r="B163" s="372" t="s">
        <v>243</v>
      </c>
      <c r="C163" s="373">
        <f>IRR(D158:U158)</f>
        <v>0.12475296386005241</v>
      </c>
      <c r="D163" s="419">
        <f>C163/C162</f>
        <v>0.82817045321919314</v>
      </c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</row>
    <row r="164" spans="2:24" s="34" customFormat="1" ht="15.5" x14ac:dyDescent="0.35">
      <c r="B164" s="372" t="s">
        <v>244</v>
      </c>
      <c r="C164" s="373">
        <f>C162-C163</f>
        <v>2.5883856585694476E-2</v>
      </c>
      <c r="D164" s="419">
        <f>C164/C162</f>
        <v>0.17182954678080692</v>
      </c>
      <c r="E164" s="367"/>
      <c r="F164" s="367"/>
      <c r="G164" s="367"/>
      <c r="H164" s="367"/>
      <c r="I164" s="367"/>
      <c r="J164" s="367"/>
      <c r="K164" s="367"/>
      <c r="L164" s="367"/>
      <c r="M164" s="367"/>
      <c r="N164" s="367"/>
      <c r="O164" s="367"/>
      <c r="P164" s="367"/>
      <c r="Q164" s="367"/>
      <c r="R164" s="367"/>
      <c r="S164" s="367"/>
      <c r="T164" s="367"/>
      <c r="U164" s="367"/>
    </row>
    <row r="165" spans="2:24" s="34" customFormat="1" ht="15" thickBot="1" x14ac:dyDescent="0.4"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</row>
    <row r="166" spans="2:24" s="34" customFormat="1" ht="17.5" thickBot="1" x14ac:dyDescent="0.4">
      <c r="B166" s="310" t="s">
        <v>239</v>
      </c>
      <c r="C166" s="311"/>
      <c r="D166" s="311"/>
      <c r="E166" s="311"/>
      <c r="F166" s="311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2"/>
    </row>
    <row r="167" spans="2:24" s="34" customFormat="1" ht="16" thickBot="1" x14ac:dyDescent="0.4">
      <c r="B167" s="95" t="s">
        <v>109</v>
      </c>
      <c r="C167" s="96">
        <v>2009</v>
      </c>
      <c r="D167" s="96">
        <v>2010</v>
      </c>
      <c r="E167" s="97">
        <v>2011</v>
      </c>
      <c r="F167" s="97">
        <v>2012</v>
      </c>
      <c r="G167" s="97">
        <v>2013</v>
      </c>
      <c r="H167" s="97">
        <v>2014</v>
      </c>
      <c r="I167" s="97">
        <v>2015</v>
      </c>
      <c r="J167" s="97">
        <v>2016</v>
      </c>
      <c r="K167" s="97">
        <v>2017</v>
      </c>
      <c r="L167" s="97">
        <v>2018</v>
      </c>
      <c r="M167" s="97">
        <v>2019</v>
      </c>
      <c r="N167" s="97">
        <v>2020</v>
      </c>
      <c r="O167" s="97">
        <v>2021</v>
      </c>
      <c r="P167" s="97">
        <v>2022</v>
      </c>
      <c r="Q167" s="97">
        <v>2023</v>
      </c>
      <c r="R167" s="97">
        <v>2024</v>
      </c>
      <c r="S167" s="97">
        <v>2025</v>
      </c>
      <c r="T167" s="97">
        <v>2026</v>
      </c>
      <c r="U167" s="98">
        <v>2027</v>
      </c>
    </row>
    <row r="168" spans="2:24" s="34" customFormat="1" ht="15.5" x14ac:dyDescent="0.35">
      <c r="B168" s="355" t="s">
        <v>247</v>
      </c>
      <c r="C168" s="198"/>
      <c r="D168" s="198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200"/>
    </row>
    <row r="169" spans="2:24" s="134" customFormat="1" ht="15.5" x14ac:dyDescent="0.35">
      <c r="B169" s="103" t="s">
        <v>248</v>
      </c>
      <c r="C169" s="201"/>
      <c r="D169" s="201">
        <f t="shared" ref="D169:U169" si="72">D158</f>
        <v>-3460</v>
      </c>
      <c r="E169" s="201">
        <f t="shared" si="72"/>
        <v>-5520</v>
      </c>
      <c r="F169" s="201">
        <f t="shared" si="72"/>
        <v>-4880</v>
      </c>
      <c r="G169" s="201">
        <f t="shared" si="72"/>
        <v>1610.8436909564416</v>
      </c>
      <c r="H169" s="201">
        <f t="shared" si="72"/>
        <v>2778.8505181806458</v>
      </c>
      <c r="I169" s="201">
        <f t="shared" si="72"/>
        <v>2698.7281249760026</v>
      </c>
      <c r="J169" s="201">
        <f t="shared" si="72"/>
        <v>2635.8666884679606</v>
      </c>
      <c r="K169" s="201">
        <f t="shared" si="72"/>
        <v>2569.3755171449766</v>
      </c>
      <c r="L169" s="201">
        <f t="shared" si="72"/>
        <v>2489.6163616958193</v>
      </c>
      <c r="M169" s="201">
        <f t="shared" si="72"/>
        <v>2426.47440027317</v>
      </c>
      <c r="N169" s="201">
        <f t="shared" si="72"/>
        <v>2339.8217603993862</v>
      </c>
      <c r="O169" s="201">
        <f t="shared" si="72"/>
        <v>2262.10695438843</v>
      </c>
      <c r="P169" s="201">
        <f t="shared" si="72"/>
        <v>2196.2580935159144</v>
      </c>
      <c r="Q169" s="201">
        <f t="shared" si="72"/>
        <v>2123.2131645525706</v>
      </c>
      <c r="R169" s="201">
        <f t="shared" si="72"/>
        <v>2051.4867111565527</v>
      </c>
      <c r="S169" s="201">
        <f t="shared" si="72"/>
        <v>1984.3647787693944</v>
      </c>
      <c r="T169" s="201">
        <f t="shared" si="72"/>
        <v>1904.2471958083568</v>
      </c>
      <c r="U169" s="203">
        <f t="shared" si="72"/>
        <v>1828.2169104683398</v>
      </c>
    </row>
    <row r="170" spans="2:24" s="34" customFormat="1" ht="15.5" x14ac:dyDescent="0.35">
      <c r="B170" s="355" t="s">
        <v>254</v>
      </c>
      <c r="C170" s="198"/>
      <c r="D170" s="198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200"/>
    </row>
    <row r="171" spans="2:24" ht="15.5" x14ac:dyDescent="0.35">
      <c r="B171" s="103" t="s">
        <v>190</v>
      </c>
      <c r="C171" s="202"/>
      <c r="D171" s="202">
        <f>D86</f>
        <v>2420.0000000000005</v>
      </c>
      <c r="E171" s="202">
        <f t="shared" ref="E171:F171" si="73">E86</f>
        <v>3870.0000000000009</v>
      </c>
      <c r="F171" s="202">
        <f t="shared" si="73"/>
        <v>3410.0000000000005</v>
      </c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3"/>
      <c r="W171" s="408">
        <f>SUM(D171:F171)</f>
        <v>9700.0000000000018</v>
      </c>
      <c r="X171" t="s">
        <v>305</v>
      </c>
    </row>
    <row r="172" spans="2:24" ht="15.5" x14ac:dyDescent="0.35">
      <c r="B172" s="103" t="s">
        <v>241</v>
      </c>
      <c r="C172" s="202"/>
      <c r="D172" s="202"/>
      <c r="E172" s="202"/>
      <c r="F172" s="202"/>
      <c r="G172" s="202">
        <f t="shared" ref="G172:P172" si="74">G87</f>
        <v>-1077.7777777777781</v>
      </c>
      <c r="H172" s="202">
        <f t="shared" si="74"/>
        <v>-1077.7777777777781</v>
      </c>
      <c r="I172" s="202">
        <f t="shared" si="74"/>
        <v>-1077.7777777777781</v>
      </c>
      <c r="J172" s="202">
        <f t="shared" si="74"/>
        <v>-1077.7777777777781</v>
      </c>
      <c r="K172" s="202">
        <f t="shared" si="74"/>
        <v>-1077.7777777777781</v>
      </c>
      <c r="L172" s="202">
        <f t="shared" si="74"/>
        <v>-1077.7777777777781</v>
      </c>
      <c r="M172" s="202">
        <f t="shared" si="74"/>
        <v>-1077.7777777777781</v>
      </c>
      <c r="N172" s="202">
        <f t="shared" si="74"/>
        <v>-1077.7777777777781</v>
      </c>
      <c r="O172" s="202">
        <f t="shared" si="74"/>
        <v>-808.33333333333348</v>
      </c>
      <c r="P172" s="202">
        <f t="shared" si="74"/>
        <v>0</v>
      </c>
      <c r="Q172" s="202"/>
      <c r="R172" s="202"/>
      <c r="S172" s="202"/>
      <c r="T172" s="202"/>
      <c r="U172" s="203"/>
      <c r="W172" s="276">
        <f>R4</f>
        <v>0.69985569985569995</v>
      </c>
      <c r="X172" t="s">
        <v>116</v>
      </c>
    </row>
    <row r="173" spans="2:24" ht="15.5" x14ac:dyDescent="0.35">
      <c r="B173" s="103" t="s">
        <v>186</v>
      </c>
      <c r="C173" s="339"/>
      <c r="D173" s="202"/>
      <c r="E173" s="202"/>
      <c r="F173" s="202"/>
      <c r="G173" s="202">
        <f>G88</f>
        <v>930</v>
      </c>
      <c r="H173" s="202">
        <f t="shared" ref="H173:T173" si="75">H88</f>
        <v>10</v>
      </c>
      <c r="I173" s="202">
        <f t="shared" si="75"/>
        <v>20</v>
      </c>
      <c r="J173" s="202">
        <f t="shared" si="75"/>
        <v>20</v>
      </c>
      <c r="K173" s="202">
        <f t="shared" si="75"/>
        <v>10</v>
      </c>
      <c r="L173" s="202">
        <f t="shared" si="75"/>
        <v>20</v>
      </c>
      <c r="M173" s="202">
        <f t="shared" si="75"/>
        <v>20</v>
      </c>
      <c r="N173" s="202">
        <f t="shared" si="75"/>
        <v>20</v>
      </c>
      <c r="O173" s="202">
        <f t="shared" si="75"/>
        <v>20</v>
      </c>
      <c r="P173" s="202">
        <f t="shared" si="75"/>
        <v>20</v>
      </c>
      <c r="Q173" s="202">
        <f t="shared" si="75"/>
        <v>20</v>
      </c>
      <c r="R173" s="202">
        <f t="shared" si="75"/>
        <v>20</v>
      </c>
      <c r="S173" s="202">
        <f t="shared" si="75"/>
        <v>30</v>
      </c>
      <c r="T173" s="202">
        <f t="shared" si="75"/>
        <v>20</v>
      </c>
      <c r="U173" s="203">
        <f>U88</f>
        <v>20</v>
      </c>
      <c r="V173" s="284"/>
    </row>
    <row r="174" spans="2:24" ht="15.5" x14ac:dyDescent="0.35">
      <c r="B174" s="103" t="s">
        <v>240</v>
      </c>
      <c r="C174" s="339"/>
      <c r="D174" s="202"/>
      <c r="E174" s="202"/>
      <c r="F174" s="202"/>
      <c r="G174" s="202">
        <f>G89</f>
        <v>0</v>
      </c>
      <c r="H174" s="202">
        <f t="shared" ref="H174:T174" si="76">H89</f>
        <v>0</v>
      </c>
      <c r="I174" s="202">
        <f t="shared" si="76"/>
        <v>0</v>
      </c>
      <c r="J174" s="202">
        <f t="shared" si="76"/>
        <v>0</v>
      </c>
      <c r="K174" s="202">
        <f t="shared" si="76"/>
        <v>0</v>
      </c>
      <c r="L174" s="202">
        <f t="shared" si="76"/>
        <v>0</v>
      </c>
      <c r="M174" s="202">
        <f t="shared" si="76"/>
        <v>0</v>
      </c>
      <c r="N174" s="202">
        <f t="shared" si="76"/>
        <v>0</v>
      </c>
      <c r="O174" s="202">
        <f t="shared" si="76"/>
        <v>0</v>
      </c>
      <c r="P174" s="202">
        <f t="shared" si="76"/>
        <v>0</v>
      </c>
      <c r="Q174" s="202">
        <f t="shared" si="76"/>
        <v>0</v>
      </c>
      <c r="R174" s="202">
        <f t="shared" si="76"/>
        <v>0</v>
      </c>
      <c r="S174" s="202">
        <f t="shared" si="76"/>
        <v>0</v>
      </c>
      <c r="T174" s="202">
        <f t="shared" si="76"/>
        <v>0</v>
      </c>
      <c r="U174" s="203">
        <f>U89</f>
        <v>0</v>
      </c>
      <c r="V174" s="284"/>
    </row>
    <row r="175" spans="2:24" ht="15.5" x14ac:dyDescent="0.35">
      <c r="B175" s="103" t="s">
        <v>145</v>
      </c>
      <c r="C175" s="202"/>
      <c r="D175" s="202">
        <f>D133</f>
        <v>-42.45000000000001</v>
      </c>
      <c r="E175" s="202">
        <f>E133</f>
        <v>-8.5250000000000021</v>
      </c>
      <c r="F175" s="202">
        <f>F133</f>
        <v>0</v>
      </c>
      <c r="G175" s="202">
        <f>G90</f>
        <v>-1178.5999999999999</v>
      </c>
      <c r="H175" s="202">
        <f t="shared" ref="H175:T175" si="77">H90</f>
        <v>-1049.8666666666668</v>
      </c>
      <c r="I175" s="202">
        <f t="shared" si="77"/>
        <v>-922.33333333333337</v>
      </c>
      <c r="J175" s="202">
        <f t="shared" si="77"/>
        <v>-795.4</v>
      </c>
      <c r="K175" s="202">
        <f t="shared" si="77"/>
        <v>-667.86666666666656</v>
      </c>
      <c r="L175" s="202">
        <f t="shared" si="77"/>
        <v>-540.33333333333326</v>
      </c>
      <c r="M175" s="202">
        <f t="shared" si="77"/>
        <v>-413.39999999999981</v>
      </c>
      <c r="N175" s="202">
        <f t="shared" si="77"/>
        <v>-286.46666666666647</v>
      </c>
      <c r="O175" s="202">
        <f t="shared" si="77"/>
        <v>-175.69999999999976</v>
      </c>
      <c r="P175" s="202">
        <f t="shared" si="77"/>
        <v>-129.59999999999977</v>
      </c>
      <c r="Q175" s="202">
        <f t="shared" si="77"/>
        <v>-131.99999999999977</v>
      </c>
      <c r="R175" s="202">
        <f t="shared" si="77"/>
        <v>-134.39999999999978</v>
      </c>
      <c r="S175" s="202">
        <f t="shared" si="77"/>
        <v>-137.39999999999978</v>
      </c>
      <c r="T175" s="202">
        <f t="shared" si="77"/>
        <v>-140.39999999999978</v>
      </c>
      <c r="U175" s="203">
        <f>U90</f>
        <v>-142.79999999999976</v>
      </c>
    </row>
    <row r="176" spans="2:24" ht="5.75" customHeight="1" thickBot="1" x14ac:dyDescent="0.4">
      <c r="B176" s="123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</row>
    <row r="177" spans="2:24" s="34" customFormat="1" ht="15.5" x14ac:dyDescent="0.35">
      <c r="B177" s="119" t="s">
        <v>253</v>
      </c>
      <c r="C177" s="213"/>
      <c r="D177" s="362">
        <f t="shared" ref="D177:U177" si="78">SUM(D169:D175)</f>
        <v>-1082.4499999999996</v>
      </c>
      <c r="E177" s="362">
        <f t="shared" si="78"/>
        <v>-1658.5249999999992</v>
      </c>
      <c r="F177" s="362">
        <f t="shared" si="78"/>
        <v>-1469.9999999999995</v>
      </c>
      <c r="G177" s="362">
        <f t="shared" si="78"/>
        <v>284.46591317866364</v>
      </c>
      <c r="H177" s="362">
        <f t="shared" si="78"/>
        <v>661.20607373620101</v>
      </c>
      <c r="I177" s="362">
        <f t="shared" si="78"/>
        <v>718.61701386489119</v>
      </c>
      <c r="J177" s="362">
        <f t="shared" si="78"/>
        <v>782.68891069018252</v>
      </c>
      <c r="K177" s="362">
        <f t="shared" si="78"/>
        <v>833.73107270053197</v>
      </c>
      <c r="L177" s="362">
        <f t="shared" si="78"/>
        <v>891.50525058470794</v>
      </c>
      <c r="M177" s="362">
        <f t="shared" si="78"/>
        <v>955.29662249539206</v>
      </c>
      <c r="N177" s="362">
        <f t="shared" si="78"/>
        <v>995.5773159549417</v>
      </c>
      <c r="O177" s="362">
        <f t="shared" si="78"/>
        <v>1298.0736210550967</v>
      </c>
      <c r="P177" s="362">
        <f t="shared" si="78"/>
        <v>2086.6580935159145</v>
      </c>
      <c r="Q177" s="362">
        <f t="shared" si="78"/>
        <v>2011.2131645525708</v>
      </c>
      <c r="R177" s="362">
        <f t="shared" si="78"/>
        <v>1937.0867111565528</v>
      </c>
      <c r="S177" s="362">
        <f t="shared" si="78"/>
        <v>1876.9647787693946</v>
      </c>
      <c r="T177" s="362">
        <f t="shared" si="78"/>
        <v>1783.8471958083569</v>
      </c>
      <c r="U177" s="365">
        <f t="shared" si="78"/>
        <v>1705.4169104683401</v>
      </c>
      <c r="W177" s="277">
        <f>-Q6+D175+E175</f>
        <v>-4210.9749999999985</v>
      </c>
      <c r="X177" s="34" t="s">
        <v>306</v>
      </c>
    </row>
    <row r="178" spans="2:24" s="34" customFormat="1" ht="15.5" x14ac:dyDescent="0.35">
      <c r="B178" s="107" t="s">
        <v>308</v>
      </c>
      <c r="C178" s="204"/>
      <c r="D178" s="204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3">
        <f>G145</f>
        <v>16827.921362660207</v>
      </c>
      <c r="W178" s="277">
        <f>D177+E177+F177</f>
        <v>-4210.9749999999985</v>
      </c>
    </row>
    <row r="179" spans="2:24" s="34" customFormat="1" ht="16" thickBot="1" x14ac:dyDescent="0.4">
      <c r="B179" s="123" t="s">
        <v>250</v>
      </c>
      <c r="C179" s="216"/>
      <c r="D179" s="363">
        <f t="shared" ref="D179:S179" si="79">D177+D178</f>
        <v>-1082.4499999999996</v>
      </c>
      <c r="E179" s="363">
        <f t="shared" si="79"/>
        <v>-1658.5249999999992</v>
      </c>
      <c r="F179" s="363">
        <f t="shared" si="79"/>
        <v>-1469.9999999999995</v>
      </c>
      <c r="G179" s="363">
        <f t="shared" si="79"/>
        <v>284.46591317866364</v>
      </c>
      <c r="H179" s="363">
        <f t="shared" si="79"/>
        <v>661.20607373620101</v>
      </c>
      <c r="I179" s="363">
        <f t="shared" si="79"/>
        <v>718.61701386489119</v>
      </c>
      <c r="J179" s="363">
        <f t="shared" si="79"/>
        <v>782.68891069018252</v>
      </c>
      <c r="K179" s="363">
        <f t="shared" si="79"/>
        <v>833.73107270053197</v>
      </c>
      <c r="L179" s="363">
        <f t="shared" si="79"/>
        <v>891.50525058470794</v>
      </c>
      <c r="M179" s="363">
        <f t="shared" si="79"/>
        <v>955.29662249539206</v>
      </c>
      <c r="N179" s="363">
        <f t="shared" si="79"/>
        <v>995.5773159549417</v>
      </c>
      <c r="O179" s="363">
        <f t="shared" si="79"/>
        <v>1298.0736210550967</v>
      </c>
      <c r="P179" s="363">
        <f t="shared" si="79"/>
        <v>2086.6580935159145</v>
      </c>
      <c r="Q179" s="363">
        <f t="shared" si="79"/>
        <v>2011.2131645525708</v>
      </c>
      <c r="R179" s="363">
        <f t="shared" si="79"/>
        <v>1937.0867111565528</v>
      </c>
      <c r="S179" s="363">
        <f t="shared" si="79"/>
        <v>1876.9647787693946</v>
      </c>
      <c r="T179" s="363">
        <f>T177+T178</f>
        <v>1783.8471958083569</v>
      </c>
      <c r="U179" s="364">
        <f>U177+U178</f>
        <v>18533.338273128546</v>
      </c>
    </row>
    <row r="180" spans="2:24" s="34" customFormat="1" ht="7.5" customHeight="1" x14ac:dyDescent="0.35">
      <c r="B180" s="369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</row>
    <row r="181" spans="2:24" s="34" customFormat="1" ht="15.5" x14ac:dyDescent="0.35">
      <c r="B181" s="370" t="s">
        <v>242</v>
      </c>
      <c r="C181" s="371">
        <f>IRR(D179:U179)</f>
        <v>0.20484207784112751</v>
      </c>
      <c r="D181" s="418">
        <f>C181/C181</f>
        <v>1</v>
      </c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</row>
    <row r="182" spans="2:24" s="34" customFormat="1" ht="15.5" x14ac:dyDescent="0.35">
      <c r="B182" s="372" t="s">
        <v>243</v>
      </c>
      <c r="C182" s="373">
        <f>IRR(D177:U177)</f>
        <v>0.17103056279060258</v>
      </c>
      <c r="D182" s="419">
        <f>C182/C181</f>
        <v>0.83493862488180459</v>
      </c>
      <c r="E182" s="367"/>
      <c r="F182" s="367"/>
      <c r="G182" s="367"/>
      <c r="H182" s="367"/>
      <c r="I182" s="367"/>
      <c r="J182" s="367"/>
      <c r="K182" s="367"/>
      <c r="L182" s="367"/>
      <c r="M182" s="367"/>
      <c r="N182" s="367"/>
      <c r="O182" s="367"/>
      <c r="P182" s="367"/>
      <c r="Q182" s="367"/>
      <c r="R182" s="367"/>
      <c r="S182" s="367"/>
      <c r="T182" s="367"/>
      <c r="U182" s="367"/>
    </row>
    <row r="183" spans="2:24" s="34" customFormat="1" ht="15.5" x14ac:dyDescent="0.35">
      <c r="B183" s="372" t="s">
        <v>244</v>
      </c>
      <c r="C183" s="373">
        <f>C181-C182</f>
        <v>3.3811515050524932E-2</v>
      </c>
      <c r="D183" s="419">
        <f>C183/C181</f>
        <v>0.16506137511819541</v>
      </c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</row>
    <row r="184" spans="2:24" s="34" customFormat="1" x14ac:dyDescent="0.35"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</row>
    <row r="185" spans="2:24" s="34" customFormat="1" x14ac:dyDescent="0.35">
      <c r="H185" s="134"/>
      <c r="I185" s="134"/>
      <c r="J185" s="134"/>
      <c r="K185" s="134"/>
      <c r="L185" s="134"/>
      <c r="M185" s="134"/>
      <c r="N185" s="134"/>
      <c r="O185" s="134"/>
    </row>
    <row r="186" spans="2:24" s="34" customFormat="1" x14ac:dyDescent="0.35">
      <c r="B186" s="420" t="s">
        <v>279</v>
      </c>
      <c r="C186" s="421"/>
      <c r="D186" s="422">
        <v>2010</v>
      </c>
      <c r="E186" s="422">
        <v>2011</v>
      </c>
      <c r="F186" s="422">
        <v>2012</v>
      </c>
      <c r="G186" s="422" t="s">
        <v>166</v>
      </c>
      <c r="H186" s="134"/>
      <c r="I186" s="134"/>
      <c r="J186" s="134"/>
      <c r="K186" s="134"/>
      <c r="L186" s="134"/>
      <c r="M186" s="134"/>
      <c r="N186" s="134"/>
      <c r="O186" s="134"/>
    </row>
    <row r="187" spans="2:24" s="34" customFormat="1" x14ac:dyDescent="0.35">
      <c r="B187" s="421" t="s">
        <v>280</v>
      </c>
      <c r="C187" s="421"/>
      <c r="D187" s="423">
        <f>D92</f>
        <v>1039.9999999999998</v>
      </c>
      <c r="E187" s="423">
        <f>E92</f>
        <v>1649.9999999999995</v>
      </c>
      <c r="F187" s="423">
        <f>F92</f>
        <v>1469.9999999999998</v>
      </c>
      <c r="G187" s="423">
        <f>D187+E187+F187</f>
        <v>4159.9999999999991</v>
      </c>
    </row>
    <row r="188" spans="2:24" s="34" customFormat="1" x14ac:dyDescent="0.35">
      <c r="B188" s="421" t="s">
        <v>281</v>
      </c>
      <c r="C188" s="421"/>
      <c r="D188" s="424">
        <f>-D177</f>
        <v>1082.4499999999996</v>
      </c>
      <c r="E188" s="424">
        <f>-E177</f>
        <v>1658.5249999999992</v>
      </c>
      <c r="F188" s="424">
        <f>-F177</f>
        <v>1469.9999999999995</v>
      </c>
      <c r="G188" s="424">
        <f>D188+E188+F188</f>
        <v>4210.9749999999985</v>
      </c>
    </row>
    <row r="189" spans="2:24" s="34" customFormat="1" x14ac:dyDescent="0.35">
      <c r="B189" s="421" t="s">
        <v>309</v>
      </c>
      <c r="C189" s="421"/>
      <c r="D189" s="423">
        <f>D187-D188</f>
        <v>-42.449999999999818</v>
      </c>
      <c r="E189" s="423">
        <f>E187-E188</f>
        <v>-8.5249999999996362</v>
      </c>
      <c r="F189" s="423">
        <f>F187-F188</f>
        <v>0</v>
      </c>
      <c r="G189" s="423">
        <f>G187-G188</f>
        <v>-50.974999999999454</v>
      </c>
    </row>
    <row r="190" spans="2:24" s="34" customFormat="1" x14ac:dyDescent="0.35">
      <c r="C190" s="421" t="s">
        <v>164</v>
      </c>
      <c r="D190" s="426">
        <f>D133-D189</f>
        <v>-1.9184653865522705E-13</v>
      </c>
      <c r="E190" s="426">
        <f>E133-E189</f>
        <v>-3.659295089164516E-13</v>
      </c>
      <c r="F190" s="426">
        <f>F133-F189</f>
        <v>0</v>
      </c>
      <c r="G190" s="425"/>
    </row>
    <row r="191" spans="2:24" s="34" customFormat="1" x14ac:dyDescent="0.35"/>
    <row r="192" spans="2:24" s="34" customFormat="1" x14ac:dyDescent="0.35"/>
    <row r="193" s="34" customFormat="1" x14ac:dyDescent="0.35"/>
    <row r="194" s="34" customFormat="1" x14ac:dyDescent="0.35"/>
    <row r="195" s="34" customFormat="1" x14ac:dyDescent="0.35"/>
    <row r="196" s="34" customFormat="1" x14ac:dyDescent="0.35"/>
    <row r="197" s="34" customFormat="1" x14ac:dyDescent="0.35"/>
    <row r="198" s="34" customFormat="1" x14ac:dyDescent="0.35"/>
    <row r="199" s="34" customFormat="1" x14ac:dyDescent="0.35"/>
    <row r="200" s="34" customFormat="1" x14ac:dyDescent="0.35"/>
    <row r="201" s="34" customFormat="1" x14ac:dyDescent="0.35"/>
    <row r="202" s="34" customFormat="1" x14ac:dyDescent="0.35"/>
    <row r="203" s="34" customFormat="1" x14ac:dyDescent="0.35"/>
    <row r="204" s="34" customFormat="1" x14ac:dyDescent="0.35"/>
    <row r="205" s="34" customFormat="1" x14ac:dyDescent="0.35"/>
    <row r="206" s="34" customFormat="1" x14ac:dyDescent="0.35"/>
    <row r="207" s="34" customFormat="1" x14ac:dyDescent="0.35"/>
    <row r="208" s="34" customFormat="1" x14ac:dyDescent="0.35"/>
    <row r="209" s="34" customFormat="1" x14ac:dyDescent="0.35"/>
    <row r="210" s="34" customFormat="1" x14ac:dyDescent="0.35"/>
    <row r="211" s="34" customFormat="1" x14ac:dyDescent="0.35"/>
    <row r="212" s="34" customFormat="1" x14ac:dyDescent="0.35"/>
    <row r="213" s="34" customFormat="1" x14ac:dyDescent="0.35"/>
    <row r="214" s="34" customFormat="1" x14ac:dyDescent="0.35"/>
    <row r="215" s="34" customFormat="1" x14ac:dyDescent="0.35"/>
    <row r="216" s="34" customFormat="1" x14ac:dyDescent="0.35"/>
    <row r="217" s="34" customFormat="1" x14ac:dyDescent="0.35"/>
    <row r="218" s="34" customFormat="1" x14ac:dyDescent="0.35"/>
    <row r="219" s="34" customFormat="1" x14ac:dyDescent="0.35"/>
    <row r="220" s="34" customFormat="1" x14ac:dyDescent="0.35"/>
    <row r="221" s="34" customFormat="1" x14ac:dyDescent="0.35"/>
  </sheetData>
  <pageMargins left="0.75" right="0.75" top="1" bottom="1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1</vt:i4>
      </vt:variant>
    </vt:vector>
  </HeadingPairs>
  <TitlesOfParts>
    <vt:vector size="29" baseType="lpstr">
      <vt:lpstr>Loan</vt:lpstr>
      <vt:lpstr>Comparables (Exhibit 9)</vt:lpstr>
      <vt:lpstr>Income Statement</vt:lpstr>
      <vt:lpstr>Operating Data</vt:lpstr>
      <vt:lpstr>WACC</vt:lpstr>
      <vt:lpstr>Base Case (Revised)</vt:lpstr>
      <vt:lpstr>Sensitivity LF 80%</vt:lpstr>
      <vt:lpstr>Sensitivity LF 75% </vt:lpstr>
      <vt:lpstr>Sensitivity Fuel Up 5%</vt:lpstr>
      <vt:lpstr>Sensitivity Fuel Up 10%</vt:lpstr>
      <vt:lpstr>Sensitivity LF 80% Fuel Up 5%</vt:lpstr>
      <vt:lpstr>Sensitivity Interest 14%</vt:lpstr>
      <vt:lpstr>Sensitivity Interest 16%</vt:lpstr>
      <vt:lpstr>Sensitivity 65% Debt</vt:lpstr>
      <vt:lpstr>Sensitivity 60% Debt</vt:lpstr>
      <vt:lpstr>Base Scenario (Case Exhibit 6)</vt:lpstr>
      <vt:lpstr>Balance Sheet (Case Exhibit 6)</vt:lpstr>
      <vt:lpstr>Base Scenario (Control)</vt:lpstr>
      <vt:lpstr>Sensitivity-PLF @ 80%</vt:lpstr>
      <vt:lpstr>Sensitivity-PLF @ 75%</vt:lpstr>
      <vt:lpstr>PLF @ 75%</vt:lpstr>
      <vt:lpstr>Sensitivity-Fuel Cost Up 5%</vt:lpstr>
      <vt:lpstr>Sensitivity-Fuel Cost Up 10%</vt:lpstr>
      <vt:lpstr>Fuel Cost Up 10%</vt:lpstr>
      <vt:lpstr>PLF @ 80% &amp; Fuel Up 5%</vt:lpstr>
      <vt:lpstr>Sensitivity-Interest Rate @ 13%</vt:lpstr>
      <vt:lpstr>Interest Rate @ 14%</vt:lpstr>
      <vt:lpstr>Sensitivity-Interest Rate @ 14%</vt:lpstr>
      <vt:lpstr>WACC!Área_de_impresión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anoopprakash</dc:creator>
  <cp:lastModifiedBy>Andres</cp:lastModifiedBy>
  <dcterms:created xsi:type="dcterms:W3CDTF">2016-10-25T09:53:05Z</dcterms:created>
  <dcterms:modified xsi:type="dcterms:W3CDTF">2022-08-02T13:27:43Z</dcterms:modified>
</cp:coreProperties>
</file>