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-AV\UTDT\MFIN\2020 MFIN\Curso FC\FC - TRADICIONAL\8-Financial Distress\Clase\"/>
    </mc:Choice>
  </mc:AlternateContent>
  <xr:revisionPtr revIDLastSave="0" documentId="13_ncr:1_{859A76FA-CBBC-4928-B3F5-95615A380712}" xr6:coauthVersionLast="45" xr6:coauthVersionMax="45" xr10:uidLastSave="{00000000-0000-0000-0000-000000000000}"/>
  <bookViews>
    <workbookView xWindow="-96" yWindow="-96" windowWidth="23232" windowHeight="12552" tabRatio="931" firstSheet="1" activeTab="7" xr2:uid="{00000000-000D-0000-FFFF-FFFF00000000}"/>
  </bookViews>
  <sheets>
    <sheet name="_CIQHiddenCacheSheet" sheetId="32" state="veryHidden" r:id="rId1"/>
    <sheet name="Exhibit 1" sheetId="57" r:id="rId2"/>
    <sheet name="Exhibit 2" sheetId="49" r:id="rId3"/>
    <sheet name="Plan Summary (Ex. 7)" sheetId="86" r:id="rId4"/>
    <sheet name="Pro Forma (Ex. 8)" sheetId="70" r:id="rId5"/>
    <sheet name="Model 100% Accept" sheetId="82" r:id="rId6"/>
    <sheet name="Model Min. Accept" sheetId="84" r:id="rId7"/>
    <sheet name="Distribution @ Liquid" sheetId="71" r:id="rId8"/>
    <sheet name="Distribution @ Sale" sheetId="79" r:id="rId9"/>
    <sheet name="Distribution @ DCF" sheetId="89" r:id="rId10"/>
    <sheet name="WACC" sheetId="83" r:id="rId11"/>
    <sheet name="DCF" sheetId="85" r:id="rId12"/>
    <sheet name="Comps (Ex. 6)" sheetId="51" r:id="rId13"/>
    <sheet name="Projections (Ex. 4)" sheetId="52" r:id="rId14"/>
    <sheet name="Cap Mkts (Ex. 5)" sheetId="53" r:id="rId15"/>
    <sheet name="Charts" sheetId="87" r:id="rId16"/>
    <sheet name="Plan (Ex. 7)" sheetId="54" r:id="rId17"/>
    <sheet name="Debt Payments 2011 (Ex. 3)" sheetId="50" r:id="rId18"/>
    <sheet name="Subordination (alternative)" sheetId="80" r:id="rId19"/>
    <sheet name="Recupero @ Mkt" sheetId="88" r:id="rId20"/>
  </sheets>
  <externalReferences>
    <externalReference r:id="rId21"/>
  </externalReferences>
  <definedNames>
    <definedName name="_Fill" hidden="1">#REF!</definedName>
    <definedName name="Acquiror" localSheetId="11">#REF!</definedName>
    <definedName name="Acquiror">#REF!</definedName>
    <definedName name="amzn">'[1]Comps (Ex12)'!#REF!</definedName>
    <definedName name="_xlnm.Print_Area" localSheetId="11">DCF!$B$2:$N$37</definedName>
    <definedName name="_xlnm.Print_Area" localSheetId="10">WACC!$A$1:$O$29</definedName>
    <definedName name="asset_write_up" localSheetId="11">#REF!</definedName>
    <definedName name="asset_write_up">#REF!</definedName>
    <definedName name="assets_acq" localSheetId="11">#REF!</definedName>
    <definedName name="assets_acq">#REF!</definedName>
    <definedName name="assets_adj" localSheetId="11">#REF!</definedName>
    <definedName name="assets_adj">#REF!</definedName>
    <definedName name="assets_targ" localSheetId="11">#REF!</definedName>
    <definedName name="assets_targ">#REF!</definedName>
    <definedName name="assets_total" localSheetId="11">#REF!</definedName>
    <definedName name="assets_total">#REF!</definedName>
    <definedName name="baseyear" localSheetId="11">#REF!</definedName>
    <definedName name="baseyear">#REF!</definedName>
    <definedName name="book_acq" localSheetId="11">#REF!</definedName>
    <definedName name="book_acq">#REF!</definedName>
    <definedName name="book_new" localSheetId="11">#REF!</definedName>
    <definedName name="book_new">#REF!</definedName>
    <definedName name="book_targ" localSheetId="11">#REF!</definedName>
    <definedName name="book_targ">#REF!</definedName>
    <definedName name="book_total" localSheetId="11">#REF!</definedName>
    <definedName name="book_total">#REF!</definedName>
    <definedName name="cap_acq" localSheetId="11">#REF!</definedName>
    <definedName name="cap_acq">#REF!</definedName>
    <definedName name="cash_acq" localSheetId="11">#REF!</definedName>
    <definedName name="cash_acq">#REF!</definedName>
    <definedName name="cash_per" localSheetId="11">#REF!</definedName>
    <definedName name="cash_per">#REF!</definedName>
    <definedName name="cash_rate" localSheetId="11">#REF!</definedName>
    <definedName name="cash_rate">#REF!</definedName>
    <definedName name="cash_targ" localSheetId="11">#REF!</definedName>
    <definedName name="cash_targ">#REF!</definedName>
    <definedName name="cash_total" localSheetId="11">#REF!</definedName>
    <definedName name="cash_total">#REF!</definedName>
    <definedName name="CIQWBGuid" hidden="1">"afe9a56e-3065-4ad9-a438-fc9f48600bfd"</definedName>
    <definedName name="date" localSheetId="11">#REF!</definedName>
    <definedName name="date">#REF!</definedName>
    <definedName name="debt_acq" localSheetId="11">#REF!</definedName>
    <definedName name="debt_acq">#REF!</definedName>
    <definedName name="debt_adj" localSheetId="11">#REF!</definedName>
    <definedName name="debt_adj">#REF!</definedName>
    <definedName name="debt_issue" localSheetId="11">#REF!</definedName>
    <definedName name="debt_issue">#REF!</definedName>
    <definedName name="debt_new" localSheetId="11">#REF!</definedName>
    <definedName name="debt_new">#REF!</definedName>
    <definedName name="debt_targ" localSheetId="11">#REF!</definedName>
    <definedName name="debt_targ">#REF!</definedName>
    <definedName name="ebdiat_acq" localSheetId="11">#REF!</definedName>
    <definedName name="ebdiat_acq">#REF!</definedName>
    <definedName name="ebdiat_targ" localSheetId="11">#REF!</definedName>
    <definedName name="ebdiat_targ">#REF!</definedName>
    <definedName name="ebdiat_total" localSheetId="11">#REF!</definedName>
    <definedName name="ebdiat_total">#REF!</definedName>
    <definedName name="ebit_acq" localSheetId="11">#REF!</definedName>
    <definedName name="ebit_acq">#REF!</definedName>
    <definedName name="ebit_targ" localSheetId="11">#REF!</definedName>
    <definedName name="ebit_targ">#REF!</definedName>
    <definedName name="ebit_total" localSheetId="11">#REF!</definedName>
    <definedName name="ebit_total">#REF!</definedName>
    <definedName name="eps_new1" localSheetId="11">#REF!</definedName>
    <definedName name="eps_new1">#REF!</definedName>
    <definedName name="eps_new2" localSheetId="11">#REF!</definedName>
    <definedName name="eps_new2">#REF!</definedName>
    <definedName name="eps_new3" localSheetId="11">#REF!</definedName>
    <definedName name="eps_new3">#REF!</definedName>
    <definedName name="eps_yr1_acq" localSheetId="11">#REF!</definedName>
    <definedName name="eps_yr1_acq">#REF!</definedName>
    <definedName name="eps_yr1_targ" localSheetId="11">#REF!</definedName>
    <definedName name="eps_yr1_targ">#REF!</definedName>
    <definedName name="eps_yr2_acq" localSheetId="11">#REF!</definedName>
    <definedName name="eps_yr2_acq">#REF!</definedName>
    <definedName name="eps_yr2_targ" localSheetId="11">#REF!</definedName>
    <definedName name="eps_yr2_targ">#REF!</definedName>
    <definedName name="eps_yr3_acq" localSheetId="11">#REF!</definedName>
    <definedName name="eps_yr3_acq">#REF!</definedName>
    <definedName name="eps_yr3_targ" localSheetId="11">#REF!</definedName>
    <definedName name="eps_yr3_targ">#REF!</definedName>
    <definedName name="EQUITY" localSheetId="11">#REF!</definedName>
    <definedName name="EQUITY">#REF!</definedName>
    <definedName name="equity_acq" localSheetId="11">#REF!</definedName>
    <definedName name="equity_acq">#REF!</definedName>
    <definedName name="equity_targ" localSheetId="11">#REF!</definedName>
    <definedName name="equity_targ">#REF!</definedName>
    <definedName name="equity_total" localSheetId="11">#REF!</definedName>
    <definedName name="equity_total">#REF!</definedName>
    <definedName name="exchange" localSheetId="11">#REF!</definedName>
    <definedName name="exchange">#REF!</definedName>
    <definedName name="fv_acq" localSheetId="11">#REF!</definedName>
    <definedName name="fv_acq">#REF!</definedName>
    <definedName name="fv_targ" localSheetId="11">#REF!</definedName>
    <definedName name="fv_targ">#REF!</definedName>
    <definedName name="fvcash_acq" localSheetId="11">#REF!</definedName>
    <definedName name="fvcash_acq">#REF!</definedName>
    <definedName name="fvcash_targ" localSheetId="11">#REF!</definedName>
    <definedName name="fvcash_targ">#REF!</definedName>
    <definedName name="gw_adj_1" localSheetId="11">#REF!</definedName>
    <definedName name="gw_adj_1">#REF!</definedName>
    <definedName name="gw_adj_2" localSheetId="11">#REF!</definedName>
    <definedName name="gw_adj_2">#REF!</definedName>
    <definedName name="gw_adj_3" localSheetId="11">#REF!</definedName>
    <definedName name="gw_adj_3">#REF!</definedName>
    <definedName name="gw_new" localSheetId="11">#REF!</definedName>
    <definedName name="gw_new">#REF!</definedName>
    <definedName name="gw_targ" localSheetId="11">#REF!</definedName>
    <definedName name="gw_targ">#REF!</definedName>
    <definedName name="gw_target" localSheetId="11">#REF!</definedName>
    <definedName name="gw_target">#REF!</definedName>
    <definedName name="gw_years" localSheetId="11">#REF!</definedName>
    <definedName name="gw_years">#REF!</definedName>
    <definedName name="gwtog" localSheetId="11">#REF!</definedName>
    <definedName name="gwtog">#REF!</definedName>
    <definedName name="int_adj_1" localSheetId="11">#REF!</definedName>
    <definedName name="int_adj_1">#REF!</definedName>
    <definedName name="int_adj_2" localSheetId="11">#REF!</definedName>
    <definedName name="int_adj_2">#REF!</definedName>
    <definedName name="int_adj_3" localSheetId="11">#REF!</definedName>
    <definedName name="int_adj_3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"01/29/2013 00:05:37"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i_acq" localSheetId="11">#REF!</definedName>
    <definedName name="ni_acq">#REF!</definedName>
    <definedName name="ni_targ" localSheetId="11">#REF!</definedName>
    <definedName name="ni_targ">#REF!</definedName>
    <definedName name="ni_total" localSheetId="11">#REF!</definedName>
    <definedName name="ni_total">#REF!</definedName>
    <definedName name="pref_acq" localSheetId="11">#REF!</definedName>
    <definedName name="pref_acq">#REF!</definedName>
    <definedName name="pref_new" localSheetId="11">#REF!</definedName>
    <definedName name="pref_new">#REF!</definedName>
    <definedName name="pref_targ" localSheetId="11">#REF!</definedName>
    <definedName name="pref_targ">#REF!</definedName>
    <definedName name="price_acq" localSheetId="11">#REF!</definedName>
    <definedName name="price_acq">#REF!</definedName>
    <definedName name="price_merg" localSheetId="11">#REF!</definedName>
    <definedName name="price_merg">#REF!</definedName>
    <definedName name="price_targ" localSheetId="11">#REF!</definedName>
    <definedName name="price_targ">#REF!</definedName>
    <definedName name="refin_int" localSheetId="11">#REF!</definedName>
    <definedName name="refin_int">#REF!</definedName>
    <definedName name="refin_rate" localSheetId="11">#REF!</definedName>
    <definedName name="refin_rate">#REF!</definedName>
    <definedName name="refin_tog" localSheetId="11">#REF!</definedName>
    <definedName name="refin_tog">#REF!</definedName>
    <definedName name="rev_acq" localSheetId="11">#REF!</definedName>
    <definedName name="rev_acq">#REF!</definedName>
    <definedName name="rev_targ" localSheetId="11">#REF!</definedName>
    <definedName name="rev_targ">#REF!</definedName>
    <definedName name="rev_total" localSheetId="11">#REF!</definedName>
    <definedName name="rev_total">#REF!</definedName>
    <definedName name="shos_acq" localSheetId="11">#REF!</definedName>
    <definedName name="shos_acq">#REF!</definedName>
    <definedName name="shos_targ" localSheetId="11">#REF!</definedName>
    <definedName name="shos_targ">#REF!</definedName>
    <definedName name="solver_adj" localSheetId="1" hidden="1">'Exhibit 1'!#REF!</definedName>
    <definedName name="solver_adj" localSheetId="5" hidden="1">'Model 100% Accept'!#REF!</definedName>
    <definedName name="solver_adj" localSheetId="6" hidden="1">'Model Min. Accept'!#REF!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drv" localSheetId="1" hidden="1">1</definedName>
    <definedName name="solver_drv" localSheetId="5" hidden="1">1</definedName>
    <definedName name="solver_drv" localSheetId="6" hidden="1">1</definedName>
    <definedName name="solver_eng" localSheetId="1" hidden="1">1</definedName>
    <definedName name="solver_eng" localSheetId="5" hidden="1">1</definedName>
    <definedName name="solver_eng" localSheetId="6" hidden="1">1</definedName>
    <definedName name="solver_est" localSheetId="1" hidden="1">1</definedName>
    <definedName name="solver_est" localSheetId="5" hidden="1">1</definedName>
    <definedName name="solver_est" localSheetId="6" hidden="1">1</definedName>
    <definedName name="solver_itr" localSheetId="1" hidden="1">2147483647</definedName>
    <definedName name="solver_itr" localSheetId="5" hidden="1">2147483647</definedName>
    <definedName name="solver_itr" localSheetId="6" hidden="1">2147483647</definedName>
    <definedName name="solver_mip" localSheetId="1" hidden="1">2147483647</definedName>
    <definedName name="solver_mip" localSheetId="5" hidden="1">2147483647</definedName>
    <definedName name="solver_mip" localSheetId="6" hidden="1">2147483647</definedName>
    <definedName name="solver_mni" localSheetId="1" hidden="1">30</definedName>
    <definedName name="solver_mni" localSheetId="5" hidden="1">30</definedName>
    <definedName name="solver_mni" localSheetId="6" hidden="1">30</definedName>
    <definedName name="solver_mrt" localSheetId="1" hidden="1">0.075</definedName>
    <definedName name="solver_mrt" localSheetId="5" hidden="1">0.075</definedName>
    <definedName name="solver_mrt" localSheetId="6" hidden="1">0.075</definedName>
    <definedName name="solver_msl" localSheetId="1" hidden="1">2</definedName>
    <definedName name="solver_msl" localSheetId="5" hidden="1">2</definedName>
    <definedName name="solver_msl" localSheetId="6" hidden="1">2</definedName>
    <definedName name="solver_neg" localSheetId="1" hidden="1">1</definedName>
    <definedName name="solver_neg" localSheetId="5" hidden="1">1</definedName>
    <definedName name="solver_neg" localSheetId="6" hidden="1">1</definedName>
    <definedName name="solver_nod" localSheetId="1" hidden="1">2147483647</definedName>
    <definedName name="solver_nod" localSheetId="5" hidden="1">2147483647</definedName>
    <definedName name="solver_nod" localSheetId="6" hidden="1">2147483647</definedName>
    <definedName name="solver_num" localSheetId="1" hidden="1">0</definedName>
    <definedName name="solver_num" localSheetId="5" hidden="1">0</definedName>
    <definedName name="solver_num" localSheetId="6" hidden="1">0</definedName>
    <definedName name="solver_nwt" localSheetId="1" hidden="1">1</definedName>
    <definedName name="solver_nwt" localSheetId="5" hidden="1">1</definedName>
    <definedName name="solver_nwt" localSheetId="6" hidden="1">1</definedName>
    <definedName name="solver_opt" localSheetId="1" hidden="1">'Exhibit 1'!#REF!</definedName>
    <definedName name="solver_opt" localSheetId="5" hidden="1">'Model 100% Accept'!#REF!</definedName>
    <definedName name="solver_opt" localSheetId="6" hidden="1">'Model Min. Accept'!#REF!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rbv" localSheetId="1" hidden="1">1</definedName>
    <definedName name="solver_rbv" localSheetId="5" hidden="1">1</definedName>
    <definedName name="solver_rbv" localSheetId="6" hidden="1">1</definedName>
    <definedName name="solver_rlx" localSheetId="1" hidden="1">2</definedName>
    <definedName name="solver_rlx" localSheetId="5" hidden="1">2</definedName>
    <definedName name="solver_rlx" localSheetId="6" hidden="1">2</definedName>
    <definedName name="solver_rsd" localSheetId="1" hidden="1">0</definedName>
    <definedName name="solver_rsd" localSheetId="5" hidden="1">0</definedName>
    <definedName name="solver_rsd" localSheetId="6" hidden="1">0</definedName>
    <definedName name="solver_scl" localSheetId="1" hidden="1">1</definedName>
    <definedName name="solver_scl" localSheetId="5" hidden="1">1</definedName>
    <definedName name="solver_scl" localSheetId="6" hidden="1">1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sz" localSheetId="1" hidden="1">100</definedName>
    <definedName name="solver_ssz" localSheetId="5" hidden="1">100</definedName>
    <definedName name="solver_ssz" localSheetId="6" hidden="1">100</definedName>
    <definedName name="solver_tim" localSheetId="1" hidden="1">2147483647</definedName>
    <definedName name="solver_tim" localSheetId="5" hidden="1">2147483647</definedName>
    <definedName name="solver_tim" localSheetId="6" hidden="1">2147483647</definedName>
    <definedName name="solver_tol" localSheetId="1" hidden="1">0.01</definedName>
    <definedName name="solver_tol" localSheetId="5" hidden="1">0.01</definedName>
    <definedName name="solver_tol" localSheetId="6" hidden="1">0.01</definedName>
    <definedName name="solver_typ" localSheetId="1" hidden="1">3</definedName>
    <definedName name="solver_typ" localSheetId="5" hidden="1">3</definedName>
    <definedName name="solver_typ" localSheetId="6" hidden="1">3</definedName>
    <definedName name="solver_val" localSheetId="1" hidden="1">475</definedName>
    <definedName name="solver_val" localSheetId="5" hidden="1">475</definedName>
    <definedName name="solver_val" localSheetId="6" hidden="1">475</definedName>
    <definedName name="solver_ver" localSheetId="1" hidden="1">3</definedName>
    <definedName name="solver_ver" localSheetId="5" hidden="1">3</definedName>
    <definedName name="solver_ver" localSheetId="6" hidden="1">3</definedName>
    <definedName name="syn_adj_1" localSheetId="11">#REF!</definedName>
    <definedName name="syn_adj_1">#REF!</definedName>
    <definedName name="syn_adj_2" localSheetId="11">#REF!</definedName>
    <definedName name="syn_adj_2">#REF!</definedName>
    <definedName name="syn_adj_3" localSheetId="11">#REF!</definedName>
    <definedName name="syn_adj_3">#REF!</definedName>
    <definedName name="Target" localSheetId="11">#REF!</definedName>
    <definedName name="Target">#REF!</definedName>
    <definedName name="tax_rate" localSheetId="11">#REF!</definedName>
    <definedName name="tax_rate">#REF!</definedName>
    <definedName name="trans_exp" localSheetId="11">#REF!</definedName>
    <definedName name="trans_exp">#REF!</definedName>
    <definedName name="transtog" localSheetId="11">#REF!</definedName>
    <definedName name="transtog">#REF!</definedName>
    <definedName name="VALUATION" localSheetId="11">#REF!</definedName>
    <definedName name="VALUATION">#REF!</definedName>
    <definedName name="wacc" localSheetId="11">#REF!</definedName>
    <definedName name="wacc">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9" i="71" l="1"/>
  <c r="F49" i="71" s="1"/>
  <c r="D45" i="71"/>
  <c r="B45" i="71"/>
  <c r="B18" i="71"/>
  <c r="I21" i="71"/>
  <c r="B49" i="71"/>
  <c r="B22" i="71"/>
  <c r="B48" i="71"/>
  <c r="B21" i="71"/>
  <c r="F42" i="71"/>
  <c r="F41" i="71"/>
  <c r="F40" i="71"/>
  <c r="F13" i="71"/>
  <c r="F15" i="71"/>
  <c r="F14" i="71"/>
  <c r="D42" i="71"/>
  <c r="D15" i="71"/>
  <c r="D41" i="71"/>
  <c r="D14" i="71"/>
  <c r="B42" i="71"/>
  <c r="B15" i="71"/>
  <c r="B41" i="71"/>
  <c r="B43" i="71" s="1"/>
  <c r="B14" i="71"/>
  <c r="B40" i="71"/>
  <c r="B13" i="71"/>
  <c r="B36" i="71"/>
  <c r="F36" i="71" s="1"/>
  <c r="B9" i="71"/>
  <c r="B35" i="71"/>
  <c r="F35" i="71" s="1"/>
  <c r="B8" i="71"/>
  <c r="B34" i="71"/>
  <c r="F34" i="71" s="1"/>
  <c r="B33" i="71"/>
  <c r="F33" i="71" s="1"/>
  <c r="B32" i="71"/>
  <c r="B5" i="71"/>
  <c r="F48" i="71"/>
  <c r="F43" i="71"/>
  <c r="F32" i="71"/>
  <c r="F45" i="71" l="1"/>
  <c r="F37" i="71"/>
  <c r="F50" i="71"/>
  <c r="D43" i="71"/>
  <c r="B37" i="71"/>
  <c r="O47" i="87"/>
  <c r="O46" i="87"/>
  <c r="O45" i="87"/>
  <c r="O44" i="87"/>
  <c r="O43" i="87"/>
  <c r="O25" i="87"/>
  <c r="N47" i="87"/>
  <c r="N46" i="87"/>
  <c r="N45" i="87"/>
  <c r="N44" i="87"/>
  <c r="N43" i="87"/>
  <c r="N42" i="87"/>
  <c r="K47" i="87"/>
  <c r="K46" i="87"/>
  <c r="K45" i="87"/>
  <c r="K44" i="87"/>
  <c r="K43" i="87"/>
  <c r="K42" i="87"/>
  <c r="J43" i="87"/>
  <c r="F47" i="87"/>
  <c r="F48" i="87" s="1"/>
  <c r="F46" i="87"/>
  <c r="F45" i="87"/>
  <c r="F44" i="87"/>
  <c r="F43" i="87"/>
  <c r="F42" i="87"/>
  <c r="C47" i="87"/>
  <c r="C46" i="87"/>
  <c r="C45" i="87"/>
  <c r="C44" i="87"/>
  <c r="C43" i="87"/>
  <c r="C42" i="87"/>
  <c r="I43" i="87"/>
  <c r="I44" i="87" s="1"/>
  <c r="I45" i="87" s="1"/>
  <c r="I46" i="87" s="1"/>
  <c r="I47" i="87" s="1"/>
  <c r="E43" i="87"/>
  <c r="E44" i="87" s="1"/>
  <c r="E45" i="87" s="1"/>
  <c r="E46" i="87" s="1"/>
  <c r="E47" i="87" s="1"/>
  <c r="B43" i="87"/>
  <c r="B44" i="87" s="1"/>
  <c r="B45" i="87" s="1"/>
  <c r="B46" i="87" s="1"/>
  <c r="B47" i="87" s="1"/>
  <c r="R38" i="87"/>
  <c r="R37" i="87"/>
  <c r="O37" i="87" s="1"/>
  <c r="R36" i="87"/>
  <c r="R35" i="87"/>
  <c r="R34" i="87"/>
  <c r="R33" i="87"/>
  <c r="K38" i="87"/>
  <c r="K37" i="87"/>
  <c r="S37" i="87" s="1"/>
  <c r="K36" i="87"/>
  <c r="K35" i="87"/>
  <c r="K34" i="87"/>
  <c r="M34" i="87" s="1"/>
  <c r="K33" i="87"/>
  <c r="S33" i="87" s="1"/>
  <c r="L38" i="87"/>
  <c r="M38" i="87" s="1"/>
  <c r="L37" i="87"/>
  <c r="L36" i="87"/>
  <c r="O36" i="87" s="1"/>
  <c r="L35" i="87"/>
  <c r="L34" i="87"/>
  <c r="L33" i="87"/>
  <c r="J38" i="87"/>
  <c r="J37" i="87"/>
  <c r="J36" i="87"/>
  <c r="S36" i="87" s="1"/>
  <c r="J35" i="87"/>
  <c r="J34" i="87"/>
  <c r="J33" i="87"/>
  <c r="N34" i="87"/>
  <c r="N35" i="87" s="1"/>
  <c r="N36" i="87" s="1"/>
  <c r="N37" i="87" s="1"/>
  <c r="N38" i="87" s="1"/>
  <c r="I34" i="87"/>
  <c r="I35" i="87" s="1"/>
  <c r="I36" i="87" s="1"/>
  <c r="I37" i="87" s="1"/>
  <c r="I38" i="87" s="1"/>
  <c r="E34" i="87"/>
  <c r="E35" i="87" s="1"/>
  <c r="E36" i="87" s="1"/>
  <c r="E37" i="87" s="1"/>
  <c r="E38" i="87" s="1"/>
  <c r="F39" i="87"/>
  <c r="F38" i="87"/>
  <c r="F37" i="87"/>
  <c r="J46" i="87" s="1"/>
  <c r="F36" i="87"/>
  <c r="G36" i="87" s="1"/>
  <c r="F35" i="87"/>
  <c r="J44" i="87" s="1"/>
  <c r="F34" i="87"/>
  <c r="F33" i="87"/>
  <c r="C38" i="87"/>
  <c r="C39" i="87" s="1"/>
  <c r="C37" i="87"/>
  <c r="C36" i="87"/>
  <c r="C35" i="87"/>
  <c r="C34" i="87"/>
  <c r="C33" i="87"/>
  <c r="C13" i="87"/>
  <c r="B34" i="87"/>
  <c r="B35" i="87" s="1"/>
  <c r="B36" i="87" s="1"/>
  <c r="B37" i="87" s="1"/>
  <c r="B38" i="87" s="1"/>
  <c r="B12" i="86"/>
  <c r="B48" i="79"/>
  <c r="B22" i="79"/>
  <c r="B49" i="79"/>
  <c r="B23" i="79"/>
  <c r="H35" i="79"/>
  <c r="H9" i="79"/>
  <c r="D56" i="89"/>
  <c r="D27" i="89"/>
  <c r="D55" i="89"/>
  <c r="D26" i="89"/>
  <c r="D54" i="89"/>
  <c r="D25" i="89"/>
  <c r="D53" i="89"/>
  <c r="D24" i="89"/>
  <c r="D52" i="89"/>
  <c r="D23" i="89"/>
  <c r="K47" i="89"/>
  <c r="K18" i="89"/>
  <c r="K46" i="89"/>
  <c r="K17" i="89"/>
  <c r="K42" i="89"/>
  <c r="K13" i="89"/>
  <c r="K41" i="89"/>
  <c r="K12" i="89"/>
  <c r="D42" i="89"/>
  <c r="D13" i="89"/>
  <c r="D41" i="89"/>
  <c r="D12" i="89"/>
  <c r="D40" i="89"/>
  <c r="D11" i="89"/>
  <c r="N33" i="89"/>
  <c r="D37" i="89" s="1"/>
  <c r="A33" i="89"/>
  <c r="N4" i="89"/>
  <c r="D8" i="89" s="1"/>
  <c r="A4" i="89"/>
  <c r="F52" i="71" l="1"/>
  <c r="D37" i="71"/>
  <c r="O38" i="87"/>
  <c r="G38" i="87"/>
  <c r="O33" i="87"/>
  <c r="G37" i="87"/>
  <c r="S38" i="87"/>
  <c r="S34" i="87"/>
  <c r="O34" i="87"/>
  <c r="J45" i="87"/>
  <c r="O35" i="87"/>
  <c r="M37" i="87"/>
  <c r="G34" i="87"/>
  <c r="M33" i="87"/>
  <c r="M35" i="87"/>
  <c r="G35" i="87"/>
  <c r="M36" i="87"/>
  <c r="J47" i="87"/>
  <c r="S35" i="87"/>
  <c r="J42" i="87"/>
  <c r="G33" i="87"/>
  <c r="K43" i="89"/>
  <c r="D43" i="89"/>
  <c r="D44" i="89" s="1"/>
  <c r="L37" i="89" s="1"/>
  <c r="D57" i="89"/>
  <c r="K48" i="89"/>
  <c r="D28" i="89"/>
  <c r="K19" i="89"/>
  <c r="K14" i="89"/>
  <c r="D14" i="89"/>
  <c r="D15" i="89" s="1"/>
  <c r="R14" i="89"/>
  <c r="H12" i="80"/>
  <c r="H11" i="80"/>
  <c r="H7" i="80"/>
  <c r="G15" i="88"/>
  <c r="K15" i="88"/>
  <c r="R15" i="88"/>
  <c r="X15" i="88"/>
  <c r="V13" i="88"/>
  <c r="AG13" i="88" s="1"/>
  <c r="R10" i="88"/>
  <c r="R9" i="88"/>
  <c r="R8" i="88"/>
  <c r="Z8" i="88" s="1"/>
  <c r="G10" i="88"/>
  <c r="G9" i="88"/>
  <c r="G8" i="88"/>
  <c r="R24" i="88"/>
  <c r="R23" i="88"/>
  <c r="X11" i="88"/>
  <c r="G24" i="88"/>
  <c r="G23" i="88"/>
  <c r="I24" i="88" s="1"/>
  <c r="E13" i="88"/>
  <c r="P26" i="87"/>
  <c r="O24" i="87"/>
  <c r="O23" i="87"/>
  <c r="O22" i="87"/>
  <c r="O21" i="87"/>
  <c r="O20" i="87"/>
  <c r="O19" i="87"/>
  <c r="O18" i="87"/>
  <c r="N26" i="87"/>
  <c r="N25" i="87"/>
  <c r="N24" i="87"/>
  <c r="N23" i="87"/>
  <c r="N22" i="87"/>
  <c r="N21" i="87"/>
  <c r="N20" i="87"/>
  <c r="N19" i="87"/>
  <c r="N18" i="87"/>
  <c r="O17" i="87"/>
  <c r="N17" i="87"/>
  <c r="F17" i="87"/>
  <c r="B80" i="84"/>
  <c r="B76" i="84"/>
  <c r="B75" i="84"/>
  <c r="B69" i="84"/>
  <c r="B66" i="84"/>
  <c r="B72" i="84" s="1"/>
  <c r="B65" i="84"/>
  <c r="B64" i="84"/>
  <c r="B63" i="84"/>
  <c r="B62" i="84"/>
  <c r="B61" i="84"/>
  <c r="B67" i="84" s="1"/>
  <c r="B79" i="82"/>
  <c r="B65" i="82"/>
  <c r="B64" i="82"/>
  <c r="B63" i="82"/>
  <c r="B69" i="82"/>
  <c r="B75" i="82"/>
  <c r="B76" i="82"/>
  <c r="B72" i="82"/>
  <c r="B66" i="82"/>
  <c r="B62" i="82"/>
  <c r="B61" i="82"/>
  <c r="K26" i="87"/>
  <c r="K25" i="87"/>
  <c r="K24" i="87"/>
  <c r="K23" i="87"/>
  <c r="K22" i="87"/>
  <c r="K21" i="87"/>
  <c r="K20" i="87"/>
  <c r="K19" i="87"/>
  <c r="K18" i="87"/>
  <c r="K17" i="87"/>
  <c r="I18" i="87"/>
  <c r="I19" i="87" s="1"/>
  <c r="I20" i="87" s="1"/>
  <c r="I21" i="87" s="1"/>
  <c r="I22" i="87" s="1"/>
  <c r="I23" i="87" s="1"/>
  <c r="I24" i="87" s="1"/>
  <c r="I25" i="87" s="1"/>
  <c r="I26" i="87" s="1"/>
  <c r="R13" i="87"/>
  <c r="R12" i="87"/>
  <c r="R11" i="87"/>
  <c r="R10" i="87"/>
  <c r="R9" i="87"/>
  <c r="R8" i="87"/>
  <c r="R7" i="87"/>
  <c r="R6" i="87"/>
  <c r="R5" i="87"/>
  <c r="R4" i="87"/>
  <c r="N5" i="87"/>
  <c r="N6" i="87" s="1"/>
  <c r="N7" i="87" s="1"/>
  <c r="N8" i="87" s="1"/>
  <c r="N9" i="87" s="1"/>
  <c r="N10" i="87" s="1"/>
  <c r="N11" i="87" s="1"/>
  <c r="N12" i="87" s="1"/>
  <c r="N13" i="87" s="1"/>
  <c r="L13" i="87"/>
  <c r="L12" i="87"/>
  <c r="L11" i="87"/>
  <c r="L10" i="87"/>
  <c r="L9" i="87"/>
  <c r="L8" i="87"/>
  <c r="L7" i="87"/>
  <c r="L6" i="87"/>
  <c r="L5" i="87"/>
  <c r="L4" i="87"/>
  <c r="O4" i="87" s="1"/>
  <c r="K13" i="87"/>
  <c r="K12" i="87"/>
  <c r="M12" i="87" s="1"/>
  <c r="K11" i="87"/>
  <c r="K10" i="87"/>
  <c r="K9" i="87"/>
  <c r="K8" i="87"/>
  <c r="K7" i="87"/>
  <c r="K6" i="87"/>
  <c r="K5" i="87"/>
  <c r="K4" i="87"/>
  <c r="J13" i="87"/>
  <c r="J12" i="87"/>
  <c r="J11" i="87"/>
  <c r="J10" i="87"/>
  <c r="J9" i="87"/>
  <c r="J8" i="87"/>
  <c r="J7" i="87"/>
  <c r="J6" i="87"/>
  <c r="J5" i="87"/>
  <c r="J4" i="87"/>
  <c r="I5" i="87"/>
  <c r="I6" i="87" s="1"/>
  <c r="I7" i="87" s="1"/>
  <c r="I8" i="87" s="1"/>
  <c r="I9" i="87" s="1"/>
  <c r="I10" i="87" s="1"/>
  <c r="I11" i="87" s="1"/>
  <c r="I12" i="87" s="1"/>
  <c r="I13" i="87" s="1"/>
  <c r="E18" i="87"/>
  <c r="E19" i="87" s="1"/>
  <c r="E20" i="87" s="1"/>
  <c r="E21" i="87" s="1"/>
  <c r="E22" i="87" s="1"/>
  <c r="E23" i="87" s="1"/>
  <c r="E24" i="87" s="1"/>
  <c r="E25" i="87" s="1"/>
  <c r="E26" i="87" s="1"/>
  <c r="F26" i="87"/>
  <c r="F25" i="87"/>
  <c r="F24" i="87"/>
  <c r="F23" i="87"/>
  <c r="F22" i="87"/>
  <c r="F21" i="87"/>
  <c r="F20" i="87"/>
  <c r="F19" i="87"/>
  <c r="F18" i="87"/>
  <c r="C26" i="87"/>
  <c r="C25" i="87"/>
  <c r="C24" i="87"/>
  <c r="C23" i="87"/>
  <c r="C22" i="87"/>
  <c r="C21" i="87"/>
  <c r="C20" i="87"/>
  <c r="C19" i="87"/>
  <c r="C18" i="87"/>
  <c r="C17" i="87"/>
  <c r="C27" i="87" s="1"/>
  <c r="B18" i="87"/>
  <c r="B19" i="87" s="1"/>
  <c r="B20" i="87" s="1"/>
  <c r="B21" i="87" s="1"/>
  <c r="B22" i="87" s="1"/>
  <c r="B23" i="87" s="1"/>
  <c r="B24" i="87" s="1"/>
  <c r="B25" i="87" s="1"/>
  <c r="B26" i="87" s="1"/>
  <c r="F13" i="87"/>
  <c r="J26" i="87" s="1"/>
  <c r="F12" i="87"/>
  <c r="F11" i="87"/>
  <c r="E5" i="87"/>
  <c r="E6" i="87" s="1"/>
  <c r="E7" i="87" s="1"/>
  <c r="E8" i="87" s="1"/>
  <c r="E9" i="87" s="1"/>
  <c r="E10" i="87" s="1"/>
  <c r="E11" i="87" s="1"/>
  <c r="E12" i="87" s="1"/>
  <c r="E13" i="87" s="1"/>
  <c r="F10" i="87"/>
  <c r="F9" i="87"/>
  <c r="J22" i="87" s="1"/>
  <c r="F8" i="87"/>
  <c r="J21" i="87" s="1"/>
  <c r="F7" i="87"/>
  <c r="F6" i="87"/>
  <c r="F5" i="87"/>
  <c r="J18" i="87" s="1"/>
  <c r="F4" i="87"/>
  <c r="J17" i="87" s="1"/>
  <c r="G13" i="87"/>
  <c r="C12" i="87"/>
  <c r="C11" i="87"/>
  <c r="C10" i="87"/>
  <c r="C9" i="87"/>
  <c r="C8" i="87"/>
  <c r="C7" i="87"/>
  <c r="C6" i="87"/>
  <c r="C5" i="87"/>
  <c r="G5" i="87" s="1"/>
  <c r="C4" i="87"/>
  <c r="B5" i="87"/>
  <c r="B6" i="87" s="1"/>
  <c r="B7" i="87" s="1"/>
  <c r="B8" i="87" s="1"/>
  <c r="B9" i="87" s="1"/>
  <c r="B10" i="87" s="1"/>
  <c r="B11" i="87" s="1"/>
  <c r="B12" i="87" s="1"/>
  <c r="B13" i="87" s="1"/>
  <c r="J24" i="87" l="1"/>
  <c r="M4" i="87"/>
  <c r="O7" i="87"/>
  <c r="S5" i="87"/>
  <c r="S13" i="87"/>
  <c r="O8" i="87"/>
  <c r="O9" i="87"/>
  <c r="F27" i="87"/>
  <c r="J25" i="87"/>
  <c r="O5" i="87"/>
  <c r="O13" i="87"/>
  <c r="M6" i="87"/>
  <c r="O12" i="87"/>
  <c r="S11" i="87"/>
  <c r="O6" i="87"/>
  <c r="M7" i="87"/>
  <c r="J23" i="87"/>
  <c r="M8" i="87"/>
  <c r="S9" i="87"/>
  <c r="M9" i="87"/>
  <c r="S10" i="87"/>
  <c r="O10" i="87"/>
  <c r="O11" i="87"/>
  <c r="J20" i="87"/>
  <c r="J19" i="87"/>
  <c r="S4" i="87"/>
  <c r="S12" i="87"/>
  <c r="M10" i="87"/>
  <c r="L42" i="89"/>
  <c r="N42" i="89" s="1"/>
  <c r="H54" i="89" s="1"/>
  <c r="L41" i="89"/>
  <c r="N41" i="89" s="1"/>
  <c r="H53" i="89" s="1"/>
  <c r="L40" i="89"/>
  <c r="L47" i="89"/>
  <c r="N47" i="89" s="1"/>
  <c r="H56" i="89" s="1"/>
  <c r="L46" i="89"/>
  <c r="L8" i="89"/>
  <c r="V15" i="88"/>
  <c r="V11" i="88"/>
  <c r="T24" i="88"/>
  <c r="R11" i="88"/>
  <c r="I10" i="88"/>
  <c r="I14" i="88"/>
  <c r="M14" i="88" s="1"/>
  <c r="I13" i="88"/>
  <c r="I9" i="88"/>
  <c r="K11" i="88"/>
  <c r="B77" i="84"/>
  <c r="B78" i="84" s="1"/>
  <c r="B79" i="84" s="1"/>
  <c r="B77" i="82"/>
  <c r="B67" i="82"/>
  <c r="S6" i="87"/>
  <c r="M11" i="87"/>
  <c r="S7" i="87"/>
  <c r="M5" i="87"/>
  <c r="S8" i="87"/>
  <c r="M13" i="87"/>
  <c r="G6" i="87"/>
  <c r="F14" i="87"/>
  <c r="G10" i="87"/>
  <c r="G7" i="87"/>
  <c r="G9" i="87"/>
  <c r="C14" i="87"/>
  <c r="G4" i="87"/>
  <c r="G11" i="87"/>
  <c r="G8" i="87"/>
  <c r="G12" i="87"/>
  <c r="L18" i="89" l="1"/>
  <c r="N18" i="89" s="1"/>
  <c r="H27" i="89" s="1"/>
  <c r="L17" i="89"/>
  <c r="N17" i="89" s="1"/>
  <c r="L13" i="89"/>
  <c r="N13" i="89" s="1"/>
  <c r="H25" i="89" s="1"/>
  <c r="L12" i="89"/>
  <c r="N12" i="89" s="1"/>
  <c r="H24" i="89" s="1"/>
  <c r="L11" i="89"/>
  <c r="L53" i="89"/>
  <c r="L43" i="89"/>
  <c r="N40" i="89"/>
  <c r="L54" i="89"/>
  <c r="N46" i="89"/>
  <c r="L48" i="89"/>
  <c r="L24" i="89"/>
  <c r="N11" i="89"/>
  <c r="I11" i="88"/>
  <c r="M13" i="88"/>
  <c r="M15" i="88" s="1"/>
  <c r="I15" i="88"/>
  <c r="T9" i="88"/>
  <c r="T14" i="88"/>
  <c r="Z14" i="88" s="1"/>
  <c r="T13" i="88"/>
  <c r="T10" i="88"/>
  <c r="B78" i="82"/>
  <c r="M53" i="85"/>
  <c r="I50" i="85"/>
  <c r="J50" i="85"/>
  <c r="K50" i="85"/>
  <c r="I13" i="85"/>
  <c r="J13" i="85"/>
  <c r="K13" i="85"/>
  <c r="K82" i="85"/>
  <c r="J82" i="85"/>
  <c r="I82" i="85"/>
  <c r="H82" i="85"/>
  <c r="G82" i="85"/>
  <c r="G87" i="85"/>
  <c r="H87" i="85" s="1"/>
  <c r="K81" i="85"/>
  <c r="J81" i="85"/>
  <c r="I81" i="85"/>
  <c r="H81" i="85"/>
  <c r="G81" i="85"/>
  <c r="R113" i="82"/>
  <c r="Q113" i="82"/>
  <c r="L19" i="89" l="1"/>
  <c r="L25" i="89"/>
  <c r="L14" i="89"/>
  <c r="H55" i="89"/>
  <c r="N48" i="89"/>
  <c r="H52" i="89"/>
  <c r="N43" i="89"/>
  <c r="N19" i="89"/>
  <c r="H26" i="89"/>
  <c r="N14" i="89"/>
  <c r="H23" i="89"/>
  <c r="Z13" i="88"/>
  <c r="T15" i="88"/>
  <c r="P13" i="88"/>
  <c r="Z10" i="88"/>
  <c r="T11" i="88"/>
  <c r="Z9" i="88"/>
  <c r="I87" i="85"/>
  <c r="J87" i="85" s="1"/>
  <c r="K87" i="85" s="1"/>
  <c r="L87" i="85" s="1"/>
  <c r="P15" i="82"/>
  <c r="O15" i="82"/>
  <c r="N15" i="82"/>
  <c r="P118" i="82"/>
  <c r="O118" i="82"/>
  <c r="N118" i="82"/>
  <c r="M116" i="82"/>
  <c r="P15" i="84"/>
  <c r="O15" i="84"/>
  <c r="O107" i="82"/>
  <c r="P107" i="82" s="1"/>
  <c r="Q107" i="82" s="1"/>
  <c r="R107" i="82" s="1"/>
  <c r="P107" i="84"/>
  <c r="P118" i="84" s="1"/>
  <c r="O107" i="84"/>
  <c r="O118" i="84" s="1"/>
  <c r="R113" i="84"/>
  <c r="Q113" i="84"/>
  <c r="M116" i="84"/>
  <c r="M187" i="82"/>
  <c r="R12" i="51"/>
  <c r="B12" i="51"/>
  <c r="C21" i="86"/>
  <c r="C22" i="86" s="1"/>
  <c r="B20" i="86"/>
  <c r="B14" i="86"/>
  <c r="Q10" i="86"/>
  <c r="B10" i="86"/>
  <c r="Q8" i="86"/>
  <c r="B8" i="86"/>
  <c r="Q6" i="86"/>
  <c r="B6" i="86"/>
  <c r="U10" i="70"/>
  <c r="U6" i="70"/>
  <c r="L4" i="54"/>
  <c r="B63" i="85"/>
  <c r="B61" i="85"/>
  <c r="B26" i="85"/>
  <c r="B24" i="85"/>
  <c r="B42" i="85"/>
  <c r="B5" i="85"/>
  <c r="N8" i="89" l="1"/>
  <c r="N37" i="89"/>
  <c r="H57" i="89"/>
  <c r="L52" i="89"/>
  <c r="L55" i="89"/>
  <c r="H28" i="89"/>
  <c r="L23" i="89"/>
  <c r="L26" i="89"/>
  <c r="Z15" i="88"/>
  <c r="AC13" i="88"/>
  <c r="Z11" i="88"/>
  <c r="Q107" i="84"/>
  <c r="R107" i="84" s="1"/>
  <c r="B22" i="86"/>
  <c r="B21" i="86"/>
  <c r="B23" i="86" l="1"/>
  <c r="H34" i="80"/>
  <c r="B43" i="80" s="1"/>
  <c r="H13" i="80"/>
  <c r="B22" i="80" s="1"/>
  <c r="H33" i="80"/>
  <c r="B42" i="80" s="1"/>
  <c r="B21" i="80"/>
  <c r="H32" i="80"/>
  <c r="B41" i="80" s="1"/>
  <c r="H6" i="80"/>
  <c r="F48" i="79"/>
  <c r="F22" i="79"/>
  <c r="B47" i="79"/>
  <c r="B21" i="79"/>
  <c r="H30" i="79"/>
  <c r="C13" i="54"/>
  <c r="B13" i="54" s="1"/>
  <c r="B12" i="54"/>
  <c r="B7" i="54"/>
  <c r="F22" i="71"/>
  <c r="D49" i="79" s="1"/>
  <c r="F21" i="71"/>
  <c r="F18" i="71"/>
  <c r="D21" i="79" s="1"/>
  <c r="D19" i="79"/>
  <c r="F25" i="89" l="1"/>
  <c r="N25" i="89" s="1"/>
  <c r="F54" i="89"/>
  <c r="N54" i="89" s="1"/>
  <c r="F26" i="89"/>
  <c r="N26" i="89" s="1"/>
  <c r="F55" i="89"/>
  <c r="N55" i="89" s="1"/>
  <c r="F53" i="89"/>
  <c r="N53" i="89" s="1"/>
  <c r="F24" i="89"/>
  <c r="N24" i="89" s="1"/>
  <c r="D20" i="79"/>
  <c r="D45" i="79"/>
  <c r="H45" i="79" s="1"/>
  <c r="F56" i="89"/>
  <c r="N56" i="89" s="1"/>
  <c r="F27" i="89"/>
  <c r="N27" i="89" s="1"/>
  <c r="D22" i="79"/>
  <c r="H22" i="79" s="1"/>
  <c r="D46" i="79"/>
  <c r="D23" i="79"/>
  <c r="D48" i="79"/>
  <c r="H48" i="79" s="1"/>
  <c r="D47" i="79"/>
  <c r="H35" i="80"/>
  <c r="B44" i="80"/>
  <c r="H14" i="80"/>
  <c r="B20" i="80"/>
  <c r="B23" i="80" s="1"/>
  <c r="C14" i="54"/>
  <c r="B14" i="54" s="1"/>
  <c r="B15" i="54" s="1"/>
  <c r="B6" i="71" l="1"/>
  <c r="F6" i="71" s="1"/>
  <c r="B7" i="71"/>
  <c r="F7" i="71" s="1"/>
  <c r="F8" i="71"/>
  <c r="F9" i="71"/>
  <c r="F5" i="71"/>
  <c r="I59" i="85"/>
  <c r="L9" i="83"/>
  <c r="I12" i="83"/>
  <c r="N12" i="83" s="1"/>
  <c r="I11" i="83"/>
  <c r="L11" i="83"/>
  <c r="N11" i="83" s="1"/>
  <c r="G59" i="52"/>
  <c r="G58" i="52"/>
  <c r="F59" i="52"/>
  <c r="F58" i="52"/>
  <c r="E59" i="52"/>
  <c r="E58" i="52"/>
  <c r="D59" i="52"/>
  <c r="D58" i="52"/>
  <c r="C59" i="52"/>
  <c r="C58" i="52"/>
  <c r="D56" i="52"/>
  <c r="E56" i="52" s="1"/>
  <c r="F56" i="52" s="1"/>
  <c r="G56" i="52" s="1"/>
  <c r="J42" i="85"/>
  <c r="K42" i="85" s="1"/>
  <c r="J41" i="85"/>
  <c r="K41" i="85" s="1"/>
  <c r="L41" i="85" s="1"/>
  <c r="M41" i="85" s="1"/>
  <c r="N18" i="83"/>
  <c r="N8" i="83"/>
  <c r="N9" i="83" s="1"/>
  <c r="N7" i="83" s="1"/>
  <c r="N26" i="83" s="1"/>
  <c r="I8" i="83"/>
  <c r="I9" i="83" s="1"/>
  <c r="I7" i="83" s="1"/>
  <c r="I26" i="83" s="1"/>
  <c r="G39" i="83"/>
  <c r="G23" i="83" s="1"/>
  <c r="G15" i="83"/>
  <c r="I15" i="83" s="1"/>
  <c r="N15" i="83" s="1"/>
  <c r="G18" i="83"/>
  <c r="I18" i="83" s="1"/>
  <c r="H7" i="85"/>
  <c r="G7" i="85"/>
  <c r="G8" i="85" s="1"/>
  <c r="I22" i="85"/>
  <c r="J5" i="85"/>
  <c r="J22" i="85" s="1"/>
  <c r="J4" i="85"/>
  <c r="K4" i="85" s="1"/>
  <c r="J59" i="85" l="1"/>
  <c r="K59" i="85"/>
  <c r="L42" i="85"/>
  <c r="L59" i="85" s="1"/>
  <c r="B10" i="71"/>
  <c r="I13" i="83"/>
  <c r="N13" i="83"/>
  <c r="H8" i="85"/>
  <c r="L4" i="85"/>
  <c r="K5" i="85"/>
  <c r="M52" i="82"/>
  <c r="M45" i="82"/>
  <c r="L45" i="82" s="1"/>
  <c r="M44" i="82"/>
  <c r="L44" i="82" s="1"/>
  <c r="K193" i="84"/>
  <c r="J193" i="84"/>
  <c r="I193" i="84"/>
  <c r="H193" i="84"/>
  <c r="G193" i="84"/>
  <c r="F193" i="84"/>
  <c r="E193" i="84"/>
  <c r="D193" i="84"/>
  <c r="C193" i="84"/>
  <c r="B193" i="84"/>
  <c r="K192" i="84"/>
  <c r="J192" i="84"/>
  <c r="I192" i="84"/>
  <c r="H192" i="84"/>
  <c r="G192" i="84"/>
  <c r="F192" i="84"/>
  <c r="E192" i="84"/>
  <c r="D192" i="84"/>
  <c r="C192" i="84"/>
  <c r="B192" i="84"/>
  <c r="K188" i="84"/>
  <c r="J188" i="84"/>
  <c r="I188" i="84"/>
  <c r="H188" i="84"/>
  <c r="G188" i="84"/>
  <c r="F188" i="84"/>
  <c r="E188" i="84"/>
  <c r="D188" i="84"/>
  <c r="C188" i="84"/>
  <c r="B188" i="84"/>
  <c r="K187" i="84"/>
  <c r="J187" i="84"/>
  <c r="I187" i="84"/>
  <c r="H187" i="84"/>
  <c r="G187" i="84"/>
  <c r="G189" i="84" s="1"/>
  <c r="F187" i="84"/>
  <c r="E187" i="84"/>
  <c r="D187" i="84"/>
  <c r="C187" i="84"/>
  <c r="B187" i="84"/>
  <c r="K186" i="84"/>
  <c r="J186" i="84"/>
  <c r="I186" i="84"/>
  <c r="I189" i="84" s="1"/>
  <c r="H186" i="84"/>
  <c r="G186" i="84"/>
  <c r="F186" i="84"/>
  <c r="E186" i="84"/>
  <c r="D186" i="84"/>
  <c r="C186" i="84"/>
  <c r="B186" i="84"/>
  <c r="K183" i="84"/>
  <c r="J183" i="84"/>
  <c r="I183" i="84"/>
  <c r="H183" i="84"/>
  <c r="G183" i="84"/>
  <c r="F183" i="84"/>
  <c r="E183" i="84"/>
  <c r="D183" i="84"/>
  <c r="C183" i="84"/>
  <c r="B183" i="84"/>
  <c r="K182" i="84"/>
  <c r="J182" i="84"/>
  <c r="I182" i="84"/>
  <c r="H182" i="84"/>
  <c r="G182" i="84"/>
  <c r="F182" i="84"/>
  <c r="E182" i="84"/>
  <c r="D182" i="84"/>
  <c r="C182" i="84"/>
  <c r="B182" i="84"/>
  <c r="K174" i="84"/>
  <c r="J174" i="84"/>
  <c r="I174" i="84"/>
  <c r="H174" i="84"/>
  <c r="G174" i="84"/>
  <c r="F174" i="84"/>
  <c r="E174" i="84"/>
  <c r="D174" i="84"/>
  <c r="C174" i="84"/>
  <c r="B174" i="84"/>
  <c r="K173" i="84"/>
  <c r="J173" i="84"/>
  <c r="I173" i="84"/>
  <c r="H173" i="84"/>
  <c r="G173" i="84"/>
  <c r="F173" i="84"/>
  <c r="E173" i="84"/>
  <c r="D173" i="84"/>
  <c r="C173" i="84"/>
  <c r="B173" i="84"/>
  <c r="K170" i="84"/>
  <c r="J170" i="84"/>
  <c r="I170" i="84"/>
  <c r="H170" i="84"/>
  <c r="G170" i="84"/>
  <c r="F170" i="84"/>
  <c r="E170" i="84"/>
  <c r="D170" i="84"/>
  <c r="C170" i="84"/>
  <c r="B170" i="84"/>
  <c r="R165" i="84"/>
  <c r="Q165" i="84"/>
  <c r="P165" i="84"/>
  <c r="O165" i="84"/>
  <c r="N165" i="84"/>
  <c r="K164" i="84"/>
  <c r="J164" i="84"/>
  <c r="I164" i="84"/>
  <c r="H164" i="84"/>
  <c r="G164" i="84"/>
  <c r="F164" i="84"/>
  <c r="E164" i="84"/>
  <c r="D164" i="84"/>
  <c r="C164" i="84"/>
  <c r="B164" i="84"/>
  <c r="R163" i="84"/>
  <c r="Q163" i="84"/>
  <c r="P163" i="84"/>
  <c r="O163" i="84"/>
  <c r="N163" i="84"/>
  <c r="R162" i="84"/>
  <c r="Q162" i="84"/>
  <c r="P162" i="84"/>
  <c r="O162" i="84"/>
  <c r="N162" i="84"/>
  <c r="K162" i="84"/>
  <c r="J162" i="84"/>
  <c r="I162" i="84"/>
  <c r="H162" i="84"/>
  <c r="G162" i="84"/>
  <c r="F162" i="84"/>
  <c r="E162" i="84"/>
  <c r="D162" i="84"/>
  <c r="C162" i="84"/>
  <c r="O160" i="84"/>
  <c r="P160" i="84" s="1"/>
  <c r="Q160" i="84" s="1"/>
  <c r="R160" i="84" s="1"/>
  <c r="I155" i="84"/>
  <c r="H155" i="84"/>
  <c r="H157" i="84" s="1"/>
  <c r="G155" i="84"/>
  <c r="G157" i="84" s="1"/>
  <c r="F155" i="84"/>
  <c r="F157" i="84" s="1"/>
  <c r="E155" i="84"/>
  <c r="D155" i="84"/>
  <c r="D157" i="84" s="1"/>
  <c r="C155" i="84"/>
  <c r="Q145" i="84"/>
  <c r="Q143" i="84"/>
  <c r="K134" i="84"/>
  <c r="J134" i="84"/>
  <c r="I134" i="84"/>
  <c r="H134" i="84"/>
  <c r="G134" i="84"/>
  <c r="F134" i="84"/>
  <c r="E134" i="84"/>
  <c r="D134" i="84"/>
  <c r="C134" i="84"/>
  <c r="B134" i="84"/>
  <c r="K133" i="84"/>
  <c r="J133" i="84"/>
  <c r="I133" i="84"/>
  <c r="I135" i="84" s="1"/>
  <c r="H133" i="84"/>
  <c r="H135" i="84" s="1"/>
  <c r="G133" i="84"/>
  <c r="G135" i="84" s="1"/>
  <c r="P136" i="84" s="1"/>
  <c r="Q136" i="84" s="1"/>
  <c r="R136" i="84" s="1"/>
  <c r="F133" i="84"/>
  <c r="F135" i="84" s="1"/>
  <c r="E133" i="84"/>
  <c r="D133" i="84"/>
  <c r="C133" i="84"/>
  <c r="B133" i="84"/>
  <c r="K129" i="84"/>
  <c r="J129" i="84"/>
  <c r="I129" i="84"/>
  <c r="H129" i="84"/>
  <c r="G129" i="84"/>
  <c r="F129" i="84"/>
  <c r="E129" i="84"/>
  <c r="D129" i="84"/>
  <c r="C129" i="84"/>
  <c r="B129" i="84"/>
  <c r="K128" i="84"/>
  <c r="J128" i="84"/>
  <c r="I128" i="84"/>
  <c r="H128" i="84"/>
  <c r="G128" i="84"/>
  <c r="F128" i="84"/>
  <c r="E128" i="84"/>
  <c r="D128" i="84"/>
  <c r="C128" i="84"/>
  <c r="B128" i="84"/>
  <c r="K124" i="84"/>
  <c r="J124" i="84"/>
  <c r="I124" i="84"/>
  <c r="H124" i="84"/>
  <c r="G124" i="84"/>
  <c r="F124" i="84"/>
  <c r="E124" i="84"/>
  <c r="D124" i="84"/>
  <c r="C124" i="84"/>
  <c r="B124" i="84"/>
  <c r="K123" i="84"/>
  <c r="J123" i="84"/>
  <c r="I123" i="84"/>
  <c r="H123" i="84"/>
  <c r="G123" i="84"/>
  <c r="F123" i="84"/>
  <c r="E123" i="84"/>
  <c r="D123" i="84"/>
  <c r="C123" i="84"/>
  <c r="B123" i="84"/>
  <c r="O121" i="84"/>
  <c r="P121" i="84" s="1"/>
  <c r="Q121" i="84" s="1"/>
  <c r="R121" i="84" s="1"/>
  <c r="K113" i="84"/>
  <c r="J113" i="84"/>
  <c r="I113" i="84"/>
  <c r="H113" i="84"/>
  <c r="G113" i="84"/>
  <c r="F113" i="84"/>
  <c r="E113" i="84"/>
  <c r="D113" i="84"/>
  <c r="C113" i="84"/>
  <c r="B113" i="84"/>
  <c r="R102" i="84"/>
  <c r="Q102" i="84"/>
  <c r="P102" i="84"/>
  <c r="O102" i="84"/>
  <c r="N102" i="84"/>
  <c r="O100" i="84"/>
  <c r="N100" i="84"/>
  <c r="P99" i="84"/>
  <c r="Q99" i="84" s="1"/>
  <c r="R99" i="84" s="1"/>
  <c r="E99" i="84"/>
  <c r="P98" i="84"/>
  <c r="P100" i="84" s="1"/>
  <c r="K89" i="84"/>
  <c r="K99" i="84" s="1"/>
  <c r="J89" i="84"/>
  <c r="J94" i="84" s="1"/>
  <c r="I89" i="84"/>
  <c r="H89" i="84"/>
  <c r="G89" i="84"/>
  <c r="F89" i="84"/>
  <c r="F94" i="84" s="1"/>
  <c r="E89" i="84"/>
  <c r="D89" i="84"/>
  <c r="D99" i="84" s="1"/>
  <c r="C89" i="84"/>
  <c r="C99" i="84" s="1"/>
  <c r="B89" i="84"/>
  <c r="B99" i="84" s="1"/>
  <c r="K88" i="84"/>
  <c r="M88" i="84" s="1"/>
  <c r="J88" i="84"/>
  <c r="J98" i="84" s="1"/>
  <c r="I88" i="84"/>
  <c r="I98" i="84" s="1"/>
  <c r="H88" i="84"/>
  <c r="G88" i="84"/>
  <c r="F88" i="84"/>
  <c r="E88" i="84"/>
  <c r="F93" i="84" s="1"/>
  <c r="D88" i="84"/>
  <c r="E93" i="84" s="1"/>
  <c r="C88" i="84"/>
  <c r="C98" i="84" s="1"/>
  <c r="B88" i="84"/>
  <c r="B98" i="84" s="1"/>
  <c r="K87" i="84"/>
  <c r="K97" i="84" s="1"/>
  <c r="J87" i="84"/>
  <c r="J97" i="84" s="1"/>
  <c r="I87" i="84"/>
  <c r="I97" i="84" s="1"/>
  <c r="H87" i="84"/>
  <c r="H97" i="84" s="1"/>
  <c r="G87" i="84"/>
  <c r="F87" i="84"/>
  <c r="E87" i="84"/>
  <c r="E97" i="84" s="1"/>
  <c r="D87" i="84"/>
  <c r="D97" i="84" s="1"/>
  <c r="C87" i="84"/>
  <c r="C97" i="84" s="1"/>
  <c r="B87" i="84"/>
  <c r="B97" i="84" s="1"/>
  <c r="O84" i="84"/>
  <c r="P84" i="84" s="1"/>
  <c r="Q84" i="84" s="1"/>
  <c r="R84" i="84" s="1"/>
  <c r="B81" i="84"/>
  <c r="C79" i="84"/>
  <c r="K76" i="84"/>
  <c r="M76" i="84" s="1"/>
  <c r="J76" i="84"/>
  <c r="I76" i="84"/>
  <c r="H76" i="84"/>
  <c r="G76" i="84"/>
  <c r="F76" i="84"/>
  <c r="E76" i="84"/>
  <c r="D76" i="84"/>
  <c r="C76" i="84"/>
  <c r="K75" i="84"/>
  <c r="M75" i="84" s="1"/>
  <c r="J75" i="84"/>
  <c r="I75" i="84"/>
  <c r="H75" i="84"/>
  <c r="G75" i="84"/>
  <c r="F75" i="84"/>
  <c r="E75" i="84"/>
  <c r="D75" i="84"/>
  <c r="C75" i="84"/>
  <c r="K73" i="84"/>
  <c r="J73" i="84"/>
  <c r="I73" i="84"/>
  <c r="H73" i="84"/>
  <c r="G73" i="84"/>
  <c r="F73" i="84"/>
  <c r="E73" i="84"/>
  <c r="D73" i="84"/>
  <c r="C73" i="84"/>
  <c r="I72" i="84"/>
  <c r="K71" i="84"/>
  <c r="J71" i="84"/>
  <c r="I71" i="84"/>
  <c r="H71" i="84"/>
  <c r="G71" i="84"/>
  <c r="F71" i="84"/>
  <c r="E71" i="84"/>
  <c r="D71" i="84"/>
  <c r="C71" i="84"/>
  <c r="K70" i="84"/>
  <c r="J70" i="84"/>
  <c r="I70" i="84"/>
  <c r="H70" i="84"/>
  <c r="G70" i="84"/>
  <c r="F70" i="84"/>
  <c r="E70" i="84"/>
  <c r="D70" i="84"/>
  <c r="C70" i="84"/>
  <c r="K69" i="84"/>
  <c r="J69" i="84"/>
  <c r="I69" i="84"/>
  <c r="H69" i="84"/>
  <c r="G69" i="84"/>
  <c r="F69" i="84"/>
  <c r="E69" i="84"/>
  <c r="D69" i="84"/>
  <c r="C69" i="84"/>
  <c r="L67" i="84"/>
  <c r="K66" i="84"/>
  <c r="K72" i="84" s="1"/>
  <c r="M72" i="84" s="1"/>
  <c r="J66" i="84"/>
  <c r="J72" i="84" s="1"/>
  <c r="I66" i="84"/>
  <c r="H66" i="84"/>
  <c r="H72" i="84" s="1"/>
  <c r="G66" i="84"/>
  <c r="G72" i="84" s="1"/>
  <c r="F66" i="84"/>
  <c r="F72" i="84" s="1"/>
  <c r="E66" i="84"/>
  <c r="E72" i="84" s="1"/>
  <c r="D66" i="84"/>
  <c r="D72" i="84" s="1"/>
  <c r="C66" i="84"/>
  <c r="C72" i="84" s="1"/>
  <c r="K65" i="84"/>
  <c r="M65" i="84" s="1"/>
  <c r="J65" i="84"/>
  <c r="I65" i="84"/>
  <c r="H65" i="84"/>
  <c r="G65" i="84"/>
  <c r="F65" i="84"/>
  <c r="E65" i="84"/>
  <c r="D65" i="84"/>
  <c r="C65" i="84"/>
  <c r="R63" i="84"/>
  <c r="Q63" i="84"/>
  <c r="P63" i="84"/>
  <c r="O63" i="84"/>
  <c r="N63" i="84"/>
  <c r="K63" i="84"/>
  <c r="M63" i="84" s="1"/>
  <c r="J63" i="84"/>
  <c r="I63" i="84"/>
  <c r="H63" i="84"/>
  <c r="G63" i="84"/>
  <c r="F63" i="84"/>
  <c r="E63" i="84"/>
  <c r="D63" i="84"/>
  <c r="C63" i="84"/>
  <c r="M62" i="84"/>
  <c r="K62" i="84"/>
  <c r="J62" i="84"/>
  <c r="I62" i="84"/>
  <c r="H62" i="84"/>
  <c r="G62" i="84"/>
  <c r="F62" i="84"/>
  <c r="E62" i="84"/>
  <c r="D62" i="84"/>
  <c r="C62" i="84"/>
  <c r="O58" i="84"/>
  <c r="P58" i="84" s="1"/>
  <c r="Q58" i="84" s="1"/>
  <c r="R58" i="84" s="1"/>
  <c r="K55" i="84"/>
  <c r="J55" i="84"/>
  <c r="I55" i="84"/>
  <c r="H55" i="84"/>
  <c r="G55" i="84"/>
  <c r="F55" i="84"/>
  <c r="E55" i="84"/>
  <c r="D55" i="84"/>
  <c r="C55" i="84"/>
  <c r="B55" i="84"/>
  <c r="M43" i="84"/>
  <c r="M113" i="84" s="1"/>
  <c r="M42" i="84"/>
  <c r="M39" i="84"/>
  <c r="N39" i="84" s="1"/>
  <c r="O39" i="84" s="1"/>
  <c r="P39" i="84" s="1"/>
  <c r="Q39" i="84" s="1"/>
  <c r="R39" i="84" s="1"/>
  <c r="M38" i="84"/>
  <c r="L38" i="84"/>
  <c r="M37" i="84"/>
  <c r="M36" i="84"/>
  <c r="L35" i="84"/>
  <c r="L40" i="84" s="1"/>
  <c r="M34" i="84"/>
  <c r="N34" i="84" s="1"/>
  <c r="O34" i="84" s="1"/>
  <c r="M33" i="84"/>
  <c r="M32" i="84"/>
  <c r="M31" i="84"/>
  <c r="M133" i="84" s="1"/>
  <c r="O29" i="84"/>
  <c r="P29" i="84" s="1"/>
  <c r="Q29" i="84" s="1"/>
  <c r="R29" i="84" s="1"/>
  <c r="M24" i="84"/>
  <c r="N24" i="84" s="1"/>
  <c r="O24" i="84" s="1"/>
  <c r="P24" i="84" s="1"/>
  <c r="Q24" i="84" s="1"/>
  <c r="R24" i="84" s="1"/>
  <c r="M21" i="84"/>
  <c r="N21" i="84" s="1"/>
  <c r="O21" i="84" s="1"/>
  <c r="P21" i="84" s="1"/>
  <c r="Q21" i="84" s="1"/>
  <c r="R21" i="84" s="1"/>
  <c r="L20" i="84"/>
  <c r="M20" i="84" s="1"/>
  <c r="N20" i="84" s="1"/>
  <c r="O20" i="84" s="1"/>
  <c r="P20" i="84" s="1"/>
  <c r="Q20" i="84" s="1"/>
  <c r="R20" i="84" s="1"/>
  <c r="M15" i="84"/>
  <c r="M14" i="84"/>
  <c r="M13" i="84"/>
  <c r="M12" i="84"/>
  <c r="R10" i="84"/>
  <c r="R62" i="84" s="1"/>
  <c r="Q10" i="84"/>
  <c r="Q62" i="84" s="1"/>
  <c r="P10" i="84"/>
  <c r="P62" i="84" s="1"/>
  <c r="O10" i="84"/>
  <c r="O62" i="84" s="1"/>
  <c r="N10" i="84"/>
  <c r="N62" i="84" s="1"/>
  <c r="M10" i="84"/>
  <c r="M9" i="84"/>
  <c r="L8" i="84"/>
  <c r="L11" i="84" s="1"/>
  <c r="L16" i="84" s="1"/>
  <c r="K8" i="84"/>
  <c r="K163" i="84" s="1"/>
  <c r="J8" i="84"/>
  <c r="J163" i="84" s="1"/>
  <c r="I8" i="84"/>
  <c r="H8" i="84"/>
  <c r="H163" i="84" s="1"/>
  <c r="G8" i="84"/>
  <c r="G163" i="84" s="1"/>
  <c r="F8" i="84"/>
  <c r="F163" i="84" s="1"/>
  <c r="E8" i="84"/>
  <c r="E163" i="84" s="1"/>
  <c r="D8" i="84"/>
  <c r="D163" i="84" s="1"/>
  <c r="C8" i="84"/>
  <c r="C163" i="84" s="1"/>
  <c r="B8" i="84"/>
  <c r="B163" i="84" s="1"/>
  <c r="M7" i="84"/>
  <c r="M6" i="84"/>
  <c r="O4" i="84"/>
  <c r="P4" i="84" s="1"/>
  <c r="Q4" i="84" s="1"/>
  <c r="R4" i="84" s="1"/>
  <c r="K135" i="82"/>
  <c r="K134" i="82"/>
  <c r="K133" i="82"/>
  <c r="J134" i="82"/>
  <c r="J133" i="82"/>
  <c r="I134" i="82"/>
  <c r="I133" i="82"/>
  <c r="I135" i="82" s="1"/>
  <c r="H134" i="82"/>
  <c r="H133" i="82"/>
  <c r="G134" i="82"/>
  <c r="G135" i="82" s="1"/>
  <c r="P136" i="82" s="1"/>
  <c r="Q136" i="82" s="1"/>
  <c r="R136" i="82" s="1"/>
  <c r="G133" i="82"/>
  <c r="F134" i="82"/>
  <c r="F135" i="82" s="1"/>
  <c r="F133" i="82"/>
  <c r="E134" i="82"/>
  <c r="E133" i="82"/>
  <c r="D134" i="82"/>
  <c r="D133" i="82"/>
  <c r="D135" i="82" s="1"/>
  <c r="C134" i="82"/>
  <c r="C133" i="82"/>
  <c r="B135" i="82"/>
  <c r="B134" i="82"/>
  <c r="B133" i="82"/>
  <c r="L12" i="83"/>
  <c r="L18" i="83"/>
  <c r="L15" i="83"/>
  <c r="Q36" i="83"/>
  <c r="Q35" i="83"/>
  <c r="Q34" i="83"/>
  <c r="Q33" i="83"/>
  <c r="G36" i="83"/>
  <c r="G35" i="83"/>
  <c r="G34" i="83"/>
  <c r="G33" i="83"/>
  <c r="L7" i="83"/>
  <c r="L26" i="83" s="1"/>
  <c r="G4" i="83"/>
  <c r="J183" i="82"/>
  <c r="I183" i="82"/>
  <c r="H183" i="82"/>
  <c r="G183" i="82"/>
  <c r="F183" i="82"/>
  <c r="E183" i="82"/>
  <c r="D183" i="82"/>
  <c r="C183" i="82"/>
  <c r="B183" i="82"/>
  <c r="K183" i="82"/>
  <c r="K174" i="82"/>
  <c r="L12" i="51" s="1"/>
  <c r="J174" i="82"/>
  <c r="I174" i="82"/>
  <c r="F39" i="83" s="1"/>
  <c r="H174" i="82"/>
  <c r="G174" i="82"/>
  <c r="F174" i="82"/>
  <c r="E174" i="82"/>
  <c r="D174" i="82"/>
  <c r="C174" i="82"/>
  <c r="B174" i="82"/>
  <c r="K173" i="82"/>
  <c r="N12" i="51" s="1"/>
  <c r="J173" i="82"/>
  <c r="I173" i="82"/>
  <c r="H173" i="82"/>
  <c r="G173" i="82"/>
  <c r="F173" i="82"/>
  <c r="E173" i="82"/>
  <c r="D173" i="82"/>
  <c r="C173" i="82"/>
  <c r="B173" i="82"/>
  <c r="E48" i="83" s="1"/>
  <c r="F48" i="83" s="1"/>
  <c r="G13" i="83"/>
  <c r="L52" i="82" l="1"/>
  <c r="N52" i="82"/>
  <c r="O52" i="82" s="1"/>
  <c r="P52" i="82" s="1"/>
  <c r="Q52" i="82" s="1"/>
  <c r="R52" i="82" s="1"/>
  <c r="M42" i="85"/>
  <c r="M59" i="85" s="1"/>
  <c r="E47" i="83"/>
  <c r="F47" i="83" s="1"/>
  <c r="E46" i="83"/>
  <c r="E45" i="83"/>
  <c r="F45" i="83" s="1"/>
  <c r="E135" i="82"/>
  <c r="E44" i="83"/>
  <c r="F44" i="83" s="1"/>
  <c r="E43" i="83"/>
  <c r="F43" i="83" s="1"/>
  <c r="J135" i="82"/>
  <c r="E42" i="83"/>
  <c r="F42" i="83" s="1"/>
  <c r="C135" i="82"/>
  <c r="H135" i="82"/>
  <c r="E41" i="83"/>
  <c r="F41" i="83" s="1"/>
  <c r="C135" i="84"/>
  <c r="K135" i="84"/>
  <c r="F99" i="84"/>
  <c r="F131" i="84"/>
  <c r="D135" i="84"/>
  <c r="I94" i="84"/>
  <c r="J114" i="84"/>
  <c r="F90" i="84"/>
  <c r="G91" i="84" s="1"/>
  <c r="H131" i="84"/>
  <c r="G90" i="84"/>
  <c r="D114" i="84"/>
  <c r="E131" i="84"/>
  <c r="E156" i="84" s="1"/>
  <c r="F189" i="84"/>
  <c r="D94" i="84"/>
  <c r="E114" i="84"/>
  <c r="B135" i="84"/>
  <c r="J135" i="84"/>
  <c r="H90" i="84"/>
  <c r="H91" i="84" s="1"/>
  <c r="H64" i="84" s="1"/>
  <c r="G114" i="84"/>
  <c r="B131" i="84"/>
  <c r="C156" i="84" s="1"/>
  <c r="F114" i="84"/>
  <c r="M8" i="84"/>
  <c r="M11" i="84" s="1"/>
  <c r="E94" i="84"/>
  <c r="J92" i="84"/>
  <c r="H114" i="84"/>
  <c r="C131" i="84"/>
  <c r="D156" i="84" s="1"/>
  <c r="K131" i="84"/>
  <c r="M66" i="84"/>
  <c r="M134" i="84"/>
  <c r="M135" i="84" s="1"/>
  <c r="B100" i="84"/>
  <c r="C93" i="84"/>
  <c r="I114" i="84"/>
  <c r="D131" i="84"/>
  <c r="C189" i="84"/>
  <c r="K189" i="84"/>
  <c r="K94" i="84"/>
  <c r="L18" i="84"/>
  <c r="C100" i="84"/>
  <c r="J93" i="84"/>
  <c r="D189" i="84"/>
  <c r="D90" i="84"/>
  <c r="K93" i="84"/>
  <c r="C114" i="84"/>
  <c r="K114" i="84"/>
  <c r="N6" i="84"/>
  <c r="N87" i="84" s="1"/>
  <c r="N32" i="84" s="1"/>
  <c r="D11" i="84"/>
  <c r="D107" i="84" s="1"/>
  <c r="E90" i="84"/>
  <c r="D93" i="84"/>
  <c r="C94" i="84"/>
  <c r="K98" i="84"/>
  <c r="K100" i="84" s="1"/>
  <c r="E135" i="84"/>
  <c r="H189" i="84"/>
  <c r="N36" i="84"/>
  <c r="O36" i="84" s="1"/>
  <c r="T34" i="83"/>
  <c r="M4" i="85"/>
  <c r="K22" i="85"/>
  <c r="L5" i="85"/>
  <c r="D168" i="84"/>
  <c r="M114" i="84"/>
  <c r="I100" i="84"/>
  <c r="I163" i="84"/>
  <c r="I11" i="84"/>
  <c r="P34" i="84"/>
  <c r="E11" i="84"/>
  <c r="M93" i="84"/>
  <c r="I92" i="84"/>
  <c r="F11" i="84"/>
  <c r="N37" i="84"/>
  <c r="O37" i="84" s="1"/>
  <c r="P37" i="84" s="1"/>
  <c r="Q37" i="84" s="1"/>
  <c r="R37" i="84" s="1"/>
  <c r="H92" i="84"/>
  <c r="G97" i="84"/>
  <c r="G94" i="84"/>
  <c r="G99" i="84"/>
  <c r="G131" i="84"/>
  <c r="G11" i="84"/>
  <c r="H94" i="84"/>
  <c r="H99" i="84"/>
  <c r="E157" i="84"/>
  <c r="H11" i="84"/>
  <c r="I131" i="84"/>
  <c r="I156" i="84" s="1"/>
  <c r="B189" i="84"/>
  <c r="J189" i="84"/>
  <c r="M35" i="84"/>
  <c r="G93" i="84"/>
  <c r="E189" i="84"/>
  <c r="B11" i="84"/>
  <c r="J11" i="84"/>
  <c r="H93" i="84"/>
  <c r="G98" i="84"/>
  <c r="C11" i="84"/>
  <c r="K11" i="84"/>
  <c r="E91" i="84"/>
  <c r="I93" i="84"/>
  <c r="H98" i="84"/>
  <c r="H100" i="84" s="1"/>
  <c r="D100" i="84"/>
  <c r="I90" i="84"/>
  <c r="C92" i="84"/>
  <c r="K92" i="84"/>
  <c r="F97" i="84"/>
  <c r="D98" i="84"/>
  <c r="I157" i="84"/>
  <c r="B90" i="84"/>
  <c r="C91" i="84" s="1"/>
  <c r="J90" i="84"/>
  <c r="D92" i="84"/>
  <c r="E98" i="84"/>
  <c r="E100" i="84" s="1"/>
  <c r="Q98" i="84"/>
  <c r="C90" i="84"/>
  <c r="D91" i="84" s="1"/>
  <c r="K90" i="84"/>
  <c r="E92" i="84"/>
  <c r="F98" i="84"/>
  <c r="I99" i="84"/>
  <c r="C157" i="84"/>
  <c r="M87" i="84"/>
  <c r="M92" i="84" s="1"/>
  <c r="M89" i="84"/>
  <c r="M94" i="84" s="1"/>
  <c r="F92" i="84"/>
  <c r="J99" i="84"/>
  <c r="J100" i="84" s="1"/>
  <c r="J131" i="84"/>
  <c r="G92" i="84"/>
  <c r="L13" i="83"/>
  <c r="T36" i="83"/>
  <c r="Q37" i="83"/>
  <c r="T35" i="83"/>
  <c r="T33" i="83"/>
  <c r="L4" i="83"/>
  <c r="G9" i="83"/>
  <c r="G7" i="83" s="1"/>
  <c r="F46" i="83" l="1"/>
  <c r="E39" i="83"/>
  <c r="G156" i="84"/>
  <c r="F156" i="84"/>
  <c r="F100" i="84"/>
  <c r="F91" i="84"/>
  <c r="F64" i="84" s="1"/>
  <c r="D18" i="84"/>
  <c r="D176" i="84" s="1"/>
  <c r="D175" i="84"/>
  <c r="D165" i="84"/>
  <c r="H95" i="84"/>
  <c r="O6" i="84"/>
  <c r="O8" i="84" s="1"/>
  <c r="O7" i="84" s="1"/>
  <c r="D16" i="84"/>
  <c r="D167" i="84" s="1"/>
  <c r="N8" i="84"/>
  <c r="N7" i="84" s="1"/>
  <c r="N88" i="84" s="1"/>
  <c r="N11" i="84"/>
  <c r="N9" i="84" s="1"/>
  <c r="N164" i="84" s="1"/>
  <c r="L22" i="85"/>
  <c r="M5" i="85"/>
  <c r="M22" i="85" s="1"/>
  <c r="I168" i="84"/>
  <c r="I107" i="84"/>
  <c r="I175" i="84"/>
  <c r="I165" i="84"/>
  <c r="I18" i="84"/>
  <c r="I16" i="84"/>
  <c r="D110" i="84"/>
  <c r="D109" i="84"/>
  <c r="G168" i="84"/>
  <c r="G107" i="84"/>
  <c r="G175" i="84"/>
  <c r="G165" i="84"/>
  <c r="G18" i="84"/>
  <c r="G16" i="84"/>
  <c r="G100" i="84"/>
  <c r="D166" i="84"/>
  <c r="J91" i="84"/>
  <c r="K91" i="84"/>
  <c r="K175" i="84"/>
  <c r="K165" i="84"/>
  <c r="K18" i="84"/>
  <c r="K16" i="84"/>
  <c r="K168" i="84"/>
  <c r="K107" i="84"/>
  <c r="D191" i="84"/>
  <c r="M175" i="84"/>
  <c r="M18" i="84"/>
  <c r="M176" i="84" s="1"/>
  <c r="M16" i="84"/>
  <c r="C95" i="84"/>
  <c r="C64" i="84"/>
  <c r="C175" i="84"/>
  <c r="C165" i="84"/>
  <c r="C18" i="84"/>
  <c r="C16" i="84"/>
  <c r="C107" i="84"/>
  <c r="C168" i="84"/>
  <c r="J175" i="84"/>
  <c r="J165" i="84"/>
  <c r="J18" i="84"/>
  <c r="J191" i="84" s="1"/>
  <c r="J16" i="84"/>
  <c r="J168" i="84"/>
  <c r="J107" i="84"/>
  <c r="N38" i="84"/>
  <c r="I91" i="84"/>
  <c r="Q100" i="84"/>
  <c r="R98" i="84"/>
  <c r="R100" i="84" s="1"/>
  <c r="E64" i="84"/>
  <c r="E95" i="84"/>
  <c r="E165" i="84"/>
  <c r="E168" i="84"/>
  <c r="E107" i="84"/>
  <c r="E175" i="84"/>
  <c r="E18" i="84"/>
  <c r="E191" i="84" s="1"/>
  <c r="E16" i="84"/>
  <c r="O87" i="84"/>
  <c r="B175" i="84"/>
  <c r="B165" i="84"/>
  <c r="B107" i="84"/>
  <c r="B18" i="84"/>
  <c r="B191" i="84" s="1"/>
  <c r="B16" i="84"/>
  <c r="B168" i="84"/>
  <c r="H168" i="84"/>
  <c r="H107" i="84"/>
  <c r="H175" i="84"/>
  <c r="H165" i="84"/>
  <c r="H18" i="84"/>
  <c r="H16" i="84"/>
  <c r="F165" i="84"/>
  <c r="F168" i="84"/>
  <c r="F107" i="84"/>
  <c r="F175" i="84"/>
  <c r="F18" i="84"/>
  <c r="F16" i="84"/>
  <c r="G95" i="84"/>
  <c r="G64" i="84"/>
  <c r="P36" i="84"/>
  <c r="O38" i="84"/>
  <c r="Q34" i="84"/>
  <c r="M90" i="84"/>
  <c r="M91" i="84" s="1"/>
  <c r="M95" i="84" s="1"/>
  <c r="N92" i="84"/>
  <c r="D64" i="84"/>
  <c r="D95" i="84"/>
  <c r="H156" i="84"/>
  <c r="T37" i="83"/>
  <c r="G37" i="83" s="1"/>
  <c r="G26" i="83"/>
  <c r="I39" i="83" l="1"/>
  <c r="G24" i="83"/>
  <c r="F95" i="84"/>
  <c r="N89" i="84"/>
  <c r="D169" i="84"/>
  <c r="D61" i="84"/>
  <c r="D74" i="84" s="1"/>
  <c r="D77" i="84" s="1"/>
  <c r="O11" i="84"/>
  <c r="O9" i="84" s="1"/>
  <c r="O164" i="84" s="1"/>
  <c r="N18" i="84"/>
  <c r="N166" i="84" s="1"/>
  <c r="D179" i="84"/>
  <c r="P6" i="84"/>
  <c r="Q6" i="84" s="1"/>
  <c r="N134" i="84"/>
  <c r="L24" i="83"/>
  <c r="I23" i="83"/>
  <c r="N23" i="83" s="1"/>
  <c r="L23" i="83"/>
  <c r="H167" i="84"/>
  <c r="H169" i="84"/>
  <c r="H61" i="84"/>
  <c r="O89" i="84"/>
  <c r="O88" i="84"/>
  <c r="O93" i="84" s="1"/>
  <c r="N33" i="84"/>
  <c r="N93" i="84"/>
  <c r="N90" i="84"/>
  <c r="N91" i="84" s="1"/>
  <c r="I169" i="84"/>
  <c r="I167" i="84"/>
  <c r="I61" i="84"/>
  <c r="Q36" i="84"/>
  <c r="P38" i="84"/>
  <c r="K95" i="84"/>
  <c r="K64" i="84"/>
  <c r="M64" i="84" s="1"/>
  <c r="H176" i="84"/>
  <c r="H166" i="84"/>
  <c r="H179" i="84"/>
  <c r="H191" i="84"/>
  <c r="G166" i="84"/>
  <c r="G176" i="84"/>
  <c r="G179" i="84"/>
  <c r="G191" i="84"/>
  <c r="O32" i="84"/>
  <c r="O92" i="84"/>
  <c r="N94" i="84"/>
  <c r="N42" i="84"/>
  <c r="I176" i="84"/>
  <c r="I179" i="84"/>
  <c r="I166" i="84"/>
  <c r="I191" i="84"/>
  <c r="F167" i="84"/>
  <c r="F169" i="84"/>
  <c r="F61" i="84"/>
  <c r="C110" i="84"/>
  <c r="C109" i="84"/>
  <c r="F179" i="84"/>
  <c r="F166" i="84"/>
  <c r="F176" i="84"/>
  <c r="F191" i="84"/>
  <c r="B110" i="84"/>
  <c r="B109" i="84"/>
  <c r="B111" i="84" s="1"/>
  <c r="B112" i="84" s="1"/>
  <c r="E179" i="84"/>
  <c r="E166" i="84"/>
  <c r="E176" i="84"/>
  <c r="J110" i="84"/>
  <c r="J109" i="84"/>
  <c r="C167" i="84"/>
  <c r="C61" i="84"/>
  <c r="C169" i="84"/>
  <c r="K167" i="84"/>
  <c r="K169" i="84"/>
  <c r="K61" i="84"/>
  <c r="D111" i="84"/>
  <c r="D112" i="84" s="1"/>
  <c r="G167" i="84"/>
  <c r="G169" i="84"/>
  <c r="G61" i="84"/>
  <c r="E167" i="84"/>
  <c r="E169" i="84"/>
  <c r="E61" i="84"/>
  <c r="C176" i="84"/>
  <c r="C179" i="84"/>
  <c r="C166" i="84"/>
  <c r="C191" i="84"/>
  <c r="K176" i="84"/>
  <c r="K179" i="84"/>
  <c r="K166" i="84"/>
  <c r="K191" i="84"/>
  <c r="I110" i="84"/>
  <c r="I109" i="84"/>
  <c r="I111" i="84" s="1"/>
  <c r="I112" i="84" s="1"/>
  <c r="B169" i="84"/>
  <c r="B167" i="84"/>
  <c r="B176" i="84"/>
  <c r="B179" i="84"/>
  <c r="B166" i="84"/>
  <c r="H110" i="84"/>
  <c r="H109" i="84"/>
  <c r="F110" i="84"/>
  <c r="F109" i="84"/>
  <c r="F111" i="84" s="1"/>
  <c r="F112" i="84" s="1"/>
  <c r="E110" i="84"/>
  <c r="E109" i="84"/>
  <c r="I95" i="84"/>
  <c r="I64" i="84"/>
  <c r="J169" i="84"/>
  <c r="J167" i="84"/>
  <c r="J61" i="84"/>
  <c r="J95" i="84"/>
  <c r="J64" i="84"/>
  <c r="G110" i="84"/>
  <c r="G109" i="84"/>
  <c r="K109" i="84"/>
  <c r="K110" i="84"/>
  <c r="M110" i="84" s="1"/>
  <c r="R34" i="84"/>
  <c r="P11" i="84"/>
  <c r="J176" i="84"/>
  <c r="J179" i="84"/>
  <c r="J166" i="84"/>
  <c r="G25" i="83"/>
  <c r="P8" i="84" l="1"/>
  <c r="P7" i="84" s="1"/>
  <c r="E111" i="84"/>
  <c r="E112" i="84" s="1"/>
  <c r="P87" i="84"/>
  <c r="P92" i="84" s="1"/>
  <c r="D67" i="84"/>
  <c r="D178" i="84" s="1"/>
  <c r="O18" i="84"/>
  <c r="O166" i="84" s="1"/>
  <c r="H111" i="84"/>
  <c r="H112" i="84" s="1"/>
  <c r="J111" i="84"/>
  <c r="J112" i="84" s="1"/>
  <c r="L25" i="83"/>
  <c r="L27" i="83" s="1"/>
  <c r="L17" i="83" s="1"/>
  <c r="G27" i="83"/>
  <c r="G17" i="83" s="1"/>
  <c r="G20" i="83" s="1"/>
  <c r="G29" i="83" s="1"/>
  <c r="D78" i="84"/>
  <c r="G74" i="84"/>
  <c r="G77" i="84" s="1"/>
  <c r="G67" i="84"/>
  <c r="F74" i="84"/>
  <c r="F77" i="84" s="1"/>
  <c r="F67" i="84"/>
  <c r="Q38" i="84"/>
  <c r="R36" i="84"/>
  <c r="R38" i="84" s="1"/>
  <c r="C67" i="84"/>
  <c r="C74" i="84"/>
  <c r="C77" i="84" s="1"/>
  <c r="I67" i="84"/>
  <c r="I74" i="84"/>
  <c r="I77" i="84" s="1"/>
  <c r="Q87" i="84"/>
  <c r="Q92" i="84" s="1"/>
  <c r="Q11" i="84"/>
  <c r="R6" i="84"/>
  <c r="Q8" i="84"/>
  <c r="Q7" i="84" s="1"/>
  <c r="G111" i="84"/>
  <c r="G112" i="84" s="1"/>
  <c r="O134" i="84"/>
  <c r="N95" i="84"/>
  <c r="N64" i="84"/>
  <c r="O33" i="84"/>
  <c r="P9" i="84"/>
  <c r="P164" i="84" s="1"/>
  <c r="P18" i="84"/>
  <c r="M109" i="84"/>
  <c r="M111" i="84" s="1"/>
  <c r="M112" i="84" s="1"/>
  <c r="K111" i="84"/>
  <c r="K112" i="84" s="1"/>
  <c r="P89" i="84"/>
  <c r="P88" i="84"/>
  <c r="P90" i="84" s="1"/>
  <c r="O90" i="84"/>
  <c r="O91" i="84" s="1"/>
  <c r="O94" i="84"/>
  <c r="O42" i="84"/>
  <c r="E74" i="84"/>
  <c r="E77" i="84" s="1"/>
  <c r="E67" i="84"/>
  <c r="M61" i="84"/>
  <c r="M67" i="84" s="1"/>
  <c r="K74" i="84"/>
  <c r="K67" i="84"/>
  <c r="H74" i="84"/>
  <c r="H77" i="84" s="1"/>
  <c r="H67" i="84"/>
  <c r="J67" i="84"/>
  <c r="J74" i="84"/>
  <c r="J77" i="84" s="1"/>
  <c r="C111" i="84"/>
  <c r="C112" i="84" s="1"/>
  <c r="D177" i="84" l="1"/>
  <c r="P32" i="84"/>
  <c r="K177" i="84"/>
  <c r="K178" i="84"/>
  <c r="E177" i="84"/>
  <c r="E178" i="84"/>
  <c r="E78" i="84"/>
  <c r="P93" i="84"/>
  <c r="C177" i="84"/>
  <c r="C178" i="84"/>
  <c r="C78" i="84"/>
  <c r="C80" i="84" s="1"/>
  <c r="Q89" i="84"/>
  <c r="Q88" i="84"/>
  <c r="Q93" i="84" s="1"/>
  <c r="Q32" i="84"/>
  <c r="J177" i="84"/>
  <c r="J178" i="84"/>
  <c r="J78" i="84"/>
  <c r="O95" i="84"/>
  <c r="O64" i="84"/>
  <c r="R87" i="84"/>
  <c r="R92" i="84" s="1"/>
  <c r="R11" i="84"/>
  <c r="R8" i="84"/>
  <c r="R7" i="84" s="1"/>
  <c r="P91" i="84"/>
  <c r="P166" i="84"/>
  <c r="Q9" i="84"/>
  <c r="Q164" i="84" s="1"/>
  <c r="Q18" i="84"/>
  <c r="F178" i="84"/>
  <c r="F177" i="84"/>
  <c r="F78" i="84"/>
  <c r="P94" i="84"/>
  <c r="P42" i="84"/>
  <c r="I177" i="84"/>
  <c r="I178" i="84"/>
  <c r="I78" i="84"/>
  <c r="P33" i="84"/>
  <c r="K77" i="84"/>
  <c r="K78" i="84" s="1"/>
  <c r="P134" i="84"/>
  <c r="G178" i="84"/>
  <c r="G177" i="84"/>
  <c r="G78" i="84"/>
  <c r="H177" i="84"/>
  <c r="H78" i="84"/>
  <c r="H178" i="84"/>
  <c r="M177" i="84"/>
  <c r="M178" i="84"/>
  <c r="L20" i="83"/>
  <c r="L29" i="83" s="1"/>
  <c r="P98" i="82"/>
  <c r="Q98" i="82" s="1"/>
  <c r="R98" i="82" s="1"/>
  <c r="P99" i="82"/>
  <c r="Q99" i="82" s="1"/>
  <c r="R99" i="82" s="1"/>
  <c r="K113" i="82"/>
  <c r="J113" i="82"/>
  <c r="J114" i="82" s="1"/>
  <c r="I113" i="82"/>
  <c r="I114" i="82" s="1"/>
  <c r="H113" i="82"/>
  <c r="H114" i="82" s="1"/>
  <c r="G113" i="82"/>
  <c r="F113" i="82"/>
  <c r="E113" i="82"/>
  <c r="D113" i="82"/>
  <c r="C113" i="82"/>
  <c r="B113" i="82"/>
  <c r="R102" i="82"/>
  <c r="Q102" i="82"/>
  <c r="P102" i="82"/>
  <c r="O102" i="82"/>
  <c r="N102" i="82"/>
  <c r="Q145" i="82"/>
  <c r="Q143" i="82"/>
  <c r="I155" i="82"/>
  <c r="I157" i="82" s="1"/>
  <c r="B129" i="82"/>
  <c r="B128" i="82"/>
  <c r="B124" i="82"/>
  <c r="B123" i="82"/>
  <c r="C155" i="82"/>
  <c r="C157" i="82" s="1"/>
  <c r="D155" i="82"/>
  <c r="D157" i="82" s="1"/>
  <c r="E155" i="82"/>
  <c r="E157" i="82" s="1"/>
  <c r="F155" i="82"/>
  <c r="F157" i="82" s="1"/>
  <c r="G155" i="82"/>
  <c r="G157" i="82" s="1"/>
  <c r="H155" i="82"/>
  <c r="H157" i="82" s="1"/>
  <c r="O121" i="82"/>
  <c r="P121" i="82" s="1"/>
  <c r="Q121" i="82" s="1"/>
  <c r="R121" i="82" s="1"/>
  <c r="C129" i="82"/>
  <c r="C128" i="82"/>
  <c r="C124" i="82"/>
  <c r="C123" i="82"/>
  <c r="D129" i="82"/>
  <c r="D128" i="82"/>
  <c r="D124" i="82"/>
  <c r="D123" i="82"/>
  <c r="E129" i="82"/>
  <c r="E128" i="82"/>
  <c r="E124" i="82"/>
  <c r="E123" i="82"/>
  <c r="F129" i="82"/>
  <c r="F128" i="82"/>
  <c r="F124" i="82"/>
  <c r="F123" i="82"/>
  <c r="G129" i="82"/>
  <c r="G128" i="82"/>
  <c r="G124" i="82"/>
  <c r="G123" i="82"/>
  <c r="H129" i="82"/>
  <c r="H128" i="82"/>
  <c r="H124" i="82"/>
  <c r="H123" i="82"/>
  <c r="I129" i="82"/>
  <c r="I128" i="82"/>
  <c r="I124" i="82"/>
  <c r="I123" i="82"/>
  <c r="J129" i="82"/>
  <c r="J128" i="82"/>
  <c r="J124" i="82"/>
  <c r="J123" i="82"/>
  <c r="K129" i="82"/>
  <c r="K128" i="82"/>
  <c r="K124" i="82"/>
  <c r="K123" i="82"/>
  <c r="R12" i="70"/>
  <c r="R11" i="70"/>
  <c r="R7" i="70"/>
  <c r="U11" i="70"/>
  <c r="R149" i="82"/>
  <c r="U7" i="70"/>
  <c r="U12" i="70"/>
  <c r="R6" i="70"/>
  <c r="V7" i="70"/>
  <c r="P145" i="84" s="1"/>
  <c r="V6" i="70"/>
  <c r="P143" i="84" s="1"/>
  <c r="S10" i="70"/>
  <c r="L6" i="54"/>
  <c r="L5" i="54"/>
  <c r="F5" i="50"/>
  <c r="F4" i="50"/>
  <c r="F3" i="50"/>
  <c r="F7" i="50" s="1"/>
  <c r="G4" i="50"/>
  <c r="G5" i="50"/>
  <c r="G3" i="50"/>
  <c r="G7" i="50" s="1"/>
  <c r="I30" i="52"/>
  <c r="I28" i="52"/>
  <c r="I14" i="52"/>
  <c r="I12" i="52"/>
  <c r="B7" i="52"/>
  <c r="G49" i="52"/>
  <c r="F49" i="52"/>
  <c r="E49" i="52"/>
  <c r="D49" i="52"/>
  <c r="C49" i="52"/>
  <c r="G48" i="52"/>
  <c r="F48" i="52"/>
  <c r="E48" i="52"/>
  <c r="D48" i="52"/>
  <c r="C48" i="52"/>
  <c r="G47" i="52"/>
  <c r="M48" i="85" s="1"/>
  <c r="F47" i="52"/>
  <c r="L48" i="85" s="1"/>
  <c r="L51" i="85" s="1"/>
  <c r="E47" i="52"/>
  <c r="K48" i="85" s="1"/>
  <c r="K51" i="85" s="1"/>
  <c r="D47" i="52"/>
  <c r="J48" i="85" s="1"/>
  <c r="J51" i="85" s="1"/>
  <c r="C47" i="52"/>
  <c r="I48" i="85" s="1"/>
  <c r="I51" i="85" s="1"/>
  <c r="R10" i="82"/>
  <c r="Q10" i="82"/>
  <c r="P10" i="82"/>
  <c r="O10" i="82"/>
  <c r="N10" i="82"/>
  <c r="R63" i="82"/>
  <c r="M15" i="85" s="1"/>
  <c r="Q63" i="82"/>
  <c r="L15" i="85" s="1"/>
  <c r="P63" i="82"/>
  <c r="K15" i="85" s="1"/>
  <c r="O63" i="82"/>
  <c r="J15" i="85" s="1"/>
  <c r="N63" i="82"/>
  <c r="I15" i="85" s="1"/>
  <c r="R165" i="82"/>
  <c r="R163" i="82"/>
  <c r="Q165" i="82"/>
  <c r="Q163" i="82"/>
  <c r="P165" i="82"/>
  <c r="P163" i="82"/>
  <c r="O165" i="82"/>
  <c r="O163" i="82"/>
  <c r="N165" i="82"/>
  <c r="N163" i="82"/>
  <c r="R162" i="82"/>
  <c r="Q162" i="82"/>
  <c r="P162" i="82"/>
  <c r="O162" i="82"/>
  <c r="N162" i="82"/>
  <c r="O160" i="82"/>
  <c r="P160" i="82" s="1"/>
  <c r="Q160" i="82" s="1"/>
  <c r="R160" i="82" s="1"/>
  <c r="O84" i="82"/>
  <c r="P84" i="82" s="1"/>
  <c r="Q84" i="82" s="1"/>
  <c r="R84" i="82" s="1"/>
  <c r="O58" i="82"/>
  <c r="P58" i="82" s="1"/>
  <c r="Q58" i="82" s="1"/>
  <c r="R58" i="82" s="1"/>
  <c r="O29" i="82"/>
  <c r="P29" i="82" s="1"/>
  <c r="Q29" i="82" s="1"/>
  <c r="R29" i="82" s="1"/>
  <c r="L67" i="82"/>
  <c r="L69" i="82"/>
  <c r="L124" i="82"/>
  <c r="L20" i="82"/>
  <c r="M20" i="82" s="1"/>
  <c r="N20" i="82" s="1"/>
  <c r="O20" i="82" s="1"/>
  <c r="P20" i="82" s="1"/>
  <c r="Q20" i="82" s="1"/>
  <c r="R20" i="82" s="1"/>
  <c r="I20" i="70"/>
  <c r="I14" i="70"/>
  <c r="G24" i="70"/>
  <c r="E24" i="70"/>
  <c r="C24" i="70"/>
  <c r="O17" i="70"/>
  <c r="O20" i="70" s="1"/>
  <c r="L17" i="70"/>
  <c r="L20" i="70" s="1"/>
  <c r="B5" i="54"/>
  <c r="M43" i="82"/>
  <c r="M113" i="82" s="1"/>
  <c r="M114" i="82" s="1"/>
  <c r="M42" i="82"/>
  <c r="M39" i="82"/>
  <c r="N39" i="82" s="1"/>
  <c r="O39" i="82" s="1"/>
  <c r="P39" i="82" s="1"/>
  <c r="Q39" i="82" s="1"/>
  <c r="R39" i="82" s="1"/>
  <c r="M37" i="82"/>
  <c r="M36" i="82"/>
  <c r="M34" i="82"/>
  <c r="N34" i="82" s="1"/>
  <c r="O34" i="82" s="1"/>
  <c r="M33" i="82"/>
  <c r="M32" i="82"/>
  <c r="M31" i="82"/>
  <c r="M133" i="82" s="1"/>
  <c r="L38" i="82"/>
  <c r="M38" i="82" s="1"/>
  <c r="L35" i="82"/>
  <c r="L40" i="82" s="1"/>
  <c r="L8" i="82"/>
  <c r="L11" i="82" s="1"/>
  <c r="O4" i="82"/>
  <c r="P4" i="82" s="1"/>
  <c r="Q4" i="82" s="1"/>
  <c r="R4" i="82" s="1"/>
  <c r="M24" i="82"/>
  <c r="N24" i="82" s="1"/>
  <c r="O24" i="82" s="1"/>
  <c r="P24" i="82" s="1"/>
  <c r="Q24" i="82" s="1"/>
  <c r="R24" i="82" s="1"/>
  <c r="M21" i="82"/>
  <c r="N21" i="82" s="1"/>
  <c r="O21" i="82" s="1"/>
  <c r="P21" i="82" s="1"/>
  <c r="Q21" i="82" s="1"/>
  <c r="R21" i="82" s="1"/>
  <c r="M15" i="82"/>
  <c r="M14" i="82"/>
  <c r="M13" i="82"/>
  <c r="M12" i="82"/>
  <c r="M10" i="82"/>
  <c r="M9" i="82"/>
  <c r="M7" i="82"/>
  <c r="M6" i="82"/>
  <c r="K193" i="82"/>
  <c r="J193" i="82"/>
  <c r="I193" i="82"/>
  <c r="H193" i="82"/>
  <c r="G193" i="82"/>
  <c r="F193" i="82"/>
  <c r="E193" i="82"/>
  <c r="D193" i="82"/>
  <c r="C193" i="82"/>
  <c r="B193" i="82"/>
  <c r="K192" i="82"/>
  <c r="J192" i="82"/>
  <c r="I192" i="82"/>
  <c r="H192" i="82"/>
  <c r="G192" i="82"/>
  <c r="F192" i="82"/>
  <c r="E192" i="82"/>
  <c r="D192" i="82"/>
  <c r="C192" i="82"/>
  <c r="B192" i="82"/>
  <c r="K188" i="82"/>
  <c r="J188" i="82"/>
  <c r="I188" i="82"/>
  <c r="H188" i="82"/>
  <c r="G188" i="82"/>
  <c r="F188" i="82"/>
  <c r="E188" i="82"/>
  <c r="D188" i="82"/>
  <c r="C188" i="82"/>
  <c r="K187" i="82"/>
  <c r="J187" i="82"/>
  <c r="I187" i="82"/>
  <c r="H187" i="82"/>
  <c r="G187" i="82"/>
  <c r="F187" i="82"/>
  <c r="E187" i="82"/>
  <c r="D187" i="82"/>
  <c r="C187" i="82"/>
  <c r="K186" i="82"/>
  <c r="J186" i="82"/>
  <c r="I186" i="82"/>
  <c r="I189" i="82" s="1"/>
  <c r="H186" i="82"/>
  <c r="H189" i="82" s="1"/>
  <c r="G186" i="82"/>
  <c r="F186" i="82"/>
  <c r="E186" i="82"/>
  <c r="D186" i="82"/>
  <c r="C186" i="82"/>
  <c r="B188" i="82"/>
  <c r="B187" i="82"/>
  <c r="B186" i="82"/>
  <c r="B189" i="82" s="1"/>
  <c r="K182" i="82"/>
  <c r="J182" i="82"/>
  <c r="I182" i="82"/>
  <c r="H182" i="82"/>
  <c r="G182" i="82"/>
  <c r="F182" i="82"/>
  <c r="E182" i="82"/>
  <c r="C182" i="82"/>
  <c r="B182" i="82"/>
  <c r="D182" i="82"/>
  <c r="C170" i="82"/>
  <c r="B170" i="82"/>
  <c r="K170" i="82"/>
  <c r="J170" i="82"/>
  <c r="I170" i="82"/>
  <c r="H170" i="82"/>
  <c r="G170" i="82"/>
  <c r="F170" i="82"/>
  <c r="E170" i="82"/>
  <c r="D170" i="82"/>
  <c r="B80" i="82"/>
  <c r="B81" i="82" s="1"/>
  <c r="K76" i="82"/>
  <c r="M76" i="82" s="1"/>
  <c r="K75" i="82"/>
  <c r="M75" i="82" s="1"/>
  <c r="K73" i="82"/>
  <c r="K71" i="82"/>
  <c r="K70" i="82"/>
  <c r="K69" i="82"/>
  <c r="J76" i="82"/>
  <c r="J75" i="82"/>
  <c r="J73" i="82"/>
  <c r="J71" i="82"/>
  <c r="J70" i="82"/>
  <c r="J69" i="82"/>
  <c r="I76" i="82"/>
  <c r="I75" i="82"/>
  <c r="I73" i="82"/>
  <c r="I71" i="82"/>
  <c r="I70" i="82"/>
  <c r="I69" i="82"/>
  <c r="H76" i="82"/>
  <c r="H75" i="82"/>
  <c r="H73" i="82"/>
  <c r="H71" i="82"/>
  <c r="H70" i="82"/>
  <c r="H69" i="82"/>
  <c r="G76" i="82"/>
  <c r="G75" i="82"/>
  <c r="G73" i="82"/>
  <c r="G71" i="82"/>
  <c r="G70" i="82"/>
  <c r="G69" i="82"/>
  <c r="F76" i="82"/>
  <c r="F75" i="82"/>
  <c r="F73" i="82"/>
  <c r="F71" i="82"/>
  <c r="F70" i="82"/>
  <c r="F69" i="82"/>
  <c r="E76" i="82"/>
  <c r="E75" i="82"/>
  <c r="E73" i="82"/>
  <c r="E71" i="82"/>
  <c r="E70" i="82"/>
  <c r="E69" i="82"/>
  <c r="D76" i="82"/>
  <c r="D75" i="82"/>
  <c r="D73" i="82"/>
  <c r="D71" i="82"/>
  <c r="D70" i="82"/>
  <c r="D69" i="82"/>
  <c r="C75" i="82"/>
  <c r="C76" i="82"/>
  <c r="C73" i="82"/>
  <c r="C71" i="82"/>
  <c r="C70" i="82"/>
  <c r="C69" i="82"/>
  <c r="K65" i="82"/>
  <c r="M65" i="82" s="1"/>
  <c r="J65" i="82"/>
  <c r="I65" i="82"/>
  <c r="H65" i="82"/>
  <c r="G65" i="82"/>
  <c r="F65" i="82"/>
  <c r="E65" i="82"/>
  <c r="D65" i="82"/>
  <c r="C65" i="82"/>
  <c r="K66" i="82"/>
  <c r="K72" i="82" s="1"/>
  <c r="M72" i="82" s="1"/>
  <c r="J66" i="82"/>
  <c r="J72" i="82" s="1"/>
  <c r="I66" i="82"/>
  <c r="I72" i="82" s="1"/>
  <c r="H66" i="82"/>
  <c r="H72" i="82" s="1"/>
  <c r="G66" i="82"/>
  <c r="G72" i="82" s="1"/>
  <c r="F66" i="82"/>
  <c r="F72" i="82" s="1"/>
  <c r="E66" i="82"/>
  <c r="E72" i="82" s="1"/>
  <c r="D66" i="82"/>
  <c r="D72" i="82" s="1"/>
  <c r="K63" i="82"/>
  <c r="M63" i="82" s="1"/>
  <c r="J63" i="82"/>
  <c r="I63" i="82"/>
  <c r="H63" i="82"/>
  <c r="G63" i="82"/>
  <c r="F63" i="82"/>
  <c r="E63" i="82"/>
  <c r="D63" i="82"/>
  <c r="K62" i="82"/>
  <c r="M62" i="82" s="1"/>
  <c r="J62" i="82"/>
  <c r="I62" i="82"/>
  <c r="H62" i="82"/>
  <c r="G62" i="82"/>
  <c r="F62" i="82"/>
  <c r="E62" i="82"/>
  <c r="D62" i="82"/>
  <c r="K164" i="82"/>
  <c r="J164" i="82"/>
  <c r="I164" i="82"/>
  <c r="H164" i="82"/>
  <c r="G164" i="82"/>
  <c r="F164" i="82"/>
  <c r="E164" i="82"/>
  <c r="D164" i="82"/>
  <c r="C164" i="82"/>
  <c r="B164" i="82"/>
  <c r="K89" i="82"/>
  <c r="M89" i="82" s="1"/>
  <c r="K88" i="82"/>
  <c r="K87" i="82"/>
  <c r="M87" i="82" s="1"/>
  <c r="J89" i="82"/>
  <c r="J99" i="82" s="1"/>
  <c r="J88" i="82"/>
  <c r="J98" i="82" s="1"/>
  <c r="J87" i="82"/>
  <c r="J97" i="82" s="1"/>
  <c r="I89" i="82"/>
  <c r="I99" i="82" s="1"/>
  <c r="I88" i="82"/>
  <c r="I98" i="82" s="1"/>
  <c r="I87" i="82"/>
  <c r="I97" i="82" s="1"/>
  <c r="H89" i="82"/>
  <c r="H88" i="82"/>
  <c r="H98" i="82" s="1"/>
  <c r="H87" i="82"/>
  <c r="H97" i="82" s="1"/>
  <c r="G89" i="82"/>
  <c r="G99" i="82" s="1"/>
  <c r="G88" i="82"/>
  <c r="G98" i="82" s="1"/>
  <c r="G87" i="82"/>
  <c r="G97" i="82" s="1"/>
  <c r="F89" i="82"/>
  <c r="F99" i="82" s="1"/>
  <c r="F88" i="82"/>
  <c r="F98" i="82" s="1"/>
  <c r="F87" i="82"/>
  <c r="F97" i="82" s="1"/>
  <c r="E89" i="82"/>
  <c r="E99" i="82" s="1"/>
  <c r="E88" i="82"/>
  <c r="E98" i="82" s="1"/>
  <c r="E87" i="82"/>
  <c r="E97" i="82" s="1"/>
  <c r="D89" i="82"/>
  <c r="D99" i="82" s="1"/>
  <c r="D88" i="82"/>
  <c r="D98" i="82" s="1"/>
  <c r="D87" i="82"/>
  <c r="D97" i="82" s="1"/>
  <c r="C89" i="82"/>
  <c r="C88" i="82"/>
  <c r="C98" i="82" s="1"/>
  <c r="C87" i="82"/>
  <c r="C97" i="82" s="1"/>
  <c r="B89" i="82"/>
  <c r="B99" i="82" s="1"/>
  <c r="B88" i="82"/>
  <c r="B98" i="82" s="1"/>
  <c r="B87" i="82"/>
  <c r="B97" i="82" s="1"/>
  <c r="C66" i="82"/>
  <c r="C72" i="82" s="1"/>
  <c r="C63" i="82"/>
  <c r="C62" i="82"/>
  <c r="K8" i="82"/>
  <c r="J8" i="82"/>
  <c r="J163" i="82" s="1"/>
  <c r="I8" i="82"/>
  <c r="I163" i="82" s="1"/>
  <c r="H8" i="82"/>
  <c r="H163" i="82" s="1"/>
  <c r="G8" i="82"/>
  <c r="G163" i="82" s="1"/>
  <c r="F8" i="82"/>
  <c r="F11" i="82" s="1"/>
  <c r="F175" i="82" s="1"/>
  <c r="E8" i="82"/>
  <c r="E11" i="82" s="1"/>
  <c r="E107" i="82" s="1"/>
  <c r="D8" i="82"/>
  <c r="D11" i="82" s="1"/>
  <c r="D107" i="82" s="1"/>
  <c r="C8" i="82"/>
  <c r="C163" i="82" s="1"/>
  <c r="B8" i="82"/>
  <c r="B163" i="82" s="1"/>
  <c r="K55" i="82"/>
  <c r="J55" i="82"/>
  <c r="I55" i="82"/>
  <c r="H55" i="82"/>
  <c r="G55" i="82"/>
  <c r="F55" i="82"/>
  <c r="E55" i="82"/>
  <c r="D55" i="82"/>
  <c r="C55" i="82"/>
  <c r="B55" i="82"/>
  <c r="K162" i="82"/>
  <c r="J162" i="82"/>
  <c r="I162" i="82"/>
  <c r="H162" i="82"/>
  <c r="G162" i="82"/>
  <c r="F162" i="82"/>
  <c r="E162" i="82"/>
  <c r="D162" i="82"/>
  <c r="C162" i="82"/>
  <c r="K114" i="82" l="1"/>
  <c r="K11" i="82"/>
  <c r="F12" i="51"/>
  <c r="D12" i="51"/>
  <c r="K93" i="82"/>
  <c r="M134" i="82"/>
  <c r="M135" i="82"/>
  <c r="AB6" i="70"/>
  <c r="P143" i="82"/>
  <c r="P145" i="82"/>
  <c r="AB7" i="70"/>
  <c r="K153" i="84"/>
  <c r="M153" i="84" s="1"/>
  <c r="K151" i="84"/>
  <c r="K150" i="84" s="1"/>
  <c r="M150" i="84" s="1"/>
  <c r="N149" i="82"/>
  <c r="X11" i="70"/>
  <c r="O151" i="84"/>
  <c r="N151" i="84"/>
  <c r="R151" i="84"/>
  <c r="Q151" i="84"/>
  <c r="P151" i="84"/>
  <c r="N151" i="82"/>
  <c r="K145" i="82"/>
  <c r="M145" i="82" s="1"/>
  <c r="N145" i="82" s="1"/>
  <c r="K145" i="84"/>
  <c r="R151" i="82"/>
  <c r="K151" i="82"/>
  <c r="M151" i="82" s="1"/>
  <c r="K143" i="82"/>
  <c r="M143" i="82" s="1"/>
  <c r="N143" i="82" s="1"/>
  <c r="K143" i="84"/>
  <c r="K153" i="82"/>
  <c r="J153" i="82" s="1"/>
  <c r="J152" i="82" s="1"/>
  <c r="X6" i="70"/>
  <c r="O143" i="84"/>
  <c r="P151" i="82"/>
  <c r="X12" i="70"/>
  <c r="O153" i="84"/>
  <c r="N153" i="84"/>
  <c r="R153" i="84"/>
  <c r="Q153" i="84"/>
  <c r="P153" i="84"/>
  <c r="X7" i="70"/>
  <c r="O145" i="84"/>
  <c r="X10" i="70"/>
  <c r="O149" i="84"/>
  <c r="N149" i="84"/>
  <c r="R149" i="84"/>
  <c r="Q149" i="84"/>
  <c r="P149" i="84"/>
  <c r="O151" i="82"/>
  <c r="J52" i="85"/>
  <c r="K52" i="85"/>
  <c r="L52" i="85"/>
  <c r="M52" i="85"/>
  <c r="I52" i="85"/>
  <c r="Q134" i="84"/>
  <c r="N15" i="85"/>
  <c r="M51" i="85"/>
  <c r="N48" i="85"/>
  <c r="D79" i="84"/>
  <c r="D80" i="84" s="1"/>
  <c r="C81" i="84"/>
  <c r="Q166" i="84"/>
  <c r="Q33" i="84"/>
  <c r="Q94" i="84"/>
  <c r="Q42" i="84"/>
  <c r="R89" i="84"/>
  <c r="R88" i="84"/>
  <c r="R33" i="84" s="1"/>
  <c r="R9" i="84"/>
  <c r="R164" i="84" s="1"/>
  <c r="R18" i="84"/>
  <c r="P95" i="84"/>
  <c r="P64" i="84"/>
  <c r="R32" i="84"/>
  <c r="Q90" i="84"/>
  <c r="P62" i="82"/>
  <c r="Q62" i="82"/>
  <c r="R62" i="82"/>
  <c r="N62" i="82"/>
  <c r="O62" i="82"/>
  <c r="C114" i="82"/>
  <c r="L70" i="82"/>
  <c r="M70" i="82" s="1"/>
  <c r="M124" i="82"/>
  <c r="N124" i="82" s="1"/>
  <c r="O124" i="82" s="1"/>
  <c r="O153" i="82"/>
  <c r="N153" i="82"/>
  <c r="Q149" i="82"/>
  <c r="P153" i="82"/>
  <c r="O145" i="82"/>
  <c r="Q151" i="82"/>
  <c r="R153" i="82"/>
  <c r="O143" i="82"/>
  <c r="Q153" i="82"/>
  <c r="O149" i="82"/>
  <c r="P149" i="82"/>
  <c r="D114" i="82"/>
  <c r="G11" i="82"/>
  <c r="G175" i="82" s="1"/>
  <c r="H94" i="82"/>
  <c r="E114" i="82"/>
  <c r="F114" i="82"/>
  <c r="G114" i="82"/>
  <c r="E18" i="82"/>
  <c r="F189" i="82"/>
  <c r="C92" i="82"/>
  <c r="F18" i="82"/>
  <c r="G189" i="82"/>
  <c r="L73" i="82"/>
  <c r="M73" i="82" s="1"/>
  <c r="J131" i="82"/>
  <c r="H131" i="82"/>
  <c r="F131" i="82"/>
  <c r="L123" i="82"/>
  <c r="K97" i="82"/>
  <c r="C94" i="82"/>
  <c r="M94" i="82"/>
  <c r="E163" i="82"/>
  <c r="K98" i="82"/>
  <c r="E165" i="82"/>
  <c r="K99" i="82"/>
  <c r="C99" i="82"/>
  <c r="C100" i="82" s="1"/>
  <c r="J94" i="82"/>
  <c r="F165" i="82"/>
  <c r="K131" i="82"/>
  <c r="K94" i="82"/>
  <c r="E189" i="82"/>
  <c r="D189" i="82"/>
  <c r="M69" i="82"/>
  <c r="H99" i="82"/>
  <c r="H100" i="82" s="1"/>
  <c r="D109" i="82"/>
  <c r="D110" i="82"/>
  <c r="M92" i="82"/>
  <c r="P34" i="82"/>
  <c r="Q34" i="82" s="1"/>
  <c r="R34" i="82" s="1"/>
  <c r="E110" i="82"/>
  <c r="E109" i="82"/>
  <c r="K107" i="82"/>
  <c r="F176" i="82"/>
  <c r="D175" i="82"/>
  <c r="I92" i="82"/>
  <c r="F163" i="82"/>
  <c r="K165" i="82"/>
  <c r="K175" i="82"/>
  <c r="N36" i="82"/>
  <c r="O36" i="82" s="1"/>
  <c r="P36" i="82" s="1"/>
  <c r="Q36" i="82" s="1"/>
  <c r="R36" i="82" s="1"/>
  <c r="N37" i="82"/>
  <c r="O37" i="82" s="1"/>
  <c r="P37" i="82" s="1"/>
  <c r="M88" i="82"/>
  <c r="M93" i="82" s="1"/>
  <c r="D131" i="82"/>
  <c r="N6" i="82"/>
  <c r="G131" i="82"/>
  <c r="C131" i="82"/>
  <c r="D93" i="82"/>
  <c r="I94" i="82"/>
  <c r="D163" i="82"/>
  <c r="F168" i="82"/>
  <c r="E175" i="82"/>
  <c r="M66" i="82"/>
  <c r="F107" i="82"/>
  <c r="M8" i="82"/>
  <c r="D92" i="82"/>
  <c r="K18" i="82"/>
  <c r="D165" i="82"/>
  <c r="E168" i="82"/>
  <c r="C189" i="82"/>
  <c r="K189" i="82"/>
  <c r="K150" i="82"/>
  <c r="M150" i="82" s="1"/>
  <c r="B131" i="82"/>
  <c r="K163" i="82"/>
  <c r="G168" i="82"/>
  <c r="D18" i="82"/>
  <c r="D179" i="82" s="1"/>
  <c r="D168" i="82"/>
  <c r="J189" i="82"/>
  <c r="M123" i="82"/>
  <c r="N123" i="82" s="1"/>
  <c r="I131" i="82"/>
  <c r="E131" i="82"/>
  <c r="J151" i="82"/>
  <c r="J150" i="82" s="1"/>
  <c r="G8" i="50"/>
  <c r="G10" i="50" s="1"/>
  <c r="H5" i="50"/>
  <c r="H4" i="50"/>
  <c r="H7" i="50"/>
  <c r="O100" i="82"/>
  <c r="F8" i="50"/>
  <c r="H3" i="50"/>
  <c r="P100" i="82"/>
  <c r="N100" i="82"/>
  <c r="I47" i="52"/>
  <c r="I49" i="52"/>
  <c r="L46" i="82"/>
  <c r="I22" i="70"/>
  <c r="M46" i="82"/>
  <c r="M35" i="82"/>
  <c r="L18" i="82"/>
  <c r="L16" i="82"/>
  <c r="M11" i="82"/>
  <c r="H11" i="82"/>
  <c r="C93" i="82"/>
  <c r="H90" i="82"/>
  <c r="E92" i="82"/>
  <c r="F93" i="82"/>
  <c r="C79" i="82"/>
  <c r="K92" i="82"/>
  <c r="B90" i="82"/>
  <c r="G94" i="82"/>
  <c r="F92" i="82"/>
  <c r="D94" i="82"/>
  <c r="G90" i="82"/>
  <c r="I93" i="82"/>
  <c r="F16" i="82"/>
  <c r="K16" i="82"/>
  <c r="J12" i="51" s="1"/>
  <c r="D16" i="82"/>
  <c r="E16" i="82"/>
  <c r="B11" i="82"/>
  <c r="J11" i="82"/>
  <c r="G12" i="85" s="1"/>
  <c r="F94" i="82"/>
  <c r="C11" i="82"/>
  <c r="I90" i="82"/>
  <c r="G92" i="82"/>
  <c r="E93" i="82"/>
  <c r="E94" i="82"/>
  <c r="H93" i="82"/>
  <c r="I11" i="82"/>
  <c r="G93" i="82"/>
  <c r="C90" i="82"/>
  <c r="J93" i="82"/>
  <c r="J92" i="82"/>
  <c r="K90" i="82"/>
  <c r="J90" i="82"/>
  <c r="H92" i="82"/>
  <c r="F90" i="82"/>
  <c r="E90" i="82"/>
  <c r="D90" i="82"/>
  <c r="D91" i="82" s="1"/>
  <c r="B100" i="82"/>
  <c r="E100" i="82"/>
  <c r="F100" i="82"/>
  <c r="I100" i="82"/>
  <c r="J100" i="82"/>
  <c r="G100" i="82"/>
  <c r="D100" i="82"/>
  <c r="J7" i="70" l="1"/>
  <c r="E14" i="88"/>
  <c r="G90" i="85"/>
  <c r="H90" i="85" s="1"/>
  <c r="I90" i="85" s="1"/>
  <c r="J90" i="85" s="1"/>
  <c r="K90" i="85" s="1"/>
  <c r="L90" i="85" s="1"/>
  <c r="L89" i="85" s="1"/>
  <c r="N45" i="82"/>
  <c r="N70" i="82" s="1"/>
  <c r="N52" i="85"/>
  <c r="K179" i="82"/>
  <c r="H9" i="85"/>
  <c r="H10" i="85" s="1"/>
  <c r="K168" i="82"/>
  <c r="H12" i="51"/>
  <c r="H12" i="85"/>
  <c r="H11" i="85" s="1"/>
  <c r="H91" i="82"/>
  <c r="H64" i="82" s="1"/>
  <c r="M153" i="82"/>
  <c r="K152" i="82"/>
  <c r="M152" i="82" s="1"/>
  <c r="J151" i="84"/>
  <c r="J150" i="84" s="1"/>
  <c r="K152" i="84"/>
  <c r="M152" i="84" s="1"/>
  <c r="M151" i="84"/>
  <c r="J145" i="82"/>
  <c r="J144" i="82" s="1"/>
  <c r="K142" i="82"/>
  <c r="M142" i="82" s="1"/>
  <c r="N142" i="82" s="1"/>
  <c r="K144" i="82"/>
  <c r="M144" i="82" s="1"/>
  <c r="N144" i="82" s="1"/>
  <c r="J143" i="82"/>
  <c r="J142" i="82" s="1"/>
  <c r="J153" i="84"/>
  <c r="J152" i="84" s="1"/>
  <c r="R145" i="84"/>
  <c r="R145" i="82"/>
  <c r="R143" i="82"/>
  <c r="R143" i="84"/>
  <c r="M143" i="84"/>
  <c r="N143" i="84" s="1"/>
  <c r="K142" i="84"/>
  <c r="J143" i="84"/>
  <c r="J142" i="84" s="1"/>
  <c r="M145" i="84"/>
  <c r="N145" i="84" s="1"/>
  <c r="J145" i="84"/>
  <c r="J144" i="84" s="1"/>
  <c r="K144" i="84"/>
  <c r="M144" i="84" s="1"/>
  <c r="N144" i="84" s="1"/>
  <c r="R134" i="84"/>
  <c r="R90" i="84"/>
  <c r="R91" i="84" s="1"/>
  <c r="N11" i="82"/>
  <c r="I12" i="85" s="1"/>
  <c r="I7" i="85"/>
  <c r="I8" i="85" s="1"/>
  <c r="N51" i="85"/>
  <c r="O144" i="82"/>
  <c r="R166" i="84"/>
  <c r="E79" i="84"/>
  <c r="E80" i="84" s="1"/>
  <c r="D81" i="84"/>
  <c r="R93" i="84"/>
  <c r="Q91" i="84"/>
  <c r="R94" i="84"/>
  <c r="R42" i="84"/>
  <c r="M182" i="82"/>
  <c r="M183" i="82"/>
  <c r="G18" i="82"/>
  <c r="G179" i="82" s="1"/>
  <c r="F156" i="82"/>
  <c r="E176" i="82"/>
  <c r="E179" i="82"/>
  <c r="G16" i="82"/>
  <c r="G169" i="82" s="1"/>
  <c r="M16" i="82"/>
  <c r="M175" i="82"/>
  <c r="G165" i="82"/>
  <c r="G107" i="82"/>
  <c r="F166" i="82"/>
  <c r="F179" i="82"/>
  <c r="E166" i="82"/>
  <c r="E191" i="82"/>
  <c r="K100" i="82"/>
  <c r="I156" i="82"/>
  <c r="C91" i="82"/>
  <c r="E156" i="82"/>
  <c r="H156" i="82"/>
  <c r="E111" i="82"/>
  <c r="E112" i="82" s="1"/>
  <c r="M90" i="82"/>
  <c r="M91" i="82" s="1"/>
  <c r="M95" i="82" s="1"/>
  <c r="F191" i="82"/>
  <c r="N8" i="82"/>
  <c r="N7" i="82" s="1"/>
  <c r="O6" i="82"/>
  <c r="N87" i="82"/>
  <c r="N32" i="82" s="1"/>
  <c r="K110" i="82"/>
  <c r="M110" i="82" s="1"/>
  <c r="K109" i="82"/>
  <c r="K176" i="82"/>
  <c r="K166" i="82"/>
  <c r="E169" i="82"/>
  <c r="E167" i="82"/>
  <c r="H165" i="82"/>
  <c r="H107" i="82"/>
  <c r="H168" i="82"/>
  <c r="H18" i="82"/>
  <c r="H179" i="82" s="1"/>
  <c r="H175" i="82"/>
  <c r="D167" i="82"/>
  <c r="D169" i="82"/>
  <c r="D166" i="82"/>
  <c r="D176" i="82"/>
  <c r="C156" i="82"/>
  <c r="D111" i="82"/>
  <c r="D112" i="82" s="1"/>
  <c r="G156" i="82"/>
  <c r="F169" i="82"/>
  <c r="F167" i="82"/>
  <c r="K191" i="82"/>
  <c r="F109" i="82"/>
  <c r="F110" i="82"/>
  <c r="I107" i="82"/>
  <c r="I18" i="82"/>
  <c r="I179" i="82" s="1"/>
  <c r="I175" i="82"/>
  <c r="I165" i="82"/>
  <c r="I168" i="82"/>
  <c r="C175" i="82"/>
  <c r="C18" i="82"/>
  <c r="C168" i="82"/>
  <c r="C107" i="82"/>
  <c r="C165" i="82"/>
  <c r="N38" i="82"/>
  <c r="G176" i="82"/>
  <c r="G166" i="82"/>
  <c r="G109" i="82"/>
  <c r="G110" i="82"/>
  <c r="O45" i="82"/>
  <c r="O70" i="82" s="1"/>
  <c r="P124" i="82"/>
  <c r="B168" i="82"/>
  <c r="B18" i="82"/>
  <c r="B179" i="82" s="1"/>
  <c r="B107" i="82"/>
  <c r="B175" i="82"/>
  <c r="B165" i="82"/>
  <c r="K169" i="82"/>
  <c r="K167" i="82"/>
  <c r="O123" i="82"/>
  <c r="N44" i="82"/>
  <c r="N69" i="82" s="1"/>
  <c r="D156" i="82"/>
  <c r="D191" i="82"/>
  <c r="J165" i="82"/>
  <c r="J18" i="82"/>
  <c r="G9" i="85" s="1"/>
  <c r="G10" i="85" s="1"/>
  <c r="J107" i="82"/>
  <c r="J175" i="82"/>
  <c r="J168" i="82"/>
  <c r="G191" i="82"/>
  <c r="O38" i="82"/>
  <c r="P38" i="82"/>
  <c r="Q37" i="82"/>
  <c r="Q100" i="82"/>
  <c r="F10" i="50"/>
  <c r="H10" i="50" s="1"/>
  <c r="H8" i="50"/>
  <c r="N18" i="82"/>
  <c r="I9" i="85" s="1"/>
  <c r="I91" i="82"/>
  <c r="I64" i="82" s="1"/>
  <c r="J91" i="82"/>
  <c r="J64" i="82" s="1"/>
  <c r="J6" i="70"/>
  <c r="J18" i="70"/>
  <c r="J10" i="70"/>
  <c r="J12" i="70"/>
  <c r="J17" i="70"/>
  <c r="J11" i="70"/>
  <c r="M18" i="82"/>
  <c r="M176" i="82" s="1"/>
  <c r="H16" i="82"/>
  <c r="E91" i="82"/>
  <c r="E95" i="82" s="1"/>
  <c r="C95" i="82"/>
  <c r="C64" i="82"/>
  <c r="I16" i="82"/>
  <c r="E61" i="82"/>
  <c r="H95" i="82"/>
  <c r="C16" i="82"/>
  <c r="D61" i="82"/>
  <c r="F91" i="82"/>
  <c r="G91" i="82"/>
  <c r="B16" i="82"/>
  <c r="K61" i="82"/>
  <c r="M61" i="82" s="1"/>
  <c r="J16" i="82"/>
  <c r="F61" i="82"/>
  <c r="K91" i="82"/>
  <c r="D95" i="82"/>
  <c r="D64" i="82"/>
  <c r="H8" i="80"/>
  <c r="H16" i="80" s="1"/>
  <c r="E15" i="88" l="1"/>
  <c r="AC15" i="88" s="1"/>
  <c r="AC14" i="88"/>
  <c r="P15" i="88"/>
  <c r="P14" i="88"/>
  <c r="H83" i="85"/>
  <c r="I83" i="85"/>
  <c r="J83" i="85"/>
  <c r="K83" i="85"/>
  <c r="G83" i="85"/>
  <c r="G11" i="85"/>
  <c r="I10" i="85"/>
  <c r="J155" i="82"/>
  <c r="J157" i="82" s="1"/>
  <c r="M155" i="82"/>
  <c r="M157" i="82" s="1"/>
  <c r="K155" i="82"/>
  <c r="K157" i="82" s="1"/>
  <c r="D20" i="80"/>
  <c r="F20" i="80" s="1"/>
  <c r="D22" i="80"/>
  <c r="H22" i="80" s="1"/>
  <c r="J22" i="80" s="1"/>
  <c r="D21" i="80"/>
  <c r="J155" i="84"/>
  <c r="M142" i="84"/>
  <c r="K155" i="84"/>
  <c r="O87" i="82"/>
  <c r="O32" i="82" s="1"/>
  <c r="J7" i="85"/>
  <c r="J8" i="85" s="1"/>
  <c r="I11" i="85"/>
  <c r="I14" i="85" s="1"/>
  <c r="F79" i="84"/>
  <c r="F80" i="84" s="1"/>
  <c r="E81" i="84"/>
  <c r="Q95" i="84"/>
  <c r="Q64" i="84"/>
  <c r="R95" i="84"/>
  <c r="R64" i="84"/>
  <c r="N89" i="82"/>
  <c r="N42" i="82" s="1"/>
  <c r="I95" i="82"/>
  <c r="G61" i="82"/>
  <c r="G167" i="82"/>
  <c r="J191" i="82"/>
  <c r="J179" i="82"/>
  <c r="C191" i="82"/>
  <c r="C179" i="82"/>
  <c r="N166" i="82"/>
  <c r="E64" i="82"/>
  <c r="E67" i="82" s="1"/>
  <c r="O11" i="82"/>
  <c r="J12" i="85" s="1"/>
  <c r="N92" i="82"/>
  <c r="P6" i="82"/>
  <c r="P8" i="82" s="1"/>
  <c r="P7" i="82" s="1"/>
  <c r="O8" i="82"/>
  <c r="O7" i="82" s="1"/>
  <c r="N9" i="82"/>
  <c r="N164" i="82" s="1"/>
  <c r="N88" i="82"/>
  <c r="N33" i="82" s="1"/>
  <c r="J156" i="82"/>
  <c r="B169" i="82"/>
  <c r="B167" i="82"/>
  <c r="G111" i="82"/>
  <c r="G112" i="82" s="1"/>
  <c r="C166" i="82"/>
  <c r="C176" i="82"/>
  <c r="F111" i="82"/>
  <c r="F112" i="82" s="1"/>
  <c r="B109" i="82"/>
  <c r="B110" i="82"/>
  <c r="I167" i="82"/>
  <c r="I169" i="82"/>
  <c r="O44" i="82"/>
  <c r="O69" i="82" s="1"/>
  <c r="P123" i="82"/>
  <c r="P142" i="82" s="1"/>
  <c r="B166" i="82"/>
  <c r="B176" i="82"/>
  <c r="B191" i="82"/>
  <c r="C167" i="82"/>
  <c r="C169" i="82"/>
  <c r="H176" i="82"/>
  <c r="H166" i="82"/>
  <c r="H191" i="82"/>
  <c r="J110" i="82"/>
  <c r="J109" i="82"/>
  <c r="P45" i="82"/>
  <c r="P70" i="82" s="1"/>
  <c r="Q124" i="82"/>
  <c r="Q144" i="82" s="1"/>
  <c r="P144" i="82"/>
  <c r="I166" i="82"/>
  <c r="I176" i="82"/>
  <c r="I191" i="82"/>
  <c r="H169" i="82"/>
  <c r="H167" i="82"/>
  <c r="K111" i="82"/>
  <c r="K112" i="82" s="1"/>
  <c r="M109" i="82"/>
  <c r="M111" i="82" s="1"/>
  <c r="M112" i="82" s="1"/>
  <c r="J169" i="82"/>
  <c r="J167" i="82"/>
  <c r="J176" i="82"/>
  <c r="J166" i="82"/>
  <c r="C110" i="82"/>
  <c r="C109" i="82"/>
  <c r="I109" i="82"/>
  <c r="I110" i="82"/>
  <c r="H110" i="82"/>
  <c r="H109" i="82"/>
  <c r="O142" i="82"/>
  <c r="Q38" i="82"/>
  <c r="R37" i="82"/>
  <c r="R38" i="82" s="1"/>
  <c r="R100" i="82"/>
  <c r="J95" i="82"/>
  <c r="J20" i="70"/>
  <c r="J14" i="70"/>
  <c r="H61" i="82"/>
  <c r="K74" i="82"/>
  <c r="K77" i="82" s="1"/>
  <c r="D67" i="82"/>
  <c r="D74" i="82"/>
  <c r="D77" i="82" s="1"/>
  <c r="G74" i="82"/>
  <c r="G77" i="82" s="1"/>
  <c r="E74" i="82"/>
  <c r="E77" i="82" s="1"/>
  <c r="C61" i="82"/>
  <c r="I61" i="82"/>
  <c r="F74" i="82"/>
  <c r="F77" i="82" s="1"/>
  <c r="F95" i="82"/>
  <c r="F64" i="82"/>
  <c r="F67" i="82" s="1"/>
  <c r="K95" i="82"/>
  <c r="K64" i="82"/>
  <c r="J61" i="82"/>
  <c r="G95" i="82"/>
  <c r="G64" i="82"/>
  <c r="G67" i="82" s="1"/>
  <c r="C3" i="49"/>
  <c r="J22" i="70" l="1"/>
  <c r="K156" i="82"/>
  <c r="J111" i="82"/>
  <c r="J112" i="82" s="1"/>
  <c r="K156" i="84"/>
  <c r="K157" i="84"/>
  <c r="N142" i="84"/>
  <c r="M155" i="84"/>
  <c r="J157" i="84"/>
  <c r="J156" i="84"/>
  <c r="Q6" i="82"/>
  <c r="Q87" i="82" s="1"/>
  <c r="O92" i="82"/>
  <c r="N94" i="82"/>
  <c r="P87" i="82"/>
  <c r="P32" i="82" s="1"/>
  <c r="K7" i="85"/>
  <c r="K8" i="85" s="1"/>
  <c r="F81" i="84"/>
  <c r="G79" i="84"/>
  <c r="G80" i="84" s="1"/>
  <c r="O89" i="82"/>
  <c r="O94" i="82" s="1"/>
  <c r="N134" i="82"/>
  <c r="D177" i="82"/>
  <c r="D178" i="82"/>
  <c r="G177" i="82"/>
  <c r="G178" i="82"/>
  <c r="F177" i="82"/>
  <c r="F178" i="82"/>
  <c r="E177" i="82"/>
  <c r="E178" i="82"/>
  <c r="O18" i="82"/>
  <c r="J9" i="85" s="1"/>
  <c r="J10" i="85" s="1"/>
  <c r="O88" i="82"/>
  <c r="O33" i="82" s="1"/>
  <c r="O9" i="82"/>
  <c r="O164" i="82" s="1"/>
  <c r="P11" i="82"/>
  <c r="N90" i="82"/>
  <c r="N91" i="82" s="1"/>
  <c r="N93" i="82"/>
  <c r="B111" i="82"/>
  <c r="B112" i="82" s="1"/>
  <c r="H111" i="82"/>
  <c r="H112" i="82" s="1"/>
  <c r="P44" i="82"/>
  <c r="P69" i="82" s="1"/>
  <c r="Q123" i="82"/>
  <c r="Q142" i="82" s="1"/>
  <c r="I111" i="82"/>
  <c r="I112" i="82" s="1"/>
  <c r="C111" i="82"/>
  <c r="C112" i="82" s="1"/>
  <c r="Q45" i="82"/>
  <c r="Q70" i="82" s="1"/>
  <c r="R124" i="82"/>
  <c r="R45" i="82" s="1"/>
  <c r="R70" i="82" s="1"/>
  <c r="P88" i="82"/>
  <c r="P33" i="82" s="1"/>
  <c r="P89" i="82"/>
  <c r="K67" i="82"/>
  <c r="M64" i="82"/>
  <c r="M67" i="82" s="1"/>
  <c r="H67" i="82"/>
  <c r="H74" i="82"/>
  <c r="H77" i="82" s="1"/>
  <c r="G78" i="82"/>
  <c r="E78" i="82"/>
  <c r="D78" i="82"/>
  <c r="F78" i="82"/>
  <c r="J67" i="82"/>
  <c r="J74" i="82"/>
  <c r="J77" i="82" s="1"/>
  <c r="C74" i="82"/>
  <c r="C77" i="82" s="1"/>
  <c r="C67" i="82"/>
  <c r="I67" i="82"/>
  <c r="I74" i="82"/>
  <c r="I77" i="82" s="1"/>
  <c r="R6" i="82" l="1"/>
  <c r="R87" i="82" s="1"/>
  <c r="R92" i="82" s="1"/>
  <c r="Q11" i="82"/>
  <c r="L12" i="85" s="1"/>
  <c r="L13" i="85" s="1"/>
  <c r="Q8" i="82"/>
  <c r="Q7" i="82" s="1"/>
  <c r="L7" i="85"/>
  <c r="M157" i="84"/>
  <c r="O42" i="82"/>
  <c r="Q92" i="82"/>
  <c r="Q32" i="82"/>
  <c r="P9" i="82"/>
  <c r="P164" i="82" s="1"/>
  <c r="K12" i="85"/>
  <c r="J11" i="85"/>
  <c r="J14" i="85" s="1"/>
  <c r="P92" i="82"/>
  <c r="L8" i="85"/>
  <c r="H79" i="84"/>
  <c r="H80" i="84" s="1"/>
  <c r="G81" i="84"/>
  <c r="P134" i="82"/>
  <c r="O134" i="82"/>
  <c r="M178" i="82"/>
  <c r="M177" i="82"/>
  <c r="H177" i="82"/>
  <c r="H178" i="82"/>
  <c r="K177" i="82"/>
  <c r="K178" i="82"/>
  <c r="C178" i="82"/>
  <c r="C177" i="82"/>
  <c r="I177" i="82"/>
  <c r="I178" i="82"/>
  <c r="J177" i="82"/>
  <c r="J178" i="82"/>
  <c r="P18" i="82"/>
  <c r="K9" i="85" s="1"/>
  <c r="K10" i="85" s="1"/>
  <c r="O166" i="82"/>
  <c r="R144" i="82"/>
  <c r="O90" i="82"/>
  <c r="O91" i="82" s="1"/>
  <c r="O93" i="82"/>
  <c r="N64" i="82"/>
  <c r="P94" i="82"/>
  <c r="P42" i="82"/>
  <c r="N95" i="82"/>
  <c r="Q44" i="82"/>
  <c r="Q69" i="82" s="1"/>
  <c r="R123" i="82"/>
  <c r="R44" i="82" s="1"/>
  <c r="P93" i="82"/>
  <c r="P90" i="82"/>
  <c r="Q89" i="82"/>
  <c r="Q88" i="82"/>
  <c r="Q33" i="82" s="1"/>
  <c r="K78" i="82"/>
  <c r="R11" i="82"/>
  <c r="M12" i="85" s="1"/>
  <c r="M13" i="85" s="1"/>
  <c r="H78" i="82"/>
  <c r="I78" i="82"/>
  <c r="C78" i="82"/>
  <c r="C80" i="82" s="1"/>
  <c r="C81" i="82" s="1"/>
  <c r="J78" i="82"/>
  <c r="Q18" i="82" l="1"/>
  <c r="L9" i="85" s="1"/>
  <c r="L10" i="85" s="1"/>
  <c r="Q9" i="82"/>
  <c r="Q164" i="82" s="1"/>
  <c r="M7" i="85"/>
  <c r="R8" i="82"/>
  <c r="R7" i="82" s="1"/>
  <c r="R89" i="82" s="1"/>
  <c r="R32" i="82"/>
  <c r="N7" i="85"/>
  <c r="M8" i="85"/>
  <c r="K11" i="85"/>
  <c r="K14" i="85" s="1"/>
  <c r="N12" i="85"/>
  <c r="H81" i="84"/>
  <c r="I79" i="84"/>
  <c r="I80" i="84" s="1"/>
  <c r="P166" i="82"/>
  <c r="R69" i="82"/>
  <c r="R142" i="82"/>
  <c r="P91" i="82"/>
  <c r="O64" i="82"/>
  <c r="O95" i="82"/>
  <c r="Q94" i="82"/>
  <c r="Q42" i="82"/>
  <c r="Q93" i="82"/>
  <c r="Q90" i="82"/>
  <c r="Q91" i="82" s="1"/>
  <c r="R9" i="82"/>
  <c r="R164" i="82" s="1"/>
  <c r="R18" i="82"/>
  <c r="M9" i="85" s="1"/>
  <c r="M11" i="85" s="1"/>
  <c r="R88" i="82"/>
  <c r="D79" i="82"/>
  <c r="D80" i="82" s="1"/>
  <c r="D81" i="82" s="1"/>
  <c r="F21" i="80"/>
  <c r="B3" i="50"/>
  <c r="B5" i="50"/>
  <c r="Q166" i="82" l="1"/>
  <c r="L11" i="85"/>
  <c r="L14" i="85" s="1"/>
  <c r="Q134" i="82"/>
  <c r="M14" i="85"/>
  <c r="N14" i="85" s="1"/>
  <c r="N11" i="85"/>
  <c r="N9" i="85"/>
  <c r="M10" i="85"/>
  <c r="N10" i="85" s="1"/>
  <c r="I81" i="84"/>
  <c r="J79" i="84"/>
  <c r="J80" i="84" s="1"/>
  <c r="R134" i="82"/>
  <c r="R166" i="82"/>
  <c r="P64" i="82"/>
  <c r="P95" i="82"/>
  <c r="Q64" i="82"/>
  <c r="R93" i="82"/>
  <c r="R33" i="82"/>
  <c r="R94" i="82"/>
  <c r="R42" i="82"/>
  <c r="Q95" i="82"/>
  <c r="R90" i="82"/>
  <c r="R91" i="82" s="1"/>
  <c r="E79" i="82"/>
  <c r="E80" i="82" s="1"/>
  <c r="E81" i="82" s="1"/>
  <c r="H20" i="80"/>
  <c r="J81" i="84" l="1"/>
  <c r="K79" i="84"/>
  <c r="R64" i="82"/>
  <c r="R95" i="82"/>
  <c r="F79" i="82"/>
  <c r="F80" i="82" s="1"/>
  <c r="F81" i="82" s="1"/>
  <c r="M79" i="84" l="1"/>
  <c r="K80" i="84"/>
  <c r="K81" i="84" s="1"/>
  <c r="G79" i="82"/>
  <c r="G80" i="82" s="1"/>
  <c r="G81" i="82" s="1"/>
  <c r="B8" i="54"/>
  <c r="H28" i="79"/>
  <c r="H27" i="80" s="1"/>
  <c r="H29" i="80" s="1"/>
  <c r="H37" i="80" s="1"/>
  <c r="D42" i="80" l="1"/>
  <c r="D41" i="80"/>
  <c r="D43" i="80"/>
  <c r="H43" i="80" s="1"/>
  <c r="H79" i="82"/>
  <c r="H80" i="82" s="1"/>
  <c r="H81" i="82" s="1"/>
  <c r="G6" i="70"/>
  <c r="C6" i="70"/>
  <c r="C8" i="88" s="1"/>
  <c r="AB8" i="88" s="1"/>
  <c r="B3" i="49"/>
  <c r="B4" i="54" s="1"/>
  <c r="F41" i="80" l="1"/>
  <c r="F42" i="80" s="1"/>
  <c r="H42" i="80" s="1"/>
  <c r="H46" i="79" s="1"/>
  <c r="D44" i="80"/>
  <c r="E8" i="88"/>
  <c r="AC8" i="88" s="1"/>
  <c r="S6" i="70"/>
  <c r="AA6" i="70" s="1"/>
  <c r="H7" i="79"/>
  <c r="B44" i="79"/>
  <c r="B18" i="79"/>
  <c r="Y6" i="70"/>
  <c r="AC6" i="70" s="1"/>
  <c r="M44" i="84"/>
  <c r="I79" i="82"/>
  <c r="I80" i="82" s="1"/>
  <c r="I81" i="82" s="1"/>
  <c r="E10" i="70"/>
  <c r="T127" i="82" s="1"/>
  <c r="H33" i="79"/>
  <c r="H41" i="80" l="1"/>
  <c r="H44" i="80" s="1"/>
  <c r="F44" i="79"/>
  <c r="F18" i="79"/>
  <c r="L44" i="84"/>
  <c r="M123" i="84"/>
  <c r="V10" i="70"/>
  <c r="M48" i="82"/>
  <c r="M127" i="82" s="1"/>
  <c r="J79" i="82"/>
  <c r="J80" i="82" s="1"/>
  <c r="J81" i="82" s="1"/>
  <c r="G10" i="70"/>
  <c r="T127" i="84" s="1"/>
  <c r="AB10" i="70" l="1"/>
  <c r="M8" i="88"/>
  <c r="N127" i="82"/>
  <c r="N148" i="82" s="1"/>
  <c r="L123" i="84"/>
  <c r="L69" i="84"/>
  <c r="N123" i="84"/>
  <c r="Y10" i="70"/>
  <c r="AC10" i="70" s="1"/>
  <c r="M48" i="84"/>
  <c r="K79" i="82"/>
  <c r="O8" i="88" l="1"/>
  <c r="P8" i="88"/>
  <c r="M69" i="84"/>
  <c r="L48" i="84"/>
  <c r="M127" i="84"/>
  <c r="N44" i="84"/>
  <c r="O123" i="84"/>
  <c r="O142" i="84"/>
  <c r="O127" i="82"/>
  <c r="P127" i="82" s="1"/>
  <c r="Q127" i="82" s="1"/>
  <c r="R127" i="82" s="1"/>
  <c r="N48" i="82"/>
  <c r="K80" i="82"/>
  <c r="K81" i="82" s="1"/>
  <c r="M79" i="82"/>
  <c r="N7" i="51"/>
  <c r="E34" i="83" s="1"/>
  <c r="N8" i="51"/>
  <c r="E35" i="83" s="1"/>
  <c r="N9" i="51"/>
  <c r="E36" i="83" s="1"/>
  <c r="N6" i="51"/>
  <c r="E33" i="83" s="1"/>
  <c r="F33" i="83" l="1"/>
  <c r="S33" i="83" s="1"/>
  <c r="I33" i="83"/>
  <c r="U33" i="83" s="1"/>
  <c r="R33" i="83"/>
  <c r="F36" i="83"/>
  <c r="S36" i="83" s="1"/>
  <c r="R36" i="83"/>
  <c r="I36" i="83"/>
  <c r="U36" i="83" s="1"/>
  <c r="F34" i="83"/>
  <c r="S34" i="83" s="1"/>
  <c r="I34" i="83"/>
  <c r="U34" i="83" s="1"/>
  <c r="R34" i="83"/>
  <c r="F35" i="83"/>
  <c r="S35" i="83" s="1"/>
  <c r="I35" i="83"/>
  <c r="U35" i="83" s="1"/>
  <c r="R35" i="83"/>
  <c r="O48" i="82"/>
  <c r="N69" i="84"/>
  <c r="O148" i="82"/>
  <c r="N127" i="84"/>
  <c r="N148" i="84" s="1"/>
  <c r="P123" i="84"/>
  <c r="P142" i="84" s="1"/>
  <c r="O44" i="84"/>
  <c r="L127" i="84"/>
  <c r="B4" i="50"/>
  <c r="C4" i="50"/>
  <c r="C7" i="70"/>
  <c r="G74" i="49"/>
  <c r="F74" i="49" s="1"/>
  <c r="G73" i="49"/>
  <c r="H73" i="49" s="1"/>
  <c r="D73" i="49"/>
  <c r="E73" i="49" s="1"/>
  <c r="R37" i="83" l="1"/>
  <c r="E37" i="83" s="1"/>
  <c r="I24" i="83" s="1"/>
  <c r="U37" i="83"/>
  <c r="I37" i="83" s="1"/>
  <c r="S37" i="83"/>
  <c r="F37" i="83" s="1"/>
  <c r="Q148" i="82"/>
  <c r="P48" i="82"/>
  <c r="S7" i="70"/>
  <c r="AA7" i="70" s="1"/>
  <c r="O127" i="84"/>
  <c r="P127" i="84" s="1"/>
  <c r="Q127" i="84" s="1"/>
  <c r="R127" i="84" s="1"/>
  <c r="N48" i="84"/>
  <c r="O69" i="84"/>
  <c r="Q123" i="84"/>
  <c r="Q142" i="84" s="1"/>
  <c r="P44" i="84"/>
  <c r="P148" i="82"/>
  <c r="L7" i="70"/>
  <c r="O7" i="70"/>
  <c r="G7" i="70"/>
  <c r="O148" i="84" l="1"/>
  <c r="N24" i="83"/>
  <c r="N25" i="83" s="1"/>
  <c r="N27" i="83" s="1"/>
  <c r="N17" i="83" s="1"/>
  <c r="N20" i="83" s="1"/>
  <c r="N29" i="83" s="1"/>
  <c r="I25" i="83"/>
  <c r="R48" i="82"/>
  <c r="Q48" i="82"/>
  <c r="Y7" i="70"/>
  <c r="AC7" i="70" s="1"/>
  <c r="M45" i="84"/>
  <c r="O48" i="84"/>
  <c r="P69" i="84"/>
  <c r="R123" i="84"/>
  <c r="R142" i="84" s="1"/>
  <c r="Q44" i="84"/>
  <c r="F52" i="89" l="1"/>
  <c r="F23" i="89"/>
  <c r="D18" i="79"/>
  <c r="D44" i="79"/>
  <c r="I40" i="83"/>
  <c r="I27" i="83"/>
  <c r="I17" i="83" s="1"/>
  <c r="I20" i="83" s="1"/>
  <c r="I29" i="83" s="1"/>
  <c r="R148" i="82"/>
  <c r="P48" i="84"/>
  <c r="M124" i="84"/>
  <c r="L45" i="84"/>
  <c r="M46" i="84"/>
  <c r="Q69" i="84"/>
  <c r="R44" i="84"/>
  <c r="P148" i="84"/>
  <c r="F16" i="71"/>
  <c r="D50" i="79" l="1"/>
  <c r="H44" i="79"/>
  <c r="F57" i="89"/>
  <c r="N52" i="89"/>
  <c r="D24" i="79"/>
  <c r="H18" i="79"/>
  <c r="F28" i="89"/>
  <c r="N23" i="89"/>
  <c r="M182" i="84"/>
  <c r="M183" i="84"/>
  <c r="R69" i="84"/>
  <c r="Q48" i="84"/>
  <c r="R48" i="84"/>
  <c r="L124" i="84"/>
  <c r="L70" i="84"/>
  <c r="L46" i="84"/>
  <c r="N124" i="84"/>
  <c r="Q148" i="84"/>
  <c r="F23" i="71"/>
  <c r="B7" i="50"/>
  <c r="R148" i="84" l="1"/>
  <c r="N45" i="84"/>
  <c r="O124" i="84"/>
  <c r="O144" i="84" s="1"/>
  <c r="M70" i="84"/>
  <c r="P124" i="84" l="1"/>
  <c r="O45" i="84"/>
  <c r="N70" i="84"/>
  <c r="B4" i="49"/>
  <c r="C8" i="50"/>
  <c r="O70" i="84" l="1"/>
  <c r="P144" i="84"/>
  <c r="Q124" i="84"/>
  <c r="P45" i="84"/>
  <c r="Q144" i="84"/>
  <c r="C17" i="70"/>
  <c r="G17" i="70" l="1"/>
  <c r="M52" i="84" s="1"/>
  <c r="C13" i="88"/>
  <c r="P70" i="84"/>
  <c r="Q45" i="84"/>
  <c r="R124" i="84"/>
  <c r="R144" i="84"/>
  <c r="L52" i="84"/>
  <c r="L73" i="84" s="1"/>
  <c r="M73" i="84" s="1"/>
  <c r="M187" i="84"/>
  <c r="D5" i="50"/>
  <c r="C12" i="70"/>
  <c r="C10" i="88" s="1"/>
  <c r="E10" i="88" l="1"/>
  <c r="AC10" i="88" s="1"/>
  <c r="AB10" i="88"/>
  <c r="O13" i="88"/>
  <c r="AB13" i="88"/>
  <c r="N52" i="84"/>
  <c r="O52" i="84" s="1"/>
  <c r="P52" i="84" s="1"/>
  <c r="Q52" i="84" s="1"/>
  <c r="R52" i="84" s="1"/>
  <c r="Q75" i="84"/>
  <c r="P75" i="84"/>
  <c r="O75" i="84"/>
  <c r="R75" i="84"/>
  <c r="N75" i="84"/>
  <c r="S12" i="70"/>
  <c r="AA12" i="70" s="1"/>
  <c r="B46" i="79"/>
  <c r="F46" i="79" s="1"/>
  <c r="B20" i="79"/>
  <c r="R45" i="84"/>
  <c r="Q70" i="84"/>
  <c r="O12" i="70"/>
  <c r="L12" i="70"/>
  <c r="E12" i="70"/>
  <c r="V12" i="70" s="1"/>
  <c r="B8" i="50"/>
  <c r="B10" i="50" s="1"/>
  <c r="C11" i="70"/>
  <c r="C9" i="88" s="1"/>
  <c r="AB9" i="88" s="1"/>
  <c r="B7" i="49"/>
  <c r="E9" i="88" l="1"/>
  <c r="C11" i="88"/>
  <c r="AB11" i="88" s="1"/>
  <c r="AB12" i="70"/>
  <c r="M10" i="88"/>
  <c r="R70" i="84"/>
  <c r="S11" i="70"/>
  <c r="B16" i="71"/>
  <c r="D16" i="71" s="1"/>
  <c r="B19" i="79"/>
  <c r="B24" i="79" s="1"/>
  <c r="H8" i="79"/>
  <c r="H19" i="79" s="1"/>
  <c r="B45" i="79"/>
  <c r="G12" i="70"/>
  <c r="M50" i="82"/>
  <c r="O11" i="70"/>
  <c r="L11" i="70"/>
  <c r="E11" i="70"/>
  <c r="T128" i="82" s="1"/>
  <c r="C14" i="70"/>
  <c r="D4" i="50"/>
  <c r="D8" i="50" s="1"/>
  <c r="B8" i="49"/>
  <c r="F45" i="79" l="1"/>
  <c r="B50" i="79"/>
  <c r="E11" i="88"/>
  <c r="AC11" i="88" s="1"/>
  <c r="AC9" i="88"/>
  <c r="P10" i="88"/>
  <c r="O10" i="88"/>
  <c r="F19" i="79"/>
  <c r="S14" i="70"/>
  <c r="AA11" i="70"/>
  <c r="AA14" i="70" s="1"/>
  <c r="R14" i="70" s="1"/>
  <c r="Y12" i="70"/>
  <c r="AC12" i="70" s="1"/>
  <c r="M50" i="84"/>
  <c r="V11" i="70"/>
  <c r="M49" i="82"/>
  <c r="M128" i="82" s="1"/>
  <c r="L50" i="82"/>
  <c r="L129" i="82" s="1"/>
  <c r="M129" i="82"/>
  <c r="G11" i="70"/>
  <c r="T128" i="84" s="1"/>
  <c r="L14" i="70"/>
  <c r="L22" i="70" s="1"/>
  <c r="O14" i="70"/>
  <c r="O22" i="70" s="1"/>
  <c r="G28" i="70" s="1"/>
  <c r="B6" i="54"/>
  <c r="G11" i="88" l="1"/>
  <c r="M9" i="88"/>
  <c r="M22" i="84"/>
  <c r="G93" i="85"/>
  <c r="H93" i="85" s="1"/>
  <c r="I93" i="85" s="1"/>
  <c r="J93" i="85" s="1"/>
  <c r="K93" i="85" s="1"/>
  <c r="L93" i="85" s="1"/>
  <c r="L94" i="85" s="1"/>
  <c r="M47" i="82"/>
  <c r="V14" i="70"/>
  <c r="AB11" i="70"/>
  <c r="AB14" i="70" s="1"/>
  <c r="L22" i="84"/>
  <c r="N22" i="84"/>
  <c r="O22" i="84" s="1"/>
  <c r="P22" i="84" s="1"/>
  <c r="Q22" i="84" s="1"/>
  <c r="R22" i="84" s="1"/>
  <c r="M25" i="84"/>
  <c r="M23" i="84"/>
  <c r="Y11" i="70"/>
  <c r="M49" i="84"/>
  <c r="M129" i="84"/>
  <c r="L50" i="84"/>
  <c r="L129" i="84" s="1"/>
  <c r="N128" i="82"/>
  <c r="M131" i="82"/>
  <c r="M156" i="82" s="1"/>
  <c r="N129" i="82"/>
  <c r="N152" i="82" s="1"/>
  <c r="L49" i="82"/>
  <c r="E28" i="70"/>
  <c r="M22" i="82"/>
  <c r="P17" i="70"/>
  <c r="P6" i="70"/>
  <c r="P10" i="70"/>
  <c r="P18" i="70"/>
  <c r="P7" i="70"/>
  <c r="P12" i="70"/>
  <c r="M6" i="70"/>
  <c r="M18" i="70"/>
  <c r="M17" i="70"/>
  <c r="M10" i="70"/>
  <c r="M7" i="70"/>
  <c r="M12" i="70"/>
  <c r="M11" i="70"/>
  <c r="P11" i="70"/>
  <c r="E14" i="70"/>
  <c r="G86" i="85" s="1"/>
  <c r="G14" i="70"/>
  <c r="P9" i="88" l="1"/>
  <c r="O9" i="88"/>
  <c r="M11" i="88"/>
  <c r="G85" i="85"/>
  <c r="G89" i="85" s="1"/>
  <c r="H86" i="85"/>
  <c r="M192" i="84"/>
  <c r="M186" i="84"/>
  <c r="P12" i="51" s="1"/>
  <c r="Y14" i="70"/>
  <c r="AC11" i="70"/>
  <c r="AC14" i="70" s="1"/>
  <c r="X14" i="70" s="1"/>
  <c r="N129" i="84"/>
  <c r="U14" i="70"/>
  <c r="M128" i="84"/>
  <c r="L49" i="84"/>
  <c r="M47" i="84"/>
  <c r="H36" i="79"/>
  <c r="M188" i="82"/>
  <c r="M179" i="82"/>
  <c r="N22" i="82"/>
  <c r="O22" i="82" s="1"/>
  <c r="P22" i="82" s="1"/>
  <c r="Q22" i="82" s="1"/>
  <c r="R22" i="82" s="1"/>
  <c r="M51" i="82"/>
  <c r="N49" i="82"/>
  <c r="O129" i="82"/>
  <c r="O152" i="82" s="1"/>
  <c r="N50" i="82"/>
  <c r="O128" i="82"/>
  <c r="P128" i="82" s="1"/>
  <c r="Q128" i="82" s="1"/>
  <c r="R128" i="82" s="1"/>
  <c r="N150" i="82"/>
  <c r="N155" i="82" s="1"/>
  <c r="L128" i="82"/>
  <c r="N131" i="82"/>
  <c r="L22" i="82"/>
  <c r="M25" i="82"/>
  <c r="M23" i="82"/>
  <c r="M14" i="70"/>
  <c r="M20" i="70"/>
  <c r="P14" i="70"/>
  <c r="P20" i="70"/>
  <c r="H21" i="80"/>
  <c r="D23" i="80"/>
  <c r="K9" i="79" l="1"/>
  <c r="J21" i="80"/>
  <c r="P11" i="88"/>
  <c r="O11" i="88"/>
  <c r="I86" i="85"/>
  <c r="H85" i="85"/>
  <c r="H89" i="85" s="1"/>
  <c r="G94" i="85"/>
  <c r="G91" i="85"/>
  <c r="N50" i="84"/>
  <c r="O129" i="84"/>
  <c r="O152" i="84"/>
  <c r="N128" i="84"/>
  <c r="N150" i="84" s="1"/>
  <c r="M131" i="84"/>
  <c r="M156" i="84" s="1"/>
  <c r="M188" i="84"/>
  <c r="M189" i="84" s="1"/>
  <c r="M191" i="84" s="1"/>
  <c r="M179" i="84"/>
  <c r="M51" i="84"/>
  <c r="L128" i="84"/>
  <c r="L131" i="84" s="1"/>
  <c r="L47" i="84"/>
  <c r="N152" i="84"/>
  <c r="F47" i="79"/>
  <c r="H47" i="79"/>
  <c r="H23" i="80"/>
  <c r="H38" i="79"/>
  <c r="H40" i="79" s="1"/>
  <c r="H49" i="79" s="1"/>
  <c r="N47" i="82"/>
  <c r="M192" i="82"/>
  <c r="M186" i="82"/>
  <c r="M189" i="82" s="1"/>
  <c r="M191" i="82" s="1"/>
  <c r="N14" i="82"/>
  <c r="N156" i="82"/>
  <c r="O131" i="82"/>
  <c r="O49" i="82"/>
  <c r="P129" i="82"/>
  <c r="P152" i="82" s="1"/>
  <c r="O50" i="82"/>
  <c r="O150" i="82"/>
  <c r="O155" i="82" s="1"/>
  <c r="M22" i="70"/>
  <c r="P22" i="70"/>
  <c r="H94" i="85" l="1"/>
  <c r="H91" i="85"/>
  <c r="N66" i="82"/>
  <c r="N72" i="82" s="1"/>
  <c r="N115" i="82"/>
  <c r="N116" i="82" s="1"/>
  <c r="I85" i="85"/>
  <c r="I89" i="85" s="1"/>
  <c r="J86" i="85"/>
  <c r="O128" i="84"/>
  <c r="N49" i="84"/>
  <c r="N47" i="84" s="1"/>
  <c r="N131" i="84"/>
  <c r="N155" i="84"/>
  <c r="L71" i="84"/>
  <c r="L51" i="84"/>
  <c r="O50" i="84"/>
  <c r="P129" i="84"/>
  <c r="P152" i="84" s="1"/>
  <c r="H20" i="79"/>
  <c r="F20" i="79"/>
  <c r="H10" i="79"/>
  <c r="O47" i="82"/>
  <c r="O179" i="82" s="1"/>
  <c r="N16" i="82"/>
  <c r="N23" i="82" s="1"/>
  <c r="N157" i="82"/>
  <c r="N179" i="82"/>
  <c r="N71" i="82"/>
  <c r="N77" i="82" s="1"/>
  <c r="N170" i="82"/>
  <c r="N175" i="82"/>
  <c r="N176" i="82"/>
  <c r="O14" i="82"/>
  <c r="O115" i="82" s="1"/>
  <c r="O156" i="82"/>
  <c r="P131" i="82"/>
  <c r="P49" i="82"/>
  <c r="Q129" i="82"/>
  <c r="Q152" i="82" s="1"/>
  <c r="P50" i="82"/>
  <c r="P150" i="82"/>
  <c r="P155" i="82" s="1"/>
  <c r="J85" i="85" l="1"/>
  <c r="J89" i="85" s="1"/>
  <c r="K86" i="85"/>
  <c r="I94" i="85"/>
  <c r="I91" i="85"/>
  <c r="O116" i="82"/>
  <c r="O113" i="82" s="1"/>
  <c r="N113" i="82"/>
  <c r="O150" i="84"/>
  <c r="O155" i="84" s="1"/>
  <c r="O14" i="84" s="1"/>
  <c r="O115" i="84" s="1"/>
  <c r="P128" i="84"/>
  <c r="Q128" i="84" s="1"/>
  <c r="R128" i="84" s="1"/>
  <c r="N14" i="84"/>
  <c r="N115" i="84" s="1"/>
  <c r="N116" i="84" s="1"/>
  <c r="N156" i="84"/>
  <c r="M71" i="84"/>
  <c r="P47" i="82"/>
  <c r="P179" i="82" s="1"/>
  <c r="N71" i="84"/>
  <c r="N179" i="84"/>
  <c r="P50" i="84"/>
  <c r="Q129" i="84"/>
  <c r="Q152" i="84" s="1"/>
  <c r="O49" i="84"/>
  <c r="O47" i="84" s="1"/>
  <c r="O131" i="84"/>
  <c r="H12" i="79"/>
  <c r="H14" i="79" s="1"/>
  <c r="H23" i="79" s="1"/>
  <c r="H21" i="79"/>
  <c r="F21" i="79"/>
  <c r="O66" i="82"/>
  <c r="O72" i="82" s="1"/>
  <c r="O157" i="82"/>
  <c r="N110" i="82"/>
  <c r="O16" i="82"/>
  <c r="O23" i="82" s="1"/>
  <c r="O170" i="82"/>
  <c r="O175" i="82"/>
  <c r="O176" i="82"/>
  <c r="O71" i="82"/>
  <c r="P14" i="82"/>
  <c r="P156" i="82"/>
  <c r="N167" i="82"/>
  <c r="N61" i="82"/>
  <c r="Q131" i="82"/>
  <c r="R129" i="82"/>
  <c r="R50" i="82" s="1"/>
  <c r="Q50" i="82"/>
  <c r="R49" i="82"/>
  <c r="Q49" i="82"/>
  <c r="R150" i="82"/>
  <c r="Q150" i="82"/>
  <c r="Q155" i="82" s="1"/>
  <c r="K85" i="85" l="1"/>
  <c r="K89" i="85" s="1"/>
  <c r="L86" i="85"/>
  <c r="L85" i="85" s="1"/>
  <c r="L81" i="85" s="1"/>
  <c r="O116" i="84"/>
  <c r="O113" i="84" s="1"/>
  <c r="N113" i="84"/>
  <c r="J94" i="85"/>
  <c r="J91" i="85"/>
  <c r="P157" i="82"/>
  <c r="P115" i="82"/>
  <c r="P116" i="82" s="1"/>
  <c r="O156" i="84"/>
  <c r="R47" i="82"/>
  <c r="R179" i="82" s="1"/>
  <c r="O71" i="84"/>
  <c r="O179" i="84"/>
  <c r="P49" i="84"/>
  <c r="P47" i="84" s="1"/>
  <c r="Q150" i="84"/>
  <c r="Q155" i="84" s="1"/>
  <c r="P131" i="84"/>
  <c r="Q50" i="84"/>
  <c r="R129" i="84"/>
  <c r="R50" i="84" s="1"/>
  <c r="O175" i="84"/>
  <c r="O176" i="84"/>
  <c r="O157" i="84"/>
  <c r="O170" i="84"/>
  <c r="O66" i="84"/>
  <c r="O72" i="84" s="1"/>
  <c r="O77" i="84" s="1"/>
  <c r="P150" i="84"/>
  <c r="P155" i="84" s="1"/>
  <c r="N176" i="84"/>
  <c r="N157" i="84"/>
  <c r="N170" i="84"/>
  <c r="N66" i="84"/>
  <c r="N72" i="84" s="1"/>
  <c r="N175" i="84"/>
  <c r="N109" i="82"/>
  <c r="N111" i="82" s="1"/>
  <c r="Q47" i="82"/>
  <c r="Q179" i="82" s="1"/>
  <c r="O77" i="82"/>
  <c r="P170" i="82"/>
  <c r="P175" i="82"/>
  <c r="P176" i="82"/>
  <c r="P66" i="82"/>
  <c r="P72" i="82" s="1"/>
  <c r="P16" i="82"/>
  <c r="P71" i="82"/>
  <c r="Q14" i="82"/>
  <c r="Q115" i="82" s="1"/>
  <c r="Q156" i="82"/>
  <c r="O167" i="82"/>
  <c r="O61" i="82"/>
  <c r="R152" i="82"/>
  <c r="R155" i="82" s="1"/>
  <c r="R131" i="82"/>
  <c r="Q35" i="85" l="1"/>
  <c r="L83" i="85"/>
  <c r="K94" i="85"/>
  <c r="K91" i="85"/>
  <c r="P23" i="82"/>
  <c r="Q117" i="82"/>
  <c r="Q118" i="82" s="1"/>
  <c r="Q15" i="82" s="1"/>
  <c r="Q16" i="82" s="1"/>
  <c r="Q23" i="82" s="1"/>
  <c r="P113" i="82"/>
  <c r="R152" i="84"/>
  <c r="P71" i="84"/>
  <c r="P179" i="84"/>
  <c r="Q49" i="84"/>
  <c r="Q47" i="84" s="1"/>
  <c r="R150" i="84"/>
  <c r="Q131" i="84"/>
  <c r="Q156" i="84" s="1"/>
  <c r="O16" i="84"/>
  <c r="P14" i="84"/>
  <c r="P115" i="84" s="1"/>
  <c r="P116" i="84" s="1"/>
  <c r="P113" i="84" s="1"/>
  <c r="P156" i="84"/>
  <c r="Q14" i="84"/>
  <c r="Q115" i="84" s="1"/>
  <c r="O109" i="82"/>
  <c r="O110" i="82"/>
  <c r="P77" i="82"/>
  <c r="Q157" i="82"/>
  <c r="Q66" i="82"/>
  <c r="Q72" i="82" s="1"/>
  <c r="P109" i="82"/>
  <c r="Q71" i="82"/>
  <c r="Q170" i="82"/>
  <c r="Q175" i="82"/>
  <c r="Q176" i="82"/>
  <c r="R14" i="82"/>
  <c r="R115" i="82" s="1"/>
  <c r="R117" i="82" s="1"/>
  <c r="R118" i="82" s="1"/>
  <c r="R15" i="82" s="1"/>
  <c r="R156" i="82"/>
  <c r="R71" i="82"/>
  <c r="N112" i="82"/>
  <c r="N114" i="82"/>
  <c r="N103" i="82" s="1"/>
  <c r="N104" i="82" s="1"/>
  <c r="P167" i="82"/>
  <c r="P61" i="82"/>
  <c r="Q117" i="84" l="1"/>
  <c r="Q118" i="84" s="1"/>
  <c r="Q15" i="84" s="1"/>
  <c r="R155" i="84"/>
  <c r="Q71" i="84"/>
  <c r="Q179" i="84"/>
  <c r="R14" i="84"/>
  <c r="R115" i="84" s="1"/>
  <c r="R117" i="84" s="1"/>
  <c r="R118" i="84" s="1"/>
  <c r="R15" i="84" s="1"/>
  <c r="P175" i="84"/>
  <c r="P176" i="84"/>
  <c r="P66" i="84"/>
  <c r="P72" i="84" s="1"/>
  <c r="P77" i="84" s="1"/>
  <c r="P170" i="84"/>
  <c r="P157" i="84"/>
  <c r="R49" i="84"/>
  <c r="R47" i="84" s="1"/>
  <c r="R131" i="84"/>
  <c r="R156" i="84" s="1"/>
  <c r="Q175" i="84"/>
  <c r="Q170" i="84"/>
  <c r="Q176" i="84"/>
  <c r="Q66" i="84"/>
  <c r="Q72" i="84" s="1"/>
  <c r="Q157" i="84"/>
  <c r="O110" i="84"/>
  <c r="O109" i="84"/>
  <c r="O23" i="84"/>
  <c r="O61" i="84"/>
  <c r="O167" i="84"/>
  <c r="O111" i="82"/>
  <c r="O112" i="82" s="1"/>
  <c r="P110" i="82"/>
  <c r="P111" i="82" s="1"/>
  <c r="P112" i="82" s="1"/>
  <c r="Q77" i="82"/>
  <c r="R66" i="82"/>
  <c r="R72" i="82" s="1"/>
  <c r="R77" i="82" s="1"/>
  <c r="R157" i="82"/>
  <c r="R170" i="82"/>
  <c r="R175" i="82"/>
  <c r="R176" i="82"/>
  <c r="N43" i="82"/>
  <c r="Q167" i="82"/>
  <c r="Q61" i="82"/>
  <c r="O111" i="84" l="1"/>
  <c r="O112" i="84" s="1"/>
  <c r="Q77" i="84"/>
  <c r="R71" i="84"/>
  <c r="R179" i="84"/>
  <c r="R170" i="84"/>
  <c r="R175" i="84"/>
  <c r="R157" i="84"/>
  <c r="R176" i="84"/>
  <c r="R66" i="84"/>
  <c r="R72" i="84" s="1"/>
  <c r="P16" i="84"/>
  <c r="Q16" i="84"/>
  <c r="O114" i="82"/>
  <c r="O103" i="82" s="1"/>
  <c r="O104" i="82" s="1"/>
  <c r="Q110" i="82"/>
  <c r="Q109" i="82"/>
  <c r="R16" i="82"/>
  <c r="N46" i="82"/>
  <c r="N51" i="82" s="1"/>
  <c r="N65" i="82"/>
  <c r="P110" i="84" l="1"/>
  <c r="P109" i="84"/>
  <c r="O43" i="82"/>
  <c r="O46" i="82" s="1"/>
  <c r="O51" i="82" s="1"/>
  <c r="P23" i="84"/>
  <c r="P61" i="84"/>
  <c r="P167" i="84"/>
  <c r="R77" i="84"/>
  <c r="N114" i="84"/>
  <c r="N103" i="84" s="1"/>
  <c r="N104" i="84" s="1"/>
  <c r="N43" i="84"/>
  <c r="Q110" i="84"/>
  <c r="Q109" i="84"/>
  <c r="Q167" i="84"/>
  <c r="Q23" i="84"/>
  <c r="Q61" i="84"/>
  <c r="R16" i="84"/>
  <c r="P114" i="82"/>
  <c r="P103" i="82" s="1"/>
  <c r="P104" i="82" s="1"/>
  <c r="Q111" i="82"/>
  <c r="Q112" i="82" s="1"/>
  <c r="N67" i="82"/>
  <c r="N178" i="82" s="1"/>
  <c r="I16" i="85"/>
  <c r="R110" i="82"/>
  <c r="R109" i="82"/>
  <c r="R167" i="82"/>
  <c r="R61" i="82"/>
  <c r="R23" i="82"/>
  <c r="I17" i="85" l="1"/>
  <c r="I53" i="85"/>
  <c r="Q111" i="84"/>
  <c r="Q112" i="84" s="1"/>
  <c r="O65" i="82"/>
  <c r="O67" i="82" s="1"/>
  <c r="O178" i="82" s="1"/>
  <c r="P43" i="82"/>
  <c r="P46" i="82" s="1"/>
  <c r="P51" i="82" s="1"/>
  <c r="R110" i="84"/>
  <c r="R109" i="84"/>
  <c r="O43" i="84"/>
  <c r="O114" i="84"/>
  <c r="O103" i="84" s="1"/>
  <c r="O104" i="84" s="1"/>
  <c r="R167" i="84"/>
  <c r="R23" i="84"/>
  <c r="R61" i="84"/>
  <c r="N46" i="84"/>
  <c r="N51" i="84" s="1"/>
  <c r="N65" i="84"/>
  <c r="P111" i="84"/>
  <c r="P112" i="84" s="1"/>
  <c r="Q114" i="82"/>
  <c r="Q103" i="82" s="1"/>
  <c r="Q104" i="82" s="1"/>
  <c r="N78" i="82"/>
  <c r="I24" i="85"/>
  <c r="N177" i="82"/>
  <c r="R111" i="82"/>
  <c r="R112" i="82" s="1"/>
  <c r="J16" i="85" l="1"/>
  <c r="P65" i="82"/>
  <c r="P67" i="82" s="1"/>
  <c r="P178" i="82" s="1"/>
  <c r="R111" i="84"/>
  <c r="R112" i="84" s="1"/>
  <c r="P43" i="84"/>
  <c r="O78" i="82"/>
  <c r="O46" i="84"/>
  <c r="O51" i="84" s="1"/>
  <c r="O65" i="84"/>
  <c r="O67" i="84" s="1"/>
  <c r="Q43" i="82"/>
  <c r="Q46" i="82" s="1"/>
  <c r="Q51" i="82" s="1"/>
  <c r="O177" i="82"/>
  <c r="R43" i="82"/>
  <c r="R46" i="82" s="1"/>
  <c r="R51" i="82" s="1"/>
  <c r="J17" i="85" l="1"/>
  <c r="J53" i="85"/>
  <c r="K16" i="85"/>
  <c r="Q43" i="84"/>
  <c r="P114" i="84"/>
  <c r="P103" i="84" s="1"/>
  <c r="P104" i="84" s="1"/>
  <c r="P177" i="82"/>
  <c r="P65" i="84"/>
  <c r="P67" i="84" s="1"/>
  <c r="P46" i="84"/>
  <c r="P51" i="84" s="1"/>
  <c r="O177" i="84"/>
  <c r="O78" i="84"/>
  <c r="O178" i="84"/>
  <c r="Q65" i="82"/>
  <c r="Q67" i="82" s="1"/>
  <c r="Q178" i="82" s="1"/>
  <c r="P78" i="82"/>
  <c r="R114" i="82"/>
  <c r="R103" i="82" s="1"/>
  <c r="R104" i="82" s="1"/>
  <c r="R65" i="82"/>
  <c r="K17" i="85" l="1"/>
  <c r="K24" i="85" s="1"/>
  <c r="K53" i="85"/>
  <c r="J24" i="85"/>
  <c r="J18" i="85"/>
  <c r="K18" i="85"/>
  <c r="R114" i="84"/>
  <c r="R103" i="84" s="1"/>
  <c r="R104" i="84" s="1"/>
  <c r="Q114" i="84"/>
  <c r="Q103" i="84" s="1"/>
  <c r="Q104" i="84" s="1"/>
  <c r="P177" i="84"/>
  <c r="P78" i="84"/>
  <c r="P178" i="84"/>
  <c r="Q46" i="84"/>
  <c r="Q51" i="84" s="1"/>
  <c r="Q65" i="84"/>
  <c r="Q67" i="84" s="1"/>
  <c r="L16" i="85"/>
  <c r="Q78" i="82"/>
  <c r="Q177" i="82"/>
  <c r="R67" i="82"/>
  <c r="R178" i="82" s="1"/>
  <c r="M16" i="85"/>
  <c r="M17" i="85" s="1"/>
  <c r="C7" i="52"/>
  <c r="C23" i="52"/>
  <c r="L17" i="85" l="1"/>
  <c r="L18" i="85" s="1"/>
  <c r="L53" i="85"/>
  <c r="R43" i="84"/>
  <c r="R65" i="84" s="1"/>
  <c r="R67" i="84" s="1"/>
  <c r="Q178" i="84"/>
  <c r="Q177" i="84"/>
  <c r="Q78" i="84"/>
  <c r="L24" i="85"/>
  <c r="R78" i="82"/>
  <c r="C68" i="52"/>
  <c r="C73" i="52"/>
  <c r="C69" i="52"/>
  <c r="C74" i="52"/>
  <c r="R177" i="82"/>
  <c r="M20" i="85"/>
  <c r="M26" i="85" s="1"/>
  <c r="D26" i="85" s="1"/>
  <c r="D30" i="85" s="1"/>
  <c r="N17" i="85"/>
  <c r="M24" i="85"/>
  <c r="M18" i="85"/>
  <c r="B23" i="52"/>
  <c r="B42" i="52" s="1"/>
  <c r="H44" i="85" s="1"/>
  <c r="C9" i="52"/>
  <c r="C6" i="52" s="1"/>
  <c r="C63" i="52" s="1"/>
  <c r="C42" i="52"/>
  <c r="C8" i="52"/>
  <c r="D23" i="52"/>
  <c r="D7" i="52"/>
  <c r="R46" i="84" l="1"/>
  <c r="R51" i="84" s="1"/>
  <c r="R178" i="84"/>
  <c r="R78" i="84"/>
  <c r="R177" i="84"/>
  <c r="D24" i="85"/>
  <c r="D29" i="85" s="1"/>
  <c r="D31" i="85" s="1"/>
  <c r="D68" i="52"/>
  <c r="D73" i="52"/>
  <c r="I44" i="85"/>
  <c r="I45" i="85" s="1"/>
  <c r="C75" i="52"/>
  <c r="C70" i="52"/>
  <c r="D69" i="52"/>
  <c r="D74" i="52"/>
  <c r="C38" i="52"/>
  <c r="C60" i="52" s="1"/>
  <c r="D42" i="52"/>
  <c r="E23" i="52"/>
  <c r="D8" i="52"/>
  <c r="E7" i="52"/>
  <c r="E30" i="85" l="1"/>
  <c r="D70" i="52"/>
  <c r="D75" i="52"/>
  <c r="E74" i="52"/>
  <c r="E69" i="52"/>
  <c r="E68" i="52"/>
  <c r="E73" i="52"/>
  <c r="D38" i="52"/>
  <c r="D60" i="52" s="1"/>
  <c r="J44" i="85"/>
  <c r="J45" i="85" s="1"/>
  <c r="G32" i="85"/>
  <c r="E31" i="85"/>
  <c r="D33" i="85"/>
  <c r="E29" i="85"/>
  <c r="E42" i="52"/>
  <c r="C10" i="52"/>
  <c r="D9" i="52"/>
  <c r="D6" i="52" s="1"/>
  <c r="D63" i="52" s="1"/>
  <c r="E8" i="52"/>
  <c r="F7" i="52"/>
  <c r="F23" i="52"/>
  <c r="C24" i="52"/>
  <c r="E70" i="52" l="1"/>
  <c r="E75" i="52"/>
  <c r="F74" i="52"/>
  <c r="F69" i="52"/>
  <c r="F73" i="52"/>
  <c r="F68" i="52"/>
  <c r="E38" i="52"/>
  <c r="E60" i="52" s="1"/>
  <c r="K44" i="85"/>
  <c r="K45" i="85" s="1"/>
  <c r="F42" i="52"/>
  <c r="C43" i="52"/>
  <c r="C39" i="52" s="1"/>
  <c r="C11" i="52"/>
  <c r="C15" i="52" s="1"/>
  <c r="C78" i="52" s="1"/>
  <c r="C53" i="52"/>
  <c r="D10" i="52"/>
  <c r="G7" i="52"/>
  <c r="F8" i="52"/>
  <c r="G23" i="52"/>
  <c r="D24" i="52"/>
  <c r="D25" i="52"/>
  <c r="C25" i="52"/>
  <c r="E9" i="52"/>
  <c r="E6" i="52" s="1"/>
  <c r="E63" i="52" s="1"/>
  <c r="G73" i="52" l="1"/>
  <c r="I73" i="52" s="1"/>
  <c r="G68" i="52"/>
  <c r="I68" i="52" s="1"/>
  <c r="F75" i="52"/>
  <c r="F70" i="52"/>
  <c r="G74" i="52"/>
  <c r="I74" i="52" s="1"/>
  <c r="G69" i="52"/>
  <c r="I69" i="52" s="1"/>
  <c r="D44" i="52"/>
  <c r="D22" i="52"/>
  <c r="D64" i="52" s="1"/>
  <c r="C44" i="52"/>
  <c r="C22" i="52"/>
  <c r="C64" i="52" s="1"/>
  <c r="F38" i="52"/>
  <c r="F60" i="52" s="1"/>
  <c r="L44" i="85"/>
  <c r="L45" i="85" s="1"/>
  <c r="C45" i="52"/>
  <c r="C40" i="52"/>
  <c r="D43" i="52"/>
  <c r="D39" i="52" s="1"/>
  <c r="D40" i="52"/>
  <c r="I23" i="52"/>
  <c r="I59" i="52" s="1"/>
  <c r="I7" i="52"/>
  <c r="I58" i="52" s="1"/>
  <c r="G42" i="52"/>
  <c r="D11" i="52"/>
  <c r="D15" i="52" s="1"/>
  <c r="D78" i="52" s="1"/>
  <c r="D53" i="52"/>
  <c r="D45" i="52" s="1"/>
  <c r="D46" i="52" s="1"/>
  <c r="D50" i="52" s="1"/>
  <c r="D26" i="52"/>
  <c r="D27" i="52" s="1"/>
  <c r="D31" i="52" s="1"/>
  <c r="C26" i="52"/>
  <c r="C27" i="52" s="1"/>
  <c r="C31" i="52" s="1"/>
  <c r="E10" i="52"/>
  <c r="E53" i="52" s="1"/>
  <c r="G8" i="52"/>
  <c r="E25" i="52"/>
  <c r="E24" i="52"/>
  <c r="F9" i="52"/>
  <c r="F6" i="52" s="1"/>
  <c r="F63" i="52" s="1"/>
  <c r="D84" i="52" l="1"/>
  <c r="D83" i="52" s="1"/>
  <c r="D79" i="52"/>
  <c r="D80" i="52"/>
  <c r="D85" i="52"/>
  <c r="M44" i="85"/>
  <c r="N44" i="85" s="1"/>
  <c r="G70" i="52"/>
  <c r="I70" i="52" s="1"/>
  <c r="G75" i="52"/>
  <c r="I75" i="52" s="1"/>
  <c r="C84" i="52"/>
  <c r="C79" i="52"/>
  <c r="I49" i="85"/>
  <c r="C41" i="52"/>
  <c r="C65" i="52" s="1"/>
  <c r="E44" i="52"/>
  <c r="E40" i="52" s="1"/>
  <c r="E22" i="52"/>
  <c r="E64" i="52" s="1"/>
  <c r="J49" i="85"/>
  <c r="D41" i="52"/>
  <c r="D65" i="52" s="1"/>
  <c r="E43" i="52"/>
  <c r="E39" i="52" s="1"/>
  <c r="I42" i="52"/>
  <c r="I60" i="52" s="1"/>
  <c r="G38" i="52"/>
  <c r="G60" i="52" s="1"/>
  <c r="I8" i="52"/>
  <c r="C46" i="52"/>
  <c r="C50" i="52" s="1"/>
  <c r="E26" i="52"/>
  <c r="E11" i="52"/>
  <c r="E15" i="52" s="1"/>
  <c r="E78" i="52" s="1"/>
  <c r="F10" i="52"/>
  <c r="F53" i="52" s="1"/>
  <c r="F25" i="52"/>
  <c r="F24" i="52"/>
  <c r="G9" i="52"/>
  <c r="G6" i="52" s="1"/>
  <c r="G63" i="52" s="1"/>
  <c r="I63" i="52" s="1"/>
  <c r="M45" i="85" l="1"/>
  <c r="C83" i="52"/>
  <c r="C85" i="52"/>
  <c r="C80" i="52"/>
  <c r="E45" i="52"/>
  <c r="E46" i="52" s="1"/>
  <c r="E50" i="52" s="1"/>
  <c r="J46" i="85"/>
  <c r="J47" i="85" s="1"/>
  <c r="J54" i="85"/>
  <c r="K49" i="85"/>
  <c r="E41" i="52"/>
  <c r="E65" i="52" s="1"/>
  <c r="F44" i="52"/>
  <c r="F22" i="52"/>
  <c r="F64" i="52" s="1"/>
  <c r="I46" i="85"/>
  <c r="I47" i="85" s="1"/>
  <c r="I54" i="85"/>
  <c r="I61" i="85" s="1"/>
  <c r="F40" i="52"/>
  <c r="F43" i="52"/>
  <c r="F39" i="52" s="1"/>
  <c r="I9" i="52"/>
  <c r="E27" i="52"/>
  <c r="E31" i="52" s="1"/>
  <c r="F11" i="52"/>
  <c r="F15" i="52" s="1"/>
  <c r="F78" i="52" s="1"/>
  <c r="F26" i="52"/>
  <c r="F27" i="52" s="1"/>
  <c r="F31" i="52" s="1"/>
  <c r="G10" i="52"/>
  <c r="I10" i="52" s="1"/>
  <c r="G24" i="52"/>
  <c r="E80" i="52" l="1"/>
  <c r="E85" i="52"/>
  <c r="F79" i="52"/>
  <c r="F84" i="52"/>
  <c r="E79" i="52"/>
  <c r="E84" i="52"/>
  <c r="E83" i="52" s="1"/>
  <c r="J61" i="85"/>
  <c r="J55" i="85"/>
  <c r="L49" i="85"/>
  <c r="F41" i="52"/>
  <c r="F65" i="52" s="1"/>
  <c r="K46" i="85"/>
  <c r="K47" i="85" s="1"/>
  <c r="K54" i="85"/>
  <c r="F45" i="52"/>
  <c r="F46" i="52" s="1"/>
  <c r="F50" i="52" s="1"/>
  <c r="I24" i="52"/>
  <c r="G43" i="52"/>
  <c r="G11" i="52"/>
  <c r="G53" i="52"/>
  <c r="G25" i="52"/>
  <c r="G22" i="52" s="1"/>
  <c r="G64" i="52" s="1"/>
  <c r="I64" i="52" s="1"/>
  <c r="F85" i="52" l="1"/>
  <c r="F83" i="52" s="1"/>
  <c r="F80" i="52"/>
  <c r="K55" i="85"/>
  <c r="K61" i="85"/>
  <c r="L46" i="85"/>
  <c r="L47" i="85" s="1"/>
  <c r="L50" i="85"/>
  <c r="L54" i="85" s="1"/>
  <c r="I25" i="52"/>
  <c r="G44" i="52"/>
  <c r="I43" i="52"/>
  <c r="G39" i="52"/>
  <c r="G15" i="52"/>
  <c r="I11" i="52"/>
  <c r="G26" i="52"/>
  <c r="I15" i="52" l="1"/>
  <c r="G78" i="52"/>
  <c r="I78" i="52" s="1"/>
  <c r="L61" i="85"/>
  <c r="L55" i="85"/>
  <c r="M49" i="85"/>
  <c r="N49" i="85" s="1"/>
  <c r="G41" i="52"/>
  <c r="G65" i="52" s="1"/>
  <c r="I65" i="52" s="1"/>
  <c r="G27" i="52"/>
  <c r="I26" i="52"/>
  <c r="G40" i="52"/>
  <c r="I44" i="52"/>
  <c r="G45" i="52"/>
  <c r="I45" i="52" s="1"/>
  <c r="M46" i="85" l="1"/>
  <c r="M47" i="85" s="1"/>
  <c r="N47" i="85" s="1"/>
  <c r="M50" i="85"/>
  <c r="G46" i="52"/>
  <c r="G31" i="52"/>
  <c r="I27" i="52"/>
  <c r="N46" i="85" l="1"/>
  <c r="G84" i="52"/>
  <c r="G79" i="52"/>
  <c r="I79" i="52" s="1"/>
  <c r="I84" i="52"/>
  <c r="M54" i="85"/>
  <c r="I31" i="52"/>
  <c r="G50" i="52"/>
  <c r="I46" i="52"/>
  <c r="M55" i="85" l="1"/>
  <c r="N54" i="85"/>
  <c r="M57" i="85"/>
  <c r="M63" i="85" s="1"/>
  <c r="D63" i="85" s="1"/>
  <c r="D67" i="85" s="1"/>
  <c r="M61" i="85"/>
  <c r="D61" i="85" s="1"/>
  <c r="D66" i="85" s="1"/>
  <c r="I50" i="52"/>
  <c r="G85" i="52"/>
  <c r="G83" i="52" s="1"/>
  <c r="G80" i="52"/>
  <c r="I80" i="52" s="1"/>
  <c r="I85" i="52"/>
  <c r="I83" i="52" s="1"/>
  <c r="D68" i="85" l="1"/>
  <c r="E68" i="85" s="1"/>
  <c r="E67" i="85" l="1"/>
  <c r="E66" i="85"/>
  <c r="D70" i="85"/>
  <c r="G69" i="85"/>
  <c r="B13" i="49" l="1"/>
  <c r="C18" i="70" l="1"/>
  <c r="C20" i="70" l="1"/>
  <c r="C22" i="70" s="1"/>
  <c r="C26" i="70" s="1"/>
  <c r="C14" i="88"/>
  <c r="E18" i="70"/>
  <c r="M53" i="82" s="1"/>
  <c r="G18" i="70"/>
  <c r="B14" i="49"/>
  <c r="B16" i="49" s="1"/>
  <c r="C15" i="88" l="1"/>
  <c r="AB15" i="88" s="1"/>
  <c r="M193" i="82"/>
  <c r="N53" i="82"/>
  <c r="O53" i="82" s="1"/>
  <c r="P53" i="82" s="1"/>
  <c r="Q53" i="82" s="1"/>
  <c r="R53" i="82" s="1"/>
  <c r="G20" i="70"/>
  <c r="M53" i="84"/>
  <c r="M174" i="82"/>
  <c r="M173" i="82"/>
  <c r="M54" i="82"/>
  <c r="M55" i="82" s="1"/>
  <c r="L53" i="82"/>
  <c r="L74" i="82" s="1"/>
  <c r="C3" i="50"/>
  <c r="C7" i="50" s="1"/>
  <c r="C10" i="50" s="1"/>
  <c r="B10" i="49"/>
  <c r="B18" i="49" s="1"/>
  <c r="O15" i="88" l="1"/>
  <c r="L53" i="84"/>
  <c r="L74" i="84" s="1"/>
  <c r="M193" i="84"/>
  <c r="M173" i="84"/>
  <c r="M174" i="84"/>
  <c r="M54" i="84"/>
  <c r="M55" i="84" s="1"/>
  <c r="M74" i="82"/>
  <c r="D3" i="50"/>
  <c r="D7" i="50" s="1"/>
  <c r="D10" i="50" s="1"/>
  <c r="M74" i="84" l="1"/>
  <c r="M77" i="84" s="1"/>
  <c r="M78" i="84" s="1"/>
  <c r="M80" i="84" s="1"/>
  <c r="L77" i="84"/>
  <c r="L78" i="84" s="1"/>
  <c r="N79" i="84" l="1"/>
  <c r="M81" i="84"/>
  <c r="F10" i="71"/>
  <c r="D10" i="71" l="1"/>
  <c r="F25" i="71"/>
  <c r="E20" i="70"/>
  <c r="E22" i="70" l="1"/>
  <c r="E26" i="70" s="1"/>
  <c r="L13" i="51" s="1"/>
  <c r="N13" i="51" s="1"/>
  <c r="G22" i="70"/>
  <c r="G26" i="70" s="1"/>
  <c r="L14" i="51" s="1"/>
  <c r="N14" i="51" s="1"/>
  <c r="N54" i="82" l="1"/>
  <c r="N173" i="82"/>
  <c r="N174" i="82"/>
  <c r="N169" i="82"/>
  <c r="O169" i="82" l="1"/>
  <c r="O173" i="82"/>
  <c r="O174" i="82"/>
  <c r="P169" i="82"/>
  <c r="O54" i="82"/>
  <c r="P173" i="82" l="1"/>
  <c r="P174" i="82"/>
  <c r="P54" i="82"/>
  <c r="Q173" i="82" l="1"/>
  <c r="Q174" i="82"/>
  <c r="Q54" i="82"/>
  <c r="Q169" i="82"/>
  <c r="R54" i="82" l="1"/>
  <c r="R174" i="82"/>
  <c r="R173" i="82"/>
  <c r="R169" i="82"/>
  <c r="L48" i="82"/>
  <c r="L47" i="82" l="1"/>
  <c r="L127" i="82"/>
  <c r="L131" i="82" s="1"/>
  <c r="L51" i="82" l="1"/>
  <c r="L71" i="82"/>
  <c r="M71" i="82" l="1"/>
  <c r="M77" i="82" s="1"/>
  <c r="M78" i="82" s="1"/>
  <c r="M80" i="82" s="1"/>
  <c r="L77" i="82"/>
  <c r="L78" i="82" s="1"/>
  <c r="N79" i="82" l="1"/>
  <c r="N80" i="82" s="1"/>
  <c r="M81" i="82"/>
  <c r="N31" i="82" l="1"/>
  <c r="O79" i="82"/>
  <c r="O80" i="82" s="1"/>
  <c r="P79" i="82" l="1"/>
  <c r="P80" i="82" s="1"/>
  <c r="O31" i="82"/>
  <c r="N133" i="82"/>
  <c r="N135" i="82" s="1"/>
  <c r="N81" i="82"/>
  <c r="N35" i="82"/>
  <c r="N40" i="82" l="1"/>
  <c r="N182" i="82"/>
  <c r="N183" i="82"/>
  <c r="O133" i="82"/>
  <c r="O135" i="82" s="1"/>
  <c r="O35" i="82"/>
  <c r="O81" i="82"/>
  <c r="P31" i="82"/>
  <c r="Q79" i="82"/>
  <c r="Q80" i="82" s="1"/>
  <c r="O40" i="82" l="1"/>
  <c r="O183" i="82"/>
  <c r="O182" i="82"/>
  <c r="R79" i="82"/>
  <c r="R80" i="82" s="1"/>
  <c r="R31" i="82" s="1"/>
  <c r="Q31" i="82"/>
  <c r="P133" i="82"/>
  <c r="P135" i="82" s="1"/>
  <c r="P138" i="82" s="1"/>
  <c r="P35" i="82"/>
  <c r="P81" i="82"/>
  <c r="N168" i="82"/>
  <c r="N55" i="82"/>
  <c r="R133" i="82" l="1"/>
  <c r="R135" i="82" s="1"/>
  <c r="R138" i="82" s="1"/>
  <c r="R81" i="82"/>
  <c r="R35" i="82"/>
  <c r="P40" i="82"/>
  <c r="P183" i="82"/>
  <c r="P182" i="82"/>
  <c r="Q133" i="82"/>
  <c r="Q135" i="82" s="1"/>
  <c r="Q138" i="82" s="1"/>
  <c r="Q35" i="82"/>
  <c r="Q81" i="82"/>
  <c r="O168" i="82"/>
  <c r="O55" i="82"/>
  <c r="Q40" i="82" l="1"/>
  <c r="Q182" i="82"/>
  <c r="Q183" i="82"/>
  <c r="R183" i="82"/>
  <c r="R182" i="82"/>
  <c r="R40" i="82"/>
  <c r="R55" i="82" s="1"/>
  <c r="P168" i="82"/>
  <c r="P55" i="82"/>
  <c r="Q168" i="82" l="1"/>
  <c r="R168" i="82"/>
  <c r="Q55" i="82"/>
  <c r="N109" i="84"/>
  <c r="N118" i="84"/>
  <c r="N15" i="84"/>
  <c r="N16" i="84" s="1"/>
  <c r="N53" i="84" s="1"/>
  <c r="O53" i="84" s="1"/>
  <c r="P53" i="84" s="1"/>
  <c r="Q53" i="84" s="1"/>
  <c r="R53" i="84" s="1"/>
  <c r="N110" i="84"/>
  <c r="N111" i="84" l="1"/>
  <c r="N167" i="84"/>
  <c r="N61" i="84"/>
  <c r="N67" i="84" s="1"/>
  <c r="N23" i="84"/>
  <c r="N112" i="84"/>
  <c r="N177" i="84" l="1"/>
  <c r="N178" i="84"/>
  <c r="O174" i="84" l="1"/>
  <c r="N173" i="84"/>
  <c r="N54" i="84"/>
  <c r="N174" i="84"/>
  <c r="N77" i="84"/>
  <c r="N78" i="84" s="1"/>
  <c r="N80" i="84" s="1"/>
  <c r="N169" i="84"/>
  <c r="N31" i="84" l="1"/>
  <c r="O79" i="84"/>
  <c r="O80" i="84" s="1"/>
  <c r="O169" i="84"/>
  <c r="O54" i="84"/>
  <c r="O173" i="84"/>
  <c r="Q169" i="84" l="1"/>
  <c r="P174" i="84"/>
  <c r="P54" i="84"/>
  <c r="P169" i="84"/>
  <c r="P173" i="84"/>
  <c r="P79" i="84"/>
  <c r="P80" i="84" s="1"/>
  <c r="O31" i="84"/>
  <c r="N35" i="84"/>
  <c r="N81" i="84"/>
  <c r="N133" i="84"/>
  <c r="N135" i="84" s="1"/>
  <c r="P31" i="84" l="1"/>
  <c r="Q79" i="84"/>
  <c r="Q80" i="84" s="1"/>
  <c r="O81" i="84"/>
  <c r="O133" i="84"/>
  <c r="O135" i="84" s="1"/>
  <c r="O35" i="84"/>
  <c r="N183" i="84"/>
  <c r="N182" i="84"/>
  <c r="N40" i="84"/>
  <c r="Q173" i="84"/>
  <c r="Q174" i="84"/>
  <c r="R169" i="84"/>
  <c r="Q54" i="84"/>
  <c r="N168" i="84" l="1"/>
  <c r="N55" i="84"/>
  <c r="O40" i="84"/>
  <c r="O182" i="84"/>
  <c r="O183" i="84"/>
  <c r="R79" i="84"/>
  <c r="R80" i="84" s="1"/>
  <c r="R31" i="84" s="1"/>
  <c r="Q31" i="84"/>
  <c r="R173" i="84"/>
  <c r="R54" i="84"/>
  <c r="R174" i="84"/>
  <c r="P35" i="84"/>
  <c r="P81" i="84"/>
  <c r="P133" i="84"/>
  <c r="P135" i="84" s="1"/>
  <c r="P138" i="84" s="1"/>
  <c r="Q133" i="84" l="1"/>
  <c r="Q135" i="84" s="1"/>
  <c r="Q138" i="84" s="1"/>
  <c r="Q81" i="84"/>
  <c r="Q35" i="84"/>
  <c r="R35" i="84"/>
  <c r="R81" i="84"/>
  <c r="R133" i="84"/>
  <c r="R135" i="84" s="1"/>
  <c r="R138" i="84" s="1"/>
  <c r="P183" i="84"/>
  <c r="P40" i="84"/>
  <c r="P182" i="84"/>
  <c r="O55" i="84"/>
  <c r="O168" i="84"/>
  <c r="P55" i="84" l="1"/>
  <c r="Q40" i="84"/>
  <c r="Q182" i="84"/>
  <c r="Q183" i="84"/>
  <c r="R40" i="84"/>
  <c r="R55" i="84" s="1"/>
  <c r="R183" i="84"/>
  <c r="R182" i="84"/>
  <c r="P168" i="84"/>
  <c r="Q55" i="84" l="1"/>
  <c r="R168" i="84"/>
  <c r="Q168" i="84"/>
</calcChain>
</file>

<file path=xl/sharedStrings.xml><?xml version="1.0" encoding="utf-8"?>
<sst xmlns="http://schemas.openxmlformats.org/spreadsheetml/2006/main" count="1290" uniqueCount="590">
  <si>
    <t>Current assets</t>
  </si>
  <si>
    <t>Total assets</t>
  </si>
  <si>
    <t>Total liabilities and equity</t>
  </si>
  <si>
    <t>Net sales</t>
  </si>
  <si>
    <t>Interest expense</t>
  </si>
  <si>
    <t>Net income</t>
  </si>
  <si>
    <t>Accounts receivable</t>
  </si>
  <si>
    <t>Accounts payable</t>
  </si>
  <si>
    <t>Total liabilities</t>
  </si>
  <si>
    <t>Net PP&amp;E</t>
  </si>
  <si>
    <t>Depreciation and amortization</t>
  </si>
  <si>
    <t>Gross profit</t>
  </si>
  <si>
    <t>Operating profit</t>
  </si>
  <si>
    <t>Investments and other assets</t>
  </si>
  <si>
    <t>Cash</t>
  </si>
  <si>
    <t>Other current assets</t>
  </si>
  <si>
    <t>AwABTAVMT0NBTAFI/////wFQIQAAABxDSVEuTkFTREFRR1M6U1AuSVFfTUFSS0VUQ0FQAQAAAN3VAQACAAAACjQ5My4zODU0ODgBBgAAAAUAAAABMQEAAAAKMTY3NjQ5NzIwNAMAAAADMTYwAgAAAAYxMDAwNTQEAAAAATAHAAAACDYvOS8yMDE0FGrgrsBS0QiG9vGuwFLRCCJDSVEuTllTRTpBUk1LLklRX1RPVEFMX1JFVi5GWSAyMDEzAQAAAEpSDwACAAAACTEzOTQ1LjY1NwEIAAAABQAAAAExAQAAAAoxNjgwNTI2MTc0AwAAAAMxNjACAAAAAjI4BAAAAAEwBwAAAAk2LzEwLzIwMTQIAAAACTkvMjcvMjAxMwkAAAABMBRq4K7AUtEIp0TyrsBS0QgdQ0lRLk5ZU0U6RU1FLklRX0xBU1RTQUxFUFJJQ0UBAAAAbm0AAAIAAAAFNDcuMDQAFGrgrsBS0QiG9vGuwFLRCCVDSVEuTllTRTpBUk1LLklRX1RPVEFMX0FTU0VUUy5GWSAyMDEzAQAAAEpSDwACAAAACTEwMjY3LjEwNgEIAAAABQAAAAExAQAAAAoxNjgwNTI2MTc0AwAAAAMxNjACAAAABDEwMDcEAAAAATAHAAAACTYvMTAvMjAxNAgAAAAJOS8yNy8yMDEzCQAAAAEwFGrgrsBS0QiG9vGuwFLRCCNDSVEuTkFTREFRR1M6U1AuSVFfRVBTX05PUk0uRlkgMjAxMwEAAADd1QEAAgAAAAgwLjkwODQ1NAEIAAAABQAAAAExAQAAAAoxNjYzMDk1MTk2AwAAAAMxNjACAAAABDQzNzkEAAAAATAHAAAACTYvMTAvMjAxNAgAAAAKMTIvMzEvMjAxMwkAAAABMBRq4K7AUtEIp0T</t>
  </si>
  <si>
    <t>yrsBS0QgiQ0lRLk5ZU0U6QVJNSy5JUV9FUVVJVFlfQVAuRlkgMjAxMwEAAABKUg8AAgAAAAUyLjE5NAELAAAABQAAAAIxMwEAAAAHNTA1NzQxNgMAAAAFNDE3ODQEAAAABTQxNTQyAgAAAAczMDA5NzI2BgAAAAc1MDExMDUzBwAAAAEwCAAAAAMxNjAJAAAABTQxNTQyCgAAAAEwCwAAAAI0NhRq4K7AUtEIlx3yrsBS0QgdQ0lRLk5BU0RBUUdTOlNQLklRX05JLkZZIDIwMTMBAAAA3dUBAAIAAAAGMTIuMDg5AQgAAAAFAAAAATEBAAAACjE2NjMwOTUxOTYDAAAAAzE2MAIAAAACMTUEAAAAATAHAAAACTYvMTAvMjAxNAgAAAAKMTIvMzEvMjAxMwkAAAABMBRq4K7AUtEIp0TyrsBS0QgaQ0lRLk5ZU0U6QVJNSy5JUV9NQVJLRVRDQVABAAAASlIPAAIAAAALNjE5NS42NjYzNzEBBgAAAAUAAAABMQEAAAAKMTY4MTQ5NzkxMwMAAAADMTYwAgAAAAYxMDAwNTQEAAAAATAHAAAACDYvOS8yMDE0FGrgrsBS0QiXHfKuwFLRCBtDSVEuTllTRTpBUk1LLklRX05JLkZZIDIwMTMBAAAASlIPAAIAAAAGNjkuMzU2AQgAAAAFAAAAATEBAAAACjE2ODA1MjYxNzQDAAAAAzE2MAIAAAACMTUEAAAAATAHAAAACTYvMTAvMjAxNAgAAAAJOS8yNy8yMDEzCQAAAAEwFGrgrsBS0Qh2z/GuwFLRCCVDSVEuTkFTREFRR1M6U1AuSVFfVE9UQUxfREVCVC5GWSAyMDEzAQAAAN3VAQACAAAABzI4OC42NjYBCAAAAAUAAAABMQEAAAAKMTY2MzA5NT</t>
  </si>
  <si>
    <t>E5NgMAAAADMTYwAgAAAAQ0MTczBAAAAAEwBwAAAAk2LzEwLzIwMTQIAAAACjEyLzMxLzIwMTMJAAAAATAUauCuwFLRCKdE8q7AUtEIGUNJUS5OWVNFOkVNRS5JUV9NQVJLRVRDQVABAAAAbm0AAAIAAAAKMzIxMi4wNDI2OAEGAAAABQAAAAExAQAAAAoxNjc0MTc5MjUxAwAAAAMxNjACAAAABjEwMDA1NAQAAAABMAcAAAAINi85LzIwMTQUauCuwFLRCLhr8q7AUtEIFUNJUS5OWVNFOkVNRS4uRlkgMjAxMwUAAAABAAAACAAAABYoSW52YWxpZCBGb3JtdWxhIE5hbWUpda6QusBS0QhpuJ66wFLRCA5DSVEuTllTRTpBUk1LLgUAAAABAAAACAAAABYoSW52YWxpZCBGb3JtdWxhIE5hbWUpda6QusBS0QhpuJ66wFLRCBtDSVEuTllTRTpFTUUuSVFfQ1VTVE9NX0JFVEEBAAAAbm0AAAIAAAARMC45NDczOTIzMTkyMzM2NzEAFGrgrsBS0QinRPKuwFLRCCdDSVEuTkFTREFRR1M6U1AuSVFfVE9UQUxfQVNTRVRTLkZZIDIwMTMBAAAA3dUBAAIAAAAHODYyLjM3NQEIAAAABQAAAAExAQAAAAoxNjYzMDk1MTk2AwAAAAMxNjACAAAABDEwMDcEAAAAATAHAAAACTYvMTAvMjAxNAgAAAAKMTIvMzEvMjAxMwkAAAABMBRq4K7AUtEIhvbxrsBS0QggQ0lRLk5BU0RBUUdTOlNQLklRX0xBU1RTQUxFUFJJQ0UBAAAA3dUBAAIAAAAGMjIuMzI2ABRq4K7AUtEIlx3yrsBS0QgYQ0lRLk5BU0RBUUdTOlNQLi5GWSAyMDEzBQAAAAEAAAAIA</t>
  </si>
  <si>
    <t>AAAFihJbnZhbGlkIEZvcm11bGEgTmFtZSl1rpC6wFLRCHrfnrrAUtEIIENJUS5OWVNFOkVNRS5JUV9FUFNfTk9STS5GWSAyMDEzAQAAAG5tAAACAAAACDEuOTEzMTU4AQgAAAAFAAAAATEBAAAACjE2NjAyMzE0MzgDAAAAAzE2MAIAAAAENDM3OQQAAAABMAcAAAAJNi8xMC8yMDE0CAAAAAoxMi8zMS8yMDEzCQAAAAEwFGrgrsBS0Qh2z/GuwFLRCCFDSVEuTllTRTpFTUUuSVFfRVFVSVRZX0FQLkZZIDIwMTMBAAAAbm0AAAIAAAAFMC42NzYBCwAAAAUAAAACMTMBAAAABzQ5MTI1MTADAAAABTQxNjkzBAAAAAU0MTYzNwIAAAAHMzAwOTcyNgYAAAAGNDI0MTYwBwAAAAEwCAAAAAMxNjAJAAAABTQxNjM3CgAAAAEwCwAAAAI0NhRq4K7AUtEIlx3yrsBS0QgkQ0lRLk5BU0RBUUdTOlNQLklRX1RPVEFMX1JFVi5GWSAyMDEzAQAAAN3VAQACAAAABzgzNi45MjEBCAAAAAUAAAABMQEAAAAKMTY2MzA5NTE5NgMAAAADMTYwAgAAAAIyOAQAAAABMAcAAAAJNi8xMC8yMDE0CAAAAAoxMi8zMS8yMDEzCQAAAAEwFGrgrsBS0QiG9vGuwFLRCBpDSVEuTllTRTpFTUUuSVFfTkkuRlkgMjAxMwEAAABubQAAAgAAAAcxMjMuNzkyAQgAAAAFAAAAATEBAAAACjE2NjAyMzE0MzgDAAAAAzE2MAIAAAACMTUEAAAAATAHAAAACTYvMTAvMjAxNAgAAAAKMTIvMzEvMjAxMwkAAAABMBRq4K7AUtEIlx3yrsBS0QgeQ0lRLk5ZU0U6QVJNSy5J</t>
  </si>
  <si>
    <t>UV9MQVNUU0FMRVBSSUNFAQAAAEpSDwACAAAABTI2LjU2ABRq4K7AUtEIuGvyrsBS0QgeQ0lRLk5BU0RBUUdTOlNQLklRX0NVU1RPTV9CRVRBAQAAAN3VAQACAAAAEDEuMTA3NTkwNTE2NTM2NDkAFGrgrsBS0Qi4a/KuwFLRCCNDSVEuTllTRTpBUk1LLklRX1RPVEFMX0RFQlQuRlkgMjAxMwEAAABKUg8AAgAAAAg1ODg2Ljk0MgEIAAAABQAAAAExAQAAAAoxNjgwNTI2MTc0AwAAAAMxNjACAAAABDQxNzMEAAAAATAHAAAACTYvMTAvMjAxNAgAAAAJOS8yNy8yMDEzCQAAAAEwFGrgrsBS0QinRPKuwFLRCBZDSVEuTllTRTpBUk1LLi5GWSAyMDEzBQAAAAEAAAAIAAAAFihJbnZhbGlkIEZvcm11bGEgTmFtZSl1rpC6wFLRCHrfnrrAUtEIIUNJUS5OWVNFOkFSTUsuSVFfRVBTX05PUk0uRlkgMjAxMwEAAABKUg8AAgAAAAgwLjM5NzQ3NgEIAAAABQAAAAExAQAAAAoxNjgwNTI2MTc0AwAAAAMxNjACAAAABDQzNzkEAAAAATAHAAAACTYvMTAvMjAxNAgAAAAJOS8yNy8yMDEzCQAAAAEwFGrgrsBS0QiG9vGuwFLRCCFDSVEuTllTRTpFTUUuSVFfVE9UQUxfUkVWLkZZIDIwMTMBAAAAbm0AAAIAAAAINjQxNy4xNTgBCAAAAAUAAAABMQEAAAAKMTY2MDIzMTQzOAMAAAADMTYwAgAAAAIyOAQAAAABMAcAAAAJNi8xMC8yMDE0CAAAAAoxMi8zMS8yMDEzCQAAAAEwFGrgrsBS0Qi4a/KuwFLRCBxDSVEuTllTRTpBUk1LLklRX0N</t>
  </si>
  <si>
    <t>VU1RPTV9CRVRBAQAAAEpSDwACAAAAEDEuOTkxOTc2NDI3Mzc4NjMAFGrgrsBS0QiXHfKuwFLRCCJDSVEuTllTRTpFTUUuSVFfVE9UQUxfREVCVC5GWSAyMDEzAQAAAG5tAAACAAAABzM1NC42NjMBCAAAAAUAAAABMQEAAAAKMTY2MDIzMTQzOAMAAAADMTYwAgAAAAQ0MTczBAAAAAEwBwAAAAk2LzEwLzIwMTQIAAAACjEyLzMxLzIwMTMJAAAAATAUauCuwFLRCIb28a7AUtEIEENJUS5OQVNEQVFHUzpTUC4FAAAAAQAAAAgAAAAWKEludmFsaWQgRm9ybXVsYSBOYW1lKXWukLrAUtEIiwafusBS0QgkQ0lRLk5ZU0U6RU1FLklRX1RPVEFMX0FTU0VUUy5GWSAyMDEzAQAAAG5tAAACAAAACDM0NjUuOTE1AQgAAAAFAAAAATEBAAAACjE2NjAyMzE0MzgDAAAAAzE2MAIAAAAEMTAwNwQAAAABMAcAAAAJNi8xMC8yMDE0CAAAAAoxMi8zMS8yMDEzCQAAAAEwFGrgrsBS0QinRPKuwFLRCCRDSVEuTkFTREFRR1M6U1AuSVFfRVFVSVRZX0FQLkZZIDIwMTMBAAAA3dUBAAIAAAAFMC4wMjIBCwAAAAUAAAACMTMBAAAABzQ5MzYzNTYDAAAABTQxNzA5BAAAAAU0MTYzNwIAAAAHMzAwOTcyNgYAAAAHMjE1MDMyMQcAAAABMAgAAAADMTYwCQAAAAU0MTYzNwoAAAABMAsAAAACNDYUauCuwFLRCHbP8a7AUtEIDUNJUS5OWVNFOkVNRS4FAAAAAQAAAAgAAAAWKEludmFsaWQgRm9ybXVsYSBOYW1lKXWukLrAUtEIet+eusBS0Qg=</t>
  </si>
  <si>
    <t>Capex</t>
  </si>
  <si>
    <t>Cost of goods sold</t>
  </si>
  <si>
    <t>Income tax expense</t>
  </si>
  <si>
    <t>Short-term bank borrowing</t>
  </si>
  <si>
    <t>Maturity</t>
  </si>
  <si>
    <t>Inventory</t>
  </si>
  <si>
    <t>Current portion of long-term debt</t>
  </si>
  <si>
    <t>Total long-term debt</t>
  </si>
  <si>
    <t>Loss on asset impairment</t>
  </si>
  <si>
    <t>Gross margin</t>
  </si>
  <si>
    <t>Current ratio</t>
  </si>
  <si>
    <t>3 Yr. growth rate</t>
  </si>
  <si>
    <t>Operating margin</t>
  </si>
  <si>
    <t>Debt to capitalization</t>
  </si>
  <si>
    <t>Cash conversion cycle</t>
  </si>
  <si>
    <t>SG&amp;A % sales</t>
  </si>
  <si>
    <t>Net margin</t>
  </si>
  <si>
    <t>ROA</t>
  </si>
  <si>
    <t>ROE</t>
  </si>
  <si>
    <t>Revenue growth</t>
  </si>
  <si>
    <t>Leverage</t>
  </si>
  <si>
    <t>Debt to equity</t>
  </si>
  <si>
    <t>Quick ratio</t>
  </si>
  <si>
    <t>Income Statement</t>
  </si>
  <si>
    <t>Interest</t>
  </si>
  <si>
    <t>Principal</t>
  </si>
  <si>
    <t>Total</t>
  </si>
  <si>
    <t>Total Debt</t>
  </si>
  <si>
    <t>Gross PP&amp;E</t>
  </si>
  <si>
    <t>SG&amp;A</t>
  </si>
  <si>
    <t>Restructuring charges</t>
  </si>
  <si>
    <t>Equity</t>
  </si>
  <si>
    <t>Accrued taxes</t>
  </si>
  <si>
    <t>Old securities</t>
  </si>
  <si>
    <t>Proposed exchange offer</t>
  </si>
  <si>
    <t>Required acceptance</t>
  </si>
  <si>
    <t>Secured bank revolving facility</t>
  </si>
  <si>
    <t>Libor plus 1.5%</t>
  </si>
  <si>
    <t>Security</t>
  </si>
  <si>
    <t>First lien on virtually all assets</t>
  </si>
  <si>
    <t>None</t>
  </si>
  <si>
    <t>Principal value</t>
  </si>
  <si>
    <t>King Enterprises</t>
  </si>
  <si>
    <t>Timeline Homes Inc.</t>
  </si>
  <si>
    <t>Dycon Industries</t>
  </si>
  <si>
    <t>Cove Harbor Homes Co.</t>
  </si>
  <si>
    <t>-</t>
  </si>
  <si>
    <t>EPS (common stock)</t>
  </si>
  <si>
    <t>Valuation</t>
  </si>
  <si>
    <t>P/E</t>
  </si>
  <si>
    <t>P/B</t>
  </si>
  <si>
    <t>Share price</t>
  </si>
  <si>
    <t>Common dividend per share</t>
  </si>
  <si>
    <t>Preferred equity</t>
  </si>
  <si>
    <t>Equity beta</t>
  </si>
  <si>
    <t>Sales growth</t>
  </si>
  <si>
    <t>Sales</t>
  </si>
  <si>
    <t>Operating profits</t>
  </si>
  <si>
    <t>Income tax</t>
  </si>
  <si>
    <t>Depreciation &amp; amortization</t>
  </si>
  <si>
    <t>FCF</t>
  </si>
  <si>
    <t>3-month Treasury bill</t>
  </si>
  <si>
    <t>1-year Treasury note</t>
  </si>
  <si>
    <t>10-year Treasury note</t>
  </si>
  <si>
    <t>Aaa</t>
  </si>
  <si>
    <t>Aa</t>
  </si>
  <si>
    <t>A</t>
  </si>
  <si>
    <t>Baa</t>
  </si>
  <si>
    <t>Assets</t>
  </si>
  <si>
    <t>Enterprise value</t>
  </si>
  <si>
    <t>Claims</t>
  </si>
  <si>
    <t>Subordinated Convertible Debenture</t>
  </si>
  <si>
    <r>
      <t>Common stock</t>
    </r>
    <r>
      <rPr>
        <vertAlign val="superscript"/>
        <sz val="9"/>
        <color theme="1"/>
        <rFont val="Times New Roman"/>
        <family val="1"/>
      </rPr>
      <t>c</t>
    </r>
  </si>
  <si>
    <t>Long-term debt</t>
  </si>
  <si>
    <t>Short-term debt</t>
  </si>
  <si>
    <t>Total equity</t>
  </si>
  <si>
    <t>Total capitalization</t>
  </si>
  <si>
    <t>Bank debt</t>
  </si>
  <si>
    <t>Total debt</t>
  </si>
  <si>
    <r>
      <t>$3.00 preferred stock</t>
    </r>
    <r>
      <rPr>
        <vertAlign val="superscript"/>
        <sz val="9"/>
        <color theme="1"/>
        <rFont val="Times New Roman"/>
        <family val="1"/>
      </rPr>
      <t>b</t>
    </r>
  </si>
  <si>
    <r>
      <t>Current portion of senior unsecured notes, due 4/15/2011</t>
    </r>
    <r>
      <rPr>
        <vertAlign val="superscript"/>
        <sz val="9"/>
        <color theme="1"/>
        <rFont val="Times New Roman"/>
        <family val="1"/>
      </rPr>
      <t>a</t>
    </r>
  </si>
  <si>
    <t>Fixed/3.5% p.a., senior unsecured notes, due 4/15/2014</t>
  </si>
  <si>
    <t>Fixed/6.5% p.a., subordinated convertible debenture, due 6/15/2016</t>
  </si>
  <si>
    <t>Fixed/3.5% p.a. of 4/15/2014</t>
  </si>
  <si>
    <t>Fixed/6.5% p.a. of 6/15/2016</t>
  </si>
  <si>
    <t>Gross profits</t>
  </si>
  <si>
    <r>
      <t>Corporate bond yields</t>
    </r>
    <r>
      <rPr>
        <b/>
        <i/>
        <vertAlign val="superscript"/>
        <sz val="9"/>
        <color theme="1"/>
        <rFont val="Times New Roman"/>
        <family val="1"/>
      </rPr>
      <t>b</t>
    </r>
  </si>
  <si>
    <r>
      <t>Treasury rates</t>
    </r>
    <r>
      <rPr>
        <b/>
        <i/>
        <vertAlign val="superscript"/>
        <sz val="9"/>
        <color theme="1"/>
        <rFont val="Times New Roman"/>
        <family val="1"/>
      </rPr>
      <t>a</t>
    </r>
  </si>
  <si>
    <t>Current liabilities</t>
  </si>
  <si>
    <t>Ba</t>
  </si>
  <si>
    <t>Common shareholders' equity</t>
  </si>
  <si>
    <t>Preferred shareholders' equity</t>
  </si>
  <si>
    <t>WACC</t>
  </si>
  <si>
    <t>TV</t>
  </si>
  <si>
    <t>Market value</t>
  </si>
  <si>
    <r>
      <t>FCF</t>
    </r>
    <r>
      <rPr>
        <vertAlign val="superscript"/>
        <sz val="9"/>
        <color theme="1"/>
        <rFont val="Times New Roman"/>
        <family val="1"/>
      </rPr>
      <t>b</t>
    </r>
  </si>
  <si>
    <t>Revolving Loan Facility</t>
  </si>
  <si>
    <t>Pre-Exchange</t>
  </si>
  <si>
    <t>Senior unsecured notes</t>
  </si>
  <si>
    <r>
      <t>Current portion of senior unsecured notes</t>
    </r>
    <r>
      <rPr>
        <vertAlign val="superscript"/>
        <sz val="9"/>
        <color theme="1"/>
        <rFont val="Times New Roman"/>
        <family val="1"/>
      </rPr>
      <t>c</t>
    </r>
  </si>
  <si>
    <r>
      <t>Minimum Needed Acceptance</t>
    </r>
    <r>
      <rPr>
        <b/>
        <vertAlign val="superscript"/>
        <sz val="10"/>
        <color theme="1"/>
        <rFont val="Times New Roman"/>
        <family val="1"/>
      </rPr>
      <t>b</t>
    </r>
  </si>
  <si>
    <t>$3.00 preferred stock</t>
  </si>
  <si>
    <t>Common stock</t>
  </si>
  <si>
    <t>PP&amp;E</t>
  </si>
  <si>
    <t>Libor plus 1%</t>
  </si>
  <si>
    <t>n/a</t>
  </si>
  <si>
    <t>$1.35/share</t>
  </si>
  <si>
    <t>$1.09/share</t>
  </si>
  <si>
    <t>Maturity
of new debt</t>
  </si>
  <si>
    <t>Unsecured Senior Notes</t>
  </si>
  <si>
    <t>Common Equity</t>
  </si>
  <si>
    <t>Distribution to claim holders</t>
  </si>
  <si>
    <t>Interest on new debt</t>
  </si>
  <si>
    <t>Original interest/
dividend rate</t>
  </si>
  <si>
    <t>Number of preferred shares outstanding (million)</t>
  </si>
  <si>
    <t>Number of common shares outstanding (million)</t>
  </si>
  <si>
    <t>Preferred dividends (U.S. $ millions)</t>
  </si>
  <si>
    <t>Cumulative depreciation</t>
  </si>
  <si>
    <t>LT Debt:10-year bond (senior)</t>
  </si>
  <si>
    <t>LT Debt: 7-year bond (junior)</t>
  </si>
  <si>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Due date for current portion of long-term debt only.</t>
    </r>
  </si>
  <si>
    <r>
      <rPr>
        <vertAlign val="superscript"/>
        <sz val="9"/>
        <color theme="1"/>
        <rFont val="Times New Roman"/>
        <family val="1"/>
      </rPr>
      <t xml:space="preserve">c </t>
    </r>
    <r>
      <rPr>
        <sz val="9"/>
        <color theme="1"/>
        <rFont val="Times New Roman"/>
        <family val="1"/>
      </rPr>
      <t>64,800,000 shares outstanding.</t>
    </r>
  </si>
  <si>
    <r>
      <rPr>
        <vertAlign val="superscript"/>
        <sz val="9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 xml:space="preserve"> Cumulative preferred stock, 25,000,000 shares outstanding, $75 million liquidation value.</t>
    </r>
  </si>
  <si>
    <r>
      <rPr>
        <vertAlign val="superscript"/>
        <sz val="9"/>
        <rFont val="Times New Roman"/>
        <family val="1"/>
      </rPr>
      <t>a</t>
    </r>
    <r>
      <rPr>
        <sz val="9"/>
        <rFont val="Times New Roman"/>
        <family val="1"/>
      </rPr>
      <t xml:space="preserve"> Principal repayments of revolving facility assume no extension of maturity. </t>
    </r>
  </si>
  <si>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Source: Federal Reserve System</t>
    </r>
  </si>
  <si>
    <r>
      <rPr>
        <vertAlign val="superscript"/>
        <sz val="9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 xml:space="preserve"> Source: Moody's</t>
    </r>
  </si>
  <si>
    <r>
      <rPr>
        <vertAlign val="superscript"/>
        <sz val="9"/>
        <color theme="1"/>
        <rFont val="Times New Roman"/>
        <family val="1"/>
      </rPr>
      <t>c</t>
    </r>
    <r>
      <rPr>
        <sz val="9"/>
        <color theme="1"/>
        <rFont val="Times New Roman"/>
        <family val="1"/>
      </rPr>
      <t xml:space="preserve"> Based on 30-year annualized S&amp;P 500 return (dividends assumed reinvested)</t>
    </r>
  </si>
  <si>
    <r>
      <rPr>
        <vertAlign val="superscript"/>
        <sz val="9"/>
        <color theme="1"/>
        <rFont val="Times New Roman"/>
        <family val="1"/>
      </rPr>
      <t xml:space="preserve">a </t>
    </r>
    <r>
      <rPr>
        <sz val="9"/>
        <color theme="1"/>
        <rFont val="Times New Roman"/>
        <family val="1"/>
      </rPr>
      <t>Perpetual growth of FCF after 2015 is assumed to be 3.5%</t>
    </r>
  </si>
  <si>
    <r>
      <rPr>
        <vertAlign val="superscript"/>
        <sz val="9"/>
        <color theme="1"/>
        <rFont val="Times New Roman"/>
        <family val="1"/>
      </rPr>
      <t xml:space="preserve">b </t>
    </r>
    <r>
      <rPr>
        <sz val="9"/>
        <color theme="1"/>
        <rFont val="Times New Roman"/>
        <family val="1"/>
      </rPr>
      <t>Perpetual growth of FCF after 2015 is assumed to be 2.5%</t>
    </r>
  </si>
  <si>
    <t>Market price as of March 2011</t>
  </si>
  <si>
    <t>Distribution to claim holders based on proposal</t>
  </si>
  <si>
    <t>Balance sheet</t>
  </si>
  <si>
    <t>Subordinated debenture</t>
  </si>
  <si>
    <t>Exhibit 1: Simplified Pinewood Mobile Homes Inc. Financial Statements, 2001-2010 (U.S. $ millions)</t>
  </si>
  <si>
    <t>Exhibit 2: Consolidated Capitalization as of December, 2010 (U.S. $ millions)</t>
  </si>
  <si>
    <t>Variable/LIBOR +1% p.a., revolving loan facility, due 3/31/2011</t>
  </si>
  <si>
    <r>
      <t>Variable/LIBOR +1% p.a. of 3/31/2011</t>
    </r>
    <r>
      <rPr>
        <vertAlign val="superscript"/>
        <sz val="9"/>
        <color theme="1"/>
        <rFont val="Times New Roman"/>
        <family val="1"/>
      </rPr>
      <t>a</t>
    </r>
  </si>
  <si>
    <t>Exhibit 3: Debt Service Requirement for Next 12 Months as of December, 2010 (U.S. $ millions)</t>
  </si>
  <si>
    <t>Exhibit 4a: Five-Year Cash Flow Projection for Pinewood - Assuming no Sale of EcoLiving, 2011-2015 (U.S. $ millions)</t>
  </si>
  <si>
    <t>Exhibit 4b: Five-Year Cash Flow Projection for Pinewood - Assuming Sale of EcoLiving, 2011-2015 (U.S. $ millions)</t>
  </si>
  <si>
    <t>Exhibit 7: Outline of the Proposed Exchange Offer (U.S. $ millions)</t>
  </si>
  <si>
    <t>Exhibit 8: Pro Forma Effects of Proposed Exchange Offer on Pinewood Capitalization (U.S. $ millions)</t>
  </si>
  <si>
    <t>Exhibit 6: Comparative Market and Operating Data for Selected Prefabricated Home Manufacturers as of the End of 2010</t>
  </si>
  <si>
    <r>
      <t>Preferred Equity</t>
    </r>
    <r>
      <rPr>
        <vertAlign val="superscript"/>
        <sz val="8"/>
        <color rgb="FF000000"/>
        <rFont val="Times New Roman"/>
        <family val="1"/>
      </rPr>
      <t>a</t>
    </r>
  </si>
  <si>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Principal value includes liquidation value plus accumulated arrearage of $6.75 million.</t>
    </r>
  </si>
  <si>
    <t>Market cap</t>
  </si>
  <si>
    <t>Exhibit 5: Selected Capital Markets Information and Pinewood's Equity Beta as of March 1, 2011</t>
  </si>
  <si>
    <r>
      <t>Pinewood common equity beta</t>
    </r>
    <r>
      <rPr>
        <b/>
        <i/>
        <vertAlign val="superscript"/>
        <sz val="9"/>
        <color theme="1"/>
        <rFont val="Times New Roman"/>
        <family val="1"/>
      </rPr>
      <t>d</t>
    </r>
  </si>
  <si>
    <t>Secured bank debt</t>
  </si>
  <si>
    <t>For each preferred share, receive 2.35 shares of new common stock, representing 19.84% of the reorganized common stock, plus 10-year warrants to purchase 1 share of new common stock with a strike price of $7.</t>
  </si>
  <si>
    <t>Retain 64.8 million outstanding common shares, representing 21.88% of the reorganized common stock.</t>
  </si>
  <si>
    <t>For each $1,000 face value of existing debt, receive $250 of new subordinated bond plus 644 shares of new common stock, representing 36.97% of the reorganized common stock, plus 10-year warrants to purchase 50 shares of new common stock with a strike price of $7. Principal terms of the new bond: Interest rate: 7%; maturity: December, 15, 2019; principal due at maturity; optional redemption: permitted for whole principal at any time after December 31, 2015; security: not secured; restrictive covenants: none.</t>
  </si>
  <si>
    <r>
      <rPr>
        <vertAlign val="superscript"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 xml:space="preserve"> Equity beta is estimated based on daily equity returns over the previous 36 months</t>
    </r>
  </si>
  <si>
    <t>For each $1,000 face value of existing debt, receive $640 of new senior unsecured notes plus 517 shares of new common stock, representing 21.32% of reorganized common equity. Principal terms of new bond: Coupon rate: 5.5%; maturity: March, 31, 2018; amortization schedule: equal annual payments beginning March 31, 2013 to retire 75% of the principal before maturity; optional redemption: none; security: second lien on virtually all assets; restrictive covenants: identical to covenants in new bank debt.</t>
  </si>
  <si>
    <t>Net operating profits after tax</t>
  </si>
  <si>
    <t>Change in Net WC and accrued taxes</t>
  </si>
  <si>
    <t>For each $1,000 face value of existing debt, receive $1,050 of new term loan. Principal terms of new debt: interest rate: Libor plus 1.5%; Maturity, March 31, 2016; amortization schedule: equal annual amortization payments beginning March 31, 2013; optional redemption: permitted for whole principal at any time after March 31, 2013; security: first lien on virtually all assets; restrictive covenants: same as under old debt contract, but different thresholds.</t>
  </si>
  <si>
    <t>Trade claims</t>
  </si>
  <si>
    <t>Revolving loan facility</t>
  </si>
  <si>
    <t>Subordinated convertible debenture</t>
  </si>
  <si>
    <t>Avg. Interest Rate</t>
  </si>
  <si>
    <t>Number of preferred shares outstanding</t>
  </si>
  <si>
    <t>Number of common shares outstanding</t>
  </si>
  <si>
    <t>Cash flow</t>
  </si>
  <si>
    <t>Control</t>
  </si>
  <si>
    <t>Net Income</t>
  </si>
  <si>
    <t>Cash flow from operations</t>
  </si>
  <si>
    <t>Change in working capital</t>
  </si>
  <si>
    <t>Historical</t>
  </si>
  <si>
    <t>Supporting calculations</t>
  </si>
  <si>
    <t>Working capital</t>
  </si>
  <si>
    <t>Inventories</t>
  </si>
  <si>
    <t>Net working capital</t>
  </si>
  <si>
    <t>Change in accounts receivable</t>
  </si>
  <si>
    <t>Change in accounts payable</t>
  </si>
  <si>
    <t>Change in inventories</t>
  </si>
  <si>
    <t>Change in other assets &amp; liabilities</t>
  </si>
  <si>
    <t>Change in short-term borrowing</t>
  </si>
  <si>
    <t>Changes in long-term debt</t>
  </si>
  <si>
    <t>Changes in preferred equity</t>
  </si>
  <si>
    <t>Changes in common equity</t>
  </si>
  <si>
    <t>Common dividend payments</t>
  </si>
  <si>
    <t>Preferred dividend payments</t>
  </si>
  <si>
    <t>Cash flow from financings</t>
  </si>
  <si>
    <t>Net change in cash flow</t>
  </si>
  <si>
    <t>Beginning cash balance</t>
  </si>
  <si>
    <t>Ending cash balance</t>
  </si>
  <si>
    <t>Operating result (EBIT)</t>
  </si>
  <si>
    <t>EBIT margin</t>
  </si>
  <si>
    <t>EBITDA margin</t>
  </si>
  <si>
    <t>NA</t>
  </si>
  <si>
    <t>Cash Flow Before Capex&amp;Acquisitions / Interest</t>
  </si>
  <si>
    <t>EBITDA / Interest</t>
  </si>
  <si>
    <t>EBIT / Interest</t>
  </si>
  <si>
    <t>EV/EBITDA</t>
  </si>
  <si>
    <t>Equity market capitalization</t>
  </si>
  <si>
    <t>Net debt</t>
  </si>
  <si>
    <t>Projected</t>
  </si>
  <si>
    <t>2010 PF</t>
  </si>
  <si>
    <t>Restructuring</t>
  </si>
  <si>
    <t>Adjust.</t>
  </si>
  <si>
    <t># shares</t>
  </si>
  <si>
    <t>control</t>
  </si>
  <si>
    <r>
      <t>100% 
Acceptance</t>
    </r>
    <r>
      <rPr>
        <b/>
        <vertAlign val="superscript"/>
        <sz val="10"/>
        <color theme="1"/>
        <rFont val="Times New Roman"/>
        <family val="1"/>
      </rPr>
      <t>a</t>
    </r>
  </si>
  <si>
    <t>Common shares (millions)</t>
  </si>
  <si>
    <t>Tax Rate</t>
  </si>
  <si>
    <t>CAGR '11-'15</t>
  </si>
  <si>
    <t>NM</t>
  </si>
  <si>
    <r>
      <t>FCF</t>
    </r>
    <r>
      <rPr>
        <b/>
        <vertAlign val="superscript"/>
        <sz val="9"/>
        <color theme="1"/>
        <rFont val="Times New Roman"/>
        <family val="1"/>
      </rPr>
      <t>a</t>
    </r>
  </si>
  <si>
    <t>Change in accrued taxes</t>
  </si>
  <si>
    <t>% Equity</t>
  </si>
  <si>
    <t>Ke</t>
  </si>
  <si>
    <t>% Debt</t>
  </si>
  <si>
    <t>Ending</t>
  </si>
  <si>
    <t>Beginning</t>
  </si>
  <si>
    <t>Avg Rate</t>
  </si>
  <si>
    <t>12m</t>
  </si>
  <si>
    <t>6m</t>
  </si>
  <si>
    <t>3m</t>
  </si>
  <si>
    <t>1m</t>
  </si>
  <si>
    <t>LIBOR</t>
  </si>
  <si>
    <t>Interest rate</t>
  </si>
  <si>
    <t>Rate</t>
  </si>
  <si>
    <t>Interest rate per Debt Class</t>
  </si>
  <si>
    <t>Debt interest expense</t>
  </si>
  <si>
    <t>Financial debt</t>
  </si>
  <si>
    <t>Total interest expense</t>
  </si>
  <si>
    <t xml:space="preserve">    Interest rate %</t>
  </si>
  <si>
    <t>Average interest rate</t>
  </si>
  <si>
    <t>Restructure</t>
  </si>
  <si>
    <t>Income tax rate %</t>
  </si>
  <si>
    <t>Income taxes on EBIT</t>
  </si>
  <si>
    <t>Income taxes on Interest expense &amp; other</t>
  </si>
  <si>
    <t>DSO (days)</t>
  </si>
  <si>
    <t>DIO (days)</t>
  </si>
  <si>
    <t>DPO (days)</t>
  </si>
  <si>
    <t>Change in working capital &amp; accrued taxes (from Exhibit 4) …........................................................................................................................................................................................................................................</t>
  </si>
  <si>
    <t>Change in working capital &amp; accrued taxes (from Model) …........................................................................................................................................................................................................................................</t>
  </si>
  <si>
    <r>
      <t>FCF</t>
    </r>
    <r>
      <rPr>
        <b/>
        <vertAlign val="superscript"/>
        <sz val="9"/>
        <color rgb="FF0070C0"/>
        <rFont val="Times New Roman"/>
        <family val="1"/>
      </rPr>
      <t>b</t>
    </r>
  </si>
  <si>
    <t>Five-Year Cash Flow Projection for EcoLiving, 2011-2015 (U.S. $ millions)</t>
  </si>
  <si>
    <t>Income tax (provision charge)/credit</t>
  </si>
  <si>
    <t>Comments</t>
  </si>
  <si>
    <t>CAPITAL STRUCTURE</t>
  </si>
  <si>
    <t>D/E</t>
  </si>
  <si>
    <t>D/E scenarios for project</t>
  </si>
  <si>
    <t>COST OF DEBT 
("Kd")</t>
  </si>
  <si>
    <t>Kd pre-tax</t>
  </si>
  <si>
    <t xml:space="preserve">Tax rate </t>
  </si>
  <si>
    <t>Kd (after-tax)</t>
  </si>
  <si>
    <t>COST OF EQUITY
("Ke")</t>
  </si>
  <si>
    <t>10-Year US Treasury Bond Rate</t>
  </si>
  <si>
    <t>Beta (Levered)</t>
  </si>
  <si>
    <t>Equity Market Risk Premium</t>
  </si>
  <si>
    <t>Beta Estimates</t>
  </si>
  <si>
    <r>
      <t>Beta Levered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e)</t>
    </r>
  </si>
  <si>
    <t xml:space="preserve">D/E </t>
  </si>
  <si>
    <r>
      <t>Beta Unevered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u)</t>
    </r>
  </si>
  <si>
    <t>Target D/E</t>
  </si>
  <si>
    <r>
      <t>Beta Re-levered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e)</t>
    </r>
  </si>
  <si>
    <t>Cost of Capital</t>
  </si>
  <si>
    <t>Source: Exhibit 3 and 4.</t>
  </si>
  <si>
    <t>WACC Pinewood Mobile Homes</t>
  </si>
  <si>
    <t>Close 6/30</t>
  </si>
  <si>
    <t>Liquidity</t>
  </si>
  <si>
    <t>Cash Flow / Interest</t>
  </si>
  <si>
    <t>Debt / EBITDA</t>
  </si>
  <si>
    <r>
      <t>b</t>
    </r>
    <r>
      <rPr>
        <sz val="11"/>
        <rFont val="Calibri"/>
        <family val="2"/>
      </rPr>
      <t xml:space="preserve">e = </t>
    </r>
    <r>
      <rPr>
        <sz val="11"/>
        <rFont val="Symbol"/>
        <family val="1"/>
        <charset val="2"/>
      </rPr>
      <t>b</t>
    </r>
    <r>
      <rPr>
        <sz val="11"/>
        <rFont val="Calibri"/>
        <family val="2"/>
      </rPr>
      <t>u x [1 + ((1 - tax %) x D/E)]</t>
    </r>
  </si>
  <si>
    <t>Comparable companies</t>
  </si>
  <si>
    <t>Equity Market Cap</t>
  </si>
  <si>
    <t>Weight</t>
  </si>
  <si>
    <t>Weighted average</t>
  </si>
  <si>
    <t>Levered</t>
  </si>
  <si>
    <t>Beta</t>
  </si>
  <si>
    <t>Unlevered</t>
  </si>
  <si>
    <t>Capital</t>
  </si>
  <si>
    <t>Lev. Beta</t>
  </si>
  <si>
    <t>Unlev. Beta</t>
  </si>
  <si>
    <t>D/Cap</t>
  </si>
  <si>
    <t>βu = 2.02/ ((1 + (1 - 35%) x 128%))</t>
  </si>
  <si>
    <t>βu = 2.42 / ((1 + (1 - 35%) x 175%))</t>
  </si>
  <si>
    <t>βu = 1.48 / ((1 + (1 - 35%) x 43%))</t>
  </si>
  <si>
    <t>βu = 2.69 / ((1 + (1 - 35%) * 230%))</t>
  </si>
  <si>
    <r>
      <t>Market risk premium</t>
    </r>
    <r>
      <rPr>
        <b/>
        <i/>
        <vertAlign val="superscript"/>
        <sz val="9"/>
        <color rgb="FF0070C0"/>
        <rFont val="Times New Roman"/>
        <family val="1"/>
      </rPr>
      <t>c</t>
    </r>
  </si>
  <si>
    <t>LT Debt rate (close to Ba rated bonds)</t>
  </si>
  <si>
    <t>Based on case projections</t>
  </si>
  <si>
    <t>Comparable firms average levered Beta</t>
  </si>
  <si>
    <t>Comparable firms average D/E</t>
  </si>
  <si>
    <t>Pinewood target D/E</t>
  </si>
  <si>
    <t>Capital markets information from Exhibit 6</t>
  </si>
  <si>
    <t>From "Beta Estimates" section (below)</t>
  </si>
  <si>
    <t>Debt/</t>
  </si>
  <si>
    <t>Capital markets information from Exhibit 5</t>
  </si>
  <si>
    <t>Cash balance</t>
  </si>
  <si>
    <t>Monthly cash operating expenses</t>
  </si>
  <si>
    <t># of months covered</t>
  </si>
  <si>
    <t>Debt voluntary repayment based on excess cash ........................................................................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</si>
  <si>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Target months coverage: peak pre-mortgage crisis .................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</si>
  <si>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Debe dar cercano a "0" (cero)  ---&gt;</t>
  </si>
  <si>
    <t>Historic</t>
  </si>
  <si>
    <t>CAGR</t>
  </si>
  <si>
    <t>Revenue</t>
  </si>
  <si>
    <t xml:space="preserve">   % Growth Y-o-Y</t>
  </si>
  <si>
    <t>EBITDA</t>
  </si>
  <si>
    <t xml:space="preserve">   % EBITDA Margin</t>
  </si>
  <si>
    <t>D&amp;A</t>
  </si>
  <si>
    <t>EBIT</t>
  </si>
  <si>
    <t>Plus: D&amp;A</t>
  </si>
  <si>
    <t>Less: Capital Expenditures</t>
  </si>
  <si>
    <t>Less: Change in Working Cap.</t>
  </si>
  <si>
    <t>Free Cash Flow (FCFF)</t>
  </si>
  <si>
    <t>Terminal Value (TV)</t>
  </si>
  <si>
    <t>Terminal Value =</t>
  </si>
  <si>
    <t>Discount factor (@ WACC)</t>
  </si>
  <si>
    <t>PV of Terminal Value =</t>
  </si>
  <si>
    <t>DCF SUMMARY</t>
  </si>
  <si>
    <t>SENSIBILIDAD VALUACION TOTAL</t>
  </si>
  <si>
    <t>Valor Total</t>
  </si>
  <si>
    <t>Long-term FCF Growth ("g")</t>
  </si>
  <si>
    <t>VALUATION ASSUMPTIONS</t>
  </si>
  <si>
    <t>WACC ………………………………………………………………………………….</t>
  </si>
  <si>
    <t>g  ………………………………………………………………………………….</t>
  </si>
  <si>
    <t>'11-'15</t>
  </si>
  <si>
    <t>2011E EBITDA Multiple</t>
  </si>
  <si>
    <r>
      <t>b</t>
    </r>
    <r>
      <rPr>
        <sz val="11"/>
        <rFont val="Calibri"/>
        <family val="2"/>
      </rPr>
      <t xml:space="preserve">u = </t>
    </r>
    <r>
      <rPr>
        <sz val="11"/>
        <rFont val="Symbol"/>
        <family val="1"/>
        <charset val="2"/>
      </rPr>
      <t>b</t>
    </r>
    <r>
      <rPr>
        <sz val="11"/>
        <rFont val="Calibri"/>
        <family val="2"/>
      </rPr>
      <t>e / [1 + ( (1 - tax %) x D/E)]</t>
    </r>
  </si>
  <si>
    <t>Cove Harbor Homes</t>
  </si>
  <si>
    <t>Timeline Homes</t>
  </si>
  <si>
    <t>Pinewood Mobile Homes</t>
  </si>
  <si>
    <t>Pinewood Beta</t>
  </si>
  <si>
    <t>EcoLiving</t>
  </si>
  <si>
    <t>Sales Growth</t>
  </si>
  <si>
    <t>EBITDA Margin</t>
  </si>
  <si>
    <t>Capex % of Sales</t>
  </si>
  <si>
    <t>Chg Work. Cap. % of Sales</t>
  </si>
  <si>
    <t>Pinewood Consolidated</t>
  </si>
  <si>
    <t>Pinewood Excl. EcoLiving</t>
  </si>
  <si>
    <t>FCF % of Sales</t>
  </si>
  <si>
    <t>Participation in FCF</t>
  </si>
  <si>
    <t>Average</t>
  </si>
  <si>
    <t xml:space="preserve"> '11-'15</t>
  </si>
  <si>
    <t>Target capital structure</t>
  </si>
  <si>
    <t>DCF Pinewood Consolidated and EcoLiving Division</t>
  </si>
  <si>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sz val="9"/>
        <color theme="1"/>
        <rFont val="Calibri"/>
        <family val="2"/>
        <scheme val="minor"/>
      </rPr>
      <t xml:space="preserve">Recovery to preferred equity does not include the value of warrants distributed. </t>
    </r>
  </si>
  <si>
    <t>DCF - Pinewood (US$ Millions)</t>
  </si>
  <si>
    <t>DCF - EcoLiving (US$ Millions)</t>
  </si>
  <si>
    <t>(US$ Millions)</t>
  </si>
  <si>
    <t>Total restructured debt …........................................................................................................................................................................</t>
  </si>
  <si>
    <r>
      <rPr>
        <b/>
        <u/>
        <sz val="9"/>
        <rFont val="Calibri"/>
        <family val="2"/>
        <scheme val="minor"/>
      </rPr>
      <t>Note:</t>
    </r>
    <r>
      <rPr>
        <b/>
        <sz val="9"/>
        <rFont val="Calibri"/>
        <family val="2"/>
        <scheme val="minor"/>
      </rPr>
      <t xml:space="preserve"> EBITDA</t>
    </r>
  </si>
  <si>
    <r>
      <t>Current portion of senior unsecured notes</t>
    </r>
    <r>
      <rPr>
        <vertAlign val="superscript"/>
        <sz val="9"/>
        <color theme="1"/>
        <rFont val="Calibri"/>
        <family val="2"/>
        <scheme val="minor"/>
      </rPr>
      <t>c</t>
    </r>
  </si>
  <si>
    <r>
      <t>Preferred equity</t>
    </r>
    <r>
      <rPr>
        <vertAlign val="superscript"/>
        <sz val="10"/>
        <color theme="1"/>
        <rFont val="Calibri"/>
        <family val="2"/>
        <scheme val="minor"/>
      </rPr>
      <t>a</t>
    </r>
  </si>
  <si>
    <t>Book value</t>
  </si>
  <si>
    <t>% recovery</t>
  </si>
  <si>
    <t>Revolving loan facility (face amount $215m)</t>
  </si>
  <si>
    <t>Sold @ 20 % discount</t>
  </si>
  <si>
    <t>Other assets</t>
  </si>
  <si>
    <t>Repaid @ market price</t>
  </si>
  <si>
    <t>Face amount fully repaid</t>
  </si>
  <si>
    <t>Price/share</t>
  </si>
  <si>
    <t>Total assets ….........................................................................................................</t>
  </si>
  <si>
    <t>Total claims …........................................................................................................................................................................</t>
  </si>
  <si>
    <t>Preferred</t>
  </si>
  <si>
    <t>Book Value</t>
  </si>
  <si>
    <t>Arrears 12m</t>
  </si>
  <si>
    <t>Arrears 6m</t>
  </si>
  <si>
    <t>% Recovery</t>
  </si>
  <si>
    <t>Total liabilities &amp; preferred equity …........................................................................................................................................................................</t>
  </si>
  <si>
    <t>Financial Model - Pinewood Mobile Homes - 100% Acceptance of Restructuring Plan</t>
  </si>
  <si>
    <t>(U.S. $ millions)</t>
  </si>
  <si>
    <t>Financial Model - Pinewood Mobile Homes - Minimum Acceptance of Restructuring Plan</t>
  </si>
  <si>
    <t>(US$ millions)</t>
  </si>
  <si>
    <t>Available for Unsecured Creditors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</si>
  <si>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Asset Sale Price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</si>
  <si>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rPr>
        <u/>
        <sz val="10"/>
        <color theme="1"/>
        <rFont val="Calibri"/>
        <family val="2"/>
        <scheme val="minor"/>
      </rPr>
      <t>Less:</t>
    </r>
    <r>
      <rPr>
        <sz val="10"/>
        <color theme="1"/>
        <rFont val="Calibri"/>
        <family val="2"/>
        <scheme val="minor"/>
      </rPr>
      <t xml:space="preserve"> Secured Debt 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</si>
  <si>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Total Claims of Unsecured Creditors …..............................................................................................................................................................................................................................................</t>
  </si>
  <si>
    <t>Senior unsecured notes (face amount)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</si>
  <si>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Trade claims (face amount)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</si>
  <si>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Face 
amount</t>
  </si>
  <si>
    <t>(B) Claims to Unsecured Creditors:</t>
  </si>
  <si>
    <t>(A) Calculation of Proceeds Available to Unsecured Creditors:</t>
  </si>
  <si>
    <r>
      <t>1</t>
    </r>
    <r>
      <rPr>
        <b/>
        <vertAlign val="superscript"/>
        <sz val="10"/>
        <color rgb="FF000000"/>
        <rFont val="Calibri"/>
        <family val="2"/>
        <scheme val="minor"/>
      </rPr>
      <t>ST</t>
    </r>
    <r>
      <rPr>
        <b/>
        <sz val="10"/>
        <color rgb="FF000000"/>
        <rFont val="Calibri"/>
        <family val="2"/>
        <scheme val="minor"/>
      </rPr>
      <t xml:space="preserve"> Cut Payoff Percentage [ (A) / (B) ] …..............................................................................................................................................................................................</t>
    </r>
  </si>
  <si>
    <t>1) Full "packaged" Asset Sale</t>
  </si>
  <si>
    <t xml:space="preserve">2) Separate Sale of EcoLiving Assets and Other Assets </t>
  </si>
  <si>
    <t>D/E Last 3 Years</t>
  </si>
  <si>
    <t>D/E Last 4 Years</t>
  </si>
  <si>
    <t>D/E Last 5 Years</t>
  </si>
  <si>
    <t>D/E Last 6 Years</t>
  </si>
  <si>
    <t>D/E Last 7 Years</t>
  </si>
  <si>
    <t>D/E Last 8 Years</t>
  </si>
  <si>
    <t>βu = 2.79 / ((1 + (1 - 35%) * 236%))</t>
  </si>
  <si>
    <t>D/E Last 9 Years</t>
  </si>
  <si>
    <t>D/E Last 10 Years</t>
  </si>
  <si>
    <t>Se toma el avg 8 years, se asume que la Beta se basa en una estructura de capital mas estable/sustentable que la de los ultimos 3 years</t>
  </si>
  <si>
    <t>New Debt</t>
  </si>
  <si>
    <t>$1.050 Every $1.000</t>
  </si>
  <si>
    <t>Original Maturity</t>
  </si>
  <si>
    <t>Existing Securities</t>
  </si>
  <si>
    <t>$640 Every $1.000</t>
  </si>
  <si>
    <t>$250 Every $1.000</t>
  </si>
  <si>
    <t>No</t>
  </si>
  <si>
    <t>Warrants (10 Yrs)</t>
  </si>
  <si>
    <t>Subordinated Debenture</t>
  </si>
  <si>
    <t>1 share / Pref. 
@ $7 per share</t>
  </si>
  <si>
    <t>Bullet @ Maturity</t>
  </si>
  <si>
    <t>Maturity
new debt</t>
  </si>
  <si>
    <t>50 shares/$1.000 FV 
@ $7 per share</t>
  </si>
  <si>
    <t>Interest rate new debt</t>
  </si>
  <si>
    <r>
      <t xml:space="preserve">1,8% 
</t>
    </r>
    <r>
      <rPr>
        <i/>
        <sz val="6"/>
        <color rgb="FF000000"/>
        <rFont val="Times New Roman"/>
        <family val="1"/>
      </rPr>
      <t>(Libor+1.5%)</t>
    </r>
  </si>
  <si>
    <t>517 shares/$1.000 FV 
(21,32% PF Equity)</t>
  </si>
  <si>
    <r>
      <t>644 shares/$1.000 FV 
(36,96% of Equity)</t>
    </r>
    <r>
      <rPr>
        <u/>
        <sz val="8"/>
        <color theme="1"/>
        <rFont val="Times New Roman"/>
        <family val="1"/>
      </rPr>
      <t/>
    </r>
  </si>
  <si>
    <t>2,35 shares / Pref. 
(19,84% of Equity)</t>
  </si>
  <si>
    <t>Retain 64,8m shares 
(21,88% PF Equity)</t>
  </si>
  <si>
    <t>First lien all assets</t>
  </si>
  <si>
    <t>Ppal value</t>
  </si>
  <si>
    <t>Ppal amortizat.</t>
  </si>
  <si>
    <t>Req'ed accept.</t>
  </si>
  <si>
    <t>Market</t>
  </si>
  <si>
    <t>Price 
March 2011</t>
  </si>
  <si>
    <r>
      <rPr>
        <vertAlign val="superscript"/>
        <sz val="7"/>
        <color theme="1"/>
        <rFont val="Times New Roman"/>
        <family val="1"/>
      </rPr>
      <t xml:space="preserve">a </t>
    </r>
    <r>
      <rPr>
        <sz val="7"/>
        <color theme="1"/>
        <rFont val="Times New Roman"/>
        <family val="1"/>
      </rPr>
      <t xml:space="preserve">Assumes 100% acceptance of the exchange offer in </t>
    </r>
    <r>
      <rPr>
        <b/>
        <sz val="7"/>
        <color theme="1"/>
        <rFont val="Times New Roman"/>
        <family val="1"/>
      </rPr>
      <t>Exhibit 7</t>
    </r>
    <r>
      <rPr>
        <sz val="7"/>
        <color theme="1"/>
        <rFont val="Times New Roman"/>
        <family val="1"/>
      </rPr>
      <t xml:space="preserve"> by holders of Pinewood debt.</t>
    </r>
  </si>
  <si>
    <r>
      <rPr>
        <vertAlign val="superscript"/>
        <sz val="7"/>
        <color theme="1"/>
        <rFont val="Times New Roman"/>
        <family val="1"/>
      </rPr>
      <t>b</t>
    </r>
    <r>
      <rPr>
        <sz val="7"/>
        <color theme="1"/>
        <rFont val="Times New Roman"/>
        <family val="1"/>
      </rPr>
      <t xml:space="preserve"> Assumes acceptance by the minimum amounts of debt and preferred stock needed to make the exchange effective, per </t>
    </r>
    <r>
      <rPr>
        <b/>
        <sz val="7"/>
        <color theme="1"/>
        <rFont val="Times New Roman"/>
        <family val="1"/>
      </rPr>
      <t>Exhibit 7</t>
    </r>
    <r>
      <rPr>
        <sz val="7"/>
        <color theme="1"/>
        <rFont val="Times New Roman"/>
        <family val="1"/>
      </rPr>
      <t>.</t>
    </r>
  </si>
  <si>
    <r>
      <rPr>
        <vertAlign val="superscript"/>
        <sz val="7"/>
        <color theme="1"/>
        <rFont val="Times New Roman"/>
        <family val="1"/>
      </rPr>
      <t xml:space="preserve">c </t>
    </r>
    <r>
      <rPr>
        <sz val="7"/>
        <color theme="1"/>
        <rFont val="Times New Roman"/>
        <family val="1"/>
      </rPr>
      <t>Due date for current portion of long-term debt only.</t>
    </r>
  </si>
  <si>
    <r>
      <t>Minimum Acceptance</t>
    </r>
    <r>
      <rPr>
        <b/>
        <vertAlign val="superscript"/>
        <sz val="10"/>
        <color theme="1"/>
        <rFont val="Times New Roman"/>
        <family val="1"/>
      </rPr>
      <t>b</t>
    </r>
  </si>
  <si>
    <r>
      <t xml:space="preserve">Capitalization </t>
    </r>
    <r>
      <rPr>
        <b/>
        <sz val="9"/>
        <color theme="1"/>
        <rFont val="Times New Roman"/>
        <family val="1"/>
      </rPr>
      <t>(US$ Millions @ 31/12/2010)</t>
    </r>
  </si>
  <si>
    <r>
      <t xml:space="preserve">Equity ownership &amp; common shares </t>
    </r>
    <r>
      <rPr>
        <b/>
        <sz val="9"/>
        <color theme="1"/>
        <rFont val="Times New Roman"/>
        <family val="1"/>
      </rPr>
      <t>(in Millions)</t>
    </r>
  </si>
  <si>
    <t>After 3/31/13</t>
  </si>
  <si>
    <t>After 12/15/15</t>
  </si>
  <si>
    <t>Optional redemp.</t>
  </si>
  <si>
    <t>Annual beg. 3/31/13</t>
  </si>
  <si>
    <t>Revenue (US$ million)</t>
  </si>
  <si>
    <t>Pinewood Historical Avg. D/E:</t>
  </si>
  <si>
    <t>Peer's 
Beta</t>
  </si>
  <si>
    <t>Current 2010</t>
  </si>
  <si>
    <t>Pro Forma Restructuring (100% Acceptance) …...............................................................................................................................................................................................</t>
  </si>
  <si>
    <t>Pro Forma Restructuring (Minimum REquired Acceptance) …...............................................................................................................................................................................................</t>
  </si>
  <si>
    <t>Gross margin %</t>
  </si>
  <si>
    <t>Operating margin %</t>
  </si>
  <si>
    <t>Net profit margin %</t>
  </si>
  <si>
    <t>Annual Amort</t>
  </si>
  <si>
    <t>Maturity starts March 2013, 6 equal annual installments (maturity March 2018)</t>
  </si>
  <si>
    <t>Maturity starts March 2013, 4 equal annual installments (maturity March 2016)</t>
  </si>
  <si>
    <t>Si da menos de 0.86, asumir menor colchon de caja para no inmovilizar tanto efectivo</t>
  </si>
  <si>
    <t>Performance</t>
  </si>
  <si>
    <t>Key Ratios</t>
  </si>
  <si>
    <t>Accrued taxes - liability/(asset) [NOL]</t>
  </si>
  <si>
    <t>Usage of NOL</t>
  </si>
  <si>
    <t>Less: Taxes (on EBIT) [35%]</t>
  </si>
  <si>
    <t>Taxable Income</t>
  </si>
  <si>
    <t>Income Tax Charge</t>
  </si>
  <si>
    <t>Pre-tax Profits</t>
  </si>
  <si>
    <t>Asume regreso progresivo de dividendos preferidos para los que no aceptan el exchange</t>
  </si>
  <si>
    <t>LT Debt: 9-year bond (junior)</t>
  </si>
  <si>
    <t>LT Debt: 8-year bond (senior)</t>
  </si>
  <si>
    <t>Warrants Analysis</t>
  </si>
  <si>
    <t>2010A EBITDA Multiple</t>
  </si>
  <si>
    <t>Equity Value</t>
  </si>
  <si>
    <t>(-) Net Debt (After Restructuring - 100% Acceptance)</t>
  </si>
  <si>
    <t># of Shares (After Restructuring - 100% Acceptance)</t>
  </si>
  <si>
    <t>Warrant</t>
  </si>
  <si>
    <t>DCF Valuation Range</t>
  </si>
  <si>
    <t># of Shares (Before Restructuring)</t>
  </si>
  <si>
    <t>Value per Share - Based on Pre-Restructure Shares</t>
  </si>
  <si>
    <t>Value per Share - Based on Post-Restructure Shares</t>
  </si>
  <si>
    <t>DCF Enterprise Value Range (WACC 10%)</t>
  </si>
  <si>
    <t>Financial Debt</t>
  </si>
  <si>
    <t>Cash Balance</t>
  </si>
  <si>
    <t>DCF - tasa "g" crecimiento FCFF largo plazo</t>
  </si>
  <si>
    <t>2011E EBITDA Multiple (Implied)</t>
  </si>
  <si>
    <t>Se devenga el cargo por impuestos, pero en la linea d working capital figura como fuente el uso de NOL/quebranto</t>
  </si>
  <si>
    <t>para llegar a valuacion del Warrant de $7/accion, que implica EV 779.7m, la g debe ser 4.73%</t>
  </si>
  <si>
    <t>Minimum Acceptance</t>
  </si>
  <si>
    <t>100% Acceptance</t>
  </si>
  <si>
    <t>Liabilities/</t>
  </si>
  <si>
    <t>Margin %</t>
  </si>
  <si>
    <t>Liabilities</t>
  </si>
  <si>
    <t>(Debt+Equity)</t>
  </si>
  <si>
    <t>Debt</t>
  </si>
  <si>
    <t>Debt Cost</t>
  </si>
  <si>
    <t>Pinewood 2001-2010</t>
  </si>
  <si>
    <t>Oper CF</t>
  </si>
  <si>
    <t>Capex (or asset sales)</t>
  </si>
  <si>
    <t>Change in curr. portion of LT debt</t>
  </si>
  <si>
    <t>EBITDA/Interest</t>
  </si>
  <si>
    <t>Debt/EBITDA</t>
  </si>
  <si>
    <t>Calculos</t>
  </si>
  <si>
    <t>Book</t>
  </si>
  <si>
    <t>Preferred stock</t>
  </si>
  <si>
    <t>Recovery Analysis</t>
  </si>
  <si>
    <t>Warrants</t>
  </si>
  <si>
    <r>
      <t>100% Acceptance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</si>
  <si>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Minimum Acceptance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</si>
  <si>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% Recupero</t>
  </si>
  <si>
    <t>Total Equity Securities</t>
  </si>
  <si>
    <t>Total Debt Securities</t>
  </si>
  <si>
    <r>
      <t>Market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</si>
  <si>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>Equity</t>
    </r>
    <r>
      <rPr>
        <b/>
        <vertAlign val="superscript"/>
        <sz val="11"/>
        <color theme="1"/>
        <rFont val="Calibri"/>
        <family val="2"/>
        <scheme val="minor"/>
      </rPr>
      <t>d</t>
    </r>
  </si>
  <si>
    <r>
      <rPr>
        <vertAlign val="superscript"/>
        <sz val="8"/>
        <color theme="1"/>
        <rFont val="Calibri"/>
        <family val="2"/>
        <scheme val="minor"/>
      </rPr>
      <t xml:space="preserve">a </t>
    </r>
    <r>
      <rPr>
        <sz val="8"/>
        <color theme="1"/>
        <rFont val="Calibri"/>
        <family val="2"/>
        <scheme val="minor"/>
      </rPr>
      <t>Assumes 100% acceptance of the exchange offer in Exhibit 7 by holders of Pinewood debt.</t>
    </r>
  </si>
  <si>
    <r>
      <rPr>
        <vertAlign val="superscript"/>
        <sz val="8"/>
        <color theme="1"/>
        <rFont val="Calibri"/>
        <family val="2"/>
        <scheme val="minor"/>
      </rPr>
      <t>b</t>
    </r>
    <r>
      <rPr>
        <sz val="8"/>
        <color theme="1"/>
        <rFont val="Calibri"/>
        <family val="2"/>
        <scheme val="minor"/>
      </rPr>
      <t xml:space="preserve"> Assumes acceptance by the minimum amounts of debt and preferred stock needed to make the exchange effective, per Exhibit 7.</t>
    </r>
  </si>
  <si>
    <r>
      <rPr>
        <vertAlign val="superscript"/>
        <sz val="8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 Assumes market prices of $1,35 per preferred share and $1,09 per common share (from Exhibit 8).</t>
    </r>
  </si>
  <si>
    <r>
      <rPr>
        <vertAlign val="superscript"/>
        <sz val="8"/>
        <color theme="1"/>
        <rFont val="Calibri"/>
        <family val="2"/>
        <scheme val="minor"/>
      </rPr>
      <t>d</t>
    </r>
    <r>
      <rPr>
        <sz val="8"/>
        <color theme="1"/>
        <rFont val="Calibri"/>
        <family val="2"/>
        <scheme val="minor"/>
      </rPr>
      <t xml:space="preserve"> Assumes price of $1,09 per common share, adjusted for Issuance of new shares resulting from Exchange Offer:</t>
    </r>
  </si>
  <si>
    <t>Common</t>
  </si>
  <si>
    <t>Pref'd</t>
  </si>
  <si>
    <t>Market price of pre-exchange shares …..............................................................................................</t>
  </si>
  <si>
    <t>Stock price</t>
  </si>
  <si>
    <t>Market price adjusted - # of shares post-exchange …..............................................................................................</t>
  </si>
  <si>
    <t>Deuda en Escenario 100% Acceptance</t>
  </si>
  <si>
    <t>Se asume que NO se pagan por estar suspendidos los dividendos en los ultimos 6 meses (pag. 3, primer parrafo del caso)</t>
  </si>
  <si>
    <t>1) Full "packaged" Company Sale - Take Private Deal …................................................................................................................................................................................................................</t>
  </si>
  <si>
    <t>Full "packaed" Company Sale Price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</si>
  <si>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Subordination Mechanism (Sale Scenario)</t>
  </si>
  <si>
    <t>% comparable al % reconocido a las junior debentures</t>
  </si>
  <si>
    <t>Si no se logran vender los activos a un 80%, y renegociar proveedores a 29%, no alcanza para cubrir los accionistas preferidos y ordinarios</t>
  </si>
  <si>
    <t>Los valores se determinan en base a market price informado por el caso</t>
  </si>
  <si>
    <t>2) Separate Sale of EcoLiving Assets and Other Assets …......................................................................................................................................</t>
  </si>
  <si>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sz val="9"/>
        <color theme="1"/>
        <rFont val="Calibri"/>
        <family val="2"/>
        <scheme val="minor"/>
      </rPr>
      <t>Based on average proceeds.</t>
    </r>
  </si>
  <si>
    <t>Reallocation - Subordination</t>
  </si>
  <si>
    <r>
      <t>1</t>
    </r>
    <r>
      <rPr>
        <vertAlign val="superscript"/>
        <sz val="10"/>
        <color rgb="FF000000"/>
        <rFont val="Calibri"/>
        <family val="2"/>
        <scheme val="minor"/>
      </rPr>
      <t>st</t>
    </r>
    <r>
      <rPr>
        <sz val="10"/>
        <color rgb="FF000000"/>
        <rFont val="Calibri"/>
        <family val="2"/>
        <scheme val="minor"/>
      </rPr>
      <t xml:space="preserve"> Cut Payoff for Unsecured Creditors</t>
    </r>
  </si>
  <si>
    <t>Final Payoff Reallocation</t>
  </si>
  <si>
    <t>Subordinated debenture (face amount) …..................................................................................................................................................................................................................................................................................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</si>
  <si>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Estimated residual value of common stock …................................................................................................................................................................</t>
  </si>
  <si>
    <t>%</t>
  </si>
  <si>
    <t>No equity</t>
  </si>
  <si>
    <t>2,35 shares every 1 preferred share</t>
  </si>
  <si>
    <t>517 shares every $1.000 face value</t>
  </si>
  <si>
    <t>644 shares every $1.000 face value</t>
  </si>
  <si>
    <t>Retain existing 64,8m shares</t>
  </si>
  <si>
    <t>Revolving loan facility (105% of face amount $215m)</t>
  </si>
  <si>
    <t>Preferred stock (exchange for common stock)</t>
  </si>
  <si>
    <t>Common stock (no exchange, retain existing common shares)</t>
  </si>
  <si>
    <t>Exchange description</t>
  </si>
  <si>
    <t>Recovered</t>
  </si>
  <si>
    <t>Amount</t>
  </si>
  <si>
    <t>o/Book</t>
  </si>
  <si>
    <t>o/Market</t>
  </si>
  <si>
    <t>Debt Exchange</t>
  </si>
  <si>
    <t>Equity Exchange</t>
  </si>
  <si>
    <t>Total Value to Distribute …...............................................................................................</t>
  </si>
  <si>
    <t>Equity Value to Distribute …...............................................................................................</t>
  </si>
  <si>
    <t>Pre-Restructure</t>
  </si>
  <si>
    <t>Senior unsecured notes (64% of face amt $122.1m)</t>
  </si>
  <si>
    <t>Subordinated debenture (25% of face amt $170m)</t>
  </si>
  <si>
    <t>Estimated Distributions to Claimants Based on DCF (Base Case), Assuming 100% Acceptance of Exchange Offer</t>
  </si>
  <si>
    <t>Estimated Distributions to Claimants Based on DCF (Sensitivity), Assuming 100% Acceptance of Exchange Offer</t>
  </si>
  <si>
    <t>Senior unsecured notes (face amount $122.1m / Market @ 65 1/2)</t>
  </si>
  <si>
    <t>Subordinated debenture (face amount $170m / Market @ 24 1/4)</t>
  </si>
  <si>
    <t>Trade claims (face amount $79.9m)</t>
  </si>
  <si>
    <t>Preferred equity (25 million shares / Market @ $1.35 per shares)</t>
  </si>
  <si>
    <t>Common equity (64.8 million shares / Market @ $1.09)</t>
  </si>
  <si>
    <t>Sale Price</t>
  </si>
  <si>
    <t>Senior unsecured notes (face amount $122.1m)</t>
  </si>
  <si>
    <t>Subordinated debenture (face amount $170m)</t>
  </si>
  <si>
    <t>Preferred equity (face amount $75m)</t>
  </si>
  <si>
    <t>alternative subordination calculation</t>
  </si>
  <si>
    <t>EcoLiving Homes price estimate ….......................................................................................................................................................</t>
  </si>
  <si>
    <r>
      <t>Other assets price estimates (mid-point)</t>
    </r>
    <r>
      <rPr>
        <vertAlign val="superscript"/>
        <sz val="10"/>
        <color theme="1"/>
        <rFont val="Calibri"/>
        <family val="2"/>
        <scheme val="minor"/>
      </rPr>
      <t xml:space="preserve">a </t>
    </r>
    <r>
      <rPr>
        <sz val="10"/>
        <color theme="1"/>
        <rFont val="Calibri"/>
        <family val="2"/>
        <scheme val="minor"/>
      </rPr>
      <t>….......................................................................................................................................................</t>
    </r>
  </si>
  <si>
    <t>Estimated Amounts Available to Repay Liabilities &amp; Preferred Stock</t>
  </si>
  <si>
    <t>Estimated Value of Distributions to Claimants Based on Company Sale of Company Assets</t>
  </si>
  <si>
    <t>Estimated Value of Distributions to Claimants Based on Separate Sale EcoLiving/Other Assets</t>
  </si>
  <si>
    <r>
      <rPr>
        <vertAlign val="superscript"/>
        <sz val="7"/>
        <color theme="1"/>
        <rFont val="Times New Roman"/>
        <family val="1"/>
      </rPr>
      <t>a</t>
    </r>
    <r>
      <rPr>
        <sz val="7"/>
        <color theme="1"/>
        <rFont val="Times New Roman"/>
        <family val="1"/>
      </rPr>
      <t xml:space="preserve"> Principal value includes liquidation value ($75 million) but excludes arrearage of $6.75 million (dividends suspended).</t>
    </r>
  </si>
  <si>
    <r>
      <t>Common Equity</t>
    </r>
    <r>
      <rPr>
        <vertAlign val="superscript"/>
        <sz val="8"/>
        <color rgb="FF000000"/>
        <rFont val="Times New Roman"/>
        <family val="1"/>
      </rPr>
      <t>b</t>
    </r>
  </si>
  <si>
    <r>
      <rPr>
        <vertAlign val="superscript"/>
        <sz val="7"/>
        <color theme="1"/>
        <rFont val="Times New Roman"/>
        <family val="1"/>
      </rPr>
      <t>b</t>
    </r>
    <r>
      <rPr>
        <sz val="7"/>
        <color theme="1"/>
        <rFont val="Times New Roman"/>
        <family val="1"/>
      </rPr>
      <t xml:space="preserve"> Principal value includes 64.8 million shares at FV $2,00 per share.</t>
    </r>
  </si>
  <si>
    <t>Orig. Interest</t>
  </si>
  <si>
    <t>Pinewood 2010-2015</t>
  </si>
  <si>
    <t>45% recover o/book value $75m</t>
  </si>
  <si>
    <t>% recover comparable to sub notes</t>
  </si>
  <si>
    <t>Common equity (64.8 million shares / Discount to Market of $1.09)</t>
  </si>
  <si>
    <t>% recovery comparable to sr notes</t>
  </si>
  <si>
    <t>discount</t>
  </si>
  <si>
    <t>41% discount to market price</t>
  </si>
  <si>
    <t>Estimated Distributions to Claimants Based on Liquidation of Assets - Trade Claims Treated as Sub Notes</t>
  </si>
  <si>
    <t>Estimated Distributions to Claimants Based on Liquidation of Assets - Trade Claims Treated as Senior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</si>
</sst>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%"/>
    <numFmt numFmtId="166" formatCode="0.0"/>
    <numFmt numFmtId="167" formatCode="#,##0.000"/>
    <numFmt numFmtId="168" formatCode="0.0;\(0.0\)"/>
    <numFmt numFmtId="169" formatCode="&quot;$&quot;0.00;\(&quot;$&quot;0.00\)"/>
    <numFmt numFmtId="170" formatCode="0.0%;\(0.0%\)"/>
    <numFmt numFmtId="171" formatCode="0.0\x"/>
    <numFmt numFmtId="172" formatCode="_(* #,##0_);_(* \(#,##0\);_(* &quot;-&quot;??_);_(@_)"/>
    <numFmt numFmtId="173" formatCode="_(#,##0.0%_);_(\(#,##0.0%\)_);_(#,##0.0%_)"/>
    <numFmt numFmtId="174" formatCode="_(* #,##0.0_);_(* \(#,##0.0\);_(* &quot;-&quot;?_);_(@_)"/>
    <numFmt numFmtId="175" formatCode="&quot;$&quot;0.00;&quot;$&quot;\(0.00\)"/>
    <numFmt numFmtId="176" formatCode="&quot;$&quot;#,##0.0;&quot;$&quot;\(#,##0.0\);_(* &quot;-&quot;??_);_(@_)"/>
    <numFmt numFmtId="177" formatCode="&quot;$&quot;#,##0.0_);\(&quot;$&quot;#,##0.0\)"/>
    <numFmt numFmtId="178" formatCode="0.00000%"/>
    <numFmt numFmtId="179" formatCode="mm/dd/yy;@"/>
    <numFmt numFmtId="180" formatCode="#,##0.0;\(#,##0.0\);\-"/>
    <numFmt numFmtId="181" formatCode="&quot;$&quot;#,##0.0;&quot;$&quot;\(#,##0.0\);\-"/>
    <numFmt numFmtId="182" formatCode="&quot;$&quot;#,##0.00;&quot;$&quot;\(#,##0.00\);\-"/>
    <numFmt numFmtId="183" formatCode="#,##0.00;\(#,##0.00\);\-"/>
    <numFmt numFmtId="184" formatCode="0.0%;\(0.0%\);\-"/>
    <numFmt numFmtId="185" formatCode="0.00%;\(0.00%\);\-"/>
    <numFmt numFmtId="186" formatCode="0%;\(0%\);\-"/>
    <numFmt numFmtId="187" formatCode="#,##0.0_);\(#,##0.0\)"/>
    <numFmt numFmtId="188" formatCode="0.00_);\(0.00\)"/>
    <numFmt numFmtId="189" formatCode="0.0%;\(0.0\)%;\-"/>
    <numFmt numFmtId="190" formatCode="_(* #,##0.0_);_(* \(#,##0.0\);_(* &quot;-&quot;??_);_(@_)"/>
    <numFmt numFmtId="191" formatCode="0%;\(0\)%;\-"/>
    <numFmt numFmtId="192" formatCode="&quot;$&quot;#,##0.0_);&quot;$&quot;\(#,##0.0\)"/>
    <numFmt numFmtId="193" formatCode="&quot;$&quot;#,##0.00_);&quot;$&quot;\(#,##0.00\)"/>
    <numFmt numFmtId="194" formatCode="#,##0.0000_);\(#,##0.0000\)"/>
    <numFmt numFmtId="195" formatCode="0.0000%"/>
    <numFmt numFmtId="196" formatCode="#,##0.00_ ;\-#,##0.00\ "/>
    <numFmt numFmtId="197" formatCode="_ * #,##0.00_ ;_ * \-#,##0.00_ ;_ * &quot;-&quot;??_ ;_ @_ "/>
    <numFmt numFmtId="198" formatCode="0.00000000000000%"/>
    <numFmt numFmtId="199" formatCode="m/d/yy;@"/>
    <numFmt numFmtId="200" formatCode="&quot;$&quot;#,##0_);&quot;$&quot;\(#,##0\)"/>
    <numFmt numFmtId="201" formatCode="&quot;$&quot;#,##0\ ;&quot;$&quot;\(#,##0\)"/>
    <numFmt numFmtId="202" formatCode="&quot;$&quot;#,##0.0\ ;&quot;$&quot;\(#,##0.0\)"/>
    <numFmt numFmtId="203" formatCode="0.0\x;\(0.0\x\);\-"/>
  </numFmts>
  <fonts count="15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11"/>
      <color theme="1"/>
      <name val="Calibri"/>
      <family val="2"/>
      <scheme val="minor"/>
    </font>
    <font>
      <i/>
      <sz val="9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vertAlign val="super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u/>
      <sz val="9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u/>
      <sz val="9"/>
      <color theme="1"/>
      <name val="Times New Roman"/>
      <family val="1"/>
    </font>
    <font>
      <vertAlign val="superscript"/>
      <sz val="9"/>
      <name val="Times New Roman"/>
      <family val="1"/>
    </font>
    <font>
      <sz val="9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9"/>
      <color rgb="FF0070C0"/>
      <name val="Times New Roman"/>
      <family val="1"/>
    </font>
    <font>
      <b/>
      <vertAlign val="superscript"/>
      <sz val="9"/>
      <color theme="1"/>
      <name val="Times New Roman"/>
      <family val="1"/>
    </font>
    <font>
      <sz val="8"/>
      <color rgb="FF0070C0"/>
      <name val="Times New Roman"/>
      <family val="1"/>
    </font>
    <font>
      <sz val="10"/>
      <color rgb="FF0070C0"/>
      <name val="Times New Roman"/>
      <family val="1"/>
    </font>
    <font>
      <u/>
      <sz val="10"/>
      <color rgb="FF0070C0"/>
      <name val="Times New Roman"/>
      <family val="1"/>
    </font>
    <font>
      <b/>
      <u/>
      <sz val="9"/>
      <color rgb="FF0070C0"/>
      <name val="Times New Roman"/>
      <family val="1"/>
    </font>
    <font>
      <b/>
      <sz val="10"/>
      <color rgb="FF0070C0"/>
      <name val="Times New Roman"/>
      <family val="1"/>
    </font>
    <font>
      <b/>
      <u/>
      <sz val="10"/>
      <color rgb="FF0070C0"/>
      <name val="Times New Roman"/>
      <family val="1"/>
    </font>
    <font>
      <sz val="11"/>
      <color rgb="FF0070C0"/>
      <name val="Calibri"/>
      <family val="2"/>
      <scheme val="minor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sz val="12"/>
      <name val="Helv"/>
    </font>
    <font>
      <b/>
      <sz val="16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5"/>
      <color indexed="9"/>
      <name val="Calibri"/>
      <family val="2"/>
    </font>
    <font>
      <b/>
      <sz val="14"/>
      <color indexed="9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4"/>
      <name val="Calibri"/>
      <family val="2"/>
    </font>
    <font>
      <sz val="11"/>
      <name val="Calibri"/>
      <family val="2"/>
    </font>
    <font>
      <sz val="14"/>
      <color indexed="9"/>
      <name val="Calibri"/>
      <family val="2"/>
    </font>
    <font>
      <b/>
      <sz val="14"/>
      <color indexed="12"/>
      <name val="Calibri"/>
      <family val="2"/>
    </font>
    <font>
      <b/>
      <sz val="11"/>
      <name val="Calibri"/>
      <family val="2"/>
    </font>
    <font>
      <sz val="13"/>
      <color indexed="12"/>
      <name val="Calibri"/>
      <family val="2"/>
    </font>
    <font>
      <sz val="13"/>
      <name val="Calibri"/>
      <family val="2"/>
    </font>
    <font>
      <b/>
      <sz val="15"/>
      <name val="Calibri"/>
      <family val="2"/>
    </font>
    <font>
      <sz val="15"/>
      <name val="Calibri"/>
      <family val="2"/>
    </font>
    <font>
      <b/>
      <u/>
      <sz val="10"/>
      <name val="Calibri"/>
      <family val="2"/>
    </font>
    <font>
      <sz val="10"/>
      <name val="Symbol"/>
      <family val="1"/>
      <charset val="2"/>
    </font>
    <font>
      <sz val="11"/>
      <color indexed="12"/>
      <name val="Calibri"/>
      <family val="2"/>
    </font>
    <font>
      <sz val="11"/>
      <name val="Symbol"/>
      <family val="1"/>
      <charset val="2"/>
    </font>
    <font>
      <sz val="9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 val="singleAccounting"/>
      <sz val="10"/>
      <color theme="1"/>
      <name val="Calibri"/>
      <family val="2"/>
    </font>
    <font>
      <u val="singleAccounting"/>
      <sz val="10"/>
      <color theme="1"/>
      <name val="Calibri"/>
      <family val="2"/>
      <scheme val="minor"/>
    </font>
    <font>
      <i/>
      <u/>
      <sz val="10"/>
      <name val="Calibri"/>
      <family val="2"/>
    </font>
    <font>
      <i/>
      <sz val="10"/>
      <color theme="1"/>
      <name val="Calibri"/>
      <family val="2"/>
      <scheme val="minor"/>
    </font>
    <font>
      <i/>
      <u val="singleAccounting"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i/>
      <sz val="9"/>
      <color rgb="FF0070C0"/>
      <name val="Times New Roman"/>
      <family val="1"/>
    </font>
    <font>
      <b/>
      <i/>
      <vertAlign val="superscript"/>
      <sz val="9"/>
      <color rgb="FF0070C0"/>
      <name val="Times New Roman"/>
      <family val="1"/>
    </font>
    <font>
      <i/>
      <sz val="9"/>
      <name val="Calibri"/>
      <family val="2"/>
    </font>
    <font>
      <b/>
      <sz val="12"/>
      <name val="Calibri"/>
      <family val="2"/>
    </font>
    <font>
      <b/>
      <u/>
      <sz val="11"/>
      <name val="Calibri"/>
      <family val="2"/>
    </font>
    <font>
      <u/>
      <sz val="11"/>
      <name val="Calibri"/>
      <family val="2"/>
    </font>
    <font>
      <i/>
      <sz val="11"/>
      <name val="Calibri"/>
      <family val="2"/>
    </font>
    <font>
      <sz val="11"/>
      <color indexed="9"/>
      <name val="Calibri"/>
      <family val="2"/>
    </font>
    <font>
      <b/>
      <sz val="11"/>
      <color indexed="12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u/>
      <sz val="10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i/>
      <sz val="9"/>
      <name val="Calibri"/>
      <family val="2"/>
      <scheme val="minor"/>
    </font>
    <font>
      <i/>
      <sz val="7"/>
      <name val="Calibri"/>
      <family val="2"/>
      <scheme val="minor"/>
    </font>
    <font>
      <sz val="7"/>
      <name val="Calibri"/>
      <family val="2"/>
      <scheme val="minor"/>
    </font>
    <font>
      <u/>
      <sz val="9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8"/>
      <color rgb="FF0070C0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70C0"/>
      <name val="Calibri"/>
      <family val="2"/>
    </font>
    <font>
      <u/>
      <sz val="8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7"/>
      <color theme="1"/>
      <name val="Times New Roman"/>
      <family val="1"/>
    </font>
    <font>
      <i/>
      <sz val="6"/>
      <color rgb="FF000000"/>
      <name val="Times New Roman"/>
      <family val="1"/>
    </font>
    <font>
      <b/>
      <sz val="7"/>
      <color theme="1"/>
      <name val="Times New Roman"/>
      <family val="1"/>
    </font>
    <font>
      <sz val="9"/>
      <color indexed="8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color rgb="FF0070C0"/>
      <name val="Calibri"/>
      <family val="2"/>
    </font>
    <font>
      <b/>
      <sz val="10"/>
      <color rgb="FF0070C0"/>
      <name val="Calibri"/>
      <family val="2"/>
    </font>
    <font>
      <b/>
      <sz val="11"/>
      <color theme="0"/>
      <name val="Calibri"/>
      <family val="2"/>
    </font>
    <font>
      <b/>
      <sz val="10"/>
      <color rgb="FFC00000"/>
      <name val="Calibri"/>
      <family val="2"/>
    </font>
    <font>
      <sz val="10"/>
      <color rgb="FFC00000"/>
      <name val="Calibri"/>
      <family val="2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3" fillId="0" borderId="0"/>
    <xf numFmtId="0" fontId="4" fillId="0" borderId="0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4" fillId="0" borderId="0" applyAlignment="0"/>
    <xf numFmtId="0" fontId="13" fillId="0" borderId="0" applyAlignment="0">
      <alignment wrapText="1"/>
    </xf>
    <xf numFmtId="0" fontId="15" fillId="0" borderId="0" applyAlignment="0"/>
    <xf numFmtId="0" fontId="16" fillId="0" borderId="0" applyAlignment="0"/>
    <xf numFmtId="0" fontId="17" fillId="0" borderId="0" applyAlignment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54" fillId="0" borderId="0"/>
    <xf numFmtId="0" fontId="3" fillId="0" borderId="0"/>
    <xf numFmtId="0" fontId="3" fillId="0" borderId="0">
      <alignment horizontal="right"/>
    </xf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803">
    <xf numFmtId="0" fontId="0" fillId="0" borderId="0" xfId="0"/>
    <xf numFmtId="0" fontId="18" fillId="0" borderId="0" xfId="0" applyFont="1" applyFill="1" applyBorder="1"/>
    <xf numFmtId="0" fontId="18" fillId="0" borderId="0" xfId="0" applyFont="1" applyFill="1"/>
    <xf numFmtId="0" fontId="18" fillId="0" borderId="1" xfId="0" applyFont="1" applyFill="1" applyBorder="1"/>
    <xf numFmtId="164" fontId="18" fillId="0" borderId="0" xfId="0" applyNumberFormat="1" applyFont="1" applyFill="1" applyBorder="1"/>
    <xf numFmtId="167" fontId="18" fillId="0" borderId="0" xfId="0" applyNumberFormat="1" applyFont="1" applyFill="1"/>
    <xf numFmtId="0" fontId="1" fillId="0" borderId="1" xfId="0" applyFont="1" applyFill="1" applyBorder="1"/>
    <xf numFmtId="168" fontId="18" fillId="0" borderId="0" xfId="0" applyNumberFormat="1" applyFont="1" applyFill="1" applyBorder="1"/>
    <xf numFmtId="169" fontId="18" fillId="0" borderId="0" xfId="0" applyNumberFormat="1" applyFont="1" applyFill="1" applyBorder="1"/>
    <xf numFmtId="0" fontId="22" fillId="0" borderId="0" xfId="0" applyFont="1" applyFill="1" applyBorder="1" applyAlignment="1">
      <alignment horizontal="left" indent="1"/>
    </xf>
    <xf numFmtId="0" fontId="19" fillId="0" borderId="0" xfId="0" applyFont="1" applyFill="1" applyBorder="1"/>
    <xf numFmtId="0" fontId="24" fillId="0" borderId="0" xfId="0" applyFont="1"/>
    <xf numFmtId="0" fontId="24" fillId="0" borderId="1" xfId="0" applyFont="1" applyBorder="1"/>
    <xf numFmtId="0" fontId="25" fillId="0" borderId="1" xfId="0" applyFont="1" applyFill="1" applyBorder="1"/>
    <xf numFmtId="0" fontId="25" fillId="0" borderId="1" xfId="0" applyFont="1" applyFill="1" applyBorder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23" fillId="0" borderId="0" xfId="0" applyFont="1"/>
    <xf numFmtId="0" fontId="24" fillId="0" borderId="1" xfId="0" applyFont="1" applyBorder="1" applyAlignment="1">
      <alignment horizontal="center" wrapText="1"/>
    </xf>
    <xf numFmtId="0" fontId="24" fillId="0" borderId="0" xfId="0" applyFont="1" applyBorder="1"/>
    <xf numFmtId="0" fontId="25" fillId="0" borderId="0" xfId="0" applyFont="1" applyFill="1"/>
    <xf numFmtId="0" fontId="27" fillId="0" borderId="0" xfId="0" applyFont="1" applyBorder="1"/>
    <xf numFmtId="0" fontId="24" fillId="0" borderId="0" xfId="0" applyFont="1" applyFill="1"/>
    <xf numFmtId="4" fontId="25" fillId="0" borderId="1" xfId="0" applyNumberFormat="1" applyFont="1" applyFill="1" applyBorder="1" applyAlignment="1">
      <alignment horizontal="center"/>
    </xf>
    <xf numFmtId="0" fontId="24" fillId="0" borderId="1" xfId="0" applyFont="1" applyBorder="1" applyAlignment="1">
      <alignment wrapText="1"/>
    </xf>
    <xf numFmtId="10" fontId="24" fillId="0" borderId="1" xfId="0" applyNumberFormat="1" applyFont="1" applyBorder="1" applyAlignment="1">
      <alignment horizontal="center"/>
    </xf>
    <xf numFmtId="4" fontId="24" fillId="0" borderId="0" xfId="0" applyNumberFormat="1" applyFont="1" applyAlignment="1">
      <alignment horizontal="center"/>
    </xf>
    <xf numFmtId="10" fontId="24" fillId="0" borderId="0" xfId="0" applyNumberFormat="1" applyFont="1" applyAlignment="1">
      <alignment horizontal="center"/>
    </xf>
    <xf numFmtId="169" fontId="18" fillId="0" borderId="1" xfId="0" applyNumberFormat="1" applyFont="1" applyFill="1" applyBorder="1"/>
    <xf numFmtId="0" fontId="19" fillId="0" borderId="1" xfId="0" applyFont="1" applyFill="1" applyBorder="1"/>
    <xf numFmtId="0" fontId="19" fillId="0" borderId="3" xfId="0" applyFont="1" applyFill="1" applyBorder="1" applyAlignment="1">
      <alignment horizontal="right"/>
    </xf>
    <xf numFmtId="43" fontId="19" fillId="0" borderId="0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8" fillId="0" borderId="3" xfId="0" applyFont="1" applyFill="1" applyBorder="1"/>
    <xf numFmtId="166" fontId="18" fillId="0" borderId="0" xfId="0" applyNumberFormat="1" applyFont="1" applyFill="1" applyAlignment="1">
      <alignment horizontal="right" vertical="center"/>
    </xf>
    <xf numFmtId="0" fontId="19" fillId="0" borderId="0" xfId="0" applyFont="1" applyFill="1"/>
    <xf numFmtId="0" fontId="26" fillId="0" borderId="3" xfId="0" applyFont="1" applyFill="1" applyBorder="1"/>
    <xf numFmtId="0" fontId="2" fillId="0" borderId="0" xfId="0" applyFont="1"/>
    <xf numFmtId="0" fontId="24" fillId="0" borderId="4" xfId="0" applyFont="1" applyBorder="1"/>
    <xf numFmtId="43" fontId="25" fillId="0" borderId="6" xfId="18" applyFont="1" applyBorder="1"/>
    <xf numFmtId="43" fontId="25" fillId="0" borderId="5" xfId="18" applyFont="1" applyBorder="1"/>
    <xf numFmtId="172" fontId="27" fillId="0" borderId="5" xfId="18" applyNumberFormat="1" applyFont="1" applyBorder="1" applyAlignment="1">
      <alignment horizontal="center"/>
    </xf>
    <xf numFmtId="0" fontId="18" fillId="0" borderId="0" xfId="0" applyFont="1"/>
    <xf numFmtId="0" fontId="19" fillId="0" borderId="3" xfId="0" applyFont="1" applyFill="1" applyBorder="1"/>
    <xf numFmtId="0" fontId="2" fillId="0" borderId="1" xfId="0" applyFont="1" applyBorder="1"/>
    <xf numFmtId="0" fontId="2" fillId="0" borderId="0" xfId="0" applyFont="1" applyBorder="1"/>
    <xf numFmtId="176" fontId="2" fillId="0" borderId="0" xfId="19" applyNumberFormat="1" applyFont="1" applyBorder="1"/>
    <xf numFmtId="0" fontId="1" fillId="0" borderId="0" xfId="0" applyFont="1" applyFill="1"/>
    <xf numFmtId="0" fontId="29" fillId="0" borderId="0" xfId="0" applyFont="1" applyBorder="1"/>
    <xf numFmtId="0" fontId="30" fillId="0" borderId="0" xfId="0" applyFont="1"/>
    <xf numFmtId="0" fontId="2" fillId="0" borderId="0" xfId="0" applyFont="1" applyAlignment="1">
      <alignment horizontal="left" indent="1"/>
    </xf>
    <xf numFmtId="175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  <xf numFmtId="0" fontId="28" fillId="0" borderId="0" xfId="0" applyFont="1" applyAlignment="1">
      <alignment wrapText="1"/>
    </xf>
    <xf numFmtId="177" fontId="24" fillId="0" borderId="3" xfId="0" applyNumberFormat="1" applyFont="1" applyBorder="1"/>
    <xf numFmtId="177" fontId="2" fillId="0" borderId="0" xfId="0" applyNumberFormat="1" applyFont="1"/>
    <xf numFmtId="177" fontId="24" fillId="0" borderId="0" xfId="0" applyNumberFormat="1" applyFont="1"/>
    <xf numFmtId="0" fontId="1" fillId="0" borderId="1" xfId="0" applyFont="1" applyBorder="1"/>
    <xf numFmtId="10" fontId="18" fillId="0" borderId="0" xfId="0" applyNumberFormat="1" applyFont="1" applyFill="1"/>
    <xf numFmtId="0" fontId="2" fillId="0" borderId="0" xfId="0" applyFont="1" applyFill="1"/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Border="1"/>
    <xf numFmtId="177" fontId="1" fillId="0" borderId="0" xfId="0" applyNumberFormat="1" applyFont="1" applyBorder="1"/>
    <xf numFmtId="7" fontId="2" fillId="0" borderId="0" xfId="0" applyNumberFormat="1" applyFont="1"/>
    <xf numFmtId="43" fontId="24" fillId="0" borderId="0" xfId="0" applyNumberFormat="1" applyFont="1" applyBorder="1"/>
    <xf numFmtId="0" fontId="19" fillId="0" borderId="0" xfId="0" applyFont="1" applyFill="1" applyBorder="1" applyAlignment="1">
      <alignment horizontal="center"/>
    </xf>
    <xf numFmtId="178" fontId="24" fillId="0" borderId="0" xfId="0" applyNumberFormat="1" applyFont="1"/>
    <xf numFmtId="0" fontId="22" fillId="0" borderId="1" xfId="0" applyFont="1" applyFill="1" applyBorder="1" applyAlignment="1">
      <alignment horizontal="left" indent="1"/>
    </xf>
    <xf numFmtId="10" fontId="18" fillId="0" borderId="0" xfId="0" applyNumberFormat="1" applyFont="1" applyFill="1" applyBorder="1"/>
    <xf numFmtId="0" fontId="20" fillId="0" borderId="3" xfId="0" applyFont="1" applyFill="1" applyBorder="1"/>
    <xf numFmtId="0" fontId="20" fillId="0" borderId="2" xfId="0" applyFont="1" applyFill="1" applyBorder="1"/>
    <xf numFmtId="0" fontId="19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79" fontId="24" fillId="0" borderId="1" xfId="0" applyNumberFormat="1" applyFont="1" applyBorder="1" applyAlignment="1">
      <alignment horizontal="center"/>
    </xf>
    <xf numFmtId="179" fontId="24" fillId="0" borderId="0" xfId="0" applyNumberFormat="1" applyFont="1" applyAlignment="1">
      <alignment horizontal="center"/>
    </xf>
    <xf numFmtId="0" fontId="38" fillId="0" borderId="1" xfId="0" applyFont="1" applyBorder="1" applyAlignment="1">
      <alignment vertical="top" wrapText="1"/>
    </xf>
    <xf numFmtId="4" fontId="38" fillId="0" borderId="1" xfId="0" applyNumberFormat="1" applyFont="1" applyBorder="1" applyAlignment="1">
      <alignment horizontal="center" vertical="top" wrapText="1"/>
    </xf>
    <xf numFmtId="0" fontId="38" fillId="0" borderId="1" xfId="0" applyFont="1" applyBorder="1" applyAlignment="1">
      <alignment horizontal="center" vertical="top" wrapText="1"/>
    </xf>
    <xf numFmtId="179" fontId="38" fillId="0" borderId="1" xfId="0" applyNumberFormat="1" applyFont="1" applyBorder="1" applyAlignment="1">
      <alignment horizontal="center" vertical="top" wrapText="1"/>
    </xf>
    <xf numFmtId="10" fontId="38" fillId="0" borderId="1" xfId="0" applyNumberFormat="1" applyFont="1" applyBorder="1" applyAlignment="1">
      <alignment horizontal="center" vertical="top" wrapText="1"/>
    </xf>
    <xf numFmtId="0" fontId="39" fillId="0" borderId="0" xfId="0" applyFont="1" applyBorder="1" applyAlignment="1">
      <alignment vertical="top"/>
    </xf>
    <xf numFmtId="4" fontId="39" fillId="0" borderId="0" xfId="0" applyNumberFormat="1" applyFont="1" applyBorder="1" applyAlignment="1">
      <alignment horizontal="center" vertical="top"/>
    </xf>
    <xf numFmtId="0" fontId="39" fillId="0" borderId="0" xfId="0" applyFont="1" applyBorder="1" applyAlignment="1">
      <alignment horizontal="center" vertical="top"/>
    </xf>
    <xf numFmtId="179" fontId="39" fillId="0" borderId="0" xfId="0" applyNumberFormat="1" applyFont="1" applyBorder="1" applyAlignment="1">
      <alignment horizontal="center" vertical="top"/>
    </xf>
    <xf numFmtId="0" fontId="39" fillId="0" borderId="0" xfId="0" applyFont="1" applyBorder="1" applyAlignment="1">
      <alignment horizontal="center" vertical="top" wrapText="1"/>
    </xf>
    <xf numFmtId="0" fontId="39" fillId="0" borderId="0" xfId="0" applyFont="1" applyBorder="1" applyAlignment="1">
      <alignment vertical="top" wrapText="1"/>
    </xf>
    <xf numFmtId="10" fontId="39" fillId="0" borderId="0" xfId="0" applyNumberFormat="1" applyFont="1" applyBorder="1" applyAlignment="1">
      <alignment horizontal="center" vertical="top"/>
    </xf>
    <xf numFmtId="0" fontId="38" fillId="0" borderId="0" xfId="0" applyFont="1" applyBorder="1" applyAlignment="1">
      <alignment vertical="top" wrapText="1"/>
    </xf>
    <xf numFmtId="15" fontId="39" fillId="0" borderId="0" xfId="0" applyNumberFormat="1" applyFont="1" applyBorder="1" applyAlignment="1">
      <alignment horizontal="center" vertical="top" wrapText="1"/>
    </xf>
    <xf numFmtId="12" fontId="39" fillId="0" borderId="0" xfId="0" applyNumberFormat="1" applyFont="1" applyBorder="1" applyAlignment="1">
      <alignment horizontal="center" vertical="top" wrapText="1"/>
    </xf>
    <xf numFmtId="175" fontId="39" fillId="0" borderId="0" xfId="19" applyNumberFormat="1" applyFont="1" applyBorder="1" applyAlignment="1">
      <alignment horizontal="center" vertical="top" wrapText="1"/>
    </xf>
    <xf numFmtId="179" fontId="39" fillId="0" borderId="1" xfId="0" applyNumberFormat="1" applyFont="1" applyBorder="1" applyAlignment="1">
      <alignment horizontal="center" vertical="top"/>
    </xf>
    <xf numFmtId="0" fontId="39" fillId="0" borderId="1" xfId="0" applyFont="1" applyBorder="1" applyAlignment="1">
      <alignment horizontal="center" vertical="top" wrapText="1"/>
    </xf>
    <xf numFmtId="175" fontId="39" fillId="0" borderId="1" xfId="19" applyNumberFormat="1" applyFont="1" applyBorder="1" applyAlignment="1">
      <alignment horizontal="center" vertical="top" wrapText="1"/>
    </xf>
    <xf numFmtId="0" fontId="39" fillId="0" borderId="1" xfId="0" applyFont="1" applyBorder="1" applyAlignment="1">
      <alignment vertical="top" wrapText="1"/>
    </xf>
    <xf numFmtId="180" fontId="18" fillId="0" borderId="0" xfId="0" applyNumberFormat="1" applyFont="1" applyFill="1" applyBorder="1" applyAlignment="1">
      <alignment horizontal="right" vertical="top" wrapText="1"/>
    </xf>
    <xf numFmtId="180" fontId="18" fillId="0" borderId="1" xfId="0" applyNumberFormat="1" applyFont="1" applyFill="1" applyBorder="1"/>
    <xf numFmtId="180" fontId="18" fillId="0" borderId="0" xfId="0" applyNumberFormat="1" applyFont="1" applyFill="1" applyBorder="1"/>
    <xf numFmtId="180" fontId="18" fillId="0" borderId="0" xfId="0" applyNumberFormat="1" applyFont="1" applyFill="1"/>
    <xf numFmtId="182" fontId="18" fillId="0" borderId="0" xfId="0" applyNumberFormat="1" applyFont="1" applyFill="1" applyBorder="1"/>
    <xf numFmtId="182" fontId="18" fillId="0" borderId="1" xfId="0" applyNumberFormat="1" applyFont="1" applyFill="1" applyBorder="1"/>
    <xf numFmtId="180" fontId="18" fillId="0" borderId="1" xfId="18" applyNumberFormat="1" applyFont="1" applyFill="1" applyBorder="1" applyAlignment="1">
      <alignment horizontal="right" vertical="center"/>
    </xf>
    <xf numFmtId="180" fontId="18" fillId="0" borderId="3" xfId="0" applyNumberFormat="1" applyFont="1" applyFill="1" applyBorder="1"/>
    <xf numFmtId="180" fontId="2" fillId="0" borderId="0" xfId="0" applyNumberFormat="1" applyFont="1"/>
    <xf numFmtId="180" fontId="33" fillId="0" borderId="0" xfId="0" applyNumberFormat="1" applyFont="1"/>
    <xf numFmtId="180" fontId="1" fillId="0" borderId="1" xfId="0" applyNumberFormat="1" applyFont="1" applyBorder="1"/>
    <xf numFmtId="180" fontId="2" fillId="0" borderId="0" xfId="0" applyNumberFormat="1" applyFont="1" applyFill="1" applyAlignment="1">
      <alignment horizontal="right" vertical="center"/>
    </xf>
    <xf numFmtId="180" fontId="1" fillId="0" borderId="0" xfId="0" applyNumberFormat="1" applyFont="1" applyFill="1" applyAlignment="1">
      <alignment horizontal="right" vertical="center"/>
    </xf>
    <xf numFmtId="180" fontId="35" fillId="0" borderId="1" xfId="0" applyNumberFormat="1" applyFont="1" applyFill="1" applyBorder="1" applyAlignment="1">
      <alignment horizontal="right" vertical="center"/>
    </xf>
    <xf numFmtId="184" fontId="2" fillId="0" borderId="0" xfId="17" applyNumberFormat="1" applyFont="1"/>
    <xf numFmtId="185" fontId="2" fillId="0" borderId="0" xfId="0" applyNumberFormat="1" applyFont="1" applyBorder="1"/>
    <xf numFmtId="181" fontId="38" fillId="0" borderId="0" xfId="0" applyNumberFormat="1" applyFont="1" applyBorder="1" applyAlignment="1">
      <alignment horizontal="center" vertical="top" wrapText="1"/>
    </xf>
    <xf numFmtId="181" fontId="38" fillId="0" borderId="1" xfId="0" applyNumberFormat="1" applyFont="1" applyBorder="1" applyAlignment="1">
      <alignment horizontal="center" vertical="top" wrapText="1"/>
    </xf>
    <xf numFmtId="185" fontId="38" fillId="0" borderId="0" xfId="0" applyNumberFormat="1" applyFont="1" applyBorder="1" applyAlignment="1">
      <alignment horizontal="center" vertical="top" wrapText="1"/>
    </xf>
    <xf numFmtId="185" fontId="38" fillId="0" borderId="1" xfId="0" applyNumberFormat="1" applyFont="1" applyBorder="1" applyAlignment="1">
      <alignment horizontal="center" vertical="top" wrapText="1"/>
    </xf>
    <xf numFmtId="186" fontId="39" fillId="0" borderId="0" xfId="0" applyNumberFormat="1" applyFont="1" applyBorder="1" applyAlignment="1">
      <alignment horizontal="center" vertical="top"/>
    </xf>
    <xf numFmtId="186" fontId="39" fillId="0" borderId="1" xfId="0" applyNumberFormat="1" applyFont="1" applyFill="1" applyBorder="1" applyAlignment="1">
      <alignment horizontal="center" vertical="top"/>
    </xf>
    <xf numFmtId="180" fontId="2" fillId="0" borderId="1" xfId="0" applyNumberFormat="1" applyFont="1" applyFill="1" applyBorder="1" applyAlignment="1">
      <alignment horizontal="right" vertical="center"/>
    </xf>
    <xf numFmtId="180" fontId="2" fillId="0" borderId="0" xfId="0" applyNumberFormat="1" applyFont="1" applyFill="1" applyBorder="1" applyAlignment="1">
      <alignment horizontal="right" vertical="center"/>
    </xf>
    <xf numFmtId="187" fontId="2" fillId="0" borderId="0" xfId="19" applyNumberFormat="1" applyFont="1"/>
    <xf numFmtId="187" fontId="2" fillId="0" borderId="1" xfId="19" applyNumberFormat="1" applyFont="1" applyBorder="1"/>
    <xf numFmtId="181" fontId="38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wrapText="1"/>
    </xf>
    <xf numFmtId="173" fontId="24" fillId="0" borderId="0" xfId="0" applyNumberFormat="1" applyFont="1" applyFill="1" applyAlignment="1">
      <alignment horizontal="center"/>
    </xf>
    <xf numFmtId="0" fontId="30" fillId="0" borderId="0" xfId="0" applyFont="1" applyBorder="1"/>
    <xf numFmtId="185" fontId="2" fillId="0" borderId="0" xfId="0" applyNumberFormat="1" applyFont="1" applyFill="1" applyBorder="1"/>
    <xf numFmtId="0" fontId="2" fillId="0" borderId="0" xfId="0" applyFont="1" applyBorder="1" applyAlignment="1">
      <alignment horizontal="left" indent="1"/>
    </xf>
    <xf numFmtId="188" fontId="2" fillId="0" borderId="1" xfId="0" applyNumberFormat="1" applyFont="1" applyFill="1" applyBorder="1"/>
    <xf numFmtId="2" fontId="2" fillId="0" borderId="0" xfId="0" applyNumberFormat="1" applyFont="1" applyFill="1" applyBorder="1"/>
    <xf numFmtId="0" fontId="30" fillId="0" borderId="1" xfId="0" applyFont="1" applyFill="1" applyBorder="1"/>
    <xf numFmtId="0" fontId="2" fillId="0" borderId="0" xfId="0" applyFont="1" applyFill="1" applyBorder="1"/>
    <xf numFmtId="165" fontId="38" fillId="0" borderId="0" xfId="0" applyNumberFormat="1" applyFont="1" applyBorder="1" applyAlignment="1">
      <alignment horizontal="center" vertical="top" wrapText="1"/>
    </xf>
    <xf numFmtId="184" fontId="2" fillId="0" borderId="0" xfId="17" applyNumberFormat="1" applyFont="1" applyAlignment="1">
      <alignment horizontal="right"/>
    </xf>
    <xf numFmtId="187" fontId="2" fillId="0" borderId="0" xfId="19" applyNumberFormat="1" applyFont="1" applyFill="1"/>
    <xf numFmtId="187" fontId="2" fillId="0" borderId="1" xfId="19" applyNumberFormat="1" applyFont="1" applyFill="1" applyBorder="1"/>
    <xf numFmtId="192" fontId="18" fillId="0" borderId="0" xfId="18" applyNumberFormat="1" applyFont="1" applyFill="1" applyBorder="1"/>
    <xf numFmtId="192" fontId="18" fillId="0" borderId="1" xfId="18" applyNumberFormat="1" applyFont="1" applyFill="1" applyBorder="1"/>
    <xf numFmtId="192" fontId="19" fillId="0" borderId="0" xfId="18" applyNumberFormat="1" applyFont="1" applyFill="1" applyBorder="1"/>
    <xf numFmtId="192" fontId="19" fillId="0" borderId="1" xfId="18" applyNumberFormat="1" applyFont="1" applyFill="1" applyBorder="1"/>
    <xf numFmtId="190" fontId="2" fillId="0" borderId="1" xfId="18" applyNumberFormat="1" applyFont="1" applyBorder="1"/>
    <xf numFmtId="0" fontId="1" fillId="0" borderId="0" xfId="0" applyFont="1" applyAlignment="1">
      <alignment horizontal="left"/>
    </xf>
    <xf numFmtId="43" fontId="24" fillId="0" borderId="0" xfId="18" applyFont="1" applyBorder="1"/>
    <xf numFmtId="9" fontId="24" fillId="0" borderId="0" xfId="17" applyFont="1"/>
    <xf numFmtId="10" fontId="24" fillId="0" borderId="0" xfId="17" applyNumberFormat="1" applyFont="1"/>
    <xf numFmtId="177" fontId="42" fillId="0" borderId="0" xfId="0" applyNumberFormat="1" applyFont="1" applyAlignment="1">
      <alignment horizontal="right"/>
    </xf>
    <xf numFmtId="43" fontId="42" fillId="0" borderId="0" xfId="18" applyFont="1"/>
    <xf numFmtId="190" fontId="2" fillId="0" borderId="0" xfId="18" applyNumberFormat="1" applyFont="1" applyBorder="1"/>
    <xf numFmtId="190" fontId="2" fillId="0" borderId="0" xfId="18" applyNumberFormat="1" applyFont="1" applyFill="1" applyBorder="1"/>
    <xf numFmtId="0" fontId="24" fillId="0" borderId="1" xfId="0" applyFont="1" applyBorder="1" applyAlignment="1">
      <alignment horizontal="centerContinuous"/>
    </xf>
    <xf numFmtId="177" fontId="1" fillId="0" borderId="1" xfId="0" applyNumberFormat="1" applyFont="1" applyBorder="1" applyAlignment="1">
      <alignment horizontal="centerContinuous" vertical="center" wrapText="1"/>
    </xf>
    <xf numFmtId="177" fontId="2" fillId="0" borderId="0" xfId="0" applyNumberFormat="1" applyFont="1" applyBorder="1"/>
    <xf numFmtId="0" fontId="25" fillId="0" borderId="7" xfId="0" applyFont="1" applyFill="1" applyBorder="1"/>
    <xf numFmtId="0" fontId="23" fillId="0" borderId="7" xfId="0" applyFont="1" applyBorder="1"/>
    <xf numFmtId="0" fontId="24" fillId="0" borderId="8" xfId="0" applyFont="1" applyBorder="1" applyAlignment="1">
      <alignment horizontal="centerContinuous"/>
    </xf>
    <xf numFmtId="194" fontId="2" fillId="0" borderId="0" xfId="0" applyNumberFormat="1" applyFont="1"/>
    <xf numFmtId="0" fontId="35" fillId="0" borderId="0" xfId="0" applyFont="1"/>
    <xf numFmtId="9" fontId="2" fillId="0" borderId="0" xfId="17" applyFont="1"/>
    <xf numFmtId="187" fontId="1" fillId="0" borderId="1" xfId="19" applyNumberFormat="1" applyFont="1" applyFill="1" applyBorder="1"/>
    <xf numFmtId="184" fontId="1" fillId="0" borderId="0" xfId="17" applyNumberFormat="1" applyFont="1"/>
    <xf numFmtId="187" fontId="1" fillId="0" borderId="0" xfId="19" applyNumberFormat="1" applyFont="1"/>
    <xf numFmtId="10" fontId="2" fillId="0" borderId="0" xfId="17" applyNumberFormat="1" applyFont="1" applyBorder="1"/>
    <xf numFmtId="165" fontId="1" fillId="0" borderId="0" xfId="17" applyNumberFormat="1" applyFont="1" applyBorder="1"/>
    <xf numFmtId="10" fontId="1" fillId="0" borderId="0" xfId="17" applyNumberFormat="1" applyFont="1" applyBorder="1"/>
    <xf numFmtId="195" fontId="24" fillId="0" borderId="0" xfId="17" applyNumberFormat="1" applyFont="1"/>
    <xf numFmtId="0" fontId="45" fillId="0" borderId="1" xfId="0" applyFont="1" applyBorder="1" applyAlignment="1">
      <alignment horizontal="center" vertical="top" wrapText="1"/>
    </xf>
    <xf numFmtId="178" fontId="46" fillId="0" borderId="0" xfId="0" applyNumberFormat="1" applyFont="1"/>
    <xf numFmtId="184" fontId="45" fillId="0" borderId="0" xfId="0" applyNumberFormat="1" applyFont="1" applyBorder="1" applyAlignment="1">
      <alignment horizontal="center" vertical="top"/>
    </xf>
    <xf numFmtId="0" fontId="47" fillId="0" borderId="0" xfId="0" applyFont="1" applyAlignment="1">
      <alignment horizontal="center"/>
    </xf>
    <xf numFmtId="0" fontId="46" fillId="0" borderId="0" xfId="0" applyFont="1"/>
    <xf numFmtId="180" fontId="43" fillId="0" borderId="0" xfId="0" applyNumberFormat="1" applyFont="1" applyFill="1" applyAlignment="1">
      <alignment horizontal="right" vertical="center"/>
    </xf>
    <xf numFmtId="10" fontId="46" fillId="0" borderId="0" xfId="17" applyNumberFormat="1" applyFont="1"/>
    <xf numFmtId="180" fontId="43" fillId="0" borderId="1" xfId="0" applyNumberFormat="1" applyFont="1" applyFill="1" applyBorder="1" applyAlignment="1">
      <alignment horizontal="right" vertical="center"/>
    </xf>
    <xf numFmtId="180" fontId="43" fillId="0" borderId="0" xfId="0" applyNumberFormat="1" applyFont="1" applyFill="1" applyBorder="1" applyAlignment="1">
      <alignment horizontal="right" vertical="center"/>
    </xf>
    <xf numFmtId="180" fontId="48" fillId="0" borderId="1" xfId="0" applyNumberFormat="1" applyFont="1" applyFill="1" applyBorder="1" applyAlignment="1">
      <alignment horizontal="right" vertical="center"/>
    </xf>
    <xf numFmtId="10" fontId="49" fillId="0" borderId="0" xfId="17" applyNumberFormat="1" applyFont="1"/>
    <xf numFmtId="0" fontId="46" fillId="0" borderId="0" xfId="0" applyFont="1" applyBorder="1"/>
    <xf numFmtId="0" fontId="50" fillId="0" borderId="0" xfId="0" applyFont="1" applyAlignment="1">
      <alignment horizontal="center"/>
    </xf>
    <xf numFmtId="14" fontId="51" fillId="0" borderId="0" xfId="0" applyNumberFormat="1" applyFont="1"/>
    <xf numFmtId="10" fontId="51" fillId="0" borderId="0" xfId="17" applyNumberFormat="1" applyFont="1"/>
    <xf numFmtId="0" fontId="23" fillId="0" borderId="0" xfId="0" applyFont="1" applyBorder="1"/>
    <xf numFmtId="43" fontId="2" fillId="0" borderId="0" xfId="18" applyFont="1" applyBorder="1"/>
    <xf numFmtId="10" fontId="2" fillId="0" borderId="0" xfId="17" applyNumberFormat="1" applyFont="1"/>
    <xf numFmtId="165" fontId="2" fillId="0" borderId="0" xfId="17" applyNumberFormat="1" applyFont="1"/>
    <xf numFmtId="192" fontId="2" fillId="0" borderId="0" xfId="18" applyNumberFormat="1" applyFont="1" applyBorder="1"/>
    <xf numFmtId="10" fontId="2" fillId="0" borderId="1" xfId="17" applyNumberFormat="1" applyFont="1" applyBorder="1"/>
    <xf numFmtId="165" fontId="2" fillId="0" borderId="1" xfId="17" applyNumberFormat="1" applyFont="1" applyBorder="1"/>
    <xf numFmtId="190" fontId="1" fillId="0" borderId="0" xfId="18" applyNumberFormat="1" applyFont="1" applyBorder="1"/>
    <xf numFmtId="172" fontId="2" fillId="0" borderId="0" xfId="18" applyNumberFormat="1" applyFont="1"/>
    <xf numFmtId="190" fontId="1" fillId="0" borderId="1" xfId="18" applyNumberFormat="1" applyFont="1" applyBorder="1"/>
    <xf numFmtId="10" fontId="1" fillId="0" borderId="1" xfId="17" applyNumberFormat="1" applyFont="1" applyBorder="1"/>
    <xf numFmtId="192" fontId="2" fillId="0" borderId="1" xfId="18" applyNumberFormat="1" applyFont="1" applyBorder="1"/>
    <xf numFmtId="165" fontId="2" fillId="0" borderId="0" xfId="17" applyNumberFormat="1" applyFont="1" applyAlignment="1">
      <alignment horizontal="right"/>
    </xf>
    <xf numFmtId="0" fontId="33" fillId="0" borderId="0" xfId="0" applyFont="1" applyBorder="1" applyAlignment="1">
      <alignment horizontal="center"/>
    </xf>
    <xf numFmtId="0" fontId="52" fillId="0" borderId="1" xfId="0" applyFont="1" applyFill="1" applyBorder="1"/>
    <xf numFmtId="0" fontId="43" fillId="0" borderId="1" xfId="0" applyFont="1" applyBorder="1"/>
    <xf numFmtId="0" fontId="43" fillId="0" borderId="0" xfId="0" applyFont="1"/>
    <xf numFmtId="0" fontId="52" fillId="0" borderId="3" xfId="0" applyFont="1" applyFill="1" applyBorder="1" applyAlignment="1">
      <alignment horizontal="right"/>
    </xf>
    <xf numFmtId="184" fontId="43" fillId="0" borderId="0" xfId="17" applyNumberFormat="1" applyFont="1"/>
    <xf numFmtId="184" fontId="43" fillId="0" borderId="1" xfId="17" applyNumberFormat="1" applyFont="1" applyBorder="1"/>
    <xf numFmtId="0" fontId="52" fillId="0" borderId="0" xfId="0" applyFont="1"/>
    <xf numFmtId="187" fontId="52" fillId="0" borderId="0" xfId="19" applyNumberFormat="1" applyFont="1"/>
    <xf numFmtId="184" fontId="52" fillId="0" borderId="0" xfId="17" applyNumberFormat="1" applyFont="1"/>
    <xf numFmtId="187" fontId="43" fillId="0" borderId="0" xfId="19" applyNumberFormat="1" applyFont="1"/>
    <xf numFmtId="187" fontId="43" fillId="0" borderId="1" xfId="19" applyNumberFormat="1" applyFont="1" applyBorder="1"/>
    <xf numFmtId="187" fontId="43" fillId="0" borderId="0" xfId="19" applyNumberFormat="1" applyFont="1" applyFill="1"/>
    <xf numFmtId="184" fontId="43" fillId="0" borderId="0" xfId="17" applyNumberFormat="1" applyFont="1" applyAlignment="1">
      <alignment horizontal="right"/>
    </xf>
    <xf numFmtId="0" fontId="52" fillId="0" borderId="1" xfId="0" applyFont="1" applyBorder="1"/>
    <xf numFmtId="187" fontId="52" fillId="0" borderId="1" xfId="19" applyNumberFormat="1" applyFont="1" applyFill="1" applyBorder="1"/>
    <xf numFmtId="0" fontId="55" fillId="0" borderId="9" xfId="20" applyFont="1" applyBorder="1"/>
    <xf numFmtId="0" fontId="56" fillId="0" borderId="9" xfId="20" applyFont="1" applyBorder="1"/>
    <xf numFmtId="0" fontId="56" fillId="0" borderId="0" xfId="20" applyFont="1"/>
    <xf numFmtId="0" fontId="57" fillId="0" borderId="0" xfId="21" applyFont="1"/>
    <xf numFmtId="0" fontId="58" fillId="3" borderId="0" xfId="21" applyFont="1" applyFill="1" applyAlignment="1">
      <alignment horizontal="centerContinuous" vertical="center" wrapText="1"/>
    </xf>
    <xf numFmtId="0" fontId="59" fillId="3" borderId="0" xfId="21" applyFont="1" applyFill="1" applyAlignment="1">
      <alignment horizontal="centerContinuous" vertical="center" wrapText="1"/>
    </xf>
    <xf numFmtId="0" fontId="3" fillId="0" borderId="0" xfId="22">
      <alignment horizontal="right"/>
    </xf>
    <xf numFmtId="0" fontId="60" fillId="10" borderId="0" xfId="21" applyFont="1" applyFill="1"/>
    <xf numFmtId="0" fontId="62" fillId="10" borderId="0" xfId="21" applyFont="1" applyFill="1"/>
    <xf numFmtId="9" fontId="60" fillId="10" borderId="0" xfId="21" applyNumberFormat="1" applyFont="1" applyFill="1"/>
    <xf numFmtId="0" fontId="62" fillId="0" borderId="0" xfId="21" applyFont="1"/>
    <xf numFmtId="9" fontId="63" fillId="0" borderId="0" xfId="21" applyNumberFormat="1" applyFont="1"/>
    <xf numFmtId="0" fontId="63" fillId="0" borderId="0" xfId="21" applyFont="1"/>
    <xf numFmtId="9" fontId="65" fillId="10" borderId="0" xfId="21" applyNumberFormat="1" applyFont="1" applyFill="1"/>
    <xf numFmtId="0" fontId="66" fillId="0" borderId="0" xfId="21" applyFont="1"/>
    <xf numFmtId="10" fontId="67" fillId="0" borderId="0" xfId="21" applyNumberFormat="1" applyFont="1"/>
    <xf numFmtId="10" fontId="68" fillId="0" borderId="0" xfId="21" applyNumberFormat="1" applyFont="1"/>
    <xf numFmtId="9" fontId="67" fillId="0" borderId="1" xfId="21" applyNumberFormat="1" applyFont="1" applyBorder="1"/>
    <xf numFmtId="0" fontId="69" fillId="10" borderId="0" xfId="21" applyFont="1" applyFill="1"/>
    <xf numFmtId="0" fontId="70" fillId="10" borderId="0" xfId="21" applyFont="1" applyFill="1"/>
    <xf numFmtId="10" fontId="69" fillId="10" borderId="0" xfId="24" applyNumberFormat="1" applyFont="1" applyFill="1"/>
    <xf numFmtId="0" fontId="70" fillId="0" borderId="0" xfId="21" applyFont="1"/>
    <xf numFmtId="0" fontId="61" fillId="0" borderId="0" xfId="21" applyFont="1"/>
    <xf numFmtId="0" fontId="63" fillId="0" borderId="0" xfId="21" applyFont="1" applyAlignment="1">
      <alignment vertical="center"/>
    </xf>
    <xf numFmtId="0" fontId="57" fillId="0" borderId="0" xfId="21" applyFont="1" applyAlignment="1">
      <alignment vertical="center"/>
    </xf>
    <xf numFmtId="0" fontId="69" fillId="10" borderId="0" xfId="21" applyFont="1" applyFill="1" applyAlignment="1">
      <alignment vertical="center"/>
    </xf>
    <xf numFmtId="0" fontId="70" fillId="10" borderId="0" xfId="21" applyFont="1" applyFill="1" applyAlignment="1">
      <alignment vertical="center"/>
    </xf>
    <xf numFmtId="10" fontId="69" fillId="10" borderId="0" xfId="21" applyNumberFormat="1" applyFont="1" applyFill="1" applyAlignment="1">
      <alignment vertical="center"/>
    </xf>
    <xf numFmtId="0" fontId="70" fillId="0" borderId="0" xfId="21" applyFont="1" applyAlignment="1">
      <alignment vertical="center"/>
    </xf>
    <xf numFmtId="0" fontId="66" fillId="0" borderId="0" xfId="21" applyFont="1" applyAlignment="1">
      <alignment vertical="center"/>
    </xf>
    <xf numFmtId="165" fontId="66" fillId="0" borderId="0" xfId="21" applyNumberFormat="1" applyFont="1" applyAlignment="1">
      <alignment vertical="center"/>
    </xf>
    <xf numFmtId="0" fontId="71" fillId="0" borderId="0" xfId="21" applyFont="1"/>
    <xf numFmtId="9" fontId="63" fillId="0" borderId="0" xfId="17" applyFont="1"/>
    <xf numFmtId="9" fontId="63" fillId="0" borderId="0" xfId="24" applyFont="1"/>
    <xf numFmtId="196" fontId="66" fillId="0" borderId="0" xfId="21" applyNumberFormat="1" applyFont="1"/>
    <xf numFmtId="0" fontId="74" fillId="0" borderId="0" xfId="21" applyFont="1" applyAlignment="1">
      <alignment vertical="center"/>
    </xf>
    <xf numFmtId="0" fontId="58" fillId="11" borderId="0" xfId="21" applyFont="1" applyFill="1" applyAlignment="1">
      <alignment horizontal="centerContinuous" vertical="center"/>
    </xf>
    <xf numFmtId="0" fontId="69" fillId="0" borderId="0" xfId="21" applyFont="1" applyAlignment="1">
      <alignment vertical="center"/>
    </xf>
    <xf numFmtId="43" fontId="73" fillId="0" borderId="0" xfId="18" applyFont="1"/>
    <xf numFmtId="0" fontId="75" fillId="0" borderId="0" xfId="21" applyFont="1"/>
    <xf numFmtId="0" fontId="61" fillId="0" borderId="1" xfId="21" applyFont="1" applyBorder="1" applyAlignment="1"/>
    <xf numFmtId="7" fontId="24" fillId="0" borderId="0" xfId="0" applyNumberFormat="1" applyFont="1" applyFill="1"/>
    <xf numFmtId="0" fontId="57" fillId="0" borderId="0" xfId="21" applyFont="1" applyAlignment="1">
      <alignment horizontal="center"/>
    </xf>
    <xf numFmtId="0" fontId="76" fillId="0" borderId="0" xfId="21" applyFont="1" applyAlignment="1">
      <alignment horizontal="center"/>
    </xf>
    <xf numFmtId="43" fontId="68" fillId="0" borderId="0" xfId="18" applyFont="1"/>
    <xf numFmtId="43" fontId="63" fillId="0" borderId="0" xfId="18" applyFont="1"/>
    <xf numFmtId="0" fontId="77" fillId="0" borderId="0" xfId="0" applyFont="1" applyAlignment="1">
      <alignment vertical="center"/>
    </xf>
    <xf numFmtId="0" fontId="78" fillId="0" borderId="0" xfId="0" applyFont="1"/>
    <xf numFmtId="9" fontId="78" fillId="0" borderId="0" xfId="17" applyFont="1"/>
    <xf numFmtId="0" fontId="76" fillId="0" borderId="0" xfId="21" applyFont="1" applyAlignment="1">
      <alignment vertical="center"/>
    </xf>
    <xf numFmtId="190" fontId="78" fillId="0" borderId="0" xfId="18" applyNumberFormat="1" applyFont="1"/>
    <xf numFmtId="190" fontId="79" fillId="0" borderId="0" xfId="18" applyNumberFormat="1" applyFont="1"/>
    <xf numFmtId="190" fontId="23" fillId="0" borderId="0" xfId="18" applyNumberFormat="1" applyFont="1"/>
    <xf numFmtId="43" fontId="23" fillId="0" borderId="0" xfId="0" applyNumberFormat="1" applyFont="1"/>
    <xf numFmtId="43" fontId="80" fillId="0" borderId="0" xfId="0" applyNumberFormat="1" applyFont="1"/>
    <xf numFmtId="0" fontId="81" fillId="0" borderId="0" xfId="21" applyFont="1" applyAlignment="1">
      <alignment horizontal="center" vertical="center"/>
    </xf>
    <xf numFmtId="43" fontId="82" fillId="0" borderId="0" xfId="0" applyNumberFormat="1" applyFont="1"/>
    <xf numFmtId="43" fontId="83" fillId="0" borderId="0" xfId="0" applyNumberFormat="1" applyFont="1"/>
    <xf numFmtId="190" fontId="82" fillId="0" borderId="0" xfId="18" applyNumberFormat="1" applyFont="1"/>
    <xf numFmtId="0" fontId="84" fillId="0" borderId="0" xfId="0" applyFont="1" applyFill="1" applyAlignment="1">
      <alignment vertical="center"/>
    </xf>
    <xf numFmtId="9" fontId="85" fillId="0" borderId="0" xfId="17" applyFont="1"/>
    <xf numFmtId="0" fontId="78" fillId="0" borderId="0" xfId="0" applyFont="1" applyAlignment="1">
      <alignment horizontal="center"/>
    </xf>
    <xf numFmtId="2" fontId="78" fillId="0" borderId="0" xfId="0" applyNumberFormat="1" applyFont="1" applyBorder="1" applyAlignment="1">
      <alignment horizontal="center"/>
    </xf>
    <xf numFmtId="2" fontId="85" fillId="0" borderId="0" xfId="0" applyNumberFormat="1" applyFont="1" applyFill="1" applyBorder="1" applyAlignment="1">
      <alignment horizontal="center"/>
    </xf>
    <xf numFmtId="185" fontId="52" fillId="0" borderId="0" xfId="0" applyNumberFormat="1" applyFont="1" applyFill="1" applyBorder="1"/>
    <xf numFmtId="185" fontId="52" fillId="0" borderId="0" xfId="0" applyNumberFormat="1" applyFont="1" applyBorder="1"/>
    <xf numFmtId="0" fontId="52" fillId="0" borderId="0" xfId="0" applyFont="1" applyAlignment="1">
      <alignment horizontal="left" indent="1"/>
    </xf>
    <xf numFmtId="0" fontId="86" fillId="0" borderId="0" xfId="0" applyFont="1" applyBorder="1"/>
    <xf numFmtId="0" fontId="43" fillId="0" borderId="0" xfId="0" applyFont="1" applyAlignment="1">
      <alignment horizontal="left" indent="1"/>
    </xf>
    <xf numFmtId="185" fontId="43" fillId="0" borderId="0" xfId="0" applyNumberFormat="1" applyFont="1" applyBorder="1"/>
    <xf numFmtId="0" fontId="88" fillId="0" borderId="0" xfId="21" applyFont="1"/>
    <xf numFmtId="9" fontId="68" fillId="0" borderId="1" xfId="21" applyNumberFormat="1" applyFont="1" applyBorder="1"/>
    <xf numFmtId="0" fontId="66" fillId="0" borderId="0" xfId="20" applyFont="1" applyAlignment="1">
      <alignment horizontal="left"/>
    </xf>
    <xf numFmtId="0" fontId="66" fillId="0" borderId="0" xfId="20" applyFont="1"/>
    <xf numFmtId="0" fontId="63" fillId="0" borderId="10" xfId="20" applyFont="1" applyBorder="1" applyAlignment="1">
      <alignment horizontal="centerContinuous"/>
    </xf>
    <xf numFmtId="0" fontId="66" fillId="0" borderId="11" xfId="20" applyFont="1" applyBorder="1" applyAlignment="1">
      <alignment horizontal="centerContinuous"/>
    </xf>
    <xf numFmtId="0" fontId="66" fillId="0" borderId="10" xfId="20" applyFont="1" applyBorder="1" applyAlignment="1">
      <alignment horizontal="centerContinuous"/>
    </xf>
    <xf numFmtId="0" fontId="89" fillId="0" borderId="10" xfId="20" applyFont="1" applyBorder="1"/>
    <xf numFmtId="0" fontId="66" fillId="0" borderId="10" xfId="20" applyFont="1" applyBorder="1"/>
    <xf numFmtId="0" fontId="63" fillId="0" borderId="10" xfId="20" applyFont="1" applyBorder="1"/>
    <xf numFmtId="0" fontId="63" fillId="0" borderId="0" xfId="20" applyFont="1" applyAlignment="1">
      <alignment horizontal="center"/>
    </xf>
    <xf numFmtId="0" fontId="90" fillId="0" borderId="0" xfId="20" applyFont="1"/>
    <xf numFmtId="0" fontId="63" fillId="0" borderId="0" xfId="20" applyFont="1"/>
    <xf numFmtId="0" fontId="57" fillId="0" borderId="0" xfId="20" applyFont="1"/>
    <xf numFmtId="0" fontId="63" fillId="0" borderId="12" xfId="20" applyFont="1" applyBorder="1"/>
    <xf numFmtId="0" fontId="63" fillId="0" borderId="13" xfId="20" applyFont="1" applyBorder="1"/>
    <xf numFmtId="0" fontId="91" fillId="0" borderId="0" xfId="20" quotePrefix="1" applyFont="1" applyAlignment="1">
      <alignment horizontal="center"/>
    </xf>
    <xf numFmtId="177" fontId="63" fillId="0" borderId="0" xfId="20" applyNumberFormat="1" applyFont="1"/>
    <xf numFmtId="9" fontId="57" fillId="0" borderId="0" xfId="24" applyFont="1"/>
    <xf numFmtId="9" fontId="63" fillId="0" borderId="0" xfId="24" applyFont="1" applyProtection="1"/>
    <xf numFmtId="165" fontId="63" fillId="0" borderId="0" xfId="24" applyNumberFormat="1" applyFont="1" applyProtection="1"/>
    <xf numFmtId="0" fontId="71" fillId="0" borderId="0" xfId="20" applyFont="1"/>
    <xf numFmtId="9" fontId="73" fillId="0" borderId="0" xfId="20" applyNumberFormat="1" applyFont="1"/>
    <xf numFmtId="165" fontId="73" fillId="0" borderId="0" xfId="20" applyNumberFormat="1" applyFont="1"/>
    <xf numFmtId="177" fontId="63" fillId="0" borderId="0" xfId="20" applyNumberFormat="1" applyFont="1" applyAlignment="1">
      <alignment horizontal="right"/>
    </xf>
    <xf numFmtId="177" fontId="63" fillId="0" borderId="1" xfId="20" applyNumberFormat="1" applyFont="1" applyBorder="1"/>
    <xf numFmtId="177" fontId="66" fillId="0" borderId="0" xfId="20" applyNumberFormat="1" applyFont="1"/>
    <xf numFmtId="177" fontId="66" fillId="0" borderId="2" xfId="20" applyNumberFormat="1" applyFont="1" applyBorder="1"/>
    <xf numFmtId="165" fontId="63" fillId="0" borderId="0" xfId="24" applyNumberFormat="1" applyFont="1" applyAlignment="1" applyProtection="1">
      <alignment horizontal="right"/>
    </xf>
    <xf numFmtId="9" fontId="66" fillId="0" borderId="0" xfId="24" applyFont="1"/>
    <xf numFmtId="2" fontId="90" fillId="0" borderId="0" xfId="20" applyNumberFormat="1" applyFont="1"/>
    <xf numFmtId="0" fontId="66" fillId="0" borderId="0" xfId="20" applyFont="1" applyAlignment="1">
      <alignment horizontal="right"/>
    </xf>
    <xf numFmtId="39" fontId="63" fillId="0" borderId="0" xfId="20" applyNumberFormat="1" applyFont="1"/>
    <xf numFmtId="0" fontId="92" fillId="0" borderId="0" xfId="20" applyFont="1"/>
    <xf numFmtId="9" fontId="63" fillId="0" borderId="0" xfId="20" applyNumberFormat="1" applyFont="1"/>
    <xf numFmtId="197" fontId="92" fillId="0" borderId="0" xfId="20" applyNumberFormat="1" applyFont="1"/>
    <xf numFmtId="177" fontId="66" fillId="0" borderId="14" xfId="20" applyNumberFormat="1" applyFont="1" applyBorder="1"/>
    <xf numFmtId="5" fontId="63" fillId="0" borderId="0" xfId="20" applyNumberFormat="1" applyFont="1"/>
    <xf numFmtId="7" fontId="66" fillId="0" borderId="0" xfId="24" applyNumberFormat="1" applyFont="1"/>
    <xf numFmtId="0" fontId="66" fillId="0" borderId="1" xfId="20" applyFont="1" applyBorder="1"/>
    <xf numFmtId="0" fontId="63" fillId="0" borderId="1" xfId="20" applyFont="1" applyBorder="1"/>
    <xf numFmtId="9" fontId="63" fillId="0" borderId="0" xfId="24" applyFont="1" applyFill="1"/>
    <xf numFmtId="9" fontId="63" fillId="0" borderId="1" xfId="24" applyFont="1" applyFill="1" applyBorder="1"/>
    <xf numFmtId="9" fontId="57" fillId="0" borderId="0" xfId="24" applyFont="1" applyFill="1"/>
    <xf numFmtId="0" fontId="66" fillId="0" borderId="9" xfId="20" applyFont="1" applyBorder="1" applyAlignment="1">
      <alignment horizontal="centerContinuous"/>
    </xf>
    <xf numFmtId="171" fontId="57" fillId="0" borderId="0" xfId="1" applyNumberFormat="1" applyFont="1"/>
    <xf numFmtId="166" fontId="93" fillId="0" borderId="0" xfId="20" applyNumberFormat="1" applyFont="1"/>
    <xf numFmtId="10" fontId="73" fillId="0" borderId="15" xfId="20" applyNumberFormat="1" applyFont="1" applyBorder="1" applyAlignment="1">
      <alignment horizontal="center"/>
    </xf>
    <xf numFmtId="10" fontId="73" fillId="0" borderId="17" xfId="20" applyNumberFormat="1" applyFont="1" applyBorder="1" applyAlignment="1">
      <alignment horizontal="center"/>
    </xf>
    <xf numFmtId="0" fontId="63" fillId="0" borderId="0" xfId="20" applyFont="1" applyAlignment="1">
      <alignment horizontal="left"/>
    </xf>
    <xf numFmtId="10" fontId="73" fillId="0" borderId="0" xfId="20" applyNumberFormat="1" applyFont="1"/>
    <xf numFmtId="165" fontId="63" fillId="0" borderId="0" xfId="24" applyNumberFormat="1" applyFont="1" applyAlignment="1">
      <alignment horizontal="left"/>
    </xf>
    <xf numFmtId="165" fontId="57" fillId="0" borderId="0" xfId="24" applyNumberFormat="1" applyFont="1"/>
    <xf numFmtId="0" fontId="66" fillId="0" borderId="0" xfId="20" applyFont="1" applyBorder="1"/>
    <xf numFmtId="10" fontId="73" fillId="0" borderId="0" xfId="20" applyNumberFormat="1" applyFont="1" applyBorder="1" applyAlignment="1">
      <alignment horizontal="center"/>
    </xf>
    <xf numFmtId="0" fontId="56" fillId="0" borderId="0" xfId="20" applyFont="1" applyBorder="1"/>
    <xf numFmtId="9" fontId="56" fillId="0" borderId="0" xfId="24" applyFont="1"/>
    <xf numFmtId="9" fontId="57" fillId="0" borderId="0" xfId="24" applyFont="1" applyAlignment="1">
      <alignment horizontal="right"/>
    </xf>
    <xf numFmtId="2" fontId="63" fillId="0" borderId="0" xfId="21" applyNumberFormat="1" applyFont="1" applyAlignment="1">
      <alignment vertical="center"/>
    </xf>
    <xf numFmtId="43" fontId="88" fillId="0" borderId="0" xfId="18" applyFont="1" applyAlignment="1">
      <alignment horizontal="center"/>
    </xf>
    <xf numFmtId="0" fontId="95" fillId="0" borderId="0" xfId="0" applyFont="1"/>
    <xf numFmtId="0" fontId="56" fillId="0" borderId="0" xfId="21" applyFont="1"/>
    <xf numFmtId="9" fontId="57" fillId="0" borderId="0" xfId="17" applyFont="1"/>
    <xf numFmtId="2" fontId="85" fillId="0" borderId="0" xfId="0" applyNumberFormat="1" applyFont="1" applyBorder="1" applyAlignment="1">
      <alignment horizontal="center"/>
    </xf>
    <xf numFmtId="0" fontId="89" fillId="0" borderId="1" xfId="21" applyFont="1" applyBorder="1" applyAlignment="1">
      <alignment horizontal="center" wrapText="1"/>
    </xf>
    <xf numFmtId="184" fontId="2" fillId="0" borderId="0" xfId="17" applyNumberFormat="1" applyFont="1" applyBorder="1"/>
    <xf numFmtId="0" fontId="43" fillId="0" borderId="0" xfId="0" applyFont="1" applyBorder="1"/>
    <xf numFmtId="184" fontId="43" fillId="0" borderId="0" xfId="17" applyNumberFormat="1" applyFont="1" applyBorder="1"/>
    <xf numFmtId="184" fontId="56" fillId="0" borderId="0" xfId="20" applyNumberFormat="1" applyFont="1"/>
    <xf numFmtId="0" fontId="66" fillId="0" borderId="10" xfId="20" applyFont="1" applyBorder="1" applyAlignment="1">
      <alignment horizontal="center"/>
    </xf>
    <xf numFmtId="184" fontId="57" fillId="0" borderId="0" xfId="20" applyNumberFormat="1" applyFont="1"/>
    <xf numFmtId="186" fontId="57" fillId="0" borderId="0" xfId="20" applyNumberFormat="1" applyFont="1"/>
    <xf numFmtId="0" fontId="56" fillId="0" borderId="0" xfId="20" applyFont="1" applyBorder="1" applyAlignment="1">
      <alignment horizontal="center"/>
    </xf>
    <xf numFmtId="186" fontId="2" fillId="0" borderId="0" xfId="0" applyNumberFormat="1" applyFont="1"/>
    <xf numFmtId="186" fontId="56" fillId="0" borderId="0" xfId="20" applyNumberFormat="1" applyFont="1"/>
    <xf numFmtId="0" fontId="60" fillId="0" borderId="9" xfId="20" applyFont="1" applyBorder="1"/>
    <xf numFmtId="198" fontId="56" fillId="0" borderId="0" xfId="20" applyNumberFormat="1" applyFont="1"/>
    <xf numFmtId="0" fontId="37" fillId="0" borderId="0" xfId="0" applyFont="1"/>
    <xf numFmtId="0" fontId="37" fillId="0" borderId="0" xfId="0" applyFont="1" applyFill="1"/>
    <xf numFmtId="180" fontId="101" fillId="0" borderId="0" xfId="0" applyNumberFormat="1" applyFont="1"/>
    <xf numFmtId="0" fontId="101" fillId="0" borderId="0" xfId="0" applyFont="1"/>
    <xf numFmtId="0" fontId="37" fillId="0" borderId="0" xfId="0" applyFont="1" applyBorder="1"/>
    <xf numFmtId="192" fontId="100" fillId="0" borderId="0" xfId="0" applyNumberFormat="1" applyFont="1" applyFill="1"/>
    <xf numFmtId="0" fontId="100" fillId="0" borderId="0" xfId="0" applyFont="1" applyFill="1" applyBorder="1"/>
    <xf numFmtId="0" fontId="100" fillId="0" borderId="0" xfId="0" applyFont="1" applyFill="1"/>
    <xf numFmtId="0" fontId="102" fillId="0" borderId="0" xfId="0" applyFont="1" applyFill="1" applyBorder="1"/>
    <xf numFmtId="0" fontId="102" fillId="7" borderId="0" xfId="0" applyFont="1" applyFill="1" applyBorder="1" applyAlignment="1">
      <alignment horizontal="centerContinuous"/>
    </xf>
    <xf numFmtId="0" fontId="102" fillId="0" borderId="0" xfId="0" applyFont="1" applyFill="1" applyBorder="1" applyAlignment="1">
      <alignment horizontal="centerContinuous"/>
    </xf>
    <xf numFmtId="0" fontId="102" fillId="8" borderId="0" xfId="0" applyFont="1" applyFill="1" applyBorder="1" applyAlignment="1">
      <alignment horizontal="centerContinuous"/>
    </xf>
    <xf numFmtId="0" fontId="103" fillId="0" borderId="3" xfId="0" applyFont="1" applyFill="1" applyBorder="1"/>
    <xf numFmtId="0" fontId="102" fillId="0" borderId="3" xfId="0" applyFont="1" applyFill="1" applyBorder="1" applyAlignment="1">
      <alignment horizontal="right"/>
    </xf>
    <xf numFmtId="0" fontId="104" fillId="0" borderId="2" xfId="0" applyFont="1" applyFill="1" applyBorder="1"/>
    <xf numFmtId="0" fontId="102" fillId="0" borderId="0" xfId="0" applyFont="1" applyFill="1" applyBorder="1" applyAlignment="1">
      <alignment horizontal="center"/>
    </xf>
    <xf numFmtId="43" fontId="102" fillId="0" borderId="0" xfId="0" applyNumberFormat="1" applyFont="1" applyFill="1" applyBorder="1" applyAlignment="1">
      <alignment horizontal="center"/>
    </xf>
    <xf numFmtId="192" fontId="100" fillId="0" borderId="0" xfId="18" applyNumberFormat="1" applyFont="1" applyFill="1" applyBorder="1"/>
    <xf numFmtId="177" fontId="100" fillId="0" borderId="0" xfId="0" applyNumberFormat="1" applyFont="1" applyFill="1" applyBorder="1"/>
    <xf numFmtId="0" fontId="100" fillId="0" borderId="1" xfId="0" applyFont="1" applyFill="1" applyBorder="1"/>
    <xf numFmtId="192" fontId="100" fillId="0" borderId="1" xfId="18" applyNumberFormat="1" applyFont="1" applyFill="1" applyBorder="1"/>
    <xf numFmtId="0" fontId="102" fillId="0" borderId="0" xfId="0" applyFont="1" applyFill="1"/>
    <xf numFmtId="192" fontId="102" fillId="0" borderId="0" xfId="18" applyNumberFormat="1" applyFont="1" applyFill="1" applyBorder="1"/>
    <xf numFmtId="168" fontId="100" fillId="0" borderId="0" xfId="0" applyNumberFormat="1" applyFont="1" applyFill="1" applyBorder="1"/>
    <xf numFmtId="190" fontId="100" fillId="0" borderId="0" xfId="18" applyNumberFormat="1" applyFont="1" applyFill="1" applyBorder="1"/>
    <xf numFmtId="190" fontId="100" fillId="0" borderId="0" xfId="0" applyNumberFormat="1" applyFont="1" applyFill="1" applyBorder="1"/>
    <xf numFmtId="192" fontId="100" fillId="0" borderId="0" xfId="0" applyNumberFormat="1" applyFont="1" applyFill="1" applyBorder="1"/>
    <xf numFmtId="190" fontId="100" fillId="0" borderId="0" xfId="18" applyNumberFormat="1" applyFont="1" applyFill="1" applyAlignment="1">
      <alignment horizontal="right" vertical="center"/>
    </xf>
    <xf numFmtId="193" fontId="100" fillId="0" borderId="0" xfId="18" applyNumberFormat="1" applyFont="1" applyFill="1" applyBorder="1"/>
    <xf numFmtId="193" fontId="100" fillId="0" borderId="1" xfId="18" applyNumberFormat="1" applyFont="1" applyFill="1" applyBorder="1"/>
    <xf numFmtId="43" fontId="100" fillId="0" borderId="0" xfId="18" applyFont="1" applyFill="1" applyBorder="1"/>
    <xf numFmtId="0" fontId="102" fillId="0" borderId="1" xfId="0" applyFont="1" applyFill="1" applyBorder="1" applyAlignment="1">
      <alignment horizontal="right"/>
    </xf>
    <xf numFmtId="0" fontId="102" fillId="0" borderId="0" xfId="0" applyFont="1" applyFill="1" applyBorder="1" applyAlignment="1">
      <alignment horizontal="right"/>
    </xf>
    <xf numFmtId="192" fontId="106" fillId="0" borderId="1" xfId="18" applyNumberFormat="1" applyFont="1" applyFill="1" applyBorder="1"/>
    <xf numFmtId="0" fontId="107" fillId="0" borderId="0" xfId="0" applyFont="1" applyFill="1" applyBorder="1" applyAlignment="1">
      <alignment horizontal="left" indent="1"/>
    </xf>
    <xf numFmtId="192" fontId="107" fillId="0" borderId="0" xfId="18" applyNumberFormat="1" applyFont="1" applyFill="1" applyBorder="1"/>
    <xf numFmtId="10" fontId="100" fillId="0" borderId="0" xfId="0" applyNumberFormat="1" applyFont="1" applyFill="1"/>
    <xf numFmtId="192" fontId="100" fillId="6" borderId="0" xfId="18" applyNumberFormat="1" applyFont="1" applyFill="1" applyBorder="1"/>
    <xf numFmtId="192" fontId="100" fillId="6" borderId="1" xfId="18" applyNumberFormat="1" applyFont="1" applyFill="1" applyBorder="1"/>
    <xf numFmtId="192" fontId="107" fillId="6" borderId="0" xfId="18" applyNumberFormat="1" applyFont="1" applyFill="1" applyBorder="1"/>
    <xf numFmtId="0" fontId="107" fillId="0" borderId="1" xfId="0" applyFont="1" applyFill="1" applyBorder="1" applyAlignment="1">
      <alignment horizontal="left" indent="1"/>
    </xf>
    <xf numFmtId="192" fontId="107" fillId="0" borderId="1" xfId="18" applyNumberFormat="1" applyFont="1" applyFill="1" applyBorder="1"/>
    <xf numFmtId="192" fontId="107" fillId="6" borderId="1" xfId="18" applyNumberFormat="1" applyFont="1" applyFill="1" applyBorder="1"/>
    <xf numFmtId="0" fontId="102" fillId="0" borderId="3" xfId="0" applyFont="1" applyFill="1" applyBorder="1"/>
    <xf numFmtId="192" fontId="102" fillId="0" borderId="1" xfId="18" applyNumberFormat="1" applyFont="1" applyFill="1" applyBorder="1"/>
    <xf numFmtId="0" fontId="108" fillId="0" borderId="0" xfId="0" applyFont="1" applyFill="1" applyBorder="1"/>
    <xf numFmtId="43" fontId="109" fillId="0" borderId="0" xfId="18" applyFont="1" applyFill="1" applyBorder="1"/>
    <xf numFmtId="164" fontId="100" fillId="0" borderId="0" xfId="0" applyNumberFormat="1" applyFont="1" applyFill="1" applyBorder="1"/>
    <xf numFmtId="0" fontId="110" fillId="0" borderId="0" xfId="0" applyFont="1" applyFill="1" applyBorder="1"/>
    <xf numFmtId="192" fontId="106" fillId="0" borderId="0" xfId="18" applyNumberFormat="1" applyFont="1" applyFill="1" applyBorder="1"/>
    <xf numFmtId="177" fontId="100" fillId="0" borderId="0" xfId="0" applyNumberFormat="1" applyFont="1" applyFill="1"/>
    <xf numFmtId="177" fontId="106" fillId="0" borderId="0" xfId="0" applyNumberFormat="1" applyFont="1" applyFill="1"/>
    <xf numFmtId="192" fontId="102" fillId="0" borderId="3" xfId="18" applyNumberFormat="1" applyFont="1" applyFill="1" applyBorder="1"/>
    <xf numFmtId="43" fontId="108" fillId="0" borderId="0" xfId="18" applyFont="1" applyFill="1" applyBorder="1"/>
    <xf numFmtId="43" fontId="102" fillId="0" borderId="0" xfId="18" applyFont="1" applyFill="1" applyBorder="1"/>
    <xf numFmtId="0" fontId="111" fillId="0" borderId="0" xfId="0" applyFont="1" applyFill="1" applyAlignment="1">
      <alignment horizontal="left" vertical="center"/>
    </xf>
    <xf numFmtId="0" fontId="105" fillId="0" borderId="0" xfId="0" applyFont="1" applyFill="1" applyBorder="1"/>
    <xf numFmtId="177" fontId="102" fillId="0" borderId="0" xfId="0" applyNumberFormat="1" applyFont="1" applyFill="1"/>
    <xf numFmtId="164" fontId="108" fillId="0" borderId="0" xfId="0" applyNumberFormat="1" applyFont="1" applyFill="1" applyBorder="1"/>
    <xf numFmtId="172" fontId="106" fillId="0" borderId="0" xfId="18" applyNumberFormat="1" applyFont="1" applyFill="1" applyAlignment="1">
      <alignment horizontal="right" vertical="center"/>
    </xf>
    <xf numFmtId="172" fontId="37" fillId="0" borderId="0" xfId="18" applyNumberFormat="1" applyFont="1" applyFill="1" applyAlignment="1">
      <alignment horizontal="right" vertical="center"/>
    </xf>
    <xf numFmtId="172" fontId="37" fillId="0" borderId="1" xfId="18" applyNumberFormat="1" applyFont="1" applyFill="1" applyBorder="1" applyAlignment="1">
      <alignment horizontal="right" vertical="center"/>
    </xf>
    <xf numFmtId="172" fontId="106" fillId="0" borderId="1" xfId="18" applyNumberFormat="1" applyFont="1" applyFill="1" applyBorder="1" applyAlignment="1">
      <alignment horizontal="right" vertical="center"/>
    </xf>
    <xf numFmtId="0" fontId="37" fillId="0" borderId="0" xfId="0" applyFont="1" applyAlignment="1">
      <alignment horizontal="right"/>
    </xf>
    <xf numFmtId="0" fontId="107" fillId="0" borderId="0" xfId="0" applyFont="1" applyFill="1" applyBorder="1"/>
    <xf numFmtId="0" fontId="103" fillId="0" borderId="0" xfId="0" applyFont="1" applyFill="1" applyBorder="1"/>
    <xf numFmtId="9" fontId="100" fillId="0" borderId="0" xfId="17" applyFont="1" applyFill="1" applyBorder="1"/>
    <xf numFmtId="0" fontId="37" fillId="0" borderId="0" xfId="0" applyFont="1" applyAlignment="1">
      <alignment horizontal="left" indent="1"/>
    </xf>
    <xf numFmtId="192" fontId="100" fillId="6" borderId="0" xfId="0" applyNumberFormat="1" applyFont="1" applyFill="1"/>
    <xf numFmtId="0" fontId="97" fillId="0" borderId="0" xfId="0" applyFont="1" applyAlignment="1">
      <alignment horizontal="left" indent="1"/>
    </xf>
    <xf numFmtId="192" fontId="102" fillId="0" borderId="0" xfId="0" applyNumberFormat="1" applyFont="1" applyFill="1"/>
    <xf numFmtId="43" fontId="100" fillId="0" borderId="0" xfId="18" applyNumberFormat="1" applyFont="1" applyFill="1"/>
    <xf numFmtId="43" fontId="102" fillId="0" borderId="0" xfId="0" applyNumberFormat="1" applyFont="1" applyFill="1" applyBorder="1" applyAlignment="1">
      <alignment horizontal="centerContinuous"/>
    </xf>
    <xf numFmtId="0" fontId="112" fillId="0" borderId="0" xfId="0" applyFont="1" applyFill="1"/>
    <xf numFmtId="43" fontId="100" fillId="0" borderId="0" xfId="18" applyFont="1" applyFill="1"/>
    <xf numFmtId="43" fontId="112" fillId="6" borderId="0" xfId="18" applyFont="1" applyFill="1"/>
    <xf numFmtId="192" fontId="112" fillId="6" borderId="0" xfId="0" applyNumberFormat="1" applyFont="1" applyFill="1"/>
    <xf numFmtId="0" fontId="102" fillId="6" borderId="0" xfId="0" applyFont="1" applyFill="1" applyBorder="1" applyAlignment="1">
      <alignment horizontal="centerContinuous"/>
    </xf>
    <xf numFmtId="43" fontId="100" fillId="6" borderId="0" xfId="18" applyFont="1" applyFill="1"/>
    <xf numFmtId="43" fontId="102" fillId="6" borderId="0" xfId="18" applyFont="1" applyFill="1" applyAlignment="1">
      <alignment horizontal="right"/>
    </xf>
    <xf numFmtId="190" fontId="102" fillId="6" borderId="0" xfId="18" applyNumberFormat="1" applyFont="1" applyFill="1"/>
    <xf numFmtId="0" fontId="106" fillId="0" borderId="0" xfId="0" applyFont="1" applyFill="1" applyBorder="1" applyAlignment="1">
      <alignment horizontal="center"/>
    </xf>
    <xf numFmtId="0" fontId="106" fillId="0" borderId="1" xfId="0" applyFont="1" applyFill="1" applyBorder="1" applyAlignment="1">
      <alignment horizontal="center"/>
    </xf>
    <xf numFmtId="192" fontId="106" fillId="0" borderId="0" xfId="0" applyNumberFormat="1" applyFont="1" applyFill="1"/>
    <xf numFmtId="0" fontId="101" fillId="0" borderId="0" xfId="0" applyFont="1" applyAlignment="1">
      <alignment horizontal="left" indent="1"/>
    </xf>
    <xf numFmtId="165" fontId="107" fillId="0" borderId="0" xfId="17" applyNumberFormat="1" applyFont="1" applyFill="1"/>
    <xf numFmtId="192" fontId="100" fillId="0" borderId="0" xfId="0" applyNumberFormat="1" applyFont="1" applyFill="1" applyAlignment="1">
      <alignment horizontal="right"/>
    </xf>
    <xf numFmtId="165" fontId="100" fillId="0" borderId="0" xfId="17" applyNumberFormat="1" applyFont="1" applyFill="1"/>
    <xf numFmtId="0" fontId="23" fillId="0" borderId="0" xfId="0" applyFont="1" applyAlignment="1">
      <alignment horizontal="right"/>
    </xf>
    <xf numFmtId="165" fontId="23" fillId="0" borderId="0" xfId="17" applyNumberFormat="1" applyFont="1" applyAlignment="1">
      <alignment horizontal="right"/>
    </xf>
    <xf numFmtId="0" fontId="37" fillId="0" borderId="0" xfId="0" applyFont="1" applyFill="1" applyAlignment="1">
      <alignment horizontal="left" vertical="center"/>
    </xf>
    <xf numFmtId="191" fontId="37" fillId="0" borderId="0" xfId="17" applyNumberFormat="1" applyFont="1" applyAlignment="1">
      <alignment horizontal="right"/>
    </xf>
    <xf numFmtId="189" fontId="106" fillId="0" borderId="0" xfId="17" applyNumberFormat="1" applyFont="1" applyAlignment="1">
      <alignment horizontal="right"/>
    </xf>
    <xf numFmtId="184" fontId="37" fillId="0" borderId="0" xfId="17" applyNumberFormat="1" applyFont="1" applyAlignment="1">
      <alignment horizontal="right"/>
    </xf>
    <xf numFmtId="189" fontId="37" fillId="0" borderId="0" xfId="17" applyNumberFormat="1" applyFont="1" applyAlignment="1">
      <alignment horizontal="right"/>
    </xf>
    <xf numFmtId="189" fontId="23" fillId="0" borderId="0" xfId="0" applyNumberFormat="1" applyFont="1"/>
    <xf numFmtId="191" fontId="106" fillId="0" borderId="0" xfId="17" applyNumberFormat="1" applyFont="1" applyAlignment="1">
      <alignment horizontal="right"/>
    </xf>
    <xf numFmtId="184" fontId="113" fillId="0" borderId="0" xfId="17" applyNumberFormat="1" applyFont="1" applyAlignment="1">
      <alignment horizontal="right"/>
    </xf>
    <xf numFmtId="184" fontId="37" fillId="0" borderId="0" xfId="17" applyNumberFormat="1" applyFont="1" applyFill="1" applyAlignment="1">
      <alignment horizontal="right"/>
    </xf>
    <xf numFmtId="0" fontId="23" fillId="0" borderId="0" xfId="0" applyFont="1" applyFill="1"/>
    <xf numFmtId="184" fontId="113" fillId="0" borderId="0" xfId="17" applyNumberFormat="1" applyFont="1" applyFill="1" applyAlignment="1">
      <alignment horizontal="right"/>
    </xf>
    <xf numFmtId="170" fontId="23" fillId="0" borderId="0" xfId="0" applyNumberFormat="1" applyFont="1"/>
    <xf numFmtId="171" fontId="37" fillId="0" borderId="0" xfId="0" applyNumberFormat="1" applyFont="1" applyAlignment="1">
      <alignment horizontal="right"/>
    </xf>
    <xf numFmtId="171" fontId="113" fillId="0" borderId="0" xfId="0" applyNumberFormat="1" applyFont="1" applyAlignment="1">
      <alignment horizontal="right"/>
    </xf>
    <xf numFmtId="171" fontId="100" fillId="0" borderId="0" xfId="0" applyNumberFormat="1" applyFont="1" applyAlignment="1">
      <alignment horizontal="right"/>
    </xf>
    <xf numFmtId="0" fontId="37" fillId="0" borderId="0" xfId="0" applyFont="1" applyBorder="1" applyAlignment="1">
      <alignment horizontal="right"/>
    </xf>
    <xf numFmtId="0" fontId="37" fillId="0" borderId="0" xfId="0" applyFont="1" applyFill="1" applyBorder="1" applyAlignment="1">
      <alignment horizontal="left" vertical="center"/>
    </xf>
    <xf numFmtId="192" fontId="37" fillId="0" borderId="0" xfId="0" applyNumberFormat="1" applyFont="1" applyBorder="1" applyAlignment="1">
      <alignment horizontal="right"/>
    </xf>
    <xf numFmtId="192" fontId="37" fillId="0" borderId="1" xfId="0" applyNumberFormat="1" applyFont="1" applyBorder="1" applyAlignment="1">
      <alignment horizontal="right"/>
    </xf>
    <xf numFmtId="0" fontId="97" fillId="0" borderId="0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left" vertical="center"/>
    </xf>
    <xf numFmtId="171" fontId="37" fillId="0" borderId="1" xfId="0" applyNumberFormat="1" applyFont="1" applyBorder="1" applyAlignment="1">
      <alignment horizontal="right"/>
    </xf>
    <xf numFmtId="174" fontId="100" fillId="0" borderId="0" xfId="0" applyNumberFormat="1" applyFont="1" applyFill="1"/>
    <xf numFmtId="175" fontId="37" fillId="0" borderId="0" xfId="0" applyNumberFormat="1" applyFont="1"/>
    <xf numFmtId="7" fontId="37" fillId="0" borderId="0" xfId="0" applyNumberFormat="1" applyFont="1"/>
    <xf numFmtId="175" fontId="98" fillId="0" borderId="0" xfId="0" applyNumberFormat="1" applyFont="1"/>
    <xf numFmtId="0" fontId="89" fillId="0" borderId="9" xfId="20" applyFont="1" applyBorder="1"/>
    <xf numFmtId="0" fontId="96" fillId="0" borderId="0" xfId="0" applyFont="1" applyBorder="1"/>
    <xf numFmtId="192" fontId="114" fillId="0" borderId="0" xfId="0" applyNumberFormat="1" applyFont="1" applyFill="1"/>
    <xf numFmtId="192" fontId="116" fillId="0" borderId="0" xfId="0" applyNumberFormat="1" applyFont="1" applyFill="1"/>
    <xf numFmtId="0" fontId="96" fillId="0" borderId="0" xfId="0" applyFont="1"/>
    <xf numFmtId="192" fontId="117" fillId="0" borderId="0" xfId="0" applyNumberFormat="1" applyFont="1" applyFill="1"/>
    <xf numFmtId="0" fontId="23" fillId="0" borderId="0" xfId="0" applyFont="1" applyAlignment="1">
      <alignment horizontal="left" indent="4"/>
    </xf>
    <xf numFmtId="0" fontId="96" fillId="0" borderId="0" xfId="0" applyFont="1" applyFill="1"/>
    <xf numFmtId="0" fontId="96" fillId="0" borderId="0" xfId="0" applyFont="1" applyFill="1" applyAlignment="1">
      <alignment horizontal="center" wrapText="1"/>
    </xf>
    <xf numFmtId="184" fontId="23" fillId="0" borderId="0" xfId="17" applyNumberFormat="1" applyFont="1" applyFill="1" applyAlignment="1">
      <alignment horizontal="center"/>
    </xf>
    <xf numFmtId="0" fontId="23" fillId="0" borderId="1" xfId="0" applyFont="1" applyFill="1" applyBorder="1"/>
    <xf numFmtId="184" fontId="23" fillId="0" borderId="1" xfId="0" applyNumberFormat="1" applyFont="1" applyFill="1" applyBorder="1" applyAlignment="1">
      <alignment horizontal="center"/>
    </xf>
    <xf numFmtId="0" fontId="116" fillId="0" borderId="0" xfId="0" applyFont="1"/>
    <xf numFmtId="0" fontId="23" fillId="0" borderId="0" xfId="0" applyFont="1" applyAlignment="1">
      <alignment horizontal="left" indent="2"/>
    </xf>
    <xf numFmtId="0" fontId="82" fillId="0" borderId="0" xfId="0" applyFont="1"/>
    <xf numFmtId="0" fontId="120" fillId="0" borderId="0" xfId="0" applyFont="1"/>
    <xf numFmtId="192" fontId="116" fillId="0" borderId="1" xfId="0" applyNumberFormat="1" applyFont="1" applyFill="1" applyBorder="1"/>
    <xf numFmtId="165" fontId="23" fillId="0" borderId="0" xfId="17" applyNumberFormat="1" applyFont="1"/>
    <xf numFmtId="165" fontId="121" fillId="0" borderId="0" xfId="17" applyNumberFormat="1" applyFont="1"/>
    <xf numFmtId="0" fontId="23" fillId="0" borderId="1" xfId="0" applyFont="1" applyBorder="1" applyAlignment="1">
      <alignment horizontal="left"/>
    </xf>
    <xf numFmtId="165" fontId="116" fillId="0" borderId="0" xfId="0" applyNumberFormat="1" applyFont="1"/>
    <xf numFmtId="193" fontId="121" fillId="0" borderId="0" xfId="0" applyNumberFormat="1" applyFont="1" applyFill="1"/>
    <xf numFmtId="0" fontId="106" fillId="0" borderId="0" xfId="0" applyFont="1"/>
    <xf numFmtId="0" fontId="45" fillId="0" borderId="0" xfId="0" applyFont="1"/>
    <xf numFmtId="0" fontId="122" fillId="0" borderId="0" xfId="0" applyFont="1"/>
    <xf numFmtId="4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181" fontId="45" fillId="0" borderId="0" xfId="0" applyNumberFormat="1" applyFont="1" applyFill="1" applyBorder="1" applyAlignment="1">
      <alignment horizontal="right" vertical="top" wrapText="1"/>
    </xf>
    <xf numFmtId="9" fontId="45" fillId="0" borderId="0" xfId="0" applyNumberFormat="1" applyFont="1" applyAlignment="1">
      <alignment horizontal="center"/>
    </xf>
    <xf numFmtId="181" fontId="122" fillId="0" borderId="0" xfId="0" applyNumberFormat="1" applyFont="1" applyFill="1" applyBorder="1" applyAlignment="1">
      <alignment horizontal="right" vertical="top" wrapText="1"/>
    </xf>
    <xf numFmtId="0" fontId="96" fillId="0" borderId="18" xfId="0" applyFont="1" applyBorder="1" applyAlignment="1">
      <alignment horizontal="centerContinuous"/>
    </xf>
    <xf numFmtId="0" fontId="23" fillId="0" borderId="18" xfId="0" applyFont="1" applyBorder="1" applyAlignment="1">
      <alignment horizontal="centerContinuous"/>
    </xf>
    <xf numFmtId="184" fontId="96" fillId="0" borderId="1" xfId="17" applyNumberFormat="1" applyFont="1" applyFill="1" applyBorder="1" applyAlignment="1">
      <alignment horizontal="right"/>
    </xf>
    <xf numFmtId="0" fontId="119" fillId="0" borderId="9" xfId="0" applyFont="1" applyFill="1" applyBorder="1" applyAlignment="1">
      <alignment horizontal="left" vertical="center"/>
    </xf>
    <xf numFmtId="0" fontId="37" fillId="0" borderId="9" xfId="0" applyFont="1" applyBorder="1"/>
    <xf numFmtId="180" fontId="23" fillId="0" borderId="0" xfId="0" applyNumberFormat="1" applyFont="1"/>
    <xf numFmtId="180" fontId="23" fillId="0" borderId="0" xfId="0" applyNumberFormat="1" applyFont="1" applyAlignment="1">
      <alignment vertical="center"/>
    </xf>
    <xf numFmtId="187" fontId="115" fillId="0" borderId="0" xfId="0" applyNumberFormat="1" applyFont="1"/>
    <xf numFmtId="180" fontId="23" fillId="0" borderId="0" xfId="0" applyNumberFormat="1" applyFont="1" applyFill="1"/>
    <xf numFmtId="180" fontId="23" fillId="0" borderId="0" xfId="0" applyNumberFormat="1" applyFont="1" applyBorder="1" applyAlignment="1">
      <alignment vertical="center"/>
    </xf>
    <xf numFmtId="192" fontId="114" fillId="0" borderId="3" xfId="0" applyNumberFormat="1" applyFont="1" applyFill="1" applyBorder="1"/>
    <xf numFmtId="0" fontId="123" fillId="0" borderId="0" xfId="0" applyFont="1"/>
    <xf numFmtId="0" fontId="100" fillId="0" borderId="18" xfId="0" applyFont="1" applyFill="1" applyBorder="1"/>
    <xf numFmtId="0" fontId="124" fillId="0" borderId="18" xfId="0" applyFont="1" applyFill="1" applyBorder="1"/>
    <xf numFmtId="0" fontId="125" fillId="0" borderId="18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right"/>
    </xf>
    <xf numFmtId="0" fontId="119" fillId="0" borderId="0" xfId="0" applyFont="1" applyFill="1" applyBorder="1" applyAlignment="1">
      <alignment horizontal="left" vertical="center"/>
    </xf>
    <xf numFmtId="8" fontId="126" fillId="0" borderId="0" xfId="0" applyNumberFormat="1" applyFont="1" applyBorder="1" applyAlignment="1">
      <alignment horizontal="right" vertical="center"/>
    </xf>
    <xf numFmtId="0" fontId="127" fillId="0" borderId="0" xfId="0" applyFont="1" applyAlignment="1">
      <alignment horizontal="right" vertical="center"/>
    </xf>
    <xf numFmtId="8" fontId="126" fillId="0" borderId="0" xfId="0" applyNumberFormat="1" applyFont="1" applyAlignment="1">
      <alignment horizontal="right" vertical="center"/>
    </xf>
    <xf numFmtId="0" fontId="126" fillId="0" borderId="0" xfId="0" applyFont="1" applyBorder="1" applyAlignment="1">
      <alignment horizontal="center" vertical="center" wrapText="1"/>
    </xf>
    <xf numFmtId="0" fontId="126" fillId="0" borderId="0" xfId="0" applyFont="1" applyBorder="1" applyAlignment="1">
      <alignment horizontal="right" vertical="center"/>
    </xf>
    <xf numFmtId="0" fontId="129" fillId="0" borderId="0" xfId="0" applyFont="1" applyFill="1" applyBorder="1" applyAlignment="1">
      <alignment horizontal="left" vertical="center"/>
    </xf>
    <xf numFmtId="192" fontId="116" fillId="0" borderId="18" xfId="0" applyNumberFormat="1" applyFont="1" applyFill="1" applyBorder="1"/>
    <xf numFmtId="192" fontId="23" fillId="0" borderId="0" xfId="0" applyNumberFormat="1" applyFont="1" applyBorder="1"/>
    <xf numFmtId="0" fontId="126" fillId="0" borderId="18" xfId="0" applyFont="1" applyBorder="1" applyAlignment="1">
      <alignment horizontal="center" wrapText="1"/>
    </xf>
    <xf numFmtId="165" fontId="96" fillId="0" borderId="0" xfId="17" applyNumberFormat="1" applyFont="1"/>
    <xf numFmtId="192" fontId="23" fillId="0" borderId="18" xfId="0" applyNumberFormat="1" applyFont="1" applyBorder="1"/>
    <xf numFmtId="0" fontId="0" fillId="0" borderId="0" xfId="0" applyFont="1" applyBorder="1" applyAlignment="1">
      <alignment horizontal="right"/>
    </xf>
    <xf numFmtId="192" fontId="96" fillId="0" borderId="0" xfId="0" applyNumberFormat="1" applyFont="1" applyBorder="1"/>
    <xf numFmtId="192" fontId="23" fillId="0" borderId="1" xfId="0" applyNumberFormat="1" applyFont="1" applyBorder="1"/>
    <xf numFmtId="192" fontId="116" fillId="0" borderId="1" xfId="0" applyNumberFormat="1" applyFont="1" applyFill="1" applyBorder="1" applyAlignment="1">
      <alignment horizontal="right"/>
    </xf>
    <xf numFmtId="192" fontId="121" fillId="0" borderId="0" xfId="0" applyNumberFormat="1" applyFont="1" applyFill="1"/>
    <xf numFmtId="43" fontId="68" fillId="0" borderId="0" xfId="18" applyNumberFormat="1" applyFont="1"/>
    <xf numFmtId="7" fontId="24" fillId="0" borderId="0" xfId="0" applyNumberFormat="1" applyFont="1"/>
    <xf numFmtId="43" fontId="102" fillId="6" borderId="0" xfId="18" applyFont="1" applyFill="1"/>
    <xf numFmtId="43" fontId="106" fillId="6" borderId="0" xfId="18" applyFont="1" applyFill="1"/>
    <xf numFmtId="191" fontId="113" fillId="0" borderId="0" xfId="17" applyNumberFormat="1" applyFont="1" applyAlignment="1">
      <alignment horizontal="right"/>
    </xf>
    <xf numFmtId="0" fontId="37" fillId="0" borderId="0" xfId="0" applyFont="1" applyFill="1" applyAlignment="1">
      <alignment horizontal="right"/>
    </xf>
    <xf numFmtId="171" fontId="37" fillId="0" borderId="0" xfId="0" applyNumberFormat="1" applyFont="1" applyFill="1" applyAlignment="1">
      <alignment horizontal="right"/>
    </xf>
    <xf numFmtId="184" fontId="100" fillId="0" borderId="0" xfId="17" applyNumberFormat="1" applyFont="1" applyFill="1" applyAlignment="1">
      <alignment horizontal="right"/>
    </xf>
    <xf numFmtId="0" fontId="76" fillId="0" borderId="0" xfId="21" applyFont="1"/>
    <xf numFmtId="0" fontId="132" fillId="0" borderId="0" xfId="21" applyFont="1"/>
    <xf numFmtId="9" fontId="132" fillId="0" borderId="0" xfId="17" applyFont="1"/>
    <xf numFmtId="0" fontId="50" fillId="6" borderId="19" xfId="0" applyFont="1" applyFill="1" applyBorder="1" applyAlignment="1">
      <alignment horizontal="center"/>
    </xf>
    <xf numFmtId="10" fontId="51" fillId="6" borderId="20" xfId="17" applyNumberFormat="1" applyFont="1" applyFill="1" applyBorder="1"/>
    <xf numFmtId="0" fontId="38" fillId="0" borderId="0" xfId="0" applyFont="1" applyBorder="1" applyAlignment="1">
      <alignment horizontal="center" vertical="top" wrapText="1"/>
    </xf>
    <xf numFmtId="0" fontId="45" fillId="0" borderId="0" xfId="0" applyFont="1" applyBorder="1" applyAlignment="1">
      <alignment horizontal="center" vertical="top" wrapText="1"/>
    </xf>
    <xf numFmtId="179" fontId="24" fillId="0" borderId="0" xfId="0" applyNumberFormat="1" applyFont="1" applyBorder="1" applyAlignment="1">
      <alignment horizontal="center"/>
    </xf>
    <xf numFmtId="0" fontId="25" fillId="0" borderId="0" xfId="0" applyFont="1" applyFill="1" applyBorder="1"/>
    <xf numFmtId="4" fontId="25" fillId="0" borderId="0" xfId="0" applyNumberFormat="1" applyFont="1" applyFill="1" applyBorder="1" applyAlignment="1">
      <alignment horizontal="center"/>
    </xf>
    <xf numFmtId="0" fontId="24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wrapText="1"/>
    </xf>
    <xf numFmtId="10" fontId="24" fillId="0" borderId="0" xfId="0" applyNumberFormat="1" applyFont="1" applyBorder="1" applyAlignment="1">
      <alignment horizontal="center"/>
    </xf>
    <xf numFmtId="199" fontId="39" fillId="0" borderId="0" xfId="0" applyNumberFormat="1" applyFont="1" applyBorder="1" applyAlignment="1">
      <alignment horizontal="center" vertical="top"/>
    </xf>
    <xf numFmtId="0" fontId="38" fillId="0" borderId="18" xfId="0" applyFont="1" applyBorder="1" applyAlignment="1">
      <alignment vertical="top" wrapText="1"/>
    </xf>
    <xf numFmtId="181" fontId="38" fillId="0" borderId="18" xfId="0" applyNumberFormat="1" applyFont="1" applyBorder="1" applyAlignment="1">
      <alignment horizontal="center" vertical="top" wrapText="1"/>
    </xf>
    <xf numFmtId="185" fontId="38" fillId="0" borderId="18" xfId="0" applyNumberFormat="1" applyFont="1" applyBorder="1" applyAlignment="1">
      <alignment horizontal="center" vertical="top" wrapText="1"/>
    </xf>
    <xf numFmtId="179" fontId="39" fillId="0" borderId="18" xfId="0" applyNumberFormat="1" applyFont="1" applyBorder="1" applyAlignment="1">
      <alignment horizontal="center" vertical="top"/>
    </xf>
    <xf numFmtId="0" fontId="39" fillId="0" borderId="18" xfId="0" applyFont="1" applyBorder="1" applyAlignment="1">
      <alignment horizontal="center" vertical="top" wrapText="1"/>
    </xf>
    <xf numFmtId="175" fontId="39" fillId="0" borderId="18" xfId="19" applyNumberFormat="1" applyFont="1" applyBorder="1" applyAlignment="1">
      <alignment horizontal="center" vertical="top" wrapText="1"/>
    </xf>
    <xf numFmtId="0" fontId="39" fillId="0" borderId="18" xfId="0" applyFont="1" applyBorder="1" applyAlignment="1">
      <alignment vertical="top" wrapText="1"/>
    </xf>
    <xf numFmtId="186" fontId="39" fillId="0" borderId="18" xfId="0" applyNumberFormat="1" applyFont="1" applyFill="1" applyBorder="1" applyAlignment="1">
      <alignment horizontal="center" vertical="top"/>
    </xf>
    <xf numFmtId="0" fontId="38" fillId="0" borderId="18" xfId="0" applyFont="1" applyBorder="1" applyAlignment="1">
      <alignment horizontal="centerContinuous" vertical="top" wrapText="1"/>
    </xf>
    <xf numFmtId="0" fontId="134" fillId="0" borderId="0" xfId="0" applyFont="1"/>
    <xf numFmtId="0" fontId="38" fillId="0" borderId="18" xfId="0" applyFont="1" applyBorder="1" applyAlignment="1">
      <alignment wrapText="1"/>
    </xf>
    <xf numFmtId="0" fontId="38" fillId="12" borderId="0" xfId="0" applyFont="1" applyFill="1" applyBorder="1" applyAlignment="1">
      <alignment vertical="top" wrapText="1"/>
    </xf>
    <xf numFmtId="181" fontId="38" fillId="12" borderId="0" xfId="0" applyNumberFormat="1" applyFont="1" applyFill="1" applyBorder="1" applyAlignment="1">
      <alignment horizontal="center" vertical="top" wrapText="1"/>
    </xf>
    <xf numFmtId="185" fontId="38" fillId="12" borderId="0" xfId="0" applyNumberFormat="1" applyFont="1" applyFill="1" applyBorder="1" applyAlignment="1">
      <alignment horizontal="center" vertical="top" wrapText="1"/>
    </xf>
    <xf numFmtId="199" fontId="39" fillId="12" borderId="0" xfId="0" applyNumberFormat="1" applyFont="1" applyFill="1" applyBorder="1" applyAlignment="1">
      <alignment horizontal="center" vertical="top"/>
    </xf>
    <xf numFmtId="15" fontId="39" fillId="12" borderId="0" xfId="0" applyNumberFormat="1" applyFont="1" applyFill="1" applyBorder="1" applyAlignment="1">
      <alignment horizontal="center" vertical="top" wrapText="1"/>
    </xf>
    <xf numFmtId="12" fontId="39" fillId="12" borderId="0" xfId="0" applyNumberFormat="1" applyFont="1" applyFill="1" applyBorder="1" applyAlignment="1">
      <alignment horizontal="center" vertical="top" wrapText="1"/>
    </xf>
    <xf numFmtId="0" fontId="39" fillId="12" borderId="0" xfId="0" applyFont="1" applyFill="1" applyBorder="1" applyAlignment="1">
      <alignment vertical="top" wrapText="1"/>
    </xf>
    <xf numFmtId="0" fontId="39" fillId="12" borderId="0" xfId="0" applyFont="1" applyFill="1" applyBorder="1" applyAlignment="1">
      <alignment horizontal="center" vertical="top" wrapText="1"/>
    </xf>
    <xf numFmtId="186" fontId="39" fillId="12" borderId="0" xfId="0" applyNumberFormat="1" applyFont="1" applyFill="1" applyBorder="1" applyAlignment="1">
      <alignment horizontal="center" vertical="top"/>
    </xf>
    <xf numFmtId="165" fontId="38" fillId="12" borderId="0" xfId="0" applyNumberFormat="1" applyFont="1" applyFill="1" applyBorder="1" applyAlignment="1">
      <alignment horizontal="center" vertical="top" wrapText="1"/>
    </xf>
    <xf numFmtId="179" fontId="39" fillId="12" borderId="0" xfId="0" applyNumberFormat="1" applyFont="1" applyFill="1" applyBorder="1" applyAlignment="1">
      <alignment horizontal="center" vertical="top"/>
    </xf>
    <xf numFmtId="175" fontId="39" fillId="12" borderId="0" xfId="19" applyNumberFormat="1" applyFont="1" applyFill="1" applyBorder="1" applyAlignment="1">
      <alignment horizontal="center" vertical="top" wrapText="1"/>
    </xf>
    <xf numFmtId="4" fontId="38" fillId="0" borderId="18" xfId="0" applyNumberFormat="1" applyFont="1" applyBorder="1" applyAlignment="1">
      <alignment horizontal="center" wrapText="1"/>
    </xf>
    <xf numFmtId="0" fontId="38" fillId="0" borderId="18" xfId="0" applyFont="1" applyBorder="1" applyAlignment="1">
      <alignment horizontal="center" wrapText="1"/>
    </xf>
    <xf numFmtId="179" fontId="38" fillId="0" borderId="18" xfId="0" applyNumberFormat="1" applyFont="1" applyBorder="1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10" fontId="38" fillId="0" borderId="18" xfId="0" applyNumberFormat="1" applyFont="1" applyBorder="1" applyAlignment="1">
      <alignment horizontal="center" wrapText="1"/>
    </xf>
    <xf numFmtId="0" fontId="39" fillId="0" borderId="0" xfId="0" applyFont="1" applyFill="1" applyBorder="1" applyAlignment="1">
      <alignment horizontal="center" vertical="top" wrapText="1"/>
    </xf>
    <xf numFmtId="0" fontId="39" fillId="0" borderId="0" xfId="0" applyFont="1" applyAlignment="1">
      <alignment horizontal="center" wrapText="1"/>
    </xf>
    <xf numFmtId="0" fontId="24" fillId="0" borderId="0" xfId="0" applyFont="1" applyFill="1" applyBorder="1"/>
    <xf numFmtId="177" fontId="1" fillId="7" borderId="1" xfId="0" applyNumberFormat="1" applyFont="1" applyFill="1" applyBorder="1" applyAlignment="1">
      <alignment horizontal="center" vertical="center" wrapText="1"/>
    </xf>
    <xf numFmtId="177" fontId="1" fillId="13" borderId="1" xfId="0" applyNumberFormat="1" applyFont="1" applyFill="1" applyBorder="1" applyAlignment="1">
      <alignment horizontal="center" vertical="center" wrapText="1"/>
    </xf>
    <xf numFmtId="177" fontId="1" fillId="9" borderId="1" xfId="0" applyNumberFormat="1" applyFont="1" applyFill="1" applyBorder="1" applyAlignment="1">
      <alignment horizontal="center" vertical="center" wrapText="1"/>
    </xf>
    <xf numFmtId="177" fontId="1" fillId="9" borderId="1" xfId="0" applyNumberFormat="1" applyFont="1" applyFill="1" applyBorder="1" applyAlignment="1">
      <alignment horizontal="centerContinuous" vertical="center" wrapText="1"/>
    </xf>
    <xf numFmtId="0" fontId="24" fillId="9" borderId="1" xfId="0" applyFont="1" applyFill="1" applyBorder="1" applyAlignment="1">
      <alignment horizontal="centerContinuous"/>
    </xf>
    <xf numFmtId="177" fontId="1" fillId="13" borderId="1" xfId="0" applyNumberFormat="1" applyFont="1" applyFill="1" applyBorder="1" applyAlignment="1">
      <alignment horizontal="centerContinuous" vertical="center" wrapText="1"/>
    </xf>
    <xf numFmtId="0" fontId="24" fillId="13" borderId="8" xfId="0" applyFont="1" applyFill="1" applyBorder="1" applyAlignment="1">
      <alignment horizontal="centerContinuous"/>
    </xf>
    <xf numFmtId="177" fontId="1" fillId="7" borderId="1" xfId="0" applyNumberFormat="1" applyFont="1" applyFill="1" applyBorder="1" applyAlignment="1">
      <alignment horizontal="centerContinuous" vertical="center" wrapText="1"/>
    </xf>
    <xf numFmtId="0" fontId="24" fillId="7" borderId="1" xfId="0" applyFont="1" applyFill="1" applyBorder="1" applyAlignment="1">
      <alignment horizontal="centerContinuous"/>
    </xf>
    <xf numFmtId="177" fontId="25" fillId="0" borderId="18" xfId="0" applyNumberFormat="1" applyFont="1" applyFill="1" applyBorder="1" applyAlignment="1">
      <alignment horizontal="centerContinuous"/>
    </xf>
    <xf numFmtId="177" fontId="1" fillId="0" borderId="18" xfId="0" applyNumberFormat="1" applyFont="1" applyFill="1" applyBorder="1" applyAlignment="1">
      <alignment horizontal="centerContinuous"/>
    </xf>
    <xf numFmtId="177" fontId="1" fillId="9" borderId="18" xfId="0" applyNumberFormat="1" applyFont="1" applyFill="1" applyBorder="1" applyAlignment="1">
      <alignment horizontal="centerContinuous"/>
    </xf>
    <xf numFmtId="177" fontId="2" fillId="0" borderId="21" xfId="0" applyNumberFormat="1" applyFont="1" applyBorder="1"/>
    <xf numFmtId="0" fontId="24" fillId="0" borderId="21" xfId="0" applyFont="1" applyBorder="1"/>
    <xf numFmtId="0" fontId="1" fillId="6" borderId="0" xfId="0" applyFont="1" applyFill="1" applyBorder="1"/>
    <xf numFmtId="165" fontId="1" fillId="6" borderId="0" xfId="17" applyNumberFormat="1" applyFont="1" applyFill="1" applyBorder="1"/>
    <xf numFmtId="10" fontId="94" fillId="7" borderId="17" xfId="20" applyNumberFormat="1" applyFont="1" applyFill="1" applyBorder="1" applyAlignment="1">
      <alignment horizontal="center"/>
    </xf>
    <xf numFmtId="177" fontId="63" fillId="7" borderId="0" xfId="20" applyNumberFormat="1" applyFont="1" applyFill="1"/>
    <xf numFmtId="177" fontId="66" fillId="7" borderId="0" xfId="20" applyNumberFormat="1" applyFont="1" applyFill="1"/>
    <xf numFmtId="10" fontId="73" fillId="7" borderId="15" xfId="2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57" fillId="0" borderId="0" xfId="21" applyFont="1" applyBorder="1" applyAlignment="1">
      <alignment horizontal="centerContinuous"/>
    </xf>
    <xf numFmtId="0" fontId="57" fillId="0" borderId="0" xfId="21" applyFont="1" applyBorder="1"/>
    <xf numFmtId="0" fontId="37" fillId="0" borderId="0" xfId="0" applyFont="1" applyFill="1" applyAlignment="1">
      <alignment wrapText="1"/>
    </xf>
    <xf numFmtId="0" fontId="37" fillId="0" borderId="0" xfId="0" applyFont="1" applyFill="1" applyAlignment="1">
      <alignment horizontal="center" wrapText="1"/>
    </xf>
    <xf numFmtId="181" fontId="138" fillId="0" borderId="0" xfId="0" applyNumberFormat="1" applyFont="1" applyFill="1" applyAlignment="1">
      <alignment horizontal="right" vertical="top" wrapText="1"/>
    </xf>
    <xf numFmtId="184" fontId="138" fillId="0" borderId="0" xfId="0" applyNumberFormat="1" applyFont="1" applyFill="1" applyAlignment="1">
      <alignment horizontal="right" vertical="top" wrapText="1"/>
    </xf>
    <xf numFmtId="0" fontId="37" fillId="0" borderId="1" xfId="0" applyFont="1" applyFill="1" applyBorder="1"/>
    <xf numFmtId="181" fontId="138" fillId="0" borderId="1" xfId="0" applyNumberFormat="1" applyFont="1" applyFill="1" applyBorder="1" applyAlignment="1">
      <alignment horizontal="right" vertical="top" wrapText="1"/>
    </xf>
    <xf numFmtId="184" fontId="138" fillId="0" borderId="1" xfId="0" applyNumberFormat="1" applyFont="1" applyFill="1" applyBorder="1" applyAlignment="1">
      <alignment horizontal="right" vertical="top" wrapText="1"/>
    </xf>
    <xf numFmtId="183" fontId="37" fillId="0" borderId="0" xfId="0" applyNumberFormat="1" applyFont="1" applyFill="1" applyAlignment="1">
      <alignment horizontal="center" vertical="top"/>
    </xf>
    <xf numFmtId="183" fontId="37" fillId="0" borderId="1" xfId="0" applyNumberFormat="1" applyFont="1" applyFill="1" applyBorder="1" applyAlignment="1">
      <alignment horizontal="center" vertical="top"/>
    </xf>
    <xf numFmtId="0" fontId="97" fillId="7" borderId="0" xfId="0" applyFont="1" applyFill="1"/>
    <xf numFmtId="0" fontId="24" fillId="7" borderId="0" xfId="0" applyFont="1" applyFill="1" applyAlignment="1">
      <alignment horizontal="center"/>
    </xf>
    <xf numFmtId="0" fontId="37" fillId="7" borderId="0" xfId="0" applyFont="1" applyFill="1"/>
    <xf numFmtId="181" fontId="138" fillId="7" borderId="0" xfId="0" applyNumberFormat="1" applyFont="1" applyFill="1" applyAlignment="1">
      <alignment horizontal="right" vertical="top" wrapText="1"/>
    </xf>
    <xf numFmtId="184" fontId="138" fillId="7" borderId="0" xfId="0" applyNumberFormat="1" applyFont="1" applyFill="1" applyAlignment="1">
      <alignment horizontal="right" vertical="top" wrapText="1"/>
    </xf>
    <xf numFmtId="183" fontId="37" fillId="7" borderId="0" xfId="0" applyNumberFormat="1" applyFont="1" applyFill="1" applyAlignment="1">
      <alignment horizontal="center" vertical="top"/>
    </xf>
    <xf numFmtId="0" fontId="37" fillId="0" borderId="18" xfId="0" applyFont="1" applyFill="1" applyBorder="1" applyAlignment="1">
      <alignment horizontal="center" wrapText="1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0" fontId="106" fillId="0" borderId="0" xfId="0" applyFont="1" applyFill="1"/>
    <xf numFmtId="0" fontId="110" fillId="6" borderId="0" xfId="0" applyFont="1" applyFill="1"/>
    <xf numFmtId="0" fontId="139" fillId="0" borderId="3" xfId="0" applyFont="1" applyFill="1" applyBorder="1"/>
    <xf numFmtId="200" fontId="100" fillId="0" borderId="1" xfId="18" applyNumberFormat="1" applyFont="1" applyFill="1" applyBorder="1"/>
    <xf numFmtId="9" fontId="106" fillId="0" borderId="0" xfId="17" applyFont="1" applyFill="1" applyBorder="1"/>
    <xf numFmtId="0" fontId="141" fillId="0" borderId="0" xfId="20" applyFont="1"/>
    <xf numFmtId="177" fontId="56" fillId="0" borderId="0" xfId="20" applyNumberFormat="1" applyFont="1"/>
    <xf numFmtId="171" fontId="57" fillId="0" borderId="0" xfId="1" applyNumberFormat="1" applyFont="1" applyAlignment="1">
      <alignment horizontal="right"/>
    </xf>
    <xf numFmtId="0" fontId="57" fillId="0" borderId="0" xfId="20" applyFont="1" applyAlignment="1">
      <alignment horizontal="right"/>
    </xf>
    <xf numFmtId="184" fontId="100" fillId="0" borderId="0" xfId="17" applyNumberFormat="1" applyFont="1" applyAlignment="1">
      <alignment horizontal="right"/>
    </xf>
    <xf numFmtId="177" fontId="57" fillId="0" borderId="0" xfId="20" applyNumberFormat="1" applyFont="1"/>
    <xf numFmtId="187" fontId="57" fillId="0" borderId="0" xfId="20" applyNumberFormat="1" applyFont="1"/>
    <xf numFmtId="7" fontId="56" fillId="0" borderId="0" xfId="20" applyNumberFormat="1" applyFont="1"/>
    <xf numFmtId="0" fontId="142" fillId="15" borderId="23" xfId="20" applyFont="1" applyFill="1" applyBorder="1" applyAlignment="1">
      <alignment horizontal="centerContinuous" vertical="center"/>
    </xf>
    <xf numFmtId="0" fontId="142" fillId="15" borderId="24" xfId="20" applyFont="1" applyFill="1" applyBorder="1" applyAlignment="1">
      <alignment horizontal="centerContinuous" vertical="center"/>
    </xf>
    <xf numFmtId="0" fontId="142" fillId="15" borderId="25" xfId="20" applyFont="1" applyFill="1" applyBorder="1" applyAlignment="1">
      <alignment horizontal="centerContinuous" vertical="center"/>
    </xf>
    <xf numFmtId="0" fontId="142" fillId="14" borderId="22" xfId="20" applyFont="1" applyFill="1" applyBorder="1" applyAlignment="1">
      <alignment horizontal="center" vertical="center"/>
    </xf>
    <xf numFmtId="0" fontId="143" fillId="0" borderId="0" xfId="20" applyFont="1"/>
    <xf numFmtId="0" fontId="63" fillId="0" borderId="0" xfId="20" applyFont="1" applyAlignment="1">
      <alignment horizontal="left" indent="2"/>
    </xf>
    <xf numFmtId="0" fontId="56" fillId="16" borderId="0" xfId="20" applyFont="1" applyFill="1"/>
    <xf numFmtId="177" fontId="56" fillId="16" borderId="0" xfId="20" applyNumberFormat="1" applyFont="1" applyFill="1"/>
    <xf numFmtId="0" fontId="57" fillId="16" borderId="0" xfId="20" applyFont="1" applyFill="1"/>
    <xf numFmtId="187" fontId="57" fillId="16" borderId="0" xfId="20" applyNumberFormat="1" applyFont="1" applyFill="1"/>
    <xf numFmtId="7" fontId="56" fillId="16" borderId="0" xfId="20" applyNumberFormat="1" applyFont="1" applyFill="1"/>
    <xf numFmtId="7" fontId="143" fillId="16" borderId="0" xfId="20" applyNumberFormat="1" applyFont="1" applyFill="1"/>
    <xf numFmtId="0" fontId="56" fillId="7" borderId="0" xfId="20" applyFont="1" applyFill="1"/>
    <xf numFmtId="177" fontId="56" fillId="7" borderId="0" xfId="20" applyNumberFormat="1" applyFont="1" applyFill="1"/>
    <xf numFmtId="0" fontId="63" fillId="7" borderId="0" xfId="20" applyFont="1" applyFill="1" applyAlignment="1">
      <alignment horizontal="left" indent="2"/>
    </xf>
    <xf numFmtId="10" fontId="57" fillId="7" borderId="0" xfId="17" applyNumberFormat="1" applyFont="1" applyFill="1"/>
    <xf numFmtId="10" fontId="144" fillId="7" borderId="0" xfId="17" applyNumberFormat="1" applyFont="1" applyFill="1"/>
    <xf numFmtId="0" fontId="66" fillId="7" borderId="0" xfId="20" applyFont="1" applyFill="1"/>
    <xf numFmtId="171" fontId="57" fillId="7" borderId="0" xfId="1" applyNumberFormat="1" applyFont="1" applyFill="1"/>
    <xf numFmtId="177" fontId="143" fillId="0" borderId="0" xfId="20" applyNumberFormat="1" applyFont="1"/>
    <xf numFmtId="177" fontId="140" fillId="6" borderId="1" xfId="20" applyNumberFormat="1" applyFont="1" applyFill="1" applyBorder="1"/>
    <xf numFmtId="0" fontId="145" fillId="0" borderId="0" xfId="0" applyFont="1" applyFill="1"/>
    <xf numFmtId="201" fontId="61" fillId="0" borderId="0" xfId="25" applyNumberFormat="1" applyFont="1"/>
    <xf numFmtId="0" fontId="41" fillId="0" borderId="0" xfId="0" applyFont="1"/>
    <xf numFmtId="0" fontId="41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201" fontId="89" fillId="0" borderId="0" xfId="25" applyNumberFormat="1" applyFont="1"/>
    <xf numFmtId="9" fontId="89" fillId="0" borderId="0" xfId="17" applyFont="1" applyAlignment="1"/>
    <xf numFmtId="0" fontId="147" fillId="0" borderId="0" xfId="0" applyFont="1" applyAlignment="1">
      <alignment horizontal="right"/>
    </xf>
    <xf numFmtId="9" fontId="147" fillId="0" borderId="0" xfId="17" applyFont="1"/>
    <xf numFmtId="9" fontId="0" fillId="0" borderId="0" xfId="17" applyFont="1"/>
    <xf numFmtId="202" fontId="89" fillId="0" borderId="0" xfId="25" applyNumberFormat="1" applyFont="1"/>
    <xf numFmtId="202" fontId="89" fillId="0" borderId="0" xfId="25" applyNumberFormat="1" applyFont="1" applyAlignment="1">
      <alignment horizontal="right"/>
    </xf>
    <xf numFmtId="9" fontId="147" fillId="0" borderId="0" xfId="17" applyFont="1" applyAlignment="1">
      <alignment horizontal="right"/>
    </xf>
    <xf numFmtId="43" fontId="0" fillId="0" borderId="0" xfId="18" applyFont="1"/>
    <xf numFmtId="202" fontId="61" fillId="0" borderId="0" xfId="25" applyNumberFormat="1" applyFont="1"/>
    <xf numFmtId="184" fontId="124" fillId="0" borderId="0" xfId="17" applyNumberFormat="1" applyFont="1" applyAlignment="1">
      <alignment horizontal="right"/>
    </xf>
    <xf numFmtId="203" fontId="124" fillId="0" borderId="0" xfId="17" applyNumberFormat="1" applyFont="1" applyAlignment="1">
      <alignment horizontal="right"/>
    </xf>
    <xf numFmtId="203" fontId="148" fillId="0" borderId="0" xfId="17" applyNumberFormat="1" applyFont="1" applyAlignment="1">
      <alignment horizontal="right"/>
    </xf>
    <xf numFmtId="192" fontId="23" fillId="0" borderId="0" xfId="0" applyNumberFormat="1" applyFont="1"/>
    <xf numFmtId="0" fontId="23" fillId="0" borderId="0" xfId="0" applyFont="1" applyAlignment="1">
      <alignment horizontal="center"/>
    </xf>
    <xf numFmtId="0" fontId="23" fillId="0" borderId="9" xfId="0" applyFont="1" applyBorder="1" applyAlignment="1">
      <alignment horizontal="center"/>
    </xf>
    <xf numFmtId="192" fontId="23" fillId="0" borderId="9" xfId="0" applyNumberFormat="1" applyFont="1" applyBorder="1"/>
    <xf numFmtId="177" fontId="37" fillId="0" borderId="0" xfId="0" applyNumberFormat="1" applyFont="1" applyBorder="1"/>
    <xf numFmtId="177" fontId="37" fillId="0" borderId="21" xfId="0" applyNumberFormat="1" applyFont="1" applyBorder="1"/>
    <xf numFmtId="0" fontId="23" fillId="0" borderId="21" xfId="0" applyFont="1" applyBorder="1"/>
    <xf numFmtId="0" fontId="119" fillId="0" borderId="7" xfId="0" applyFont="1" applyFill="1" applyBorder="1"/>
    <xf numFmtId="177" fontId="41" fillId="7" borderId="1" xfId="0" applyNumberFormat="1" applyFont="1" applyFill="1" applyBorder="1" applyAlignment="1">
      <alignment horizontal="centerContinuous" vertical="center" wrapText="1"/>
    </xf>
    <xf numFmtId="177" fontId="41" fillId="9" borderId="1" xfId="0" applyNumberFormat="1" applyFont="1" applyFill="1" applyBorder="1" applyAlignment="1">
      <alignment horizontal="centerContinuous" vertical="center" wrapText="1"/>
    </xf>
    <xf numFmtId="177" fontId="41" fillId="13" borderId="1" xfId="0" applyNumberFormat="1" applyFont="1" applyFill="1" applyBorder="1" applyAlignment="1">
      <alignment horizontal="centerContinuous" vertical="center" wrapText="1"/>
    </xf>
    <xf numFmtId="0" fontId="0" fillId="13" borderId="1" xfId="0" applyFont="1" applyFill="1" applyBorder="1" applyAlignment="1">
      <alignment horizontal="centerContinuous"/>
    </xf>
    <xf numFmtId="0" fontId="96" fillId="0" borderId="9" xfId="0" applyFont="1" applyBorder="1" applyAlignment="1">
      <alignment horizontal="center"/>
    </xf>
    <xf numFmtId="192" fontId="96" fillId="0" borderId="0" xfId="0" applyNumberFormat="1" applyFont="1"/>
    <xf numFmtId="192" fontId="96" fillId="0" borderId="9" xfId="0" applyNumberFormat="1" applyFont="1" applyBorder="1"/>
    <xf numFmtId="0" fontId="96" fillId="0" borderId="0" xfId="0" applyFont="1" applyBorder="1" applyAlignment="1">
      <alignment horizontal="center"/>
    </xf>
    <xf numFmtId="0" fontId="96" fillId="0" borderId="9" xfId="0" applyFont="1" applyBorder="1" applyAlignment="1">
      <alignment horizontal="centerContinuous"/>
    </xf>
    <xf numFmtId="0" fontId="23" fillId="0" borderId="9" xfId="0" applyFont="1" applyBorder="1" applyAlignment="1">
      <alignment horizontal="centerContinuous"/>
    </xf>
    <xf numFmtId="9" fontId="96" fillId="0" borderId="0" xfId="17" applyFont="1"/>
    <xf numFmtId="9" fontId="96" fillId="0" borderId="9" xfId="17" applyFont="1" applyBorder="1"/>
    <xf numFmtId="0" fontId="150" fillId="0" borderId="0" xfId="0" applyFont="1"/>
    <xf numFmtId="187" fontId="150" fillId="0" borderId="0" xfId="0" applyNumberFormat="1" applyFont="1"/>
    <xf numFmtId="8" fontId="150" fillId="0" borderId="0" xfId="0" applyNumberFormat="1" applyFont="1"/>
    <xf numFmtId="9" fontId="96" fillId="0" borderId="9" xfId="17" applyFont="1" applyBorder="1" applyAlignment="1">
      <alignment horizontal="right"/>
    </xf>
    <xf numFmtId="0" fontId="23" fillId="0" borderId="0" xfId="0" applyFont="1" applyAlignment="1">
      <alignment horizontal="left"/>
    </xf>
    <xf numFmtId="0" fontId="152" fillId="0" borderId="0" xfId="0" applyFont="1" applyAlignment="1">
      <alignment horizontal="right"/>
    </xf>
    <xf numFmtId="0" fontId="152" fillId="0" borderId="0" xfId="0" applyFont="1" applyAlignment="1">
      <alignment horizontal="center"/>
    </xf>
    <xf numFmtId="43" fontId="23" fillId="0" borderId="0" xfId="18" applyFont="1"/>
    <xf numFmtId="0" fontId="96" fillId="0" borderId="0" xfId="0" applyFont="1" applyAlignment="1">
      <alignment horizontal="left"/>
    </xf>
    <xf numFmtId="0" fontId="23" fillId="0" borderId="0" xfId="0" applyFont="1" applyAlignment="1"/>
    <xf numFmtId="0" fontId="150" fillId="0" borderId="0" xfId="0" applyFont="1" applyAlignment="1">
      <alignment horizontal="left" indent="1"/>
    </xf>
    <xf numFmtId="179" fontId="52" fillId="0" borderId="0" xfId="0" applyNumberFormat="1" applyFont="1" applyAlignment="1">
      <alignment horizontal="left"/>
    </xf>
    <xf numFmtId="186" fontId="96" fillId="0" borderId="0" xfId="17" applyNumberFormat="1" applyFont="1" applyFill="1" applyAlignment="1">
      <alignment horizontal="right"/>
    </xf>
    <xf numFmtId="10" fontId="37" fillId="0" borderId="0" xfId="0" applyNumberFormat="1" applyFont="1"/>
    <xf numFmtId="0" fontId="98" fillId="0" borderId="0" xfId="0" applyFont="1" applyAlignment="1">
      <alignment horizontal="center"/>
    </xf>
    <xf numFmtId="0" fontId="66" fillId="9" borderId="0" xfId="20" applyFont="1" applyFill="1"/>
    <xf numFmtId="0" fontId="96" fillId="9" borderId="0" xfId="0" applyFont="1" applyFill="1" applyBorder="1"/>
    <xf numFmtId="0" fontId="23" fillId="9" borderId="0" xfId="0" applyFont="1" applyFill="1" applyBorder="1"/>
    <xf numFmtId="192" fontId="114" fillId="9" borderId="0" xfId="0" applyNumberFormat="1" applyFont="1" applyFill="1"/>
    <xf numFmtId="0" fontId="66" fillId="6" borderId="0" xfId="20" applyFont="1" applyFill="1"/>
    <xf numFmtId="0" fontId="96" fillId="6" borderId="0" xfId="0" applyFont="1" applyFill="1" applyBorder="1"/>
    <xf numFmtId="0" fontId="23" fillId="6" borderId="0" xfId="0" applyFont="1" applyFill="1" applyBorder="1"/>
    <xf numFmtId="192" fontId="114" fillId="6" borderId="0" xfId="0" applyNumberFormat="1" applyFont="1" applyFill="1"/>
    <xf numFmtId="0" fontId="41" fillId="9" borderId="0" xfId="0" applyFont="1" applyFill="1" applyBorder="1"/>
    <xf numFmtId="0" fontId="2" fillId="9" borderId="0" xfId="0" applyFont="1" applyFill="1" applyBorder="1"/>
    <xf numFmtId="0" fontId="41" fillId="6" borderId="0" xfId="0" applyFont="1" applyFill="1" applyBorder="1"/>
    <xf numFmtId="165" fontId="0" fillId="0" borderId="0" xfId="17" applyNumberFormat="1" applyFont="1"/>
    <xf numFmtId="0" fontId="96" fillId="0" borderId="0" xfId="0" applyFont="1" applyAlignment="1">
      <alignment horizontal="center"/>
    </xf>
    <xf numFmtId="165" fontId="37" fillId="0" borderId="0" xfId="0" applyNumberFormat="1" applyFont="1"/>
    <xf numFmtId="10" fontId="37" fillId="0" borderId="1" xfId="0" applyNumberFormat="1" applyFont="1" applyBorder="1"/>
    <xf numFmtId="0" fontId="96" fillId="0" borderId="26" xfId="0" applyFont="1" applyBorder="1" applyAlignment="1">
      <alignment horizontal="center"/>
    </xf>
    <xf numFmtId="0" fontId="96" fillId="0" borderId="4" xfId="0" applyFont="1" applyBorder="1" applyAlignment="1">
      <alignment horizontal="centerContinuous"/>
    </xf>
    <xf numFmtId="0" fontId="96" fillId="0" borderId="6" xfId="0" applyFont="1" applyBorder="1" applyAlignment="1">
      <alignment horizontal="centerContinuous"/>
    </xf>
    <xf numFmtId="0" fontId="96" fillId="0" borderId="0" xfId="0" applyFont="1" applyBorder="1" applyAlignment="1">
      <alignment horizontal="centerContinuous"/>
    </xf>
    <xf numFmtId="0" fontId="120" fillId="0" borderId="0" xfId="0" applyFont="1" applyBorder="1"/>
    <xf numFmtId="0" fontId="96" fillId="0" borderId="18" xfId="0" applyFont="1" applyBorder="1" applyAlignment="1">
      <alignment horizontal="center"/>
    </xf>
    <xf numFmtId="9" fontId="37" fillId="0" borderId="0" xfId="0" applyNumberFormat="1" applyFont="1"/>
    <xf numFmtId="9" fontId="37" fillId="0" borderId="0" xfId="0" applyNumberFormat="1" applyFont="1" applyBorder="1"/>
    <xf numFmtId="0" fontId="96" fillId="0" borderId="18" xfId="0" applyFont="1" applyBorder="1"/>
    <xf numFmtId="192" fontId="114" fillId="0" borderId="2" xfId="0" applyNumberFormat="1" applyFont="1" applyFill="1" applyBorder="1"/>
    <xf numFmtId="0" fontId="96" fillId="0" borderId="27" xfId="0" applyFont="1" applyFill="1" applyBorder="1" applyAlignment="1">
      <alignment horizontal="center" wrapText="1"/>
    </xf>
    <xf numFmtId="0" fontId="23" fillId="0" borderId="0" xfId="0" applyFont="1" applyFill="1" applyBorder="1"/>
    <xf numFmtId="184" fontId="23" fillId="0" borderId="0" xfId="17" applyNumberFormat="1" applyFont="1" applyFill="1" applyBorder="1" applyAlignment="1">
      <alignment horizontal="center"/>
    </xf>
    <xf numFmtId="184" fontId="96" fillId="0" borderId="0" xfId="17" applyNumberFormat="1" applyFont="1" applyFill="1" applyBorder="1" applyAlignment="1">
      <alignment horizontal="right"/>
    </xf>
    <xf numFmtId="192" fontId="114" fillId="0" borderId="0" xfId="0" applyNumberFormat="1" applyFont="1" applyFill="1" applyBorder="1" applyAlignment="1">
      <alignment horizontal="right"/>
    </xf>
    <xf numFmtId="0" fontId="37" fillId="0" borderId="9" xfId="0" applyFont="1" applyBorder="1" applyAlignment="1">
      <alignment horizontal="centerContinuous"/>
    </xf>
    <xf numFmtId="0" fontId="96" fillId="0" borderId="5" xfId="0" applyFont="1" applyFill="1" applyBorder="1" applyAlignment="1">
      <alignment horizontal="center" wrapText="1"/>
    </xf>
    <xf numFmtId="0" fontId="96" fillId="0" borderId="5" xfId="0" applyFont="1" applyBorder="1" applyAlignment="1">
      <alignment horizontal="centerContinuous"/>
    </xf>
    <xf numFmtId="0" fontId="37" fillId="0" borderId="5" xfId="0" applyFont="1" applyBorder="1" applyAlignment="1">
      <alignment horizontal="centerContinuous"/>
    </xf>
    <xf numFmtId="0" fontId="37" fillId="0" borderId="6" xfId="0" applyFont="1" applyBorder="1" applyAlignment="1">
      <alignment horizontal="centerContinuous"/>
    </xf>
    <xf numFmtId="186" fontId="116" fillId="0" borderId="0" xfId="0" applyNumberFormat="1" applyFont="1" applyFill="1"/>
    <xf numFmtId="186" fontId="23" fillId="0" borderId="0" xfId="0" applyNumberFormat="1" applyFont="1"/>
    <xf numFmtId="186" fontId="96" fillId="0" borderId="1" xfId="17" applyNumberFormat="1" applyFont="1" applyFill="1" applyBorder="1" applyAlignment="1">
      <alignment horizontal="right"/>
    </xf>
    <xf numFmtId="186" fontId="23" fillId="0" borderId="1" xfId="0" applyNumberFormat="1" applyFont="1" applyFill="1" applyBorder="1"/>
    <xf numFmtId="43" fontId="37" fillId="0" borderId="0" xfId="18" applyFont="1"/>
    <xf numFmtId="9" fontId="121" fillId="0" borderId="0" xfId="0" applyNumberFormat="1" applyFont="1"/>
    <xf numFmtId="9" fontId="116" fillId="0" borderId="0" xfId="0" applyNumberFormat="1" applyFont="1"/>
    <xf numFmtId="9" fontId="121" fillId="0" borderId="0" xfId="17" applyNumberFormat="1" applyFont="1"/>
    <xf numFmtId="0" fontId="96" fillId="7" borderId="0" xfId="0" applyFont="1" applyFill="1" applyAlignment="1">
      <alignment horizontal="left" indent="2"/>
    </xf>
    <xf numFmtId="192" fontId="116" fillId="7" borderId="0" xfId="0" applyNumberFormat="1" applyFont="1" applyFill="1"/>
    <xf numFmtId="0" fontId="23" fillId="7" borderId="0" xfId="0" applyFont="1" applyFill="1" applyAlignment="1">
      <alignment horizontal="left" indent="2"/>
    </xf>
    <xf numFmtId="9" fontId="116" fillId="7" borderId="0" xfId="0" applyNumberFormat="1" applyFont="1" applyFill="1"/>
    <xf numFmtId="192" fontId="114" fillId="7" borderId="0" xfId="0" applyNumberFormat="1" applyFont="1" applyFill="1"/>
    <xf numFmtId="0" fontId="23" fillId="7" borderId="0" xfId="0" applyFont="1" applyFill="1" applyBorder="1" applyAlignment="1">
      <alignment horizontal="left" indent="2"/>
    </xf>
    <xf numFmtId="9" fontId="121" fillId="0" borderId="18" xfId="0" applyNumberFormat="1" applyFont="1" applyBorder="1"/>
    <xf numFmtId="165" fontId="23" fillId="0" borderId="18" xfId="17" applyNumberFormat="1" applyFont="1" applyBorder="1"/>
    <xf numFmtId="192" fontId="114" fillId="0" borderId="27" xfId="0" applyNumberFormat="1" applyFont="1" applyFill="1" applyBorder="1"/>
    <xf numFmtId="192" fontId="114" fillId="0" borderId="28" xfId="0" applyNumberFormat="1" applyFont="1" applyFill="1" applyBorder="1"/>
    <xf numFmtId="0" fontId="23" fillId="0" borderId="0" xfId="0" applyFont="1" applyBorder="1" applyAlignment="1">
      <alignment horizontal="left" indent="4"/>
    </xf>
    <xf numFmtId="192" fontId="114" fillId="0" borderId="0" xfId="0" applyNumberFormat="1" applyFont="1" applyFill="1" applyBorder="1"/>
    <xf numFmtId="9" fontId="96" fillId="0" borderId="0" xfId="17" applyFont="1" applyFill="1" applyAlignment="1">
      <alignment horizontal="right"/>
    </xf>
    <xf numFmtId="9" fontId="96" fillId="0" borderId="1" xfId="17" applyFont="1" applyFill="1" applyBorder="1" applyAlignment="1">
      <alignment horizontal="right"/>
    </xf>
    <xf numFmtId="192" fontId="96" fillId="0" borderId="0" xfId="0" applyNumberFormat="1" applyFont="1" applyFill="1"/>
    <xf numFmtId="0" fontId="120" fillId="0" borderId="0" xfId="0" applyFont="1" applyFill="1"/>
    <xf numFmtId="187" fontId="148" fillId="0" borderId="0" xfId="17" applyNumberFormat="1" applyFont="1" applyAlignment="1">
      <alignment horizontal="right"/>
    </xf>
    <xf numFmtId="187" fontId="124" fillId="0" borderId="0" xfId="17" applyNumberFormat="1" applyFont="1" applyAlignment="1">
      <alignment horizontal="right"/>
    </xf>
    <xf numFmtId="0" fontId="59" fillId="3" borderId="0" xfId="21" applyFont="1" applyFill="1" applyAlignment="1">
      <alignment horizontal="center" vertical="center" wrapText="1"/>
    </xf>
    <xf numFmtId="0" fontId="64" fillId="3" borderId="0" xfId="23" applyFont="1" applyFill="1" applyAlignment="1">
      <alignment horizontal="center" vertical="center" wrapText="1"/>
    </xf>
    <xf numFmtId="0" fontId="66" fillId="0" borderId="16" xfId="20" applyFont="1" applyBorder="1" applyAlignment="1">
      <alignment vertical="center" textRotation="90" wrapText="1"/>
    </xf>
    <xf numFmtId="0" fontId="3" fillId="0" borderId="16" xfId="1" applyBorder="1"/>
    <xf numFmtId="0" fontId="37" fillId="0" borderId="0" xfId="0" applyFont="1" applyFill="1" applyBorder="1" applyAlignment="1">
      <alignment horizontal="center"/>
    </xf>
    <xf numFmtId="9" fontId="97" fillId="0" borderId="0" xfId="17" applyFont="1"/>
    <xf numFmtId="193" fontId="121" fillId="6" borderId="0" xfId="0" applyNumberFormat="1" applyFont="1" applyFill="1"/>
    <xf numFmtId="0" fontId="23" fillId="6" borderId="0" xfId="0" applyFont="1" applyFill="1"/>
    <xf numFmtId="192" fontId="116" fillId="6" borderId="18" xfId="0" applyNumberFormat="1" applyFont="1" applyFill="1" applyBorder="1"/>
    <xf numFmtId="0" fontId="37" fillId="6" borderId="0" xfId="0" applyFont="1" applyFill="1"/>
    <xf numFmtId="192" fontId="121" fillId="6" borderId="0" xfId="0" applyNumberFormat="1" applyFont="1" applyFill="1"/>
    <xf numFmtId="192" fontId="116" fillId="6" borderId="0" xfId="0" applyNumberFormat="1" applyFont="1" applyFill="1"/>
    <xf numFmtId="190" fontId="23" fillId="6" borderId="0" xfId="18" applyNumberFormat="1" applyFont="1" applyFill="1"/>
    <xf numFmtId="165" fontId="121" fillId="6" borderId="0" xfId="17" applyNumberFormat="1" applyFont="1" applyFill="1"/>
    <xf numFmtId="0" fontId="97" fillId="0" borderId="0" xfId="0" applyFont="1"/>
    <xf numFmtId="0" fontId="97" fillId="6" borderId="0" xfId="0" applyFont="1" applyFill="1"/>
    <xf numFmtId="9" fontId="112" fillId="6" borderId="0" xfId="17" applyFont="1" applyFill="1"/>
  </cellXfs>
  <cellStyles count="29">
    <cellStyle name="ChartingText" xfId="15" xr:uid="{00000000-0005-0000-0000-000000000000}"/>
    <cellStyle name="CHPAboveAverage" xfId="16" xr:uid="{00000000-0005-0000-0000-000001000000}"/>
    <cellStyle name="CHPBelowAverage" xfId="16" xr:uid="{00000000-0005-0000-0000-000002000000}"/>
    <cellStyle name="CHPBottom" xfId="16" xr:uid="{00000000-0005-0000-0000-000003000000}"/>
    <cellStyle name="CHPTop" xfId="16" xr:uid="{00000000-0005-0000-0000-000004000000}"/>
    <cellStyle name="ColumnHeaderNormal" xfId="7" xr:uid="{00000000-0005-0000-0000-000005000000}"/>
    <cellStyle name="Invisible" xfId="14" xr:uid="{00000000-0005-0000-0000-000008000000}"/>
    <cellStyle name="Millares" xfId="18" builtinId="3"/>
    <cellStyle name="Moneda" xfId="19" builtinId="4"/>
    <cellStyle name="NewColumnHeaderNormal" xfId="5" xr:uid="{00000000-0005-0000-0000-000009000000}"/>
    <cellStyle name="NewSectionHeaderNormal" xfId="4" xr:uid="{00000000-0005-0000-0000-00000A000000}"/>
    <cellStyle name="NewTitleNormal" xfId="3" xr:uid="{00000000-0005-0000-0000-00000B000000}"/>
    <cellStyle name="Normal" xfId="0" builtinId="0"/>
    <cellStyle name="Normal 2" xfId="1" xr:uid="{00000000-0005-0000-0000-00000D000000}"/>
    <cellStyle name="Normal 2 2" xfId="22" xr:uid="{C99D5207-8973-41C5-A11F-ADE616FCD70D}"/>
    <cellStyle name="Normal 2 3" xfId="25" xr:uid="{0A3E2E62-05F6-4A4B-82C4-CD540565078C}"/>
    <cellStyle name="Normal_Beta_empresas privadas_30 jun-1 jul 2011" xfId="21" xr:uid="{A14CFF02-E753-4D7F-BF81-DF93C877B143}"/>
    <cellStyle name="Normal_Perdigao-Sadia_analisis" xfId="23" xr:uid="{686CB36D-3834-48E3-BA11-59DEB5C2C66F}"/>
    <cellStyle name="Normal_Roche-Genentech_analisis" xfId="20" xr:uid="{8DC242DF-449D-46BA-A602-867E23D2BE10}"/>
    <cellStyle name="Porcentaje" xfId="17" builtinId="5"/>
    <cellStyle name="Porcentaje 2" xfId="24" xr:uid="{8E01E7B2-51BE-4C57-A6E9-632C96BCB1AC}"/>
    <cellStyle name="SectionHeaderNormal" xfId="6" xr:uid="{00000000-0005-0000-0000-00000F000000}"/>
    <cellStyle name="SubScript" xfId="10" xr:uid="{00000000-0005-0000-0000-000010000000}"/>
    <cellStyle name="SuperScript" xfId="9" xr:uid="{00000000-0005-0000-0000-000011000000}"/>
    <cellStyle name="TextBold" xfId="11" xr:uid="{00000000-0005-0000-0000-000012000000}"/>
    <cellStyle name="TextItalic" xfId="12" xr:uid="{00000000-0005-0000-0000-000013000000}"/>
    <cellStyle name="TextNormal" xfId="8" xr:uid="{00000000-0005-0000-0000-000014000000}"/>
    <cellStyle name="TitleNormal" xfId="2" xr:uid="{00000000-0005-0000-0000-000015000000}"/>
    <cellStyle name="Total 2" xfId="13" xr:uid="{00000000-0005-0000-0000-000016000000}"/>
  </cellStyles>
  <dxfs count="0"/>
  <tableStyles count="0" defaultTableStyle="TableStyleMedium9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148128</xdr:rowOff>
    </xdr:from>
    <xdr:to>
      <xdr:col>0</xdr:col>
      <xdr:colOff>2200275</xdr:colOff>
      <xdr:row>72</xdr:row>
      <xdr:rowOff>132468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58903"/>
          <a:ext cx="2200275" cy="3070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290869</xdr:colOff>
      <xdr:row>7</xdr:row>
      <xdr:rowOff>143387</xdr:rowOff>
    </xdr:from>
    <xdr:to>
      <xdr:col>3</xdr:col>
      <xdr:colOff>290869</xdr:colOff>
      <xdr:row>10</xdr:row>
      <xdr:rowOff>8194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997FA9A-ED49-4E5E-BFB7-EAF99E4DB7A1}"/>
            </a:ext>
          </a:extLst>
        </xdr:cNvPr>
        <xdr:cNvCxnSpPr/>
      </xdr:nvCxnSpPr>
      <xdr:spPr>
        <a:xfrm>
          <a:off x="3637934" y="1016000"/>
          <a:ext cx="0" cy="237613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331837</xdr:colOff>
      <xdr:row>7</xdr:row>
      <xdr:rowOff>143387</xdr:rowOff>
    </xdr:from>
    <xdr:to>
      <xdr:col>11</xdr:col>
      <xdr:colOff>331837</xdr:colOff>
      <xdr:row>10</xdr:row>
      <xdr:rowOff>8194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886CF9C-43E1-4DCF-AB25-609625C41DC8}"/>
            </a:ext>
          </a:extLst>
        </xdr:cNvPr>
        <xdr:cNvCxnSpPr/>
      </xdr:nvCxnSpPr>
      <xdr:spPr>
        <a:xfrm>
          <a:off x="6661353" y="1016000"/>
          <a:ext cx="0" cy="237613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528482</xdr:colOff>
      <xdr:row>7</xdr:row>
      <xdr:rowOff>143387</xdr:rowOff>
    </xdr:from>
    <xdr:to>
      <xdr:col>13</xdr:col>
      <xdr:colOff>528482</xdr:colOff>
      <xdr:row>10</xdr:row>
      <xdr:rowOff>8194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D949C94-3C7D-45FE-8104-CD807D123475}"/>
            </a:ext>
          </a:extLst>
        </xdr:cNvPr>
        <xdr:cNvCxnSpPr/>
      </xdr:nvCxnSpPr>
      <xdr:spPr>
        <a:xfrm>
          <a:off x="7488901" y="1016000"/>
          <a:ext cx="0" cy="237613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290869</xdr:colOff>
      <xdr:row>36</xdr:row>
      <xdr:rowOff>143387</xdr:rowOff>
    </xdr:from>
    <xdr:to>
      <xdr:col>3</xdr:col>
      <xdr:colOff>290869</xdr:colOff>
      <xdr:row>39</xdr:row>
      <xdr:rowOff>8194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82C6CAB-8164-4CE6-BD1A-F5BAAA65DF87}"/>
            </a:ext>
          </a:extLst>
        </xdr:cNvPr>
        <xdr:cNvCxnSpPr/>
      </xdr:nvCxnSpPr>
      <xdr:spPr>
        <a:xfrm>
          <a:off x="3458172" y="1020842"/>
          <a:ext cx="0" cy="241958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331837</xdr:colOff>
      <xdr:row>36</xdr:row>
      <xdr:rowOff>143387</xdr:rowOff>
    </xdr:from>
    <xdr:to>
      <xdr:col>11</xdr:col>
      <xdr:colOff>331837</xdr:colOff>
      <xdr:row>39</xdr:row>
      <xdr:rowOff>8194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D344623-6403-41F4-9669-7FD6E056A8F9}"/>
            </a:ext>
          </a:extLst>
        </xdr:cNvPr>
        <xdr:cNvCxnSpPr/>
      </xdr:nvCxnSpPr>
      <xdr:spPr>
        <a:xfrm>
          <a:off x="6481716" y="1020842"/>
          <a:ext cx="0" cy="241958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528482</xdr:colOff>
      <xdr:row>36</xdr:row>
      <xdr:rowOff>143387</xdr:rowOff>
    </xdr:from>
    <xdr:to>
      <xdr:col>13</xdr:col>
      <xdr:colOff>528482</xdr:colOff>
      <xdr:row>39</xdr:row>
      <xdr:rowOff>8194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4746959-7558-48AE-A16B-315825F3CC02}"/>
            </a:ext>
          </a:extLst>
        </xdr:cNvPr>
        <xdr:cNvCxnSpPr/>
      </xdr:nvCxnSpPr>
      <xdr:spPr>
        <a:xfrm>
          <a:off x="7313361" y="1020842"/>
          <a:ext cx="0" cy="241958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-AV/UTDT/MFIN/2020%20MFIN/Curso%20FC/5-IPO/Clase/Facebook%20IPO_anali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3 "/>
      <sheetName val="Ex4"/>
      <sheetName val="Ex5"/>
      <sheetName val="Ex6"/>
      <sheetName val="Shareholders (Ex8)"/>
      <sheetName val="Ex9"/>
      <sheetName val="Ex10"/>
      <sheetName val="DCF (Ex11)"/>
      <sheetName val="Comps (Ex12)"/>
      <sheetName val="Financials (Ex2)"/>
      <sheetName val="Model"/>
      <sheetName val="DCF"/>
      <sheetName val="WACC"/>
      <sheetName val="AVP"/>
      <sheetName val="Anex I. IPO terms"/>
      <sheetName val="Anex II. Prospectus--&gt;"/>
      <sheetName val="IPO Cash Flow"/>
      <sheetName val="IPO P&amp;L"/>
      <sheetName val="IPO Bce Sheet"/>
      <sheetName val="IPO Equ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250">
          <cell r="E250">
            <v>0.39880952380952384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984375" defaultRowHeight="14.4" x14ac:dyDescent="0.55000000000000004"/>
  <sheetData>
    <row r="1" spans="1:7" x14ac:dyDescent="0.55000000000000004">
      <c r="A1">
        <v>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opLeftCell="A6" zoomScale="131" zoomScaleNormal="131" workbookViewId="0">
      <selection activeCell="B32" sqref="B32"/>
    </sheetView>
  </sheetViews>
  <sheetFormatPr baseColWidth="10" defaultColWidth="9.15625" defaultRowHeight="11.4" x14ac:dyDescent="0.4"/>
  <cols>
    <col min="1" max="1" width="35.68359375" style="1" customWidth="1"/>
    <col min="2" max="2" width="8" style="2" customWidth="1"/>
    <col min="3" max="3" width="8.15625" style="2" customWidth="1"/>
    <col min="4" max="11" width="7.83984375" style="2" customWidth="1"/>
    <col min="12" max="12" width="10.26171875" style="1" customWidth="1"/>
    <col min="13" max="15" width="9.15625" style="1"/>
    <col min="16" max="16384" width="9.15625" style="2"/>
  </cols>
  <sheetData>
    <row r="1" spans="1:11" ht="15" customHeight="1" x14ac:dyDescent="0.4">
      <c r="A1" s="10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" customFormat="1" x14ac:dyDescent="0.4">
      <c r="A2" s="72"/>
      <c r="B2" s="31">
        <v>2001</v>
      </c>
      <c r="C2" s="31">
        <v>2002</v>
      </c>
      <c r="D2" s="31">
        <v>2003</v>
      </c>
      <c r="E2" s="31">
        <v>2004</v>
      </c>
      <c r="F2" s="31">
        <v>2005</v>
      </c>
      <c r="G2" s="31">
        <v>2006</v>
      </c>
      <c r="H2" s="31">
        <v>2007</v>
      </c>
      <c r="I2" s="31">
        <v>2008</v>
      </c>
      <c r="J2" s="31">
        <v>2009</v>
      </c>
      <c r="K2" s="31">
        <v>2010</v>
      </c>
    </row>
    <row r="3" spans="1:11" s="1" customFormat="1" x14ac:dyDescent="0.4">
      <c r="A3" s="73" t="s">
        <v>45</v>
      </c>
      <c r="B3" s="68"/>
      <c r="C3" s="68"/>
      <c r="D3" s="68"/>
      <c r="E3" s="68"/>
      <c r="F3" s="68"/>
      <c r="G3" s="32"/>
      <c r="H3" s="32"/>
      <c r="I3" s="68"/>
      <c r="J3" s="68"/>
      <c r="K3" s="68"/>
    </row>
    <row r="4" spans="1:11" s="1" customFormat="1" x14ac:dyDescent="0.4">
      <c r="A4" s="1" t="s">
        <v>3</v>
      </c>
      <c r="B4" s="100">
        <v>943.2</v>
      </c>
      <c r="C4" s="100">
        <v>988.4</v>
      </c>
      <c r="D4" s="100">
        <v>1080.3211999999999</v>
      </c>
      <c r="E4" s="100">
        <v>1216.1814574231523</v>
      </c>
      <c r="F4" s="100">
        <v>1358.4746879416612</v>
      </c>
      <c r="G4" s="100">
        <v>1501.1145301755355</v>
      </c>
      <c r="H4" s="100">
        <v>1271.4440070586786</v>
      </c>
      <c r="I4" s="100">
        <v>917.98257309636597</v>
      </c>
      <c r="J4" s="100">
        <v>825</v>
      </c>
      <c r="K4" s="100">
        <v>875.3</v>
      </c>
    </row>
    <row r="5" spans="1:11" x14ac:dyDescent="0.4">
      <c r="A5" s="3" t="s">
        <v>23</v>
      </c>
      <c r="B5" s="101">
        <v>784.74239999999998</v>
      </c>
      <c r="C5" s="101">
        <v>823.33719999999994</v>
      </c>
      <c r="D5" s="101">
        <v>898.82723839999983</v>
      </c>
      <c r="E5" s="101">
        <v>1016.7276984057553</v>
      </c>
      <c r="F5" s="101">
        <v>1131.6094150554036</v>
      </c>
      <c r="G5" s="101">
        <v>1265.4468856710414</v>
      </c>
      <c r="H5" s="101">
        <v>1143.0281623457522</v>
      </c>
      <c r="I5" s="101">
        <v>832.610193798404</v>
      </c>
      <c r="J5" s="101">
        <v>746.625</v>
      </c>
      <c r="K5" s="101">
        <v>775.51580000000001</v>
      </c>
    </row>
    <row r="6" spans="1:11" x14ac:dyDescent="0.4">
      <c r="A6" s="2" t="s">
        <v>11</v>
      </c>
      <c r="B6" s="102">
        <v>158.45760000000007</v>
      </c>
      <c r="C6" s="102">
        <v>165.06280000000004</v>
      </c>
      <c r="D6" s="102">
        <v>181.49396160000003</v>
      </c>
      <c r="E6" s="102">
        <v>199.45375901739703</v>
      </c>
      <c r="F6" s="102">
        <v>226.86527288625757</v>
      </c>
      <c r="G6" s="102">
        <v>235.66764450449409</v>
      </c>
      <c r="H6" s="102">
        <v>128.4158447129264</v>
      </c>
      <c r="I6" s="102">
        <v>85.37237929796197</v>
      </c>
      <c r="J6" s="102">
        <v>78.375</v>
      </c>
      <c r="K6" s="102">
        <v>99.784199999999942</v>
      </c>
    </row>
    <row r="7" spans="1:11" x14ac:dyDescent="0.4">
      <c r="A7" s="1" t="s">
        <v>51</v>
      </c>
      <c r="B7" s="102">
        <v>108.468</v>
      </c>
      <c r="C7" s="102">
        <v>110.70079999999999</v>
      </c>
      <c r="D7" s="102">
        <v>119.91565319999998</v>
      </c>
      <c r="E7" s="102">
        <v>134.9961417739699</v>
      </c>
      <c r="F7" s="102">
        <v>150.79069036152438</v>
      </c>
      <c r="G7" s="102">
        <v>169.62594190983549</v>
      </c>
      <c r="H7" s="102">
        <v>160.2019448893935</v>
      </c>
      <c r="I7" s="102">
        <v>118.41975192943121</v>
      </c>
      <c r="J7" s="102">
        <v>105.60000000000001</v>
      </c>
      <c r="K7" s="102">
        <v>98.908900000000003</v>
      </c>
    </row>
    <row r="8" spans="1:11" ht="12.75" customHeight="1" x14ac:dyDescent="0.4">
      <c r="A8" s="3" t="s">
        <v>10</v>
      </c>
      <c r="B8" s="101">
        <v>6.5</v>
      </c>
      <c r="C8" s="101">
        <v>15.824999999999999</v>
      </c>
      <c r="D8" s="101">
        <v>16.120725000000004</v>
      </c>
      <c r="E8" s="101">
        <v>19.690134224999998</v>
      </c>
      <c r="F8" s="101">
        <v>34.541894856130234</v>
      </c>
      <c r="G8" s="101">
        <v>35.109706391384826</v>
      </c>
      <c r="H8" s="101">
        <v>41.218993797820872</v>
      </c>
      <c r="I8" s="101">
        <v>40.034735273572331</v>
      </c>
      <c r="J8" s="101">
        <v>32.523873592965529</v>
      </c>
      <c r="K8" s="101">
        <v>25.297708073493123</v>
      </c>
    </row>
    <row r="9" spans="1:11" x14ac:dyDescent="0.4">
      <c r="A9" s="1" t="s">
        <v>12</v>
      </c>
      <c r="B9" s="102">
        <v>43.489600000000067</v>
      </c>
      <c r="C9" s="102">
        <v>38.537000000000049</v>
      </c>
      <c r="D9" s="102">
        <v>45.457583400000047</v>
      </c>
      <c r="E9" s="102">
        <v>44.767483018427143</v>
      </c>
      <c r="F9" s="102">
        <v>41.532687668602954</v>
      </c>
      <c r="G9" s="102">
        <v>30.931996203273776</v>
      </c>
      <c r="H9" s="102">
        <v>-73.005093974287973</v>
      </c>
      <c r="I9" s="102">
        <v>-73.082107905041568</v>
      </c>
      <c r="J9" s="102">
        <v>-59.748873592965538</v>
      </c>
      <c r="K9" s="102">
        <v>-24.422408073493184</v>
      </c>
    </row>
    <row r="10" spans="1:11" x14ac:dyDescent="0.4">
      <c r="A10" s="1" t="s">
        <v>52</v>
      </c>
      <c r="B10" s="102">
        <v>0</v>
      </c>
      <c r="C10" s="102">
        <v>0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20.8</v>
      </c>
      <c r="K10" s="102">
        <v>22.4</v>
      </c>
    </row>
    <row r="11" spans="1:11" x14ac:dyDescent="0.4">
      <c r="A11" s="1" t="s">
        <v>30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22.2</v>
      </c>
      <c r="J11" s="102">
        <v>26.3</v>
      </c>
      <c r="K11" s="102">
        <v>22.8</v>
      </c>
    </row>
    <row r="12" spans="1:11" x14ac:dyDescent="0.4">
      <c r="A12" s="2" t="s">
        <v>4</v>
      </c>
      <c r="B12" s="103">
        <v>2.3928696</v>
      </c>
      <c r="C12" s="103">
        <v>1.4244169499999999</v>
      </c>
      <c r="D12" s="103">
        <v>0.99758910000000012</v>
      </c>
      <c r="E12" s="103">
        <v>2.3030526</v>
      </c>
      <c r="F12" s="103">
        <v>11.533040000000002</v>
      </c>
      <c r="G12" s="103">
        <v>14.437975200000002</v>
      </c>
      <c r="H12" s="103">
        <v>22.608280000000001</v>
      </c>
      <c r="I12" s="103">
        <v>24.131846979999999</v>
      </c>
      <c r="J12" s="103">
        <v>19.787168333333334</v>
      </c>
      <c r="K12" s="103">
        <v>18.246646900000002</v>
      </c>
    </row>
    <row r="13" spans="1:11" x14ac:dyDescent="0.4">
      <c r="A13" s="3" t="s">
        <v>24</v>
      </c>
      <c r="B13" s="101">
        <v>14.383855640000023</v>
      </c>
      <c r="C13" s="101">
        <v>12.989404067500017</v>
      </c>
      <c r="D13" s="101">
        <v>15.560998005000016</v>
      </c>
      <c r="E13" s="101">
        <v>14.862550646449499</v>
      </c>
      <c r="F13" s="101">
        <v>10.499876684011033</v>
      </c>
      <c r="G13" s="101">
        <v>5.77290735114582</v>
      </c>
      <c r="H13" s="101">
        <v>-33.082227395103637</v>
      </c>
      <c r="I13" s="101">
        <v>-41.197814435339339</v>
      </c>
      <c r="J13" s="101">
        <v>-35.984254254941618</v>
      </c>
      <c r="K13" s="101">
        <v>-20.950097591517821</v>
      </c>
    </row>
    <row r="14" spans="1:11" x14ac:dyDescent="0.4">
      <c r="A14" s="1" t="s">
        <v>5</v>
      </c>
      <c r="B14" s="102">
        <v>26.712874760000048</v>
      </c>
      <c r="C14" s="102">
        <v>24.123178982500029</v>
      </c>
      <c r="D14" s="102">
        <v>28.898996295000032</v>
      </c>
      <c r="E14" s="102">
        <v>27.601879771977643</v>
      </c>
      <c r="F14" s="102">
        <v>19.499770984591919</v>
      </c>
      <c r="G14" s="102">
        <v>10.721113652127952</v>
      </c>
      <c r="H14" s="102">
        <v>-62.531146579184345</v>
      </c>
      <c r="I14" s="102">
        <v>-78.216140449702237</v>
      </c>
      <c r="J14" s="102">
        <v>-90.651787671357255</v>
      </c>
      <c r="K14" s="102">
        <v>-66.91895738197536</v>
      </c>
    </row>
    <row r="15" spans="1:11" x14ac:dyDescent="0.4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4">
      <c r="A16" s="1" t="s">
        <v>136</v>
      </c>
      <c r="B16" s="7">
        <v>25</v>
      </c>
      <c r="C16" s="7">
        <v>25</v>
      </c>
      <c r="D16" s="7">
        <v>25</v>
      </c>
      <c r="E16" s="7">
        <v>25</v>
      </c>
      <c r="F16" s="7">
        <v>25</v>
      </c>
      <c r="G16" s="7">
        <v>25</v>
      </c>
      <c r="H16" s="7">
        <v>25</v>
      </c>
      <c r="I16" s="7">
        <v>25</v>
      </c>
      <c r="J16" s="7">
        <v>25</v>
      </c>
      <c r="K16" s="7">
        <v>25</v>
      </c>
    </row>
    <row r="17" spans="1:11" x14ac:dyDescent="0.4">
      <c r="A17" s="1" t="s">
        <v>138</v>
      </c>
      <c r="B17" s="104">
        <v>4.5</v>
      </c>
      <c r="C17" s="104">
        <v>4.5</v>
      </c>
      <c r="D17" s="104">
        <v>4.5</v>
      </c>
      <c r="E17" s="104">
        <v>4.5</v>
      </c>
      <c r="F17" s="104">
        <v>4.5</v>
      </c>
      <c r="G17" s="104">
        <v>4.5</v>
      </c>
      <c r="H17" s="104">
        <v>4.5</v>
      </c>
      <c r="I17" s="104">
        <v>4.5</v>
      </c>
      <c r="J17" s="104">
        <v>2.25</v>
      </c>
      <c r="K17" s="104">
        <v>0</v>
      </c>
    </row>
    <row r="18" spans="1:11" x14ac:dyDescent="0.4">
      <c r="A18" s="1" t="s">
        <v>137</v>
      </c>
      <c r="B18" s="36">
        <v>64.8</v>
      </c>
      <c r="C18" s="36">
        <v>64.8</v>
      </c>
      <c r="D18" s="36">
        <v>64.8</v>
      </c>
      <c r="E18" s="36">
        <v>64.8</v>
      </c>
      <c r="F18" s="36">
        <v>64.8</v>
      </c>
      <c r="G18" s="36">
        <v>64.8</v>
      </c>
      <c r="H18" s="36">
        <v>64.8</v>
      </c>
      <c r="I18" s="36">
        <v>64.8</v>
      </c>
      <c r="J18" s="36">
        <v>64.8</v>
      </c>
      <c r="K18" s="36">
        <v>64.8</v>
      </c>
    </row>
    <row r="19" spans="1:11" x14ac:dyDescent="0.4">
      <c r="A19" s="1" t="s">
        <v>69</v>
      </c>
      <c r="B19" s="104">
        <v>0.34279127716049457</v>
      </c>
      <c r="C19" s="104">
        <v>0.3028268361496918</v>
      </c>
      <c r="D19" s="104">
        <v>0.37652772060185236</v>
      </c>
      <c r="E19" s="104">
        <v>0.35651049030829696</v>
      </c>
      <c r="F19" s="104">
        <v>0.23147794729308518</v>
      </c>
      <c r="G19" s="104">
        <v>9.6004840310616554E-2</v>
      </c>
      <c r="H19" s="104">
        <v>-1.0344312743701287</v>
      </c>
      <c r="I19" s="104">
        <v>-1.2764836489151581</v>
      </c>
      <c r="J19" s="104">
        <v>-1.4336695628295872</v>
      </c>
      <c r="K19" s="104">
        <v>-1.0326999595983852</v>
      </c>
    </row>
    <row r="20" spans="1:11" x14ac:dyDescent="0.4">
      <c r="A20" s="1" t="s">
        <v>74</v>
      </c>
      <c r="B20" s="104">
        <v>0.1</v>
      </c>
      <c r="C20" s="104">
        <v>0.1</v>
      </c>
      <c r="D20" s="104">
        <v>0.1</v>
      </c>
      <c r="E20" s="104">
        <v>0.1</v>
      </c>
      <c r="F20" s="104">
        <v>0.1</v>
      </c>
      <c r="G20" s="104">
        <v>0.1</v>
      </c>
      <c r="H20" s="104">
        <v>0.1</v>
      </c>
      <c r="I20" s="104">
        <v>0.1</v>
      </c>
      <c r="J20" s="104">
        <v>0.05</v>
      </c>
      <c r="K20" s="104">
        <v>0</v>
      </c>
    </row>
    <row r="21" spans="1:11" x14ac:dyDescent="0.4">
      <c r="A21" s="3" t="s">
        <v>73</v>
      </c>
      <c r="B21" s="105">
        <v>10.5</v>
      </c>
      <c r="C21" s="105">
        <v>12.6</v>
      </c>
      <c r="D21" s="105">
        <v>13.41</v>
      </c>
      <c r="E21" s="105">
        <v>13.3</v>
      </c>
      <c r="F21" s="105">
        <v>12.7</v>
      </c>
      <c r="G21" s="105">
        <v>10.74</v>
      </c>
      <c r="H21" s="105">
        <v>8.4</v>
      </c>
      <c r="I21" s="105">
        <v>4.0999999999999996</v>
      </c>
      <c r="J21" s="105">
        <v>1.54</v>
      </c>
      <c r="K21" s="105">
        <v>1.02</v>
      </c>
    </row>
    <row r="22" spans="1:1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4">
      <c r="A23" s="3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4">
      <c r="A24" s="72"/>
      <c r="B24" s="33">
        <v>2001</v>
      </c>
      <c r="C24" s="33">
        <v>2002</v>
      </c>
      <c r="D24" s="33">
        <v>2003</v>
      </c>
      <c r="E24" s="33">
        <v>2004</v>
      </c>
      <c r="F24" s="33">
        <v>2005</v>
      </c>
      <c r="G24" s="33">
        <v>2006</v>
      </c>
      <c r="H24" s="33">
        <v>2007</v>
      </c>
      <c r="I24" s="33">
        <v>2008</v>
      </c>
      <c r="J24" s="33">
        <v>2009</v>
      </c>
      <c r="K24" s="33">
        <v>2010</v>
      </c>
    </row>
    <row r="25" spans="1:11" x14ac:dyDescent="0.4">
      <c r="A25" s="73" t="s">
        <v>153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4">
      <c r="A26" s="1" t="s">
        <v>14</v>
      </c>
      <c r="B26" s="103">
        <v>50.5</v>
      </c>
      <c r="C26" s="103">
        <v>44.220421429798058</v>
      </c>
      <c r="D26" s="103">
        <v>43.741532455801369</v>
      </c>
      <c r="E26" s="103">
        <v>70.809678198583441</v>
      </c>
      <c r="F26" s="103">
        <v>77.156926320518011</v>
      </c>
      <c r="G26" s="103">
        <v>103.30266151339198</v>
      </c>
      <c r="H26" s="103">
        <v>63.230073140804876</v>
      </c>
      <c r="I26" s="103">
        <v>45.609420203084383</v>
      </c>
      <c r="J26" s="103">
        <v>32.605106533178031</v>
      </c>
      <c r="K26" s="103">
        <v>20.338927601688315</v>
      </c>
    </row>
    <row r="27" spans="1:11" x14ac:dyDescent="0.4">
      <c r="A27" s="1" t="s">
        <v>6</v>
      </c>
      <c r="B27" s="103">
        <v>73.671273334601224</v>
      </c>
      <c r="C27" s="103">
        <v>76.404241354803247</v>
      </c>
      <c r="D27" s="103">
        <v>89.666659599999988</v>
      </c>
      <c r="E27" s="103">
        <v>103.37542388096796</v>
      </c>
      <c r="F27" s="103">
        <v>124.97967129063282</v>
      </c>
      <c r="G27" s="103">
        <v>151.6125675477291</v>
      </c>
      <c r="H27" s="103">
        <v>179.27360499527367</v>
      </c>
      <c r="I27" s="103">
        <v>148.7131768416113</v>
      </c>
      <c r="J27" s="103">
        <v>137.77500000000001</v>
      </c>
      <c r="K27" s="103">
        <v>130.41969999999998</v>
      </c>
    </row>
    <row r="28" spans="1:11" x14ac:dyDescent="0.4">
      <c r="A28" s="1" t="s">
        <v>27</v>
      </c>
      <c r="B28" s="102">
        <v>130.16160000000002</v>
      </c>
      <c r="C28" s="102">
        <v>143.31799999999998</v>
      </c>
      <c r="D28" s="102">
        <v>155.56625279999997</v>
      </c>
      <c r="E28" s="102">
        <v>171.48158549666445</v>
      </c>
      <c r="F28" s="102">
        <v>188.82798162389091</v>
      </c>
      <c r="G28" s="102">
        <v>210.156034224575</v>
      </c>
      <c r="H28" s="102">
        <v>190.71660105880179</v>
      </c>
      <c r="I28" s="102">
        <v>167.07282830353861</v>
      </c>
      <c r="J28" s="102">
        <v>145.19999999999999</v>
      </c>
      <c r="K28" s="102">
        <v>138.29739999999998</v>
      </c>
    </row>
    <row r="29" spans="1:11" x14ac:dyDescent="0.4">
      <c r="A29" s="3" t="s">
        <v>15</v>
      </c>
      <c r="B29" s="101">
        <v>2.2999999999999998</v>
      </c>
      <c r="C29" s="101">
        <v>5.0999999999999996</v>
      </c>
      <c r="D29" s="101">
        <v>4.9000000000000004</v>
      </c>
      <c r="E29" s="101">
        <v>5</v>
      </c>
      <c r="F29" s="101">
        <v>6.8999999999999986</v>
      </c>
      <c r="G29" s="101">
        <v>4.9000000000000004</v>
      </c>
      <c r="H29" s="101">
        <v>5.3000000000000007</v>
      </c>
      <c r="I29" s="101">
        <v>7.8999999999999986</v>
      </c>
      <c r="J29" s="101">
        <v>7.1000000000000014</v>
      </c>
      <c r="K29" s="101">
        <v>7.8000000000000007</v>
      </c>
    </row>
    <row r="30" spans="1:11" x14ac:dyDescent="0.4">
      <c r="A30" s="1" t="s">
        <v>0</v>
      </c>
      <c r="B30" s="102">
        <v>256.63287333460124</v>
      </c>
      <c r="C30" s="102">
        <v>269.0426627846013</v>
      </c>
      <c r="D30" s="102">
        <v>293.8744448558013</v>
      </c>
      <c r="E30" s="102">
        <v>350.66668757621585</v>
      </c>
      <c r="F30" s="102">
        <v>397.86457923504167</v>
      </c>
      <c r="G30" s="102">
        <v>469.97126328569607</v>
      </c>
      <c r="H30" s="102">
        <v>438.52027919488035</v>
      </c>
      <c r="I30" s="102">
        <v>369.29542534823429</v>
      </c>
      <c r="J30" s="102">
        <v>322.68010653317805</v>
      </c>
      <c r="K30" s="102">
        <v>296.85602760168825</v>
      </c>
    </row>
    <row r="31" spans="1:11" x14ac:dyDescent="0.4">
      <c r="A31" s="9" t="s">
        <v>50</v>
      </c>
      <c r="B31" s="102">
        <v>237.5</v>
      </c>
      <c r="C31" s="102">
        <v>257.26800000000003</v>
      </c>
      <c r="D31" s="102">
        <v>320.98084800000004</v>
      </c>
      <c r="E31" s="102">
        <v>538.69445730673647</v>
      </c>
      <c r="F31" s="102">
        <v>580.80717263292797</v>
      </c>
      <c r="G31" s="102">
        <v>697.37404444346009</v>
      </c>
      <c r="H31" s="102">
        <v>722.80292458463362</v>
      </c>
      <c r="I31" s="102">
        <v>662.69283745011535</v>
      </c>
      <c r="J31" s="102">
        <v>598.86783745011542</v>
      </c>
      <c r="K31" s="102">
        <v>558.82683745011548</v>
      </c>
    </row>
    <row r="32" spans="1:11" x14ac:dyDescent="0.4">
      <c r="A32" s="9" t="s">
        <v>139</v>
      </c>
      <c r="B32" s="102">
        <v>26.5</v>
      </c>
      <c r="C32" s="102">
        <v>42.325000000000003</v>
      </c>
      <c r="D32" s="102">
        <v>58.44572500000001</v>
      </c>
      <c r="E32" s="102">
        <v>78.135859225000004</v>
      </c>
      <c r="F32" s="102">
        <v>112.67775408113025</v>
      </c>
      <c r="G32" s="102">
        <v>147.78746047251508</v>
      </c>
      <c r="H32" s="102">
        <v>189.00645427033595</v>
      </c>
      <c r="I32" s="102">
        <v>229.04118954390827</v>
      </c>
      <c r="J32" s="102">
        <v>261.56506313687379</v>
      </c>
      <c r="K32" s="102">
        <v>286.86277121036693</v>
      </c>
    </row>
    <row r="33" spans="1:18" collapsed="1" x14ac:dyDescent="0.4">
      <c r="A33" s="1" t="s">
        <v>9</v>
      </c>
      <c r="B33" s="102">
        <v>211</v>
      </c>
      <c r="C33" s="102">
        <v>214.94300000000004</v>
      </c>
      <c r="D33" s="102">
        <v>262.535123</v>
      </c>
      <c r="E33" s="102">
        <v>460.55859808173648</v>
      </c>
      <c r="F33" s="102">
        <v>468.1294185517977</v>
      </c>
      <c r="G33" s="102">
        <v>549.58658397094496</v>
      </c>
      <c r="H33" s="102">
        <v>533.79647031429772</v>
      </c>
      <c r="I33" s="102">
        <v>433.65164790620707</v>
      </c>
      <c r="J33" s="102">
        <v>337.30277431324163</v>
      </c>
      <c r="K33" s="102">
        <v>271.96406623974855</v>
      </c>
    </row>
    <row r="34" spans="1:18" x14ac:dyDescent="0.4">
      <c r="A34" s="3" t="s">
        <v>13</v>
      </c>
      <c r="B34" s="106">
        <v>5.6</v>
      </c>
      <c r="C34" s="106">
        <v>6</v>
      </c>
      <c r="D34" s="106">
        <v>6.5</v>
      </c>
      <c r="E34" s="106">
        <v>7</v>
      </c>
      <c r="F34" s="106">
        <v>7.2</v>
      </c>
      <c r="G34" s="106">
        <v>7.4</v>
      </c>
      <c r="H34" s="106">
        <v>6.8</v>
      </c>
      <c r="I34" s="106">
        <v>6.5</v>
      </c>
      <c r="J34" s="106">
        <v>6.4</v>
      </c>
      <c r="K34" s="106">
        <v>5.9</v>
      </c>
    </row>
    <row r="35" spans="1:18" x14ac:dyDescent="0.4">
      <c r="A35" s="1" t="s">
        <v>1</v>
      </c>
      <c r="B35" s="103">
        <v>473.23287333460127</v>
      </c>
      <c r="C35" s="103">
        <v>489.98566278460135</v>
      </c>
      <c r="D35" s="103">
        <v>562.90956785580124</v>
      </c>
      <c r="E35" s="103">
        <v>818.22528565795233</v>
      </c>
      <c r="F35" s="103">
        <v>873.19399778683942</v>
      </c>
      <c r="G35" s="103">
        <v>1026.9578472566411</v>
      </c>
      <c r="H35" s="103">
        <v>979.11674950917802</v>
      </c>
      <c r="I35" s="103">
        <v>809.44707325444142</v>
      </c>
      <c r="J35" s="103">
        <v>666.38288084641965</v>
      </c>
      <c r="K35" s="103">
        <v>574.72009384143678</v>
      </c>
    </row>
    <row r="36" spans="1:18" x14ac:dyDescent="0.4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8" x14ac:dyDescent="0.4">
      <c r="A37" s="1" t="s">
        <v>7</v>
      </c>
      <c r="B37" s="102">
        <v>70.626815999999991</v>
      </c>
      <c r="C37" s="102">
        <v>75.747022399999992</v>
      </c>
      <c r="D37" s="102">
        <v>83.590933171199978</v>
      </c>
      <c r="E37" s="102">
        <v>92.522220554923734</v>
      </c>
      <c r="F37" s="102">
        <v>106.37128501520793</v>
      </c>
      <c r="G37" s="102">
        <v>116.4211134817358</v>
      </c>
      <c r="H37" s="102">
        <v>108.58767542284646</v>
      </c>
      <c r="I37" s="102">
        <v>84.926239767437195</v>
      </c>
      <c r="J37" s="102">
        <v>76.902374999999992</v>
      </c>
      <c r="K37" s="102">
        <v>79.878127399999997</v>
      </c>
      <c r="L37" s="71"/>
      <c r="M37" s="71"/>
      <c r="N37" s="71"/>
      <c r="O37" s="71"/>
      <c r="P37" s="61"/>
      <c r="Q37" s="61"/>
      <c r="R37" s="61"/>
    </row>
    <row r="38" spans="1:18" x14ac:dyDescent="0.4">
      <c r="A38" s="1" t="s">
        <v>54</v>
      </c>
      <c r="B38" s="102">
        <v>16.383855640000021</v>
      </c>
      <c r="C38" s="102">
        <v>17.37325970750004</v>
      </c>
      <c r="D38" s="102">
        <v>19.434257712500056</v>
      </c>
      <c r="E38" s="102">
        <v>21.096808358949556</v>
      </c>
      <c r="F38" s="102">
        <v>18.996685042960586</v>
      </c>
      <c r="G38" s="102">
        <v>15.569592394106404</v>
      </c>
      <c r="H38" s="102">
        <v>-21.112635000997233</v>
      </c>
      <c r="I38" s="102">
        <v>-41.510449436336572</v>
      </c>
      <c r="J38" s="102">
        <v>-67.294703691278187</v>
      </c>
      <c r="K38" s="102">
        <v>-79.2</v>
      </c>
    </row>
    <row r="39" spans="1:18" x14ac:dyDescent="0.4">
      <c r="A39" s="1" t="s">
        <v>25</v>
      </c>
      <c r="B39" s="102">
        <v>49.5</v>
      </c>
      <c r="C39" s="102">
        <v>47</v>
      </c>
      <c r="D39" s="102">
        <v>92.1</v>
      </c>
      <c r="E39" s="102">
        <v>35.200000000000003</v>
      </c>
      <c r="F39" s="102">
        <v>69.900000000000006</v>
      </c>
      <c r="G39" s="102">
        <v>47.3</v>
      </c>
      <c r="H39" s="102">
        <v>158.19999999999999</v>
      </c>
      <c r="I39" s="102">
        <v>162.5</v>
      </c>
      <c r="J39" s="102">
        <v>190.1</v>
      </c>
      <c r="K39" s="102">
        <v>215</v>
      </c>
    </row>
    <row r="40" spans="1:18" x14ac:dyDescent="0.4">
      <c r="A40" s="3" t="s">
        <v>28</v>
      </c>
      <c r="B40" s="101">
        <v>0</v>
      </c>
      <c r="C40" s="101">
        <v>0</v>
      </c>
      <c r="D40" s="101">
        <v>0</v>
      </c>
      <c r="E40" s="101">
        <v>0</v>
      </c>
      <c r="F40" s="101">
        <v>0</v>
      </c>
      <c r="G40" s="101">
        <v>40.714285714285715</v>
      </c>
      <c r="H40" s="101">
        <v>40.714285714285715</v>
      </c>
      <c r="I40" s="101">
        <v>40.714285714285715</v>
      </c>
      <c r="J40" s="101">
        <v>40.714285714285715</v>
      </c>
      <c r="K40" s="101">
        <v>40.714285714285715</v>
      </c>
    </row>
    <row r="41" spans="1:18" x14ac:dyDescent="0.4">
      <c r="A41" s="1" t="s">
        <v>110</v>
      </c>
      <c r="B41" s="102">
        <v>136.51067164</v>
      </c>
      <c r="C41" s="102">
        <v>140.12028210750003</v>
      </c>
      <c r="D41" s="102">
        <v>195.12519088370004</v>
      </c>
      <c r="E41" s="102">
        <v>148.8190289138733</v>
      </c>
      <c r="F41" s="102">
        <v>195.26797005816852</v>
      </c>
      <c r="G41" s="102">
        <v>220.00499159012793</v>
      </c>
      <c r="H41" s="102">
        <v>286.38932613613491</v>
      </c>
      <c r="I41" s="102">
        <v>246.63007604538635</v>
      </c>
      <c r="J41" s="102">
        <v>240.42195702300751</v>
      </c>
      <c r="K41" s="102">
        <v>256.39241311428572</v>
      </c>
    </row>
    <row r="42" spans="1:18" x14ac:dyDescent="0.4">
      <c r="A42" s="1" t="s">
        <v>29</v>
      </c>
      <c r="B42" s="102">
        <v>0</v>
      </c>
      <c r="C42" s="102">
        <v>0</v>
      </c>
      <c r="D42" s="102">
        <v>0</v>
      </c>
      <c r="E42" s="102">
        <v>285</v>
      </c>
      <c r="F42" s="102">
        <v>285</v>
      </c>
      <c r="G42" s="102">
        <v>414.28571428571428</v>
      </c>
      <c r="H42" s="102">
        <v>373.57142857142856</v>
      </c>
      <c r="I42" s="102">
        <v>332.85714285714289</v>
      </c>
      <c r="J42" s="102">
        <v>292.14285714285711</v>
      </c>
      <c r="K42" s="102">
        <v>251.42857142857142</v>
      </c>
    </row>
    <row r="43" spans="1:18" x14ac:dyDescent="0.4">
      <c r="A43" s="9" t="s">
        <v>140</v>
      </c>
      <c r="B43" s="102">
        <v>0</v>
      </c>
      <c r="C43" s="102">
        <v>0</v>
      </c>
      <c r="D43" s="102">
        <v>0</v>
      </c>
      <c r="E43" s="102">
        <v>285</v>
      </c>
      <c r="F43" s="102">
        <v>285</v>
      </c>
      <c r="G43" s="102">
        <v>244.28571428571428</v>
      </c>
      <c r="H43" s="102">
        <v>203.57142857142856</v>
      </c>
      <c r="I43" s="102">
        <v>162.85714285714286</v>
      </c>
      <c r="J43" s="102">
        <v>122.14285714285714</v>
      </c>
      <c r="K43" s="102">
        <v>81.428571428571416</v>
      </c>
    </row>
    <row r="44" spans="1:18" x14ac:dyDescent="0.4">
      <c r="A44" s="70" t="s">
        <v>141</v>
      </c>
      <c r="B44" s="101">
        <v>0</v>
      </c>
      <c r="C44" s="101">
        <v>0</v>
      </c>
      <c r="D44" s="101">
        <v>0</v>
      </c>
      <c r="E44" s="101">
        <v>0</v>
      </c>
      <c r="F44" s="101">
        <v>0</v>
      </c>
      <c r="G44" s="101">
        <v>170</v>
      </c>
      <c r="H44" s="101">
        <v>170</v>
      </c>
      <c r="I44" s="101">
        <v>170</v>
      </c>
      <c r="J44" s="101">
        <v>170</v>
      </c>
      <c r="K44" s="101">
        <v>170</v>
      </c>
    </row>
    <row r="45" spans="1:18" x14ac:dyDescent="0.4">
      <c r="A45" s="1" t="s">
        <v>8</v>
      </c>
      <c r="B45" s="102">
        <v>136.51067164</v>
      </c>
      <c r="C45" s="102">
        <v>140.12028210750003</v>
      </c>
      <c r="D45" s="102">
        <v>195.12519088370004</v>
      </c>
      <c r="E45" s="102">
        <v>433.8190289138733</v>
      </c>
      <c r="F45" s="102">
        <v>480.26797005816854</v>
      </c>
      <c r="G45" s="102">
        <v>634.29070587584215</v>
      </c>
      <c r="H45" s="102">
        <v>659.96075470756341</v>
      </c>
      <c r="I45" s="102">
        <v>579.48721890252921</v>
      </c>
      <c r="J45" s="102">
        <v>532.56481416586462</v>
      </c>
      <c r="K45" s="102">
        <v>507.8209845428571</v>
      </c>
    </row>
    <row r="46" spans="1:18" x14ac:dyDescent="0.4">
      <c r="A46" s="1" t="s">
        <v>113</v>
      </c>
      <c r="B46" s="102">
        <v>75</v>
      </c>
      <c r="C46" s="102">
        <v>75</v>
      </c>
      <c r="D46" s="102">
        <v>75</v>
      </c>
      <c r="E46" s="102">
        <v>75</v>
      </c>
      <c r="F46" s="102">
        <v>75</v>
      </c>
      <c r="G46" s="102">
        <v>75</v>
      </c>
      <c r="H46" s="102">
        <v>75</v>
      </c>
      <c r="I46" s="102">
        <v>75</v>
      </c>
      <c r="J46" s="102">
        <v>75</v>
      </c>
      <c r="K46" s="102">
        <v>75</v>
      </c>
    </row>
    <row r="47" spans="1:18" x14ac:dyDescent="0.4">
      <c r="A47" s="3" t="s">
        <v>112</v>
      </c>
      <c r="B47" s="102">
        <v>261.72220169460127</v>
      </c>
      <c r="C47" s="102">
        <v>274.86538067710126</v>
      </c>
      <c r="D47" s="102">
        <v>292.78437697210126</v>
      </c>
      <c r="E47" s="102">
        <v>309.40625674407886</v>
      </c>
      <c r="F47" s="102">
        <v>317.92602772867076</v>
      </c>
      <c r="G47" s="102">
        <v>317.66714138079868</v>
      </c>
      <c r="H47" s="102">
        <v>244.15599480161436</v>
      </c>
      <c r="I47" s="102">
        <v>154.95985435191213</v>
      </c>
      <c r="J47" s="102">
        <v>58.818066680554871</v>
      </c>
      <c r="K47" s="102">
        <v>-8.1008907014204894</v>
      </c>
    </row>
    <row r="48" spans="1:18" x14ac:dyDescent="0.4">
      <c r="A48" s="35" t="s">
        <v>2</v>
      </c>
      <c r="B48" s="107">
        <v>473.23287333460127</v>
      </c>
      <c r="C48" s="107">
        <v>489.98566278460129</v>
      </c>
      <c r="D48" s="107">
        <v>562.90956785580124</v>
      </c>
      <c r="E48" s="107">
        <v>818.2252856579521</v>
      </c>
      <c r="F48" s="107">
        <v>873.1939977868393</v>
      </c>
      <c r="G48" s="107">
        <v>1026.9578472566409</v>
      </c>
      <c r="H48" s="107">
        <v>979.11674950917779</v>
      </c>
      <c r="I48" s="107">
        <v>809.44707325444131</v>
      </c>
      <c r="J48" s="107">
        <v>666.38288084641954</v>
      </c>
      <c r="K48" s="107">
        <v>574.72009384143666</v>
      </c>
    </row>
    <row r="49" spans="1:15" x14ac:dyDescent="0.4">
      <c r="B49" s="4"/>
      <c r="C49" s="4"/>
      <c r="D49" s="4"/>
      <c r="E49" s="4"/>
      <c r="F49" s="4"/>
      <c r="G49" s="4"/>
      <c r="H49" s="4"/>
      <c r="I49" s="4"/>
      <c r="J49" s="4"/>
      <c r="K49" s="4"/>
      <c r="M49" s="4"/>
    </row>
    <row r="50" spans="1:15" s="37" customFormat="1" x14ac:dyDescent="0.4">
      <c r="A50" s="1"/>
      <c r="C50" s="2"/>
      <c r="D50" s="2"/>
      <c r="E50" s="2"/>
      <c r="F50" s="2"/>
      <c r="G50" s="2"/>
      <c r="H50" s="2"/>
      <c r="I50" s="2"/>
      <c r="J50" s="2"/>
      <c r="K50" s="2"/>
      <c r="L50" s="10"/>
      <c r="M50" s="10"/>
      <c r="N50" s="10"/>
      <c r="O5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4"/>
  <sheetViews>
    <sheetView zoomScale="143" zoomScaleNormal="143" workbookViewId="0">
      <selection activeCell="A21" sqref="A21"/>
    </sheetView>
  </sheetViews>
  <sheetFormatPr baseColWidth="10" defaultColWidth="9.15625" defaultRowHeight="12.6" x14ac:dyDescent="0.45"/>
  <cols>
    <col min="1" max="1" width="79.578125" style="11" bestFit="1" customWidth="1"/>
    <col min="2" max="2" width="8.26171875" style="59" customWidth="1"/>
    <col min="3" max="3" width="9.15625" style="20"/>
    <col min="4" max="5" width="12.83984375" style="20" bestFit="1" customWidth="1"/>
    <col min="6" max="6" width="9.15625" style="20"/>
    <col min="7" max="16384" width="9.15625" style="11"/>
  </cols>
  <sheetData>
    <row r="1" spans="1:19" ht="12.75" customHeight="1" x14ac:dyDescent="0.45">
      <c r="A1" s="38" t="s">
        <v>156</v>
      </c>
      <c r="B1" s="57"/>
      <c r="G1" s="21"/>
      <c r="H1" s="20"/>
      <c r="I1" s="20"/>
      <c r="J1" s="20"/>
      <c r="M1" s="22"/>
      <c r="N1" s="20"/>
      <c r="O1" s="20"/>
      <c r="P1" s="20"/>
      <c r="Q1" s="20"/>
      <c r="R1" s="20"/>
      <c r="S1" s="20"/>
    </row>
    <row r="2" spans="1:19" ht="12.75" customHeight="1" x14ac:dyDescent="0.45">
      <c r="A2" s="39" t="s">
        <v>96</v>
      </c>
      <c r="B2" s="58"/>
    </row>
    <row r="3" spans="1:19" ht="12.75" customHeight="1" x14ac:dyDescent="0.45">
      <c r="A3" s="52" t="s">
        <v>157</v>
      </c>
      <c r="B3" s="108">
        <f>'Exhibit 1'!K39</f>
        <v>215</v>
      </c>
      <c r="C3" s="20" t="str">
        <f>TEXT('Plan (Ex. 7)'!D4,)</f>
        <v/>
      </c>
    </row>
    <row r="4" spans="1:19" ht="12.75" customHeight="1" x14ac:dyDescent="0.45">
      <c r="A4" s="52" t="s">
        <v>102</v>
      </c>
      <c r="B4" s="108">
        <f>'Exhibit 1'!K40</f>
        <v>40.714285714285715</v>
      </c>
    </row>
    <row r="5" spans="1:19" ht="12" customHeight="1" x14ac:dyDescent="0.45">
      <c r="A5" s="39"/>
      <c r="B5" s="108"/>
    </row>
    <row r="6" spans="1:19" ht="12.75" customHeight="1" x14ac:dyDescent="0.45">
      <c r="A6" s="39" t="s">
        <v>95</v>
      </c>
      <c r="B6" s="108"/>
    </row>
    <row r="7" spans="1:19" ht="12.75" customHeight="1" x14ac:dyDescent="0.45">
      <c r="A7" s="52" t="s">
        <v>103</v>
      </c>
      <c r="B7" s="108">
        <f>'Exhibit 1'!K43</f>
        <v>81.428571428571416</v>
      </c>
    </row>
    <row r="8" spans="1:19" ht="12.75" customHeight="1" x14ac:dyDescent="0.45">
      <c r="A8" s="52" t="s">
        <v>104</v>
      </c>
      <c r="B8" s="109">
        <f>'Exhibit 1'!K44</f>
        <v>170</v>
      </c>
    </row>
    <row r="9" spans="1:19" ht="12" customHeight="1" x14ac:dyDescent="0.45">
      <c r="A9" s="39"/>
      <c r="B9" s="108"/>
    </row>
    <row r="10" spans="1:19" ht="12.75" customHeight="1" x14ac:dyDescent="0.45">
      <c r="A10" s="54" t="s">
        <v>49</v>
      </c>
      <c r="B10" s="108">
        <f>B3+B4+B7+B8</f>
        <v>507.14285714285711</v>
      </c>
    </row>
    <row r="11" spans="1:19" ht="12" customHeight="1" x14ac:dyDescent="0.45">
      <c r="A11" s="39"/>
      <c r="B11" s="108"/>
    </row>
    <row r="12" spans="1:19" ht="12.75" customHeight="1" x14ac:dyDescent="0.45">
      <c r="A12" s="39" t="s">
        <v>53</v>
      </c>
      <c r="B12" s="108"/>
    </row>
    <row r="13" spans="1:19" ht="12.75" customHeight="1" x14ac:dyDescent="0.45">
      <c r="A13" s="52" t="s">
        <v>101</v>
      </c>
      <c r="B13" s="108">
        <f>'Exhibit 1'!K46</f>
        <v>75</v>
      </c>
    </row>
    <row r="14" spans="1:19" ht="12.75" customHeight="1" x14ac:dyDescent="0.45">
      <c r="A14" s="52" t="s">
        <v>94</v>
      </c>
      <c r="B14" s="109">
        <f>'Exhibit 1'!K47</f>
        <v>-8.1008907014204894</v>
      </c>
    </row>
    <row r="15" spans="1:19" ht="12" customHeight="1" x14ac:dyDescent="0.45">
      <c r="A15" s="52"/>
      <c r="B15" s="108"/>
    </row>
    <row r="16" spans="1:19" ht="12.75" customHeight="1" x14ac:dyDescent="0.45">
      <c r="A16" s="39" t="s">
        <v>97</v>
      </c>
      <c r="B16" s="108">
        <f>B13+B14</f>
        <v>66.899109298579504</v>
      </c>
    </row>
    <row r="17" spans="1:2" ht="12" customHeight="1" x14ac:dyDescent="0.45">
      <c r="A17" s="39"/>
      <c r="B17" s="108"/>
    </row>
    <row r="18" spans="1:2" ht="12.75" customHeight="1" x14ac:dyDescent="0.45">
      <c r="A18" s="60" t="s">
        <v>98</v>
      </c>
      <c r="B18" s="110">
        <f>B10+B16</f>
        <v>574.04196644143667</v>
      </c>
    </row>
    <row r="19" spans="1:2" ht="12" customHeight="1" x14ac:dyDescent="0.45">
      <c r="A19" s="39" t="s">
        <v>142</v>
      </c>
    </row>
    <row r="20" spans="1:2" ht="12" customHeight="1" x14ac:dyDescent="0.45">
      <c r="A20" s="39" t="s">
        <v>144</v>
      </c>
    </row>
    <row r="21" spans="1:2" ht="12" customHeight="1" x14ac:dyDescent="0.45">
      <c r="A21" s="39" t="s">
        <v>143</v>
      </c>
    </row>
    <row r="22" spans="1:2" ht="12.75" customHeight="1" x14ac:dyDescent="0.45"/>
    <row r="23" spans="1:2" x14ac:dyDescent="0.45">
      <c r="A23" s="56"/>
    </row>
    <row r="72" spans="3:8" ht="12.9" thickBot="1" x14ac:dyDescent="0.5"/>
    <row r="73" spans="3:8" ht="12.9" thickBot="1" x14ac:dyDescent="0.5">
      <c r="C73" s="40">
        <v>141.4</v>
      </c>
      <c r="D73" s="43">
        <f>4972012/1000000</f>
        <v>4.9720120000000003</v>
      </c>
      <c r="E73" s="42">
        <f>C73/D73</f>
        <v>28.439191216754907</v>
      </c>
      <c r="F73" s="40">
        <v>25</v>
      </c>
      <c r="G73" s="43">
        <f>4972012/1000000</f>
        <v>4.9720120000000003</v>
      </c>
      <c r="H73" s="41">
        <f>F73/G73</f>
        <v>5.0281455475167798</v>
      </c>
    </row>
    <row r="74" spans="3:8" ht="12.9" thickBot="1" x14ac:dyDescent="0.5">
      <c r="F74" s="40">
        <f>G74*H74</f>
        <v>124.30030000000001</v>
      </c>
      <c r="G74" s="43">
        <f>4972012/1000000</f>
        <v>4.9720120000000003</v>
      </c>
      <c r="H74" s="41">
        <v>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BCB3-5EB1-4CF7-AB15-FB5A3DFC8E76}">
  <dimension ref="A1:Q23"/>
  <sheetViews>
    <sheetView showGridLines="0" zoomScale="142" zoomScaleNormal="142" workbookViewId="0">
      <selection activeCell="D1" sqref="D1"/>
    </sheetView>
  </sheetViews>
  <sheetFormatPr baseColWidth="10" defaultColWidth="9.15625" defaultRowHeight="12.6" outlineLevelCol="1" x14ac:dyDescent="0.45"/>
  <cols>
    <col min="1" max="1" width="10.20703125" style="11" customWidth="1"/>
    <col min="2" max="2" width="4.734375" style="27" customWidth="1"/>
    <col min="3" max="3" width="5.734375" style="17" customWidth="1"/>
    <col min="4" max="4" width="5.47265625" style="79" customWidth="1"/>
    <col min="5" max="5" width="6.1015625" style="16" customWidth="1"/>
    <col min="6" max="6" width="7.41796875" style="16" customWidth="1"/>
    <col min="7" max="7" width="45.5234375" style="15" hidden="1" customWidth="1" outlineLevel="1"/>
    <col min="8" max="8" width="8.20703125" style="15" customWidth="1" collapsed="1"/>
    <col min="9" max="9" width="13.5234375" style="15" customWidth="1"/>
    <col min="10" max="10" width="12.578125" style="15" customWidth="1"/>
    <col min="11" max="11" width="5.15625" style="28" customWidth="1"/>
    <col min="12" max="12" width="7.3125" style="17" customWidth="1"/>
    <col min="13" max="13" width="5.83984375" style="79" customWidth="1"/>
    <col min="14" max="14" width="7.5234375" style="79" customWidth="1"/>
    <col min="15" max="15" width="6.89453125" style="79" customWidth="1"/>
    <col min="16" max="16" width="6.9453125" style="11" customWidth="1"/>
    <col min="17" max="17" width="9.15625" style="69"/>
    <col min="18" max="16384" width="9.15625" style="11"/>
  </cols>
  <sheetData>
    <row r="1" spans="1:17" x14ac:dyDescent="0.45">
      <c r="A1" s="559" t="s">
        <v>162</v>
      </c>
      <c r="B1" s="560"/>
      <c r="C1" s="127"/>
      <c r="D1" s="558"/>
      <c r="E1" s="561"/>
      <c r="F1" s="561"/>
      <c r="G1" s="562"/>
      <c r="H1" s="562"/>
      <c r="I1" s="562"/>
      <c r="J1" s="562"/>
      <c r="K1" s="563"/>
      <c r="L1" s="127"/>
      <c r="M1" s="558"/>
      <c r="N1" s="558"/>
      <c r="O1" s="558"/>
      <c r="Q1" s="14"/>
    </row>
    <row r="2" spans="1:17" x14ac:dyDescent="0.45">
      <c r="A2" s="559"/>
      <c r="B2" s="560"/>
      <c r="C2" s="127"/>
      <c r="D2" s="558"/>
      <c r="E2" s="561"/>
      <c r="F2" s="561"/>
      <c r="G2" s="562"/>
      <c r="H2" s="562"/>
      <c r="I2" s="562"/>
      <c r="J2" s="562"/>
      <c r="K2" s="563"/>
      <c r="L2" s="127"/>
      <c r="M2" s="558"/>
      <c r="N2" s="558"/>
      <c r="O2" s="558"/>
      <c r="Q2" s="14"/>
    </row>
    <row r="3" spans="1:17" ht="12.9" thickBot="1" x14ac:dyDescent="0.5">
      <c r="F3" s="594" t="s">
        <v>436</v>
      </c>
      <c r="G3" s="556" t="s">
        <v>56</v>
      </c>
      <c r="H3" s="573" t="s">
        <v>56</v>
      </c>
      <c r="I3" s="573"/>
      <c r="J3" s="573"/>
      <c r="Q3" s="171" t="s">
        <v>243</v>
      </c>
    </row>
    <row r="4" spans="1:17" ht="22.8" customHeight="1" thickTop="1" thickBot="1" x14ac:dyDescent="0.5">
      <c r="A4" s="575" t="s">
        <v>416</v>
      </c>
      <c r="B4" s="588" t="s">
        <v>433</v>
      </c>
      <c r="C4" s="589" t="s">
        <v>580</v>
      </c>
      <c r="D4" s="590" t="s">
        <v>415</v>
      </c>
      <c r="E4" s="589" t="s">
        <v>60</v>
      </c>
      <c r="F4" s="589" t="s">
        <v>437</v>
      </c>
      <c r="G4" s="591"/>
      <c r="H4" s="589" t="s">
        <v>413</v>
      </c>
      <c r="I4" s="589" t="s">
        <v>132</v>
      </c>
      <c r="J4" s="589" t="s">
        <v>420</v>
      </c>
      <c r="K4" s="592" t="s">
        <v>435</v>
      </c>
      <c r="L4" s="589" t="s">
        <v>426</v>
      </c>
      <c r="M4" s="590" t="s">
        <v>424</v>
      </c>
      <c r="N4" s="590" t="s">
        <v>434</v>
      </c>
      <c r="O4" s="590" t="s">
        <v>446</v>
      </c>
      <c r="Q4" s="557"/>
    </row>
    <row r="5" spans="1:17" ht="4.2" customHeight="1" thickTop="1" x14ac:dyDescent="0.45">
      <c r="A5" s="85"/>
      <c r="B5" s="86"/>
      <c r="C5" s="87"/>
      <c r="D5" s="88"/>
      <c r="E5" s="89"/>
      <c r="F5" s="89"/>
      <c r="G5" s="90"/>
      <c r="H5" s="90"/>
      <c r="I5" s="90"/>
      <c r="J5" s="90"/>
      <c r="K5" s="91"/>
      <c r="L5" s="87"/>
      <c r="M5" s="88"/>
      <c r="N5" s="88"/>
      <c r="O5" s="88"/>
      <c r="Q5" s="172"/>
    </row>
    <row r="6" spans="1:17" ht="27.6" customHeight="1" x14ac:dyDescent="0.45">
      <c r="A6" s="576" t="s">
        <v>118</v>
      </c>
      <c r="B6" s="577">
        <f>'Exhibit 2'!B3</f>
        <v>215</v>
      </c>
      <c r="C6" s="578" t="s">
        <v>126</v>
      </c>
      <c r="D6" s="579">
        <v>40633</v>
      </c>
      <c r="E6" s="580" t="s">
        <v>432</v>
      </c>
      <c r="F6" s="581">
        <v>100</v>
      </c>
      <c r="G6" s="582" t="s">
        <v>178</v>
      </c>
      <c r="H6" s="583" t="s">
        <v>414</v>
      </c>
      <c r="I6" s="583" t="s">
        <v>419</v>
      </c>
      <c r="J6" s="583" t="s">
        <v>419</v>
      </c>
      <c r="K6" s="584">
        <v>1</v>
      </c>
      <c r="L6" s="578" t="s">
        <v>427</v>
      </c>
      <c r="M6" s="579">
        <v>42460</v>
      </c>
      <c r="N6" s="583" t="s">
        <v>447</v>
      </c>
      <c r="O6" s="583" t="s">
        <v>444</v>
      </c>
      <c r="P6" s="59"/>
      <c r="Q6" s="173">
        <f>'Debt Payments 2011 (Ex. 3)'!H18+0.015</f>
        <v>1.7999999999999999E-2</v>
      </c>
    </row>
    <row r="7" spans="1:17" ht="10.199999999999999" customHeight="1" x14ac:dyDescent="0.45">
      <c r="A7" s="92"/>
      <c r="B7" s="116"/>
      <c r="C7" s="118"/>
      <c r="D7" s="564"/>
      <c r="E7" s="93"/>
      <c r="F7" s="94"/>
      <c r="G7" s="90"/>
      <c r="H7" s="89"/>
      <c r="I7" s="89"/>
      <c r="J7" s="89"/>
      <c r="K7" s="120"/>
      <c r="L7" s="118"/>
      <c r="M7" s="564"/>
      <c r="N7" s="89"/>
      <c r="O7" s="89"/>
      <c r="P7" s="59"/>
      <c r="Q7" s="173"/>
    </row>
    <row r="8" spans="1:17" ht="27.6" customHeight="1" x14ac:dyDescent="0.45">
      <c r="A8" s="92" t="s">
        <v>131</v>
      </c>
      <c r="B8" s="126">
        <f>'Exhibit 1'!K40+'Exhibit 1'!K43</f>
        <v>122.14285714285714</v>
      </c>
      <c r="C8" s="138">
        <v>3.5000000000000003E-2</v>
      </c>
      <c r="D8" s="564">
        <v>41670</v>
      </c>
      <c r="E8" s="89" t="s">
        <v>62</v>
      </c>
      <c r="F8" s="94">
        <v>65.5</v>
      </c>
      <c r="G8" s="90" t="s">
        <v>175</v>
      </c>
      <c r="H8" s="89" t="s">
        <v>417</v>
      </c>
      <c r="I8" s="89" t="s">
        <v>428</v>
      </c>
      <c r="J8" s="89" t="s">
        <v>419</v>
      </c>
      <c r="K8" s="120">
        <v>0.85</v>
      </c>
      <c r="L8" s="138">
        <v>5.5E-2</v>
      </c>
      <c r="M8" s="564">
        <v>43190</v>
      </c>
      <c r="N8" s="593" t="s">
        <v>447</v>
      </c>
      <c r="O8" s="88" t="s">
        <v>419</v>
      </c>
      <c r="Q8" s="173">
        <f>L8</f>
        <v>5.5E-2</v>
      </c>
    </row>
    <row r="9" spans="1:17" ht="10.199999999999999" customHeight="1" x14ac:dyDescent="0.45">
      <c r="A9" s="92"/>
      <c r="B9" s="116"/>
      <c r="C9" s="118"/>
      <c r="D9" s="564"/>
      <c r="E9" s="93"/>
      <c r="F9" s="94"/>
      <c r="G9" s="90"/>
      <c r="H9" s="89"/>
      <c r="I9" s="89"/>
      <c r="J9" s="89"/>
      <c r="K9" s="120"/>
      <c r="L9" s="118"/>
      <c r="M9" s="564"/>
      <c r="N9" s="89"/>
      <c r="O9" s="89"/>
      <c r="P9" s="59"/>
      <c r="Q9" s="173"/>
    </row>
    <row r="10" spans="1:17" ht="27.6" customHeight="1" x14ac:dyDescent="0.45">
      <c r="A10" s="576" t="s">
        <v>421</v>
      </c>
      <c r="B10" s="577">
        <f>'Exhibit 2'!B8</f>
        <v>170</v>
      </c>
      <c r="C10" s="585">
        <v>6.5000000000000002E-2</v>
      </c>
      <c r="D10" s="579">
        <v>41455</v>
      </c>
      <c r="E10" s="583" t="s">
        <v>62</v>
      </c>
      <c r="F10" s="581">
        <v>24.25</v>
      </c>
      <c r="G10" s="582" t="s">
        <v>173</v>
      </c>
      <c r="H10" s="583" t="s">
        <v>418</v>
      </c>
      <c r="I10" s="583" t="s">
        <v>429</v>
      </c>
      <c r="J10" s="583" t="s">
        <v>425</v>
      </c>
      <c r="K10" s="584">
        <v>0.85</v>
      </c>
      <c r="L10" s="585">
        <v>7.0000000000000007E-2</v>
      </c>
      <c r="M10" s="579">
        <v>43814</v>
      </c>
      <c r="N10" s="583" t="s">
        <v>423</v>
      </c>
      <c r="O10" s="583" t="s">
        <v>445</v>
      </c>
      <c r="Q10" s="173">
        <f>L10</f>
        <v>7.0000000000000007E-2</v>
      </c>
    </row>
    <row r="11" spans="1:17" ht="6.3" customHeight="1" x14ac:dyDescent="0.45">
      <c r="A11" s="92"/>
      <c r="B11" s="116"/>
      <c r="C11" s="118"/>
      <c r="D11" s="564"/>
      <c r="E11" s="93"/>
      <c r="F11" s="94"/>
      <c r="G11" s="90"/>
      <c r="H11" s="89"/>
      <c r="I11" s="89"/>
      <c r="J11" s="89"/>
      <c r="K11" s="120"/>
      <c r="L11" s="118"/>
      <c r="M11" s="564"/>
      <c r="N11" s="89"/>
      <c r="O11" s="89"/>
      <c r="P11" s="59"/>
      <c r="Q11" s="173"/>
    </row>
    <row r="12" spans="1:17" ht="27.6" customHeight="1" x14ac:dyDescent="0.45">
      <c r="A12" s="92" t="s">
        <v>165</v>
      </c>
      <c r="B12" s="126">
        <f>'Exhibit 1'!K46+((2.25+4.5)*0)</f>
        <v>75</v>
      </c>
      <c r="C12" s="138">
        <v>0.06</v>
      </c>
      <c r="D12" s="88" t="s">
        <v>127</v>
      </c>
      <c r="E12" s="89" t="s">
        <v>62</v>
      </c>
      <c r="F12" s="95" t="s">
        <v>128</v>
      </c>
      <c r="G12" s="90" t="s">
        <v>171</v>
      </c>
      <c r="H12" s="90"/>
      <c r="I12" s="89" t="s">
        <v>430</v>
      </c>
      <c r="J12" s="89" t="s">
        <v>422</v>
      </c>
      <c r="K12" s="120">
        <v>0.67</v>
      </c>
      <c r="L12" s="118" t="s">
        <v>127</v>
      </c>
      <c r="M12" s="88" t="s">
        <v>127</v>
      </c>
      <c r="N12" s="88" t="s">
        <v>127</v>
      </c>
      <c r="O12" s="88" t="s">
        <v>127</v>
      </c>
    </row>
    <row r="13" spans="1:17" ht="10.199999999999999" customHeight="1" x14ac:dyDescent="0.45">
      <c r="A13" s="92"/>
      <c r="B13" s="116"/>
      <c r="C13" s="118"/>
      <c r="D13" s="564"/>
      <c r="E13" s="93"/>
      <c r="F13" s="94"/>
      <c r="G13" s="90"/>
      <c r="H13" s="89"/>
      <c r="I13" s="89"/>
      <c r="J13" s="89"/>
      <c r="K13" s="120"/>
      <c r="L13" s="118"/>
      <c r="M13" s="564"/>
      <c r="N13" s="89"/>
      <c r="O13" s="89"/>
      <c r="P13" s="59"/>
      <c r="Q13" s="173"/>
    </row>
    <row r="14" spans="1:17" ht="27.6" customHeight="1" x14ac:dyDescent="0.45">
      <c r="A14" s="576" t="s">
        <v>578</v>
      </c>
      <c r="B14" s="577">
        <f>2*64.8</f>
        <v>129.6</v>
      </c>
      <c r="C14" s="578" t="s">
        <v>127</v>
      </c>
      <c r="D14" s="586" t="s">
        <v>127</v>
      </c>
      <c r="E14" s="583" t="s">
        <v>62</v>
      </c>
      <c r="F14" s="587" t="s">
        <v>129</v>
      </c>
      <c r="G14" s="582" t="s">
        <v>172</v>
      </c>
      <c r="H14" s="582"/>
      <c r="I14" s="583" t="s">
        <v>431</v>
      </c>
      <c r="J14" s="583" t="s">
        <v>419</v>
      </c>
      <c r="K14" s="584"/>
      <c r="L14" s="578" t="s">
        <v>127</v>
      </c>
      <c r="M14" s="586" t="s">
        <v>127</v>
      </c>
      <c r="N14" s="586" t="s">
        <v>127</v>
      </c>
      <c r="O14" s="586" t="s">
        <v>127</v>
      </c>
    </row>
    <row r="15" spans="1:17" ht="10.199999999999999" customHeight="1" thickBot="1" x14ac:dyDescent="0.5">
      <c r="A15" s="565"/>
      <c r="B15" s="566"/>
      <c r="C15" s="567"/>
      <c r="D15" s="568"/>
      <c r="E15" s="569"/>
      <c r="F15" s="570"/>
      <c r="G15" s="571"/>
      <c r="H15" s="571"/>
      <c r="I15" s="569"/>
      <c r="J15" s="569"/>
      <c r="K15" s="572"/>
      <c r="L15" s="567"/>
      <c r="M15" s="568"/>
      <c r="N15" s="568"/>
      <c r="O15" s="568"/>
    </row>
    <row r="16" spans="1:17" ht="12.9" thickTop="1" x14ac:dyDescent="0.45">
      <c r="A16" s="574" t="s">
        <v>577</v>
      </c>
    </row>
    <row r="17" spans="1:6" x14ac:dyDescent="0.45">
      <c r="A17" s="574" t="s">
        <v>579</v>
      </c>
    </row>
    <row r="18" spans="1:6" x14ac:dyDescent="0.45">
      <c r="F18" s="53"/>
    </row>
    <row r="19" spans="1:6" x14ac:dyDescent="0.45">
      <c r="A19" s="502" t="s">
        <v>381</v>
      </c>
      <c r="B19" s="503"/>
      <c r="C19" s="504"/>
    </row>
    <row r="20" spans="1:6" x14ac:dyDescent="0.45">
      <c r="A20" s="501" t="s">
        <v>382</v>
      </c>
      <c r="B20" s="505">
        <f>'Exhibit 1'!K46</f>
        <v>75</v>
      </c>
      <c r="C20" s="504"/>
    </row>
    <row r="21" spans="1:6" x14ac:dyDescent="0.45">
      <c r="A21" s="501" t="s">
        <v>383</v>
      </c>
      <c r="B21" s="505">
        <f>B20*C21</f>
        <v>4.5</v>
      </c>
      <c r="C21" s="506">
        <f>C12</f>
        <v>0.06</v>
      </c>
      <c r="D21" s="721" t="s">
        <v>525</v>
      </c>
    </row>
    <row r="22" spans="1:6" x14ac:dyDescent="0.45">
      <c r="A22" s="501" t="s">
        <v>384</v>
      </c>
      <c r="B22" s="507">
        <f>B20*C22</f>
        <v>2.25</v>
      </c>
      <c r="C22" s="506">
        <f>C21/2</f>
        <v>0.03</v>
      </c>
    </row>
    <row r="23" spans="1:6" x14ac:dyDescent="0.45">
      <c r="A23" s="501" t="s">
        <v>48</v>
      </c>
      <c r="B23" s="505">
        <f>B20+B21+B22</f>
        <v>81.75</v>
      </c>
      <c r="C23" s="504"/>
      <c r="D23" s="5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1"/>
  <sheetViews>
    <sheetView showGridLines="0" zoomScale="111" zoomScaleNormal="111" workbookViewId="0">
      <selection activeCell="C7" sqref="C7"/>
    </sheetView>
  </sheetViews>
  <sheetFormatPr baseColWidth="10" defaultColWidth="9.15625" defaultRowHeight="12.9" outlineLevelRow="1" outlineLevelCol="1" x14ac:dyDescent="0.5"/>
  <cols>
    <col min="1" max="1" width="28.20703125" style="18" customWidth="1"/>
    <col min="2" max="2" width="0.578125" style="18" customWidth="1"/>
    <col min="3" max="3" width="10.15625" style="18" customWidth="1"/>
    <col min="4" max="4" width="0.578125" style="18" customWidth="1"/>
    <col min="5" max="5" width="10.15625" style="18" customWidth="1"/>
    <col min="6" max="6" width="0.578125" style="18" customWidth="1"/>
    <col min="7" max="7" width="10.15625" style="18" customWidth="1"/>
    <col min="8" max="8" width="1.41796875" style="18" customWidth="1"/>
    <col min="9" max="9" width="4.578125" style="18" customWidth="1"/>
    <col min="10" max="10" width="6.578125" style="18" customWidth="1"/>
    <col min="11" max="11" width="0.578125" style="18" customWidth="1"/>
    <col min="12" max="12" width="5.20703125" style="18" customWidth="1"/>
    <col min="13" max="13" width="6.578125" style="18" customWidth="1"/>
    <col min="14" max="14" width="0.578125" style="18" customWidth="1"/>
    <col min="15" max="15" width="5.20703125" style="18" customWidth="1"/>
    <col min="16" max="16" width="6.578125" style="18" customWidth="1"/>
    <col min="17" max="17" width="2.05078125" style="18" customWidth="1"/>
    <col min="18" max="18" width="5.734375" style="18" customWidth="1"/>
    <col min="19" max="19" width="7.3671875" style="18" customWidth="1"/>
    <col min="20" max="20" width="1.734375" style="18" customWidth="1"/>
    <col min="21" max="21" width="5.734375" style="18" customWidth="1"/>
    <col min="22" max="22" width="7.3671875" style="18" customWidth="1"/>
    <col min="23" max="23" width="1.734375" style="18" customWidth="1"/>
    <col min="24" max="24" width="5.734375" style="18" customWidth="1"/>
    <col min="25" max="25" width="7.3671875" style="18" customWidth="1"/>
    <col min="26" max="26" width="9.15625" style="18"/>
    <col min="27" max="29" width="0" style="18" hidden="1" customWidth="1" outlineLevel="1"/>
    <col min="30" max="30" width="9.15625" style="18" collapsed="1"/>
    <col min="31" max="16384" width="9.15625" style="18"/>
  </cols>
  <sheetData>
    <row r="1" spans="1:29" ht="13.2" thickBot="1" x14ac:dyDescent="0.55000000000000004">
      <c r="A1" s="158" t="s">
        <v>163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</row>
    <row r="2" spans="1:29" s="11" customFormat="1" ht="12" customHeight="1" thickTop="1" x14ac:dyDescent="0.45">
      <c r="A2" s="39"/>
      <c r="B2" s="157"/>
      <c r="C2" s="608"/>
      <c r="D2" s="608"/>
      <c r="E2" s="608"/>
      <c r="F2" s="608"/>
      <c r="G2" s="608"/>
      <c r="H2" s="609"/>
      <c r="I2" s="609"/>
      <c r="J2" s="609"/>
      <c r="K2" s="609"/>
      <c r="L2" s="609"/>
      <c r="M2" s="609"/>
      <c r="N2" s="609"/>
      <c r="O2" s="609"/>
      <c r="P2" s="609"/>
      <c r="Q2" s="609"/>
      <c r="R2" s="609"/>
      <c r="S2" s="609"/>
      <c r="T2" s="609"/>
      <c r="U2" s="609"/>
      <c r="V2" s="609"/>
      <c r="W2" s="609"/>
      <c r="X2" s="609"/>
      <c r="Y2" s="609"/>
    </row>
    <row r="3" spans="1:29" s="11" customFormat="1" ht="12" customHeight="1" thickBot="1" x14ac:dyDescent="0.5">
      <c r="A3" s="47"/>
      <c r="B3" s="157"/>
      <c r="C3" s="605" t="s">
        <v>442</v>
      </c>
      <c r="D3" s="606"/>
      <c r="E3" s="606"/>
      <c r="F3" s="606"/>
      <c r="G3" s="606"/>
      <c r="H3" s="595"/>
      <c r="I3" s="605" t="s">
        <v>443</v>
      </c>
      <c r="J3" s="606"/>
      <c r="K3" s="606"/>
      <c r="L3" s="606"/>
      <c r="M3" s="606"/>
      <c r="N3" s="606"/>
      <c r="O3" s="606"/>
      <c r="P3" s="606"/>
      <c r="Q3" s="20"/>
      <c r="R3" s="607" t="s">
        <v>245</v>
      </c>
      <c r="S3" s="607"/>
      <c r="T3" s="607"/>
      <c r="U3" s="607"/>
      <c r="V3" s="607"/>
      <c r="W3" s="607"/>
      <c r="X3" s="607"/>
      <c r="Y3" s="607"/>
    </row>
    <row r="4" spans="1:29" s="11" customFormat="1" ht="25.8" thickTop="1" x14ac:dyDescent="0.45">
      <c r="A4" s="60"/>
      <c r="B4" s="20"/>
      <c r="C4" s="596" t="s">
        <v>119</v>
      </c>
      <c r="D4" s="20"/>
      <c r="E4" s="598" t="s">
        <v>225</v>
      </c>
      <c r="F4" s="20"/>
      <c r="G4" s="597" t="s">
        <v>441</v>
      </c>
      <c r="H4" s="20"/>
      <c r="I4" s="603" t="s">
        <v>119</v>
      </c>
      <c r="J4" s="604"/>
      <c r="K4" s="20"/>
      <c r="L4" s="599" t="s">
        <v>225</v>
      </c>
      <c r="M4" s="600"/>
      <c r="O4" s="601" t="s">
        <v>441</v>
      </c>
      <c r="P4" s="602"/>
      <c r="Q4" s="20"/>
      <c r="R4" s="156" t="s">
        <v>119</v>
      </c>
      <c r="S4" s="155"/>
      <c r="T4" s="20"/>
      <c r="U4" s="156" t="s">
        <v>225</v>
      </c>
      <c r="V4" s="155"/>
      <c r="X4" s="156" t="s">
        <v>122</v>
      </c>
      <c r="Y4" s="160"/>
      <c r="AA4" s="12" t="s">
        <v>503</v>
      </c>
      <c r="AB4" s="12"/>
      <c r="AC4" s="12"/>
    </row>
    <row r="5" spans="1:29" s="11" customFormat="1" ht="12.6" x14ac:dyDescent="0.45">
      <c r="A5" s="55" t="s">
        <v>96</v>
      </c>
      <c r="B5" s="63"/>
      <c r="C5" s="63"/>
      <c r="D5" s="63"/>
      <c r="E5" s="63"/>
      <c r="F5" s="63"/>
      <c r="G5" s="63"/>
      <c r="H5" s="20"/>
      <c r="I5" s="47"/>
      <c r="J5" s="47"/>
      <c r="K5" s="47"/>
      <c r="L5" s="47"/>
      <c r="M5" s="39"/>
      <c r="N5" s="39"/>
      <c r="O5" s="47"/>
      <c r="P5" s="39"/>
      <c r="Q5" s="47"/>
      <c r="R5" s="199" t="s">
        <v>244</v>
      </c>
      <c r="S5" s="199" t="s">
        <v>47</v>
      </c>
      <c r="T5" s="47"/>
      <c r="U5" s="199" t="s">
        <v>244</v>
      </c>
      <c r="V5" s="199" t="s">
        <v>47</v>
      </c>
      <c r="W5" s="39"/>
      <c r="X5" s="199" t="s">
        <v>244</v>
      </c>
      <c r="Y5" s="199" t="s">
        <v>47</v>
      </c>
    </row>
    <row r="6" spans="1:29" s="11" customFormat="1" ht="12.75" customHeight="1" x14ac:dyDescent="0.45">
      <c r="A6" s="52" t="s">
        <v>58</v>
      </c>
      <c r="B6" s="142"/>
      <c r="C6" s="142">
        <f>'Exhibit 1'!K39</f>
        <v>215</v>
      </c>
      <c r="D6" s="142"/>
      <c r="E6" s="142">
        <v>0</v>
      </c>
      <c r="F6" s="142"/>
      <c r="G6" s="142">
        <f>E6</f>
        <v>0</v>
      </c>
      <c r="H6" s="20"/>
      <c r="I6" s="187">
        <v>0</v>
      </c>
      <c r="J6" s="188">
        <f>I6/I$22</f>
        <v>0</v>
      </c>
      <c r="K6" s="47"/>
      <c r="L6" s="187">
        <v>0</v>
      </c>
      <c r="M6" s="188">
        <f>L6/L$22</f>
        <v>0</v>
      </c>
      <c r="N6" s="39"/>
      <c r="O6" s="187">
        <v>0</v>
      </c>
      <c r="P6" s="188">
        <f>O6/O$22</f>
        <v>0</v>
      </c>
      <c r="Q6" s="47"/>
      <c r="R6" s="189">
        <f>'Debt Payments 2011 (Ex. 3)'!J18+0.01</f>
        <v>1.78E-2</v>
      </c>
      <c r="S6" s="190">
        <f>C6</f>
        <v>215</v>
      </c>
      <c r="T6" s="47"/>
      <c r="U6" s="189">
        <f>'Plan (Ex. 7)'!L4</f>
        <v>1.7999999999999999E-2</v>
      </c>
      <c r="V6" s="190">
        <f>E6</f>
        <v>0</v>
      </c>
      <c r="W6" s="39"/>
      <c r="X6" s="189">
        <f>U6</f>
        <v>1.7999999999999999E-2</v>
      </c>
      <c r="Y6" s="190">
        <f>G6</f>
        <v>0</v>
      </c>
      <c r="AA6" s="544">
        <f>R6*S6</f>
        <v>3.827</v>
      </c>
      <c r="AB6" s="544">
        <f>U6*V6</f>
        <v>0</v>
      </c>
      <c r="AC6" s="544">
        <f>X6*Y6</f>
        <v>0</v>
      </c>
    </row>
    <row r="7" spans="1:29" s="11" customFormat="1" ht="12.75" customHeight="1" x14ac:dyDescent="0.45">
      <c r="A7" s="52" t="s">
        <v>121</v>
      </c>
      <c r="B7" s="142"/>
      <c r="C7" s="142">
        <f>'Exhibit 1'!K40</f>
        <v>40.714285714285715</v>
      </c>
      <c r="D7" s="142"/>
      <c r="E7" s="142">
        <v>0</v>
      </c>
      <c r="F7" s="142"/>
      <c r="G7" s="142">
        <f>C7*0.15</f>
        <v>6.1071428571428568</v>
      </c>
      <c r="H7" s="20"/>
      <c r="I7" s="153">
        <v>0</v>
      </c>
      <c r="J7" s="188">
        <f>I7/I$22</f>
        <v>0</v>
      </c>
      <c r="K7" s="47"/>
      <c r="L7" s="153">
        <f>C7*517/1000</f>
        <v>21.049285714285713</v>
      </c>
      <c r="M7" s="188">
        <f>L7/L$22</f>
        <v>7.1069748148433975E-2</v>
      </c>
      <c r="N7" s="39"/>
      <c r="O7" s="153">
        <f>C7*517/1000*0.85</f>
        <v>17.891892857142857</v>
      </c>
      <c r="P7" s="188">
        <f>O7/O$22</f>
        <v>7.13119385038746E-2</v>
      </c>
      <c r="Q7" s="47"/>
      <c r="R7" s="189">
        <f>'Plan (Ex. 7)'!C5</f>
        <v>3.5000000000000003E-2</v>
      </c>
      <c r="S7" s="190">
        <f>C7</f>
        <v>40.714285714285715</v>
      </c>
      <c r="T7" s="47"/>
      <c r="U7" s="189">
        <f>'Plan (Ex. 7)'!L5</f>
        <v>5.5E-2</v>
      </c>
      <c r="V7" s="190">
        <f>E7</f>
        <v>0</v>
      </c>
      <c r="W7" s="39"/>
      <c r="X7" s="189">
        <f>U7</f>
        <v>5.5E-2</v>
      </c>
      <c r="Y7" s="190">
        <f>G7</f>
        <v>6.1071428571428568</v>
      </c>
      <c r="AA7" s="544">
        <f>R7*S7</f>
        <v>1.4250000000000003</v>
      </c>
      <c r="AB7" s="544">
        <f>U7*V7</f>
        <v>0</v>
      </c>
      <c r="AC7" s="544">
        <f>X7*Y7</f>
        <v>0.3358928571428571</v>
      </c>
    </row>
    <row r="8" spans="1:29" s="11" customFormat="1" ht="12" customHeight="1" x14ac:dyDescent="0.45">
      <c r="A8" s="39"/>
      <c r="B8" s="142"/>
      <c r="C8" s="142"/>
      <c r="D8" s="142"/>
      <c r="E8" s="142"/>
      <c r="F8" s="142"/>
      <c r="G8" s="142"/>
      <c r="H8" s="20"/>
      <c r="I8" s="187"/>
      <c r="J8" s="188"/>
      <c r="K8" s="47"/>
      <c r="L8" s="187"/>
      <c r="M8" s="188"/>
      <c r="N8" s="39"/>
      <c r="O8" s="187"/>
      <c r="P8" s="188"/>
      <c r="Q8" s="47"/>
      <c r="R8" s="189"/>
      <c r="S8" s="187"/>
      <c r="T8" s="47"/>
      <c r="U8" s="189"/>
      <c r="V8" s="187"/>
      <c r="W8" s="39"/>
      <c r="X8" s="189"/>
      <c r="Y8" s="187"/>
    </row>
    <row r="9" spans="1:29" s="11" customFormat="1" ht="12.75" customHeight="1" x14ac:dyDescent="0.45">
      <c r="A9" s="55" t="s">
        <v>95</v>
      </c>
      <c r="B9" s="142"/>
      <c r="C9" s="142"/>
      <c r="D9" s="142"/>
      <c r="E9" s="142"/>
      <c r="F9" s="142"/>
      <c r="G9" s="142"/>
      <c r="H9" s="20"/>
      <c r="I9" s="187"/>
      <c r="J9" s="188"/>
      <c r="K9" s="47"/>
      <c r="L9" s="187"/>
      <c r="M9" s="188"/>
      <c r="N9" s="39"/>
      <c r="O9" s="187"/>
      <c r="P9" s="188"/>
      <c r="Q9" s="47"/>
      <c r="R9" s="189"/>
      <c r="S9" s="187"/>
      <c r="T9" s="47"/>
      <c r="U9" s="189"/>
      <c r="V9" s="187"/>
      <c r="W9" s="39"/>
      <c r="X9" s="189"/>
      <c r="Y9" s="187"/>
    </row>
    <row r="10" spans="1:29" s="11" customFormat="1" ht="12.75" customHeight="1" x14ac:dyDescent="0.45">
      <c r="A10" s="52" t="s">
        <v>170</v>
      </c>
      <c r="B10" s="142"/>
      <c r="C10" s="142">
        <v>0</v>
      </c>
      <c r="D10" s="142"/>
      <c r="E10" s="142">
        <f>C6*1050/1000</f>
        <v>225.75</v>
      </c>
      <c r="F10" s="142"/>
      <c r="G10" s="142">
        <f>E10</f>
        <v>225.75</v>
      </c>
      <c r="H10" s="20"/>
      <c r="I10" s="187">
        <v>0</v>
      </c>
      <c r="J10" s="188">
        <f>I10/I$22</f>
        <v>0</v>
      </c>
      <c r="K10" s="47"/>
      <c r="L10" s="187">
        <v>0</v>
      </c>
      <c r="M10" s="188">
        <f>L10/L$22</f>
        <v>0</v>
      </c>
      <c r="N10" s="39"/>
      <c r="O10" s="187">
        <v>0</v>
      </c>
      <c r="P10" s="188">
        <f>O10/O$22</f>
        <v>0</v>
      </c>
      <c r="Q10" s="47"/>
      <c r="R10" s="198" t="s">
        <v>212</v>
      </c>
      <c r="S10" s="190">
        <f>C10</f>
        <v>0</v>
      </c>
      <c r="T10" s="47"/>
      <c r="U10" s="189">
        <f>'Plan (Ex. 7)'!L4</f>
        <v>1.7999999999999999E-2</v>
      </c>
      <c r="V10" s="190">
        <f>E10</f>
        <v>225.75</v>
      </c>
      <c r="W10" s="39"/>
      <c r="X10" s="189">
        <f>U10</f>
        <v>1.7999999999999999E-2</v>
      </c>
      <c r="Y10" s="190">
        <f>G10</f>
        <v>225.75</v>
      </c>
      <c r="AA10" s="544">
        <v>0</v>
      </c>
      <c r="AB10" s="544">
        <f>U10*V10</f>
        <v>4.0634999999999994</v>
      </c>
      <c r="AC10" s="544">
        <f>X10*Y10</f>
        <v>4.0634999999999994</v>
      </c>
    </row>
    <row r="11" spans="1:29" s="11" customFormat="1" ht="12.75" customHeight="1" x14ac:dyDescent="0.45">
      <c r="A11" s="52" t="s">
        <v>120</v>
      </c>
      <c r="B11" s="142"/>
      <c r="C11" s="142">
        <f>'Exhibit 1'!K43</f>
        <v>81.428571428571416</v>
      </c>
      <c r="D11" s="142"/>
      <c r="E11" s="142">
        <f>(C7+C11)*640/1000</f>
        <v>78.171428571428564</v>
      </c>
      <c r="F11" s="142"/>
      <c r="G11" s="142">
        <f>E11*0.85+C11*0.15</f>
        <v>78.659999999999982</v>
      </c>
      <c r="H11" s="20"/>
      <c r="I11" s="153">
        <v>0</v>
      </c>
      <c r="J11" s="188">
        <f>I11/I$22</f>
        <v>0</v>
      </c>
      <c r="K11" s="47"/>
      <c r="L11" s="153">
        <f>C11*517/1000</f>
        <v>42.098571428571418</v>
      </c>
      <c r="M11" s="188">
        <f>L11/L$22</f>
        <v>0.14213949629686792</v>
      </c>
      <c r="N11" s="39"/>
      <c r="O11" s="153">
        <f>C11*517/1000*0.85</f>
        <v>35.783785714285706</v>
      </c>
      <c r="P11" s="188">
        <f>O11/O$22</f>
        <v>0.14262387700774917</v>
      </c>
      <c r="Q11" s="47"/>
      <c r="R11" s="189">
        <f>'Plan (Ex. 7)'!C5</f>
        <v>3.5000000000000003E-2</v>
      </c>
      <c r="S11" s="190">
        <f>C11</f>
        <v>81.428571428571416</v>
      </c>
      <c r="T11" s="47"/>
      <c r="U11" s="189">
        <f>'Plan (Ex. 7)'!L5</f>
        <v>5.5E-2</v>
      </c>
      <c r="V11" s="190">
        <f>E11</f>
        <v>78.171428571428564</v>
      </c>
      <c r="W11" s="39"/>
      <c r="X11" s="189">
        <f>U11</f>
        <v>5.5E-2</v>
      </c>
      <c r="Y11" s="190">
        <f>G11</f>
        <v>78.659999999999982</v>
      </c>
      <c r="AA11" s="544">
        <f>R11*S11</f>
        <v>2.8499999999999996</v>
      </c>
      <c r="AB11" s="544">
        <f>U11*V11</f>
        <v>4.2994285714285709</v>
      </c>
      <c r="AC11" s="544">
        <f>X11*Y11</f>
        <v>4.3262999999999989</v>
      </c>
    </row>
    <row r="12" spans="1:29" s="11" customFormat="1" ht="12.75" customHeight="1" x14ac:dyDescent="0.45">
      <c r="A12" s="52" t="s">
        <v>154</v>
      </c>
      <c r="B12" s="143"/>
      <c r="C12" s="143">
        <f>'Exhibit 1'!K44</f>
        <v>170</v>
      </c>
      <c r="D12" s="143"/>
      <c r="E12" s="143">
        <f>C12*250/1000</f>
        <v>42.5</v>
      </c>
      <c r="F12" s="143"/>
      <c r="G12" s="143">
        <f>E12*0.85+C12*0.15</f>
        <v>61.625</v>
      </c>
      <c r="H12" s="20"/>
      <c r="I12" s="146">
        <v>0</v>
      </c>
      <c r="J12" s="191">
        <f>I12/I$22</f>
        <v>0</v>
      </c>
      <c r="K12" s="47"/>
      <c r="L12" s="146">
        <f>C12*644/1000</f>
        <v>109.48</v>
      </c>
      <c r="M12" s="191">
        <f>L12/L$22</f>
        <v>0.36964275809178365</v>
      </c>
      <c r="N12" s="39"/>
      <c r="O12" s="146">
        <f>C12*644/1000*0.85</f>
        <v>93.058000000000007</v>
      </c>
      <c r="P12" s="191">
        <f>O12/O$22</f>
        <v>0.37090242079357527</v>
      </c>
      <c r="Q12" s="47"/>
      <c r="R12" s="192">
        <f>'Plan (Ex. 7)'!C6</f>
        <v>6.5000000000000002E-2</v>
      </c>
      <c r="S12" s="197">
        <f>C12</f>
        <v>170</v>
      </c>
      <c r="T12" s="47"/>
      <c r="U12" s="192">
        <f>'Plan (Ex. 7)'!L6</f>
        <v>7.0000000000000007E-2</v>
      </c>
      <c r="V12" s="197">
        <f>E12</f>
        <v>42.5</v>
      </c>
      <c r="W12" s="39"/>
      <c r="X12" s="192">
        <f>U12</f>
        <v>7.0000000000000007E-2</v>
      </c>
      <c r="Y12" s="197">
        <f>G12</f>
        <v>61.625</v>
      </c>
      <c r="AA12" s="544">
        <f>R12*S12</f>
        <v>11.05</v>
      </c>
      <c r="AB12" s="544">
        <f>U12*V12</f>
        <v>2.9750000000000001</v>
      </c>
      <c r="AC12" s="544">
        <f>X12*Y12</f>
        <v>4.3137500000000006</v>
      </c>
    </row>
    <row r="13" spans="1:29" s="11" customFormat="1" ht="4.8" customHeight="1" x14ac:dyDescent="0.45">
      <c r="A13" s="39"/>
      <c r="B13" s="142"/>
      <c r="C13" s="142"/>
      <c r="D13" s="142"/>
      <c r="E13" s="142"/>
      <c r="F13" s="142"/>
      <c r="G13" s="142"/>
      <c r="H13" s="20"/>
      <c r="I13" s="187"/>
      <c r="J13" s="188"/>
      <c r="K13" s="47"/>
      <c r="L13" s="187"/>
      <c r="M13" s="188"/>
      <c r="N13" s="39"/>
      <c r="O13" s="187"/>
      <c r="P13" s="188"/>
      <c r="Q13" s="47"/>
      <c r="R13" s="189"/>
      <c r="S13" s="187"/>
      <c r="T13" s="47"/>
      <c r="U13" s="189"/>
      <c r="V13" s="187"/>
      <c r="W13" s="39"/>
      <c r="X13" s="189"/>
      <c r="Y13" s="187"/>
    </row>
    <row r="14" spans="1:29" s="11" customFormat="1" ht="12.75" customHeight="1" x14ac:dyDescent="0.45">
      <c r="A14" s="147" t="s">
        <v>100</v>
      </c>
      <c r="B14" s="144"/>
      <c r="C14" s="144">
        <f>C6+C7+C10+C11+C12</f>
        <v>507.14285714285711</v>
      </c>
      <c r="D14" s="144"/>
      <c r="E14" s="144">
        <f t="shared" ref="E14:G14" si="0">E6+E7+E10+E11+E12</f>
        <v>346.42142857142858</v>
      </c>
      <c r="F14" s="144"/>
      <c r="G14" s="144">
        <f t="shared" si="0"/>
        <v>372.14214285714286</v>
      </c>
      <c r="H14" s="20"/>
      <c r="I14" s="193">
        <f>I6+I7+I10+I11+I12</f>
        <v>0</v>
      </c>
      <c r="J14" s="169">
        <f>J6+J7+J10+J11+J12</f>
        <v>0</v>
      </c>
      <c r="K14" s="47"/>
      <c r="L14" s="193">
        <f>L6+L7+L10+L11+L12</f>
        <v>172.62785714285712</v>
      </c>
      <c r="M14" s="169">
        <f>M6+M7+M10+M11+M12</f>
        <v>0.58285200253708558</v>
      </c>
      <c r="N14" s="194"/>
      <c r="O14" s="193">
        <f>O6+O7+O10+O11+O12</f>
        <v>146.73367857142858</v>
      </c>
      <c r="P14" s="169">
        <f>P6+P7+P10+P11+P12</f>
        <v>0.58483823630519904</v>
      </c>
      <c r="Q14" s="47"/>
      <c r="R14" s="168">
        <f>AA14/S14</f>
        <v>3.7764507042253523E-2</v>
      </c>
      <c r="S14" s="144">
        <f>S6+S7+S10+S11+S12</f>
        <v>507.14285714285711</v>
      </c>
      <c r="T14" s="47"/>
      <c r="U14" s="168">
        <f>AB14/V14</f>
        <v>3.2728716056001153E-2</v>
      </c>
      <c r="V14" s="144">
        <f>V6+V7+V10+V11+V12</f>
        <v>346.42142857142858</v>
      </c>
      <c r="W14" s="194"/>
      <c r="X14" s="168">
        <f>AC14/Y14</f>
        <v>3.5038877233929434E-2</v>
      </c>
      <c r="Y14" s="144">
        <f>Y6+Y7+Y10+Y11+Y12</f>
        <v>372.14214285714286</v>
      </c>
      <c r="AA14" s="544">
        <f>SUM(AA6:AA12)</f>
        <v>19.152000000000001</v>
      </c>
      <c r="AB14" s="544">
        <f>SUM(AB6:AB12)</f>
        <v>11.33792857142857</v>
      </c>
      <c r="AC14" s="544">
        <f>SUM(AC6:AC12)</f>
        <v>13.039442857142857</v>
      </c>
    </row>
    <row r="15" spans="1:29" s="11" customFormat="1" ht="12" customHeight="1" x14ac:dyDescent="0.45">
      <c r="A15" s="39"/>
      <c r="B15" s="142"/>
      <c r="C15" s="142"/>
      <c r="D15" s="142"/>
      <c r="E15" s="142"/>
      <c r="F15" s="142"/>
      <c r="G15" s="142"/>
      <c r="H15" s="20"/>
      <c r="I15" s="187"/>
      <c r="J15" s="188"/>
      <c r="K15" s="47"/>
      <c r="L15" s="187"/>
      <c r="M15" s="188"/>
      <c r="N15" s="39"/>
      <c r="O15" s="187"/>
      <c r="P15" s="188"/>
      <c r="Q15" s="47"/>
      <c r="R15" s="189"/>
      <c r="S15" s="187"/>
      <c r="T15" s="47"/>
      <c r="U15" s="189"/>
      <c r="V15" s="187"/>
      <c r="W15" s="39"/>
      <c r="X15" s="189"/>
      <c r="Y15" s="187"/>
    </row>
    <row r="16" spans="1:29" s="11" customFormat="1" ht="12.75" customHeight="1" x14ac:dyDescent="0.45">
      <c r="A16" s="55" t="s">
        <v>53</v>
      </c>
      <c r="B16" s="142"/>
      <c r="C16" s="142"/>
      <c r="D16" s="142"/>
      <c r="E16" s="142"/>
      <c r="F16" s="142"/>
      <c r="G16" s="142"/>
      <c r="H16" s="20"/>
      <c r="I16" s="187"/>
      <c r="J16" s="188"/>
      <c r="K16" s="47"/>
      <c r="L16" s="187"/>
      <c r="M16" s="188"/>
      <c r="N16" s="39"/>
      <c r="O16" s="187"/>
      <c r="P16" s="188"/>
      <c r="Q16" s="47"/>
      <c r="R16" s="189"/>
      <c r="S16" s="189"/>
      <c r="T16" s="189"/>
      <c r="U16" s="189"/>
      <c r="V16" s="189"/>
      <c r="W16" s="189"/>
      <c r="X16" s="189"/>
      <c r="Y16" s="189"/>
    </row>
    <row r="17" spans="1:25" s="11" customFormat="1" ht="12.75" customHeight="1" x14ac:dyDescent="0.45">
      <c r="A17" s="52" t="s">
        <v>123</v>
      </c>
      <c r="B17" s="142"/>
      <c r="C17" s="142">
        <f>'Exhibit 1'!K46</f>
        <v>75</v>
      </c>
      <c r="D17" s="142"/>
      <c r="E17" s="142">
        <v>0</v>
      </c>
      <c r="F17" s="142"/>
      <c r="G17" s="142">
        <f>E17*(0.67)+C17*(1-0.67)</f>
        <v>24.749999999999996</v>
      </c>
      <c r="H17" s="20"/>
      <c r="I17" s="153">
        <v>0</v>
      </c>
      <c r="J17" s="188">
        <f>I17/I$22</f>
        <v>0</v>
      </c>
      <c r="K17" s="47"/>
      <c r="L17" s="153">
        <f>'Exhibit 1'!K16*2.35</f>
        <v>58.75</v>
      </c>
      <c r="M17" s="188">
        <f>L17/L$22</f>
        <v>0.19836054108414589</v>
      </c>
      <c r="N17" s="39"/>
      <c r="O17" s="153">
        <f>'Exhibit 1'!K16*2.35*0.67</f>
        <v>39.362500000000004</v>
      </c>
      <c r="P17" s="188">
        <f>O17/O$22</f>
        <v>0.15688760276910216</v>
      </c>
      <c r="Q17" s="47"/>
      <c r="R17" s="189"/>
      <c r="S17" s="189"/>
      <c r="T17" s="189"/>
      <c r="U17" s="189"/>
      <c r="V17" s="189"/>
      <c r="W17" s="189"/>
      <c r="X17" s="189"/>
      <c r="Y17" s="189"/>
    </row>
    <row r="18" spans="1:25" s="11" customFormat="1" ht="12.75" customHeight="1" x14ac:dyDescent="0.45">
      <c r="A18" s="52" t="s">
        <v>124</v>
      </c>
      <c r="B18" s="143"/>
      <c r="C18" s="143">
        <f>'Exhibit 1'!K47</f>
        <v>-8.1008907014204894</v>
      </c>
      <c r="D18" s="143"/>
      <c r="E18" s="143">
        <f>C22-E14-E17</f>
        <v>227.62053787000809</v>
      </c>
      <c r="F18" s="143"/>
      <c r="G18" s="143">
        <f>C22-G14-G17</f>
        <v>177.14982358429381</v>
      </c>
      <c r="H18" s="20"/>
      <c r="I18" s="146">
        <v>64.8</v>
      </c>
      <c r="J18" s="191">
        <f>I18/I$22</f>
        <v>1</v>
      </c>
      <c r="K18" s="47"/>
      <c r="L18" s="146">
        <v>64.8</v>
      </c>
      <c r="M18" s="191">
        <f>L18/L$22</f>
        <v>0.21878745637876854</v>
      </c>
      <c r="N18" s="39"/>
      <c r="O18" s="146">
        <v>64.8</v>
      </c>
      <c r="P18" s="191">
        <f>O18/O$22</f>
        <v>0.25827416092569877</v>
      </c>
      <c r="Q18" s="47"/>
      <c r="R18" s="189"/>
      <c r="S18" s="189"/>
      <c r="T18" s="189"/>
      <c r="U18" s="189"/>
      <c r="V18" s="189"/>
      <c r="W18" s="189"/>
      <c r="X18" s="189"/>
      <c r="Y18" s="189"/>
    </row>
    <row r="19" spans="1:25" s="11" customFormat="1" ht="4.8" customHeight="1" x14ac:dyDescent="0.45">
      <c r="A19" s="52"/>
      <c r="B19" s="142"/>
      <c r="C19" s="142"/>
      <c r="D19" s="142"/>
      <c r="E19" s="142"/>
      <c r="F19" s="142"/>
      <c r="G19" s="142"/>
      <c r="H19" s="20"/>
      <c r="I19" s="187"/>
      <c r="J19" s="188"/>
      <c r="K19" s="47"/>
      <c r="L19" s="187"/>
      <c r="M19" s="188"/>
      <c r="N19" s="39"/>
      <c r="O19" s="187"/>
      <c r="P19" s="188"/>
      <c r="Q19" s="47"/>
      <c r="R19" s="189"/>
      <c r="S19" s="189"/>
      <c r="T19" s="189"/>
      <c r="U19" s="189"/>
      <c r="V19" s="189"/>
      <c r="W19" s="189"/>
      <c r="X19" s="189"/>
      <c r="Y19" s="189"/>
    </row>
    <row r="20" spans="1:25" s="11" customFormat="1" ht="12.75" customHeight="1" x14ac:dyDescent="0.45">
      <c r="A20" s="55" t="s">
        <v>97</v>
      </c>
      <c r="B20" s="145"/>
      <c r="C20" s="145">
        <f>C17+C18</f>
        <v>66.899109298579504</v>
      </c>
      <c r="D20" s="145"/>
      <c r="E20" s="145">
        <f t="shared" ref="E20" si="1">E17+E18</f>
        <v>227.62053787000809</v>
      </c>
      <c r="F20" s="145"/>
      <c r="G20" s="145">
        <f>G17+G18</f>
        <v>201.89982358429381</v>
      </c>
      <c r="H20" s="20"/>
      <c r="I20" s="195">
        <f>I17+I18</f>
        <v>64.8</v>
      </c>
      <c r="J20" s="196">
        <f>J17+J18</f>
        <v>1</v>
      </c>
      <c r="K20" s="47"/>
      <c r="L20" s="195">
        <f>L17+L18</f>
        <v>123.55</v>
      </c>
      <c r="M20" s="196">
        <f>M17+M18</f>
        <v>0.41714799746291442</v>
      </c>
      <c r="N20" s="39"/>
      <c r="O20" s="195">
        <f>O17+O18</f>
        <v>104.16249999999999</v>
      </c>
      <c r="P20" s="196">
        <f>P17+P18</f>
        <v>0.41516176369480096</v>
      </c>
      <c r="Q20" s="47"/>
      <c r="R20" s="189"/>
      <c r="S20" s="189"/>
      <c r="T20" s="189"/>
      <c r="U20" s="189"/>
      <c r="V20" s="189"/>
      <c r="W20" s="189"/>
      <c r="X20" s="189"/>
      <c r="Y20" s="189"/>
    </row>
    <row r="21" spans="1:25" s="11" customFormat="1" ht="4.8" customHeight="1" x14ac:dyDescent="0.45">
      <c r="A21" s="39"/>
      <c r="B21" s="142"/>
      <c r="C21" s="142"/>
      <c r="D21" s="142"/>
      <c r="E21" s="142"/>
      <c r="F21" s="142"/>
      <c r="G21" s="142"/>
      <c r="H21" s="20"/>
      <c r="I21" s="187"/>
      <c r="J21" s="167"/>
      <c r="K21" s="47"/>
      <c r="L21" s="187"/>
      <c r="M21" s="167"/>
      <c r="N21" s="39"/>
      <c r="O21" s="187"/>
      <c r="P21" s="167"/>
      <c r="Q21" s="47"/>
      <c r="R21" s="189"/>
      <c r="S21" s="189"/>
      <c r="T21" s="189"/>
      <c r="U21" s="189"/>
      <c r="V21" s="189"/>
      <c r="W21" s="189"/>
      <c r="X21" s="189"/>
      <c r="Y21" s="189"/>
    </row>
    <row r="22" spans="1:25" s="11" customFormat="1" ht="12.75" customHeight="1" x14ac:dyDescent="0.45">
      <c r="A22" s="64" t="s">
        <v>98</v>
      </c>
      <c r="B22" s="144"/>
      <c r="C22" s="144">
        <f>C14+C20</f>
        <v>574.04196644143667</v>
      </c>
      <c r="D22" s="144"/>
      <c r="E22" s="144">
        <f t="shared" ref="E22:G22" si="2">E14+E20</f>
        <v>574.04196644143667</v>
      </c>
      <c r="F22" s="144"/>
      <c r="G22" s="144">
        <f t="shared" si="2"/>
        <v>574.04196644143667</v>
      </c>
      <c r="H22" s="20"/>
      <c r="I22" s="193">
        <f>I14+I20</f>
        <v>64.8</v>
      </c>
      <c r="J22" s="169">
        <f>J14+J20</f>
        <v>1</v>
      </c>
      <c r="K22" s="47"/>
      <c r="L22" s="193">
        <f>L14+L20</f>
        <v>296.17785714285714</v>
      </c>
      <c r="M22" s="169">
        <f>M14+M20</f>
        <v>1</v>
      </c>
      <c r="N22" s="39"/>
      <c r="O22" s="193">
        <f>O14+O20</f>
        <v>250.89617857142858</v>
      </c>
      <c r="P22" s="169">
        <f>P14+P20</f>
        <v>1</v>
      </c>
      <c r="Q22" s="47"/>
      <c r="R22" s="189"/>
      <c r="S22" s="189"/>
      <c r="T22" s="189"/>
      <c r="U22" s="189"/>
      <c r="V22" s="189"/>
      <c r="W22" s="189"/>
      <c r="X22" s="189"/>
      <c r="Y22" s="189"/>
    </row>
    <row r="23" spans="1:25" s="11" customFormat="1" ht="9.9" customHeight="1" x14ac:dyDescent="0.45">
      <c r="A23" s="64"/>
      <c r="B23" s="65"/>
      <c r="C23" s="65"/>
      <c r="D23" s="65"/>
      <c r="E23" s="65"/>
      <c r="F23" s="65"/>
      <c r="G23" s="65"/>
      <c r="H23" s="20"/>
      <c r="I23" s="20"/>
      <c r="J23" s="20"/>
      <c r="K23" s="20"/>
      <c r="L23" s="148"/>
      <c r="M23" s="150"/>
      <c r="Q23" s="20"/>
      <c r="R23" s="20"/>
      <c r="S23" s="20"/>
      <c r="T23" s="20"/>
      <c r="U23" s="148"/>
      <c r="V23" s="150"/>
    </row>
    <row r="24" spans="1:25" s="11" customFormat="1" ht="12.75" hidden="1" customHeight="1" outlineLevel="1" x14ac:dyDescent="0.45">
      <c r="A24" s="47" t="s">
        <v>226</v>
      </c>
      <c r="B24" s="153"/>
      <c r="C24" s="153">
        <f>'Exhibit 1'!K18</f>
        <v>64.8</v>
      </c>
      <c r="D24" s="153"/>
      <c r="E24" s="154">
        <f>'Plan (Ex. 7)'!B5*517/1000+'Plan (Ex. 7)'!B6*644/1000+'Exhibit 1'!K16*2.35+64.8</f>
        <v>296.17785714285714</v>
      </c>
      <c r="F24" s="153"/>
      <c r="G24" s="154">
        <f>'Plan (Ex. 7)'!B5*517/1000*0.85+'Plan (Ex. 7)'!B6*644/1000*0.85+'Exhibit 1'!K16*2.35*0.67+64.8</f>
        <v>250.89617857142861</v>
      </c>
      <c r="H24" s="20"/>
      <c r="I24" s="20"/>
      <c r="J24" s="20"/>
      <c r="K24" s="20"/>
      <c r="L24" s="148"/>
      <c r="Q24" s="20"/>
      <c r="R24" s="20"/>
      <c r="S24" s="20"/>
      <c r="T24" s="20"/>
      <c r="U24" s="148"/>
    </row>
    <row r="25" spans="1:25" s="11" customFormat="1" ht="12.75" hidden="1" customHeight="1" outlineLevel="1" x14ac:dyDescent="0.45">
      <c r="A25" s="47"/>
      <c r="B25" s="153"/>
      <c r="C25" s="153"/>
      <c r="D25" s="153"/>
      <c r="E25" s="154"/>
      <c r="F25" s="153"/>
      <c r="G25" s="154"/>
      <c r="H25" s="20"/>
      <c r="I25" s="20"/>
      <c r="J25" s="20"/>
      <c r="K25" s="20"/>
      <c r="L25" s="148"/>
      <c r="Q25" s="20"/>
      <c r="R25" s="20"/>
      <c r="S25" s="20"/>
      <c r="T25" s="20"/>
      <c r="U25" s="148"/>
    </row>
    <row r="26" spans="1:25" s="11" customFormat="1" ht="12.75" customHeight="1" collapsed="1" x14ac:dyDescent="0.45">
      <c r="A26" s="610" t="s">
        <v>35</v>
      </c>
      <c r="B26" s="611"/>
      <c r="C26" s="611">
        <f>C14/C22</f>
        <v>0.88345954963311113</v>
      </c>
      <c r="D26" s="611"/>
      <c r="E26" s="611">
        <f>E14/E22</f>
        <v>0.60347753095290502</v>
      </c>
      <c r="F26" s="611"/>
      <c r="G26" s="611">
        <f>G14/G22</f>
        <v>0.64828386183000175</v>
      </c>
      <c r="H26" s="20"/>
      <c r="I26" s="20"/>
      <c r="J26" s="20"/>
      <c r="K26" s="20"/>
      <c r="L26" s="148"/>
      <c r="Q26" s="20"/>
      <c r="R26" s="20"/>
      <c r="S26" s="20"/>
      <c r="T26" s="20"/>
      <c r="U26" s="148"/>
    </row>
    <row r="27" spans="1:25" s="11" customFormat="1" ht="7.8" customHeight="1" x14ac:dyDescent="0.45">
      <c r="A27" s="12"/>
      <c r="B27" s="12"/>
      <c r="C27" s="12"/>
      <c r="D27" s="12"/>
      <c r="E27" s="12"/>
      <c r="F27" s="12"/>
      <c r="G27" s="12"/>
      <c r="H27" s="12"/>
      <c r="I27" s="12"/>
      <c r="J27" s="20"/>
      <c r="K27" s="20"/>
      <c r="L27" s="20"/>
      <c r="Q27" s="20"/>
      <c r="R27" s="20"/>
      <c r="S27" s="20"/>
      <c r="T27" s="20"/>
      <c r="U27" s="20"/>
    </row>
    <row r="28" spans="1:25" s="11" customFormat="1" ht="12" hidden="1" customHeight="1" outlineLevel="1" x14ac:dyDescent="0.45">
      <c r="B28" s="151"/>
      <c r="C28" s="151" t="s">
        <v>224</v>
      </c>
      <c r="D28" s="151"/>
      <c r="E28" s="152">
        <f>E24-L22</f>
        <v>0</v>
      </c>
      <c r="F28" s="151"/>
      <c r="G28" s="152">
        <f>G24-O22</f>
        <v>0</v>
      </c>
      <c r="H28" s="20"/>
      <c r="I28" s="20"/>
      <c r="J28" s="20"/>
      <c r="K28" s="20"/>
      <c r="L28" s="67"/>
      <c r="Q28" s="20"/>
      <c r="R28" s="20"/>
      <c r="S28" s="20"/>
      <c r="T28" s="20"/>
      <c r="U28" s="67"/>
    </row>
    <row r="29" spans="1:25" s="11" customFormat="1" ht="9" customHeight="1" collapsed="1" x14ac:dyDescent="0.45">
      <c r="A29" s="574" t="s">
        <v>438</v>
      </c>
      <c r="B29" s="59"/>
      <c r="C29" s="59"/>
      <c r="D29" s="59"/>
      <c r="E29" s="59"/>
      <c r="F29" s="59"/>
      <c r="G29" s="59"/>
      <c r="H29" s="20"/>
      <c r="I29" s="20"/>
      <c r="J29" s="20"/>
      <c r="K29" s="20"/>
      <c r="L29" s="20"/>
      <c r="Q29" s="20"/>
      <c r="R29" s="20"/>
      <c r="S29" s="20"/>
      <c r="T29" s="20"/>
      <c r="U29" s="20"/>
    </row>
    <row r="30" spans="1:25" ht="9" customHeight="1" x14ac:dyDescent="0.5">
      <c r="A30" s="574" t="s">
        <v>439</v>
      </c>
      <c r="B30" s="59"/>
      <c r="C30" s="59"/>
      <c r="D30" s="59"/>
      <c r="E30" s="59"/>
      <c r="F30" s="59"/>
      <c r="G30" s="59"/>
    </row>
    <row r="31" spans="1:25" ht="9" customHeight="1" x14ac:dyDescent="0.5">
      <c r="A31" s="574" t="s">
        <v>440</v>
      </c>
      <c r="B31" s="59"/>
      <c r="C31" s="59"/>
      <c r="D31" s="59"/>
      <c r="E31" s="59"/>
      <c r="F31" s="59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4935-73C8-43C4-97C7-7D6FE7612501}">
  <dimension ref="A1:U194"/>
  <sheetViews>
    <sheetView showGridLines="0" topLeftCell="A47" zoomScale="126" zoomScaleNormal="126" workbookViewId="0">
      <selection activeCell="H47" sqref="H47"/>
    </sheetView>
  </sheetViews>
  <sheetFormatPr baseColWidth="10" defaultColWidth="9.15625" defaultRowHeight="11.7" outlineLevelRow="2" outlineLevelCol="1" x14ac:dyDescent="0.45"/>
  <cols>
    <col min="1" max="1" width="21.5234375" style="368" customWidth="1"/>
    <col min="2" max="11" width="6.734375" style="369" customWidth="1"/>
    <col min="12" max="12" width="6.734375" style="368" hidden="1" customWidth="1" outlineLevel="1"/>
    <col min="13" max="13" width="6.734375" style="368" customWidth="1" collapsed="1"/>
    <col min="14" max="16" width="6.734375" style="368" customWidth="1"/>
    <col min="17" max="18" width="6.734375" style="369" customWidth="1"/>
    <col min="19" max="19" width="7.83984375" style="369" customWidth="1"/>
    <col min="20" max="16384" width="9.15625" style="369"/>
  </cols>
  <sheetData>
    <row r="1" spans="1:19" s="368" customFormat="1" ht="15" customHeight="1" thickBot="1" x14ac:dyDescent="0.65">
      <c r="A1" s="521" t="s">
        <v>387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2"/>
      <c r="R1" s="522"/>
      <c r="S1" s="369"/>
    </row>
    <row r="2" spans="1:19" s="368" customFormat="1" ht="15" customHeight="1" thickTop="1" x14ac:dyDescent="0.45">
      <c r="A2" s="368" t="s">
        <v>388</v>
      </c>
      <c r="Q2" s="369"/>
      <c r="R2" s="369"/>
      <c r="S2" s="369"/>
    </row>
    <row r="3" spans="1:19" s="368" customFormat="1" ht="12.3" customHeight="1" x14ac:dyDescent="0.45">
      <c r="A3" s="370"/>
      <c r="B3" s="371" t="s">
        <v>190</v>
      </c>
      <c r="C3" s="371"/>
      <c r="D3" s="371"/>
      <c r="E3" s="371"/>
      <c r="F3" s="371"/>
      <c r="G3" s="371"/>
      <c r="H3" s="371"/>
      <c r="I3" s="371"/>
      <c r="J3" s="371"/>
      <c r="K3" s="371"/>
      <c r="L3" s="372" t="s">
        <v>221</v>
      </c>
      <c r="M3" s="372"/>
      <c r="N3" s="373" t="s">
        <v>219</v>
      </c>
      <c r="O3" s="373"/>
      <c r="P3" s="373"/>
      <c r="Q3" s="373"/>
      <c r="R3" s="373"/>
      <c r="S3" s="369"/>
    </row>
    <row r="4" spans="1:19" s="368" customFormat="1" x14ac:dyDescent="0.45">
      <c r="A4" s="374"/>
      <c r="B4" s="375">
        <v>2001</v>
      </c>
      <c r="C4" s="375">
        <v>2002</v>
      </c>
      <c r="D4" s="375">
        <v>2003</v>
      </c>
      <c r="E4" s="375">
        <v>2004</v>
      </c>
      <c r="F4" s="375">
        <v>2005</v>
      </c>
      <c r="G4" s="375">
        <v>2006</v>
      </c>
      <c r="H4" s="375">
        <v>2007</v>
      </c>
      <c r="I4" s="375">
        <v>2008</v>
      </c>
      <c r="J4" s="375">
        <v>2009</v>
      </c>
      <c r="K4" s="375">
        <v>2010</v>
      </c>
      <c r="L4" s="375" t="s">
        <v>222</v>
      </c>
      <c r="M4" s="375" t="s">
        <v>220</v>
      </c>
      <c r="N4" s="375">
        <v>2011</v>
      </c>
      <c r="O4" s="375">
        <f>N4+1</f>
        <v>2012</v>
      </c>
      <c r="P4" s="375">
        <f>O4+1</f>
        <v>2013</v>
      </c>
      <c r="Q4" s="375">
        <f>P4+1</f>
        <v>2014</v>
      </c>
      <c r="R4" s="375">
        <f>Q4+1</f>
        <v>2015</v>
      </c>
    </row>
    <row r="5" spans="1:19" s="368" customFormat="1" ht="12.9" x14ac:dyDescent="0.5">
      <c r="A5" s="376" t="s">
        <v>45</v>
      </c>
      <c r="B5" s="377"/>
      <c r="C5" s="377"/>
      <c r="D5" s="377"/>
      <c r="E5" s="377"/>
      <c r="F5" s="377"/>
      <c r="G5" s="378"/>
      <c r="H5" s="378"/>
      <c r="I5" s="377"/>
      <c r="J5" s="377"/>
      <c r="K5" s="377"/>
    </row>
    <row r="6" spans="1:19" s="368" customFormat="1" x14ac:dyDescent="0.45">
      <c r="A6" s="368" t="s">
        <v>3</v>
      </c>
      <c r="B6" s="379">
        <v>943.2</v>
      </c>
      <c r="C6" s="379">
        <v>988.4</v>
      </c>
      <c r="D6" s="379">
        <v>1080.3211999999999</v>
      </c>
      <c r="E6" s="379">
        <v>1216.1814574231523</v>
      </c>
      <c r="F6" s="379">
        <v>1358.4746879416612</v>
      </c>
      <c r="G6" s="379">
        <v>1501.1145301755355</v>
      </c>
      <c r="H6" s="379">
        <v>1271.4440070586786</v>
      </c>
      <c r="I6" s="379">
        <v>917.98257309636597</v>
      </c>
      <c r="J6" s="379">
        <v>825</v>
      </c>
      <c r="K6" s="379">
        <v>875.3</v>
      </c>
      <c r="L6" s="379">
        <v>0</v>
      </c>
      <c r="M6" s="379">
        <f>K6</f>
        <v>875.3</v>
      </c>
      <c r="N6" s="380">
        <f>M6*(1+N162)</f>
        <v>934.82039999999995</v>
      </c>
      <c r="O6" s="380">
        <f>N6*(1+O162)</f>
        <v>990.90962400000001</v>
      </c>
      <c r="P6" s="380">
        <f>O6*(1+P162)</f>
        <v>1045.40965332</v>
      </c>
      <c r="Q6" s="380">
        <f>P6*(1+Q162)</f>
        <v>1092.4530877193999</v>
      </c>
      <c r="R6" s="380">
        <f>Q6*(1+R162)</f>
        <v>1130.6889457895788</v>
      </c>
    </row>
    <row r="7" spans="1:19" s="368" customFormat="1" x14ac:dyDescent="0.45">
      <c r="A7" s="381" t="s">
        <v>23</v>
      </c>
      <c r="B7" s="382">
        <v>-784.74239999999998</v>
      </c>
      <c r="C7" s="382">
        <v>-823.33720000000005</v>
      </c>
      <c r="D7" s="382">
        <v>-898.82723840000006</v>
      </c>
      <c r="E7" s="640">
        <v>-1016.72769840576</v>
      </c>
      <c r="F7" s="640">
        <v>-1131.6094150553999</v>
      </c>
      <c r="G7" s="640">
        <v>-1265.44688567104</v>
      </c>
      <c r="H7" s="640">
        <v>-1143.0281623457499</v>
      </c>
      <c r="I7" s="382">
        <v>-832.610193798404</v>
      </c>
      <c r="J7" s="382">
        <v>-746.625</v>
      </c>
      <c r="K7" s="382">
        <v>-775.51580000000001</v>
      </c>
      <c r="L7" s="382">
        <v>0</v>
      </c>
      <c r="M7" s="382">
        <f>K7</f>
        <v>-775.51580000000001</v>
      </c>
      <c r="N7" s="382">
        <f>N8-N6</f>
        <v>-817.96785</v>
      </c>
      <c r="O7" s="382">
        <f>O8-O6</f>
        <v>-862.09137287999999</v>
      </c>
      <c r="P7" s="382">
        <f>P8-P6</f>
        <v>-904.27935012180001</v>
      </c>
      <c r="Q7" s="382">
        <f>Q8-Q6</f>
        <v>-944.97192087728092</v>
      </c>
      <c r="R7" s="382">
        <f>R8-R6</f>
        <v>-978.04593810798565</v>
      </c>
      <c r="S7" s="369"/>
    </row>
    <row r="8" spans="1:19" s="368" customFormat="1" x14ac:dyDescent="0.45">
      <c r="A8" s="383" t="s">
        <v>11</v>
      </c>
      <c r="B8" s="384">
        <f t="shared" ref="B8:M8" si="0">B6+B7</f>
        <v>158.45760000000007</v>
      </c>
      <c r="C8" s="384">
        <f t="shared" si="0"/>
        <v>165.06279999999992</v>
      </c>
      <c r="D8" s="384">
        <f t="shared" si="0"/>
        <v>181.49396159999981</v>
      </c>
      <c r="E8" s="384">
        <f t="shared" si="0"/>
        <v>199.45375901739237</v>
      </c>
      <c r="F8" s="384">
        <f t="shared" si="0"/>
        <v>226.86527288626121</v>
      </c>
      <c r="G8" s="384">
        <f t="shared" si="0"/>
        <v>235.66764450449546</v>
      </c>
      <c r="H8" s="384">
        <f t="shared" si="0"/>
        <v>128.41584471292867</v>
      </c>
      <c r="I8" s="384">
        <f t="shared" si="0"/>
        <v>85.37237929796197</v>
      </c>
      <c r="J8" s="384">
        <f t="shared" si="0"/>
        <v>78.375</v>
      </c>
      <c r="K8" s="384">
        <f t="shared" si="0"/>
        <v>99.784199999999942</v>
      </c>
      <c r="L8" s="384">
        <f t="shared" si="0"/>
        <v>0</v>
      </c>
      <c r="M8" s="384">
        <f t="shared" si="0"/>
        <v>99.784199999999942</v>
      </c>
      <c r="N8" s="384">
        <f>N163*N6</f>
        <v>116.85254999999999</v>
      </c>
      <c r="O8" s="384">
        <f>O163*O6</f>
        <v>128.81825112000001</v>
      </c>
      <c r="P8" s="384">
        <f>P163*P6</f>
        <v>141.13030319820001</v>
      </c>
      <c r="Q8" s="384">
        <f>Q163*Q6</f>
        <v>147.48116684211899</v>
      </c>
      <c r="R8" s="384">
        <f>R163*R6</f>
        <v>152.64300768159316</v>
      </c>
      <c r="S8" s="369"/>
    </row>
    <row r="9" spans="1:19" s="368" customFormat="1" x14ac:dyDescent="0.45">
      <c r="A9" s="368" t="s">
        <v>51</v>
      </c>
      <c r="B9" s="379">
        <v>-108.468</v>
      </c>
      <c r="C9" s="379">
        <v>-110.7008</v>
      </c>
      <c r="D9" s="379">
        <v>-119.91565319999999</v>
      </c>
      <c r="E9" s="379">
        <v>-134.99614177397001</v>
      </c>
      <c r="F9" s="379">
        <v>-150.79069036152401</v>
      </c>
      <c r="G9" s="379">
        <v>-169.62594190983501</v>
      </c>
      <c r="H9" s="379">
        <v>-160.20194488939401</v>
      </c>
      <c r="I9" s="379">
        <v>-118.419751929431</v>
      </c>
      <c r="J9" s="379">
        <v>-105.6</v>
      </c>
      <c r="K9" s="379">
        <v>-98.908900000000003</v>
      </c>
      <c r="L9" s="379">
        <v>0</v>
      </c>
      <c r="M9" s="379">
        <f>K9</f>
        <v>-98.908900000000003</v>
      </c>
      <c r="N9" s="379">
        <f>N11-N8-N10</f>
        <v>-71.556141999999994</v>
      </c>
      <c r="O9" s="379">
        <f>O11-O8-O10</f>
        <v>-71.290962400000012</v>
      </c>
      <c r="P9" s="379">
        <f>P11-P8-P10</f>
        <v>-69.4139170654</v>
      </c>
      <c r="Q9" s="379">
        <f>Q11-Q8-Q10</f>
        <v>-67.520777894746004</v>
      </c>
      <c r="R9" s="379">
        <f>R11-R8-R10</f>
        <v>-70.662005121062123</v>
      </c>
      <c r="S9" s="369"/>
    </row>
    <row r="10" spans="1:19" s="368" customFormat="1" ht="12.75" customHeight="1" x14ac:dyDescent="0.45">
      <c r="A10" s="381" t="s">
        <v>10</v>
      </c>
      <c r="B10" s="382">
        <v>-6.5</v>
      </c>
      <c r="C10" s="382">
        <v>-15.824999999999999</v>
      </c>
      <c r="D10" s="382">
        <v>-16.120725</v>
      </c>
      <c r="E10" s="382">
        <v>-19.690134225000001</v>
      </c>
      <c r="F10" s="382">
        <v>-34.541894856130199</v>
      </c>
      <c r="G10" s="382">
        <v>-35.109706391384798</v>
      </c>
      <c r="H10" s="382">
        <v>-41.2189937978209</v>
      </c>
      <c r="I10" s="382">
        <v>-40.034735273572302</v>
      </c>
      <c r="J10" s="382">
        <v>-32.523873592965501</v>
      </c>
      <c r="K10" s="382">
        <v>-25.297708073493101</v>
      </c>
      <c r="L10" s="382">
        <v>0</v>
      </c>
      <c r="M10" s="382">
        <f>K10</f>
        <v>-25.297708073493101</v>
      </c>
      <c r="N10" s="382">
        <f>-'Projections (Ex. 4)'!C12</f>
        <v>-26.6</v>
      </c>
      <c r="O10" s="382">
        <f>-'Projections (Ex. 4)'!D12</f>
        <v>-27.8</v>
      </c>
      <c r="P10" s="382">
        <f>-'Projections (Ex. 4)'!E12</f>
        <v>-29.9</v>
      </c>
      <c r="Q10" s="382">
        <f>-'Projections (Ex. 4)'!F12</f>
        <v>-30.8</v>
      </c>
      <c r="R10" s="382">
        <f>-'Projections (Ex. 4)'!G12</f>
        <v>-31.1</v>
      </c>
      <c r="S10" s="369"/>
    </row>
    <row r="11" spans="1:19" s="368" customFormat="1" x14ac:dyDescent="0.45">
      <c r="A11" s="370" t="s">
        <v>209</v>
      </c>
      <c r="B11" s="384">
        <f t="shared" ref="B11:M11" si="1">B8+B9+B10</f>
        <v>43.489600000000067</v>
      </c>
      <c r="C11" s="384">
        <f t="shared" si="1"/>
        <v>38.536999999999921</v>
      </c>
      <c r="D11" s="384">
        <f t="shared" si="1"/>
        <v>45.457583399999812</v>
      </c>
      <c r="E11" s="384">
        <f t="shared" si="1"/>
        <v>44.767483018422361</v>
      </c>
      <c r="F11" s="384">
        <f t="shared" si="1"/>
        <v>41.532687668606997</v>
      </c>
      <c r="G11" s="384">
        <f t="shared" si="1"/>
        <v>30.931996203275652</v>
      </c>
      <c r="H11" s="384">
        <f t="shared" si="1"/>
        <v>-73.00509397428624</v>
      </c>
      <c r="I11" s="384">
        <f t="shared" si="1"/>
        <v>-73.08210790504134</v>
      </c>
      <c r="J11" s="384">
        <f t="shared" si="1"/>
        <v>-59.748873592965495</v>
      </c>
      <c r="K11" s="384">
        <f t="shared" si="1"/>
        <v>-24.422408073493163</v>
      </c>
      <c r="L11" s="384">
        <f t="shared" si="1"/>
        <v>0</v>
      </c>
      <c r="M11" s="384">
        <f t="shared" si="1"/>
        <v>-24.422408073493163</v>
      </c>
      <c r="N11" s="384">
        <f>N165*N6</f>
        <v>18.696407999999998</v>
      </c>
      <c r="O11" s="384">
        <f>O165*O6</f>
        <v>29.727288720000001</v>
      </c>
      <c r="P11" s="384">
        <f>P165*P6</f>
        <v>41.816386132799998</v>
      </c>
      <c r="Q11" s="384">
        <f>Q165*Q6</f>
        <v>49.160388947372994</v>
      </c>
      <c r="R11" s="384">
        <f>R165*R6</f>
        <v>50.881002560531044</v>
      </c>
      <c r="S11" s="369"/>
    </row>
    <row r="12" spans="1:19" s="368" customFormat="1" x14ac:dyDescent="0.45">
      <c r="A12" s="368" t="s">
        <v>52</v>
      </c>
      <c r="B12" s="379">
        <v>0</v>
      </c>
      <c r="C12" s="379">
        <v>0</v>
      </c>
      <c r="D12" s="379">
        <v>0</v>
      </c>
      <c r="E12" s="379">
        <v>0</v>
      </c>
      <c r="F12" s="379">
        <v>0</v>
      </c>
      <c r="G12" s="379">
        <v>0</v>
      </c>
      <c r="H12" s="379">
        <v>0</v>
      </c>
      <c r="I12" s="379">
        <v>0</v>
      </c>
      <c r="J12" s="379">
        <v>-20.8</v>
      </c>
      <c r="K12" s="379">
        <v>-22.4</v>
      </c>
      <c r="L12" s="379">
        <v>0</v>
      </c>
      <c r="M12" s="379">
        <f>K12</f>
        <v>-22.4</v>
      </c>
      <c r="N12" s="379">
        <v>0</v>
      </c>
      <c r="O12" s="379">
        <v>0</v>
      </c>
      <c r="P12" s="379">
        <v>0</v>
      </c>
      <c r="Q12" s="379">
        <v>0</v>
      </c>
      <c r="R12" s="379">
        <v>0</v>
      </c>
      <c r="S12" s="369"/>
    </row>
    <row r="13" spans="1:19" s="368" customFormat="1" x14ac:dyDescent="0.45">
      <c r="A13" s="368" t="s">
        <v>30</v>
      </c>
      <c r="B13" s="379">
        <v>0</v>
      </c>
      <c r="C13" s="379">
        <v>0</v>
      </c>
      <c r="D13" s="379">
        <v>0</v>
      </c>
      <c r="E13" s="379">
        <v>0</v>
      </c>
      <c r="F13" s="379">
        <v>0</v>
      </c>
      <c r="G13" s="379">
        <v>0</v>
      </c>
      <c r="H13" s="379">
        <v>0</v>
      </c>
      <c r="I13" s="379">
        <v>-22.2</v>
      </c>
      <c r="J13" s="379">
        <v>-26.3</v>
      </c>
      <c r="K13" s="379">
        <v>-22.8</v>
      </c>
      <c r="L13" s="379">
        <v>0</v>
      </c>
      <c r="M13" s="379">
        <f>K13</f>
        <v>-22.8</v>
      </c>
      <c r="N13" s="379">
        <v>0</v>
      </c>
      <c r="O13" s="379">
        <v>0</v>
      </c>
      <c r="P13" s="379">
        <v>0</v>
      </c>
      <c r="Q13" s="379">
        <v>0</v>
      </c>
      <c r="R13" s="379">
        <v>0</v>
      </c>
      <c r="S13" s="369"/>
    </row>
    <row r="14" spans="1:19" s="368" customFormat="1" x14ac:dyDescent="0.45">
      <c r="A14" s="369" t="s">
        <v>4</v>
      </c>
      <c r="B14" s="379">
        <v>-2.3928696</v>
      </c>
      <c r="C14" s="379">
        <v>-1.4244169499999999</v>
      </c>
      <c r="D14" s="379">
        <v>-0.99758910000000001</v>
      </c>
      <c r="E14" s="379">
        <v>-2.3030526</v>
      </c>
      <c r="F14" s="379">
        <v>-11.53304</v>
      </c>
      <c r="G14" s="379">
        <v>-14.4379752</v>
      </c>
      <c r="H14" s="379">
        <v>-22.608280000000001</v>
      </c>
      <c r="I14" s="379">
        <v>-24.131846979999999</v>
      </c>
      <c r="J14" s="379">
        <v>-19.787168333333302</v>
      </c>
      <c r="K14" s="379">
        <v>-18.246646899999998</v>
      </c>
      <c r="L14" s="379">
        <v>0</v>
      </c>
      <c r="M14" s="379">
        <f>K14</f>
        <v>-18.246646899999998</v>
      </c>
      <c r="N14" s="379">
        <f>-N155</f>
        <v>-14.792287735714286</v>
      </c>
      <c r="O14" s="379">
        <f>-O155</f>
        <v>-11.33792857142857</v>
      </c>
      <c r="P14" s="379">
        <f>-P155</f>
        <v>-10.156354218289415</v>
      </c>
      <c r="Q14" s="379">
        <f>-Q155</f>
        <v>-8.0901743375088362</v>
      </c>
      <c r="R14" s="379">
        <f>-R155</f>
        <v>-6.339345595581694</v>
      </c>
      <c r="S14" s="369"/>
    </row>
    <row r="15" spans="1:19" s="368" customFormat="1" x14ac:dyDescent="0.45">
      <c r="A15" s="381" t="s">
        <v>24</v>
      </c>
      <c r="B15" s="382">
        <v>-14.38385564</v>
      </c>
      <c r="C15" s="382">
        <v>-12.989404067500001</v>
      </c>
      <c r="D15" s="382">
        <v>-15.560998005</v>
      </c>
      <c r="E15" s="382">
        <v>-14.862550646449501</v>
      </c>
      <c r="F15" s="382">
        <v>-10.499876684010999</v>
      </c>
      <c r="G15" s="382">
        <v>-5.77290735114582</v>
      </c>
      <c r="H15" s="382">
        <v>33.082227395103601</v>
      </c>
      <c r="I15" s="382">
        <v>41.197814435339303</v>
      </c>
      <c r="J15" s="382">
        <v>35.984254254941597</v>
      </c>
      <c r="K15" s="382">
        <v>20.9500975915178</v>
      </c>
      <c r="L15" s="382">
        <v>0</v>
      </c>
      <c r="M15" s="382">
        <f>K15</f>
        <v>20.9500975915178</v>
      </c>
      <c r="N15" s="382">
        <f>-N118</f>
        <v>0</v>
      </c>
      <c r="O15" s="382">
        <f>-O118</f>
        <v>0</v>
      </c>
      <c r="P15" s="382">
        <f>-P118</f>
        <v>0</v>
      </c>
      <c r="Q15" s="382">
        <f>-Q118</f>
        <v>-5.5383044280311555</v>
      </c>
      <c r="R15" s="382">
        <f>-R118</f>
        <v>-15.589579937732273</v>
      </c>
      <c r="S15" s="369"/>
    </row>
    <row r="16" spans="1:19" s="368" customFormat="1" x14ac:dyDescent="0.45">
      <c r="A16" s="370" t="s">
        <v>5</v>
      </c>
      <c r="B16" s="384">
        <f t="shared" ref="B16:R16" si="2">SUM(B11:B15)</f>
        <v>26.712874760000069</v>
      </c>
      <c r="C16" s="384">
        <f t="shared" si="2"/>
        <v>24.123178982499919</v>
      </c>
      <c r="D16" s="384">
        <f t="shared" si="2"/>
        <v>28.898996294999812</v>
      </c>
      <c r="E16" s="384">
        <f t="shared" si="2"/>
        <v>27.601879771972861</v>
      </c>
      <c r="F16" s="384">
        <f t="shared" si="2"/>
        <v>19.499770984595997</v>
      </c>
      <c r="G16" s="384">
        <f t="shared" si="2"/>
        <v>10.721113652129832</v>
      </c>
      <c r="H16" s="384">
        <f t="shared" si="2"/>
        <v>-62.531146579182646</v>
      </c>
      <c r="I16" s="384">
        <f t="shared" si="2"/>
        <v>-78.216140449702038</v>
      </c>
      <c r="J16" s="384">
        <f t="shared" si="2"/>
        <v>-90.651787671357198</v>
      </c>
      <c r="K16" s="384">
        <f t="shared" si="2"/>
        <v>-66.91895738197536</v>
      </c>
      <c r="L16" s="384">
        <f t="shared" si="2"/>
        <v>0</v>
      </c>
      <c r="M16" s="384">
        <f t="shared" si="2"/>
        <v>-66.91895738197536</v>
      </c>
      <c r="N16" s="384">
        <f t="shared" si="2"/>
        <v>3.9041202642857122</v>
      </c>
      <c r="O16" s="384">
        <f t="shared" si="2"/>
        <v>18.389360148571431</v>
      </c>
      <c r="P16" s="384">
        <f t="shared" si="2"/>
        <v>31.660031914510583</v>
      </c>
      <c r="Q16" s="384">
        <f t="shared" si="2"/>
        <v>35.531910181833005</v>
      </c>
      <c r="R16" s="384">
        <f t="shared" si="2"/>
        <v>28.952077027217079</v>
      </c>
      <c r="S16" s="369"/>
    </row>
    <row r="17" spans="1:19" s="368" customFormat="1" x14ac:dyDescent="0.45">
      <c r="A17" s="370"/>
      <c r="B17" s="384"/>
      <c r="C17" s="384"/>
      <c r="D17" s="384"/>
      <c r="E17" s="384"/>
      <c r="F17" s="384"/>
      <c r="G17" s="384"/>
      <c r="H17" s="384"/>
      <c r="I17" s="384"/>
      <c r="J17" s="384"/>
      <c r="K17" s="384"/>
      <c r="L17" s="384"/>
      <c r="M17" s="384"/>
      <c r="Q17" s="369"/>
      <c r="R17" s="369"/>
      <c r="S17" s="369"/>
    </row>
    <row r="18" spans="1:19" s="368" customFormat="1" x14ac:dyDescent="0.45">
      <c r="A18" s="370" t="s">
        <v>368</v>
      </c>
      <c r="B18" s="384">
        <f t="shared" ref="B18:R18" si="3">B11-B10</f>
        <v>49.989600000000067</v>
      </c>
      <c r="C18" s="384">
        <f t="shared" si="3"/>
        <v>54.361999999999924</v>
      </c>
      <c r="D18" s="384">
        <f t="shared" si="3"/>
        <v>61.578308399999813</v>
      </c>
      <c r="E18" s="384">
        <f t="shared" si="3"/>
        <v>64.457617243422362</v>
      </c>
      <c r="F18" s="384">
        <f t="shared" si="3"/>
        <v>76.074582524737195</v>
      </c>
      <c r="G18" s="384">
        <f t="shared" si="3"/>
        <v>66.04170259466045</v>
      </c>
      <c r="H18" s="384">
        <f t="shared" si="3"/>
        <v>-31.786100176465339</v>
      </c>
      <c r="I18" s="384">
        <f t="shared" si="3"/>
        <v>-33.047372631469038</v>
      </c>
      <c r="J18" s="384">
        <f t="shared" si="3"/>
        <v>-27.224999999999994</v>
      </c>
      <c r="K18" s="384">
        <f t="shared" si="3"/>
        <v>0.8752999999999389</v>
      </c>
      <c r="L18" s="384">
        <f t="shared" si="3"/>
        <v>0</v>
      </c>
      <c r="M18" s="384">
        <f t="shared" si="3"/>
        <v>0.8752999999999389</v>
      </c>
      <c r="N18" s="384">
        <f t="shared" si="3"/>
        <v>45.296408</v>
      </c>
      <c r="O18" s="384">
        <f t="shared" si="3"/>
        <v>57.527288720000001</v>
      </c>
      <c r="P18" s="384">
        <f t="shared" si="3"/>
        <v>71.716386132799997</v>
      </c>
      <c r="Q18" s="384">
        <f t="shared" si="3"/>
        <v>79.960388947372991</v>
      </c>
      <c r="R18" s="384">
        <f t="shared" si="3"/>
        <v>81.981002560531039</v>
      </c>
      <c r="S18" s="369"/>
    </row>
    <row r="19" spans="1:19" s="368" customFormat="1" x14ac:dyDescent="0.45">
      <c r="B19" s="385"/>
      <c r="C19" s="385"/>
      <c r="D19" s="385"/>
      <c r="E19" s="385"/>
      <c r="F19" s="385"/>
      <c r="G19" s="385"/>
      <c r="H19" s="385"/>
      <c r="I19" s="385"/>
      <c r="J19" s="385"/>
      <c r="K19" s="385"/>
      <c r="Q19" s="369"/>
      <c r="R19" s="369"/>
      <c r="S19" s="369"/>
    </row>
    <row r="20" spans="1:19" s="368" customFormat="1" x14ac:dyDescent="0.45">
      <c r="A20" s="368" t="s">
        <v>183</v>
      </c>
      <c r="B20" s="386">
        <v>25</v>
      </c>
      <c r="C20" s="386">
        <v>25</v>
      </c>
      <c r="D20" s="386">
        <v>25</v>
      </c>
      <c r="E20" s="386">
        <v>25</v>
      </c>
      <c r="F20" s="386">
        <v>25</v>
      </c>
      <c r="G20" s="386">
        <v>25</v>
      </c>
      <c r="H20" s="386">
        <v>25</v>
      </c>
      <c r="I20" s="386">
        <v>25</v>
      </c>
      <c r="J20" s="386">
        <v>25</v>
      </c>
      <c r="K20" s="386">
        <v>25</v>
      </c>
      <c r="L20" s="387">
        <f>-K20</f>
        <v>-25</v>
      </c>
      <c r="M20" s="386">
        <f>K20+L20</f>
        <v>0</v>
      </c>
      <c r="N20" s="387">
        <f t="shared" ref="N20:R22" si="4">M20</f>
        <v>0</v>
      </c>
      <c r="O20" s="387">
        <f t="shared" si="4"/>
        <v>0</v>
      </c>
      <c r="P20" s="387">
        <f t="shared" si="4"/>
        <v>0</v>
      </c>
      <c r="Q20" s="387">
        <f t="shared" si="4"/>
        <v>0</v>
      </c>
      <c r="R20" s="387">
        <f t="shared" si="4"/>
        <v>0</v>
      </c>
      <c r="S20" s="369"/>
    </row>
    <row r="21" spans="1:19" s="368" customFormat="1" x14ac:dyDescent="0.45">
      <c r="A21" s="368" t="s">
        <v>138</v>
      </c>
      <c r="B21" s="379">
        <v>4.5</v>
      </c>
      <c r="C21" s="379">
        <v>4.5</v>
      </c>
      <c r="D21" s="379">
        <v>4.5</v>
      </c>
      <c r="E21" s="379">
        <v>4.5</v>
      </c>
      <c r="F21" s="379">
        <v>4.5</v>
      </c>
      <c r="G21" s="379">
        <v>4.5</v>
      </c>
      <c r="H21" s="379">
        <v>4.5</v>
      </c>
      <c r="I21" s="379">
        <v>4.5</v>
      </c>
      <c r="J21" s="379">
        <v>2.25</v>
      </c>
      <c r="K21" s="379">
        <v>0</v>
      </c>
      <c r="L21" s="379"/>
      <c r="M21" s="379">
        <f>K21</f>
        <v>0</v>
      </c>
      <c r="N21" s="388">
        <f t="shared" si="4"/>
        <v>0</v>
      </c>
      <c r="O21" s="388">
        <f t="shared" si="4"/>
        <v>0</v>
      </c>
      <c r="P21" s="388">
        <f t="shared" si="4"/>
        <v>0</v>
      </c>
      <c r="Q21" s="388">
        <f t="shared" si="4"/>
        <v>0</v>
      </c>
      <c r="R21" s="388">
        <f t="shared" si="4"/>
        <v>0</v>
      </c>
      <c r="S21" s="369"/>
    </row>
    <row r="22" spans="1:19" s="368" customFormat="1" x14ac:dyDescent="0.45">
      <c r="A22" s="368" t="s">
        <v>184</v>
      </c>
      <c r="B22" s="389">
        <v>64.8</v>
      </c>
      <c r="C22" s="389">
        <v>64.8</v>
      </c>
      <c r="D22" s="389">
        <v>64.8</v>
      </c>
      <c r="E22" s="389">
        <v>64.8</v>
      </c>
      <c r="F22" s="389">
        <v>64.8</v>
      </c>
      <c r="G22" s="389">
        <v>64.8</v>
      </c>
      <c r="H22" s="389">
        <v>64.8</v>
      </c>
      <c r="I22" s="389">
        <v>64.8</v>
      </c>
      <c r="J22" s="389">
        <v>64.8</v>
      </c>
      <c r="K22" s="389">
        <v>64.8</v>
      </c>
      <c r="L22" s="387">
        <f>M22-K22</f>
        <v>231.37785714285712</v>
      </c>
      <c r="M22" s="389">
        <f>'Pro Forma (Ex. 8)'!L22</f>
        <v>296.17785714285714</v>
      </c>
      <c r="N22" s="387">
        <f t="shared" si="4"/>
        <v>296.17785714285714</v>
      </c>
      <c r="O22" s="387">
        <f t="shared" si="4"/>
        <v>296.17785714285714</v>
      </c>
      <c r="P22" s="387">
        <f t="shared" si="4"/>
        <v>296.17785714285714</v>
      </c>
      <c r="Q22" s="387">
        <f t="shared" si="4"/>
        <v>296.17785714285714</v>
      </c>
      <c r="R22" s="387">
        <f t="shared" si="4"/>
        <v>296.17785714285714</v>
      </c>
      <c r="S22" s="369"/>
    </row>
    <row r="23" spans="1:19" s="368" customFormat="1" x14ac:dyDescent="0.45">
      <c r="A23" s="368" t="s">
        <v>69</v>
      </c>
      <c r="B23" s="390">
        <v>0.34279127716049457</v>
      </c>
      <c r="C23" s="390">
        <v>0.3028268361496918</v>
      </c>
      <c r="D23" s="390">
        <v>0.37652772060185236</v>
      </c>
      <c r="E23" s="390">
        <v>0.35651049030829696</v>
      </c>
      <c r="F23" s="390">
        <v>0.23147794729308518</v>
      </c>
      <c r="G23" s="390">
        <v>9.6004840310616554E-2</v>
      </c>
      <c r="H23" s="390">
        <v>-1.0344312743701287</v>
      </c>
      <c r="I23" s="390">
        <v>-1.2764836489151581</v>
      </c>
      <c r="J23" s="390">
        <v>-1.4336695628295872</v>
      </c>
      <c r="K23" s="390">
        <v>-1.0326999595983852</v>
      </c>
      <c r="M23" s="390">
        <f t="shared" ref="M23:R23" si="5">M16/M22</f>
        <v>-0.22594179736298775</v>
      </c>
      <c r="N23" s="390">
        <f t="shared" si="5"/>
        <v>1.3181675031170936E-2</v>
      </c>
      <c r="O23" s="390">
        <f t="shared" si="5"/>
        <v>6.2088909434244395E-2</v>
      </c>
      <c r="P23" s="390">
        <f t="shared" si="5"/>
        <v>0.10689533721367908</v>
      </c>
      <c r="Q23" s="390">
        <f t="shared" si="5"/>
        <v>0.11996815199015604</v>
      </c>
      <c r="R23" s="390">
        <f t="shared" si="5"/>
        <v>9.7752334717083389E-2</v>
      </c>
      <c r="S23" s="369"/>
    </row>
    <row r="24" spans="1:19" s="368" customFormat="1" x14ac:dyDescent="0.45">
      <c r="A24" s="368" t="s">
        <v>74</v>
      </c>
      <c r="B24" s="390">
        <v>0.1</v>
      </c>
      <c r="C24" s="390">
        <v>0.1</v>
      </c>
      <c r="D24" s="390">
        <v>0.1</v>
      </c>
      <c r="E24" s="390">
        <v>0.1</v>
      </c>
      <c r="F24" s="390">
        <v>0.1</v>
      </c>
      <c r="G24" s="390">
        <v>0.1</v>
      </c>
      <c r="H24" s="390">
        <v>0.1</v>
      </c>
      <c r="I24" s="390">
        <v>0.1</v>
      </c>
      <c r="J24" s="390">
        <v>0.05</v>
      </c>
      <c r="K24" s="390">
        <v>0</v>
      </c>
      <c r="L24" s="390">
        <v>0</v>
      </c>
      <c r="M24" s="390">
        <f>K24</f>
        <v>0</v>
      </c>
      <c r="N24" s="390">
        <f>M24</f>
        <v>0</v>
      </c>
      <c r="O24" s="390">
        <f>N24</f>
        <v>0</v>
      </c>
      <c r="P24" s="390">
        <f>O24</f>
        <v>0</v>
      </c>
      <c r="Q24" s="390">
        <f>P24</f>
        <v>0</v>
      </c>
      <c r="R24" s="390">
        <f>Q24</f>
        <v>0</v>
      </c>
      <c r="S24" s="369"/>
    </row>
    <row r="25" spans="1:19" s="368" customFormat="1" x14ac:dyDescent="0.45">
      <c r="A25" s="381" t="s">
        <v>73</v>
      </c>
      <c r="B25" s="391">
        <v>10.5</v>
      </c>
      <c r="C25" s="391">
        <v>12.6</v>
      </c>
      <c r="D25" s="391">
        <v>13.41</v>
      </c>
      <c r="E25" s="391">
        <v>13.3</v>
      </c>
      <c r="F25" s="391">
        <v>12.7</v>
      </c>
      <c r="G25" s="391">
        <v>10.74</v>
      </c>
      <c r="H25" s="391">
        <v>8.4</v>
      </c>
      <c r="I25" s="391">
        <v>4.0999999999999996</v>
      </c>
      <c r="J25" s="391">
        <v>1.54</v>
      </c>
      <c r="K25" s="391">
        <v>1.02</v>
      </c>
      <c r="L25" s="391"/>
      <c r="M25" s="391">
        <f>K25*K22/M22</f>
        <v>0.22316320550634394</v>
      </c>
      <c r="N25" s="391"/>
      <c r="O25" s="391"/>
      <c r="P25" s="391"/>
      <c r="Q25" s="391"/>
      <c r="R25" s="391"/>
      <c r="S25" s="369"/>
    </row>
    <row r="26" spans="1:19" s="368" customFormat="1" x14ac:dyDescent="0.45">
      <c r="B26" s="392"/>
      <c r="C26" s="392"/>
      <c r="D26" s="392"/>
      <c r="E26" s="392"/>
      <c r="F26" s="392"/>
      <c r="G26" s="392"/>
      <c r="H26" s="392"/>
      <c r="I26" s="392"/>
      <c r="J26" s="392"/>
      <c r="K26" s="392"/>
      <c r="Q26" s="369"/>
      <c r="R26" s="369"/>
      <c r="S26" s="369"/>
    </row>
    <row r="27" spans="1:19" s="368" customFormat="1" x14ac:dyDescent="0.45"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Q27" s="369"/>
      <c r="R27" s="369"/>
      <c r="S27" s="369"/>
    </row>
    <row r="28" spans="1:19" s="368" customFormat="1" x14ac:dyDescent="0.45">
      <c r="A28" s="381"/>
      <c r="B28" s="371" t="s">
        <v>190</v>
      </c>
      <c r="C28" s="371"/>
      <c r="D28" s="371"/>
      <c r="E28" s="371"/>
      <c r="F28" s="371"/>
      <c r="G28" s="371"/>
      <c r="H28" s="371"/>
      <c r="I28" s="371"/>
      <c r="J28" s="371"/>
      <c r="K28" s="371"/>
      <c r="L28" s="372" t="s">
        <v>221</v>
      </c>
      <c r="M28" s="372"/>
      <c r="N28" s="373" t="s">
        <v>219</v>
      </c>
      <c r="O28" s="373"/>
      <c r="P28" s="373"/>
      <c r="Q28" s="373"/>
      <c r="R28" s="373"/>
      <c r="S28" s="369"/>
    </row>
    <row r="29" spans="1:19" s="368" customFormat="1" x14ac:dyDescent="0.45">
      <c r="A29" s="374"/>
      <c r="B29" s="393">
        <v>2001</v>
      </c>
      <c r="C29" s="393">
        <v>2002</v>
      </c>
      <c r="D29" s="393">
        <v>2003</v>
      </c>
      <c r="E29" s="393">
        <v>2004</v>
      </c>
      <c r="F29" s="393">
        <v>2005</v>
      </c>
      <c r="G29" s="393">
        <v>2006</v>
      </c>
      <c r="H29" s="393">
        <v>2007</v>
      </c>
      <c r="I29" s="393">
        <v>2008</v>
      </c>
      <c r="J29" s="393">
        <v>2009</v>
      </c>
      <c r="K29" s="393">
        <v>2010</v>
      </c>
      <c r="L29" s="375" t="s">
        <v>222</v>
      </c>
      <c r="M29" s="375" t="s">
        <v>220</v>
      </c>
      <c r="N29" s="375">
        <v>2011</v>
      </c>
      <c r="O29" s="375">
        <f>N29+1</f>
        <v>2012</v>
      </c>
      <c r="P29" s="375">
        <f>O29+1</f>
        <v>2013</v>
      </c>
      <c r="Q29" s="375">
        <f>P29+1</f>
        <v>2014</v>
      </c>
      <c r="R29" s="375">
        <f>Q29+1</f>
        <v>2015</v>
      </c>
      <c r="S29" s="369"/>
    </row>
    <row r="30" spans="1:19" s="368" customFormat="1" ht="12.9" x14ac:dyDescent="0.5">
      <c r="A30" s="376" t="s">
        <v>153</v>
      </c>
      <c r="B30" s="394"/>
      <c r="C30" s="394"/>
      <c r="D30" s="394"/>
      <c r="E30" s="394"/>
      <c r="F30" s="394"/>
      <c r="G30" s="394"/>
      <c r="H30" s="394"/>
      <c r="I30" s="394"/>
      <c r="J30" s="394"/>
      <c r="K30" s="394"/>
      <c r="Q30" s="369"/>
      <c r="R30" s="369"/>
      <c r="S30" s="369"/>
    </row>
    <row r="31" spans="1:19" s="368" customFormat="1" x14ac:dyDescent="0.45">
      <c r="A31" s="368" t="s">
        <v>14</v>
      </c>
      <c r="B31" s="379">
        <v>50.5</v>
      </c>
      <c r="C31" s="379">
        <v>44.220421429798058</v>
      </c>
      <c r="D31" s="379">
        <v>43.741532455801369</v>
      </c>
      <c r="E31" s="379">
        <v>70.809678198583441</v>
      </c>
      <c r="F31" s="379">
        <v>77.156926320518011</v>
      </c>
      <c r="G31" s="379">
        <v>103.30266151339198</v>
      </c>
      <c r="H31" s="379">
        <v>63.230073140804876</v>
      </c>
      <c r="I31" s="379">
        <v>45.609420203084383</v>
      </c>
      <c r="J31" s="379">
        <v>32.605106533178031</v>
      </c>
      <c r="K31" s="379">
        <v>20.338927601688315</v>
      </c>
      <c r="L31" s="379">
        <v>0</v>
      </c>
      <c r="M31" s="379">
        <f>K31+L31</f>
        <v>20.338927601688315</v>
      </c>
      <c r="N31" s="379">
        <f>N80</f>
        <v>31.742457287759322</v>
      </c>
      <c r="O31" s="379">
        <f>O80</f>
        <v>91.308364032902261</v>
      </c>
      <c r="P31" s="379">
        <f>P80</f>
        <v>70.090593358711942</v>
      </c>
      <c r="Q31" s="379">
        <f>Q80</f>
        <v>72.88354189127935</v>
      </c>
      <c r="R31" s="379">
        <f>R80</f>
        <v>45.924184093739129</v>
      </c>
      <c r="S31" s="369"/>
    </row>
    <row r="32" spans="1:19" s="368" customFormat="1" x14ac:dyDescent="0.45">
      <c r="A32" s="368" t="s">
        <v>6</v>
      </c>
      <c r="B32" s="379">
        <v>73.671273334601224</v>
      </c>
      <c r="C32" s="379">
        <v>76.404241354803247</v>
      </c>
      <c r="D32" s="379">
        <v>89.666659599999988</v>
      </c>
      <c r="E32" s="379">
        <v>103.37542388096796</v>
      </c>
      <c r="F32" s="379">
        <v>124.97967129063282</v>
      </c>
      <c r="G32" s="379">
        <v>151.6125675477291</v>
      </c>
      <c r="H32" s="379">
        <v>179.27360499527367</v>
      </c>
      <c r="I32" s="379">
        <v>148.7131768416113</v>
      </c>
      <c r="J32" s="379">
        <v>137.77500000000001</v>
      </c>
      <c r="K32" s="379">
        <v>130.41969999999998</v>
      </c>
      <c r="L32" s="379">
        <v>0</v>
      </c>
      <c r="M32" s="379">
        <f>K32+L32</f>
        <v>130.41969999999998</v>
      </c>
      <c r="N32" s="388">
        <f t="shared" ref="N32:R33" si="6">N87</f>
        <v>135.74104438356161</v>
      </c>
      <c r="O32" s="388">
        <f t="shared" si="6"/>
        <v>135.4948249682831</v>
      </c>
      <c r="P32" s="388">
        <f t="shared" si="6"/>
        <v>131.38473561876751</v>
      </c>
      <c r="Q32" s="388">
        <f t="shared" si="6"/>
        <v>134.30893134434854</v>
      </c>
      <c r="R32" s="388">
        <f t="shared" si="6"/>
        <v>139.96079232304706</v>
      </c>
      <c r="S32" s="369"/>
    </row>
    <row r="33" spans="1:19" s="368" customFormat="1" x14ac:dyDescent="0.45">
      <c r="A33" s="368" t="s">
        <v>27</v>
      </c>
      <c r="B33" s="379">
        <v>130.16160000000002</v>
      </c>
      <c r="C33" s="379">
        <v>143.31799999999998</v>
      </c>
      <c r="D33" s="379">
        <v>155.56625279999997</v>
      </c>
      <c r="E33" s="379">
        <v>171.48158549666445</v>
      </c>
      <c r="F33" s="379">
        <v>188.82798162389091</v>
      </c>
      <c r="G33" s="379">
        <v>210.156034224575</v>
      </c>
      <c r="H33" s="379">
        <v>190.71660105880179</v>
      </c>
      <c r="I33" s="379">
        <v>167.07282830353861</v>
      </c>
      <c r="J33" s="379">
        <v>145.19999999999999</v>
      </c>
      <c r="K33" s="379">
        <v>138.29739999999998</v>
      </c>
      <c r="L33" s="379">
        <v>0</v>
      </c>
      <c r="M33" s="379">
        <f>K33+L33</f>
        <v>138.29739999999998</v>
      </c>
      <c r="N33" s="388">
        <f t="shared" si="6"/>
        <v>143.42449972602739</v>
      </c>
      <c r="O33" s="388">
        <f t="shared" si="6"/>
        <v>142.89459742257534</v>
      </c>
      <c r="P33" s="388">
        <f t="shared" si="6"/>
        <v>149.8873991297778</v>
      </c>
      <c r="Q33" s="388">
        <f t="shared" si="6"/>
        <v>156.63233209061781</v>
      </c>
      <c r="R33" s="388">
        <f t="shared" si="6"/>
        <v>162.11446371378941</v>
      </c>
      <c r="S33" s="369"/>
    </row>
    <row r="34" spans="1:19" s="368" customFormat="1" x14ac:dyDescent="0.45">
      <c r="A34" s="381" t="s">
        <v>15</v>
      </c>
      <c r="B34" s="382">
        <v>2.2999999999999998</v>
      </c>
      <c r="C34" s="382">
        <v>5.0999999999999996</v>
      </c>
      <c r="D34" s="382">
        <v>4.9000000000000004</v>
      </c>
      <c r="E34" s="382">
        <v>5</v>
      </c>
      <c r="F34" s="382">
        <v>6.8999999999999986</v>
      </c>
      <c r="G34" s="382">
        <v>4.9000000000000004</v>
      </c>
      <c r="H34" s="382">
        <v>5.3000000000000007</v>
      </c>
      <c r="I34" s="382">
        <v>7.8999999999999986</v>
      </c>
      <c r="J34" s="382">
        <v>7.1000000000000014</v>
      </c>
      <c r="K34" s="382">
        <v>7.8000000000000007</v>
      </c>
      <c r="L34" s="382">
        <v>0</v>
      </c>
      <c r="M34" s="382">
        <f>K34+L34</f>
        <v>7.8000000000000007</v>
      </c>
      <c r="N34" s="395">
        <f>M34</f>
        <v>7.8000000000000007</v>
      </c>
      <c r="O34" s="395">
        <f>N34</f>
        <v>7.8000000000000007</v>
      </c>
      <c r="P34" s="395">
        <f>O34</f>
        <v>7.8000000000000007</v>
      </c>
      <c r="Q34" s="395">
        <f>P34</f>
        <v>7.8000000000000007</v>
      </c>
      <c r="R34" s="395">
        <f>Q34</f>
        <v>7.8000000000000007</v>
      </c>
      <c r="S34" s="369"/>
    </row>
    <row r="35" spans="1:19" s="368" customFormat="1" x14ac:dyDescent="0.45">
      <c r="A35" s="368" t="s">
        <v>0</v>
      </c>
      <c r="B35" s="379">
        <v>256.63287333460124</v>
      </c>
      <c r="C35" s="379">
        <v>269.0426627846013</v>
      </c>
      <c r="D35" s="379">
        <v>293.8744448558013</v>
      </c>
      <c r="E35" s="379">
        <v>350.66668757621585</v>
      </c>
      <c r="F35" s="379">
        <v>397.86457923504167</v>
      </c>
      <c r="G35" s="379">
        <v>469.97126328569607</v>
      </c>
      <c r="H35" s="379">
        <v>438.52027919488035</v>
      </c>
      <c r="I35" s="379">
        <v>369.29542534823429</v>
      </c>
      <c r="J35" s="379">
        <v>322.68010653317805</v>
      </c>
      <c r="K35" s="379">
        <v>296.85602760168825</v>
      </c>
      <c r="L35" s="379">
        <f t="shared" ref="L35:R35" si="7">SUM(L31:L34)</f>
        <v>0</v>
      </c>
      <c r="M35" s="379">
        <f t="shared" si="7"/>
        <v>296.85602760168825</v>
      </c>
      <c r="N35" s="379">
        <f t="shared" si="7"/>
        <v>318.70800139734837</v>
      </c>
      <c r="O35" s="379">
        <f t="shared" si="7"/>
        <v>377.49778642376072</v>
      </c>
      <c r="P35" s="379">
        <f t="shared" si="7"/>
        <v>359.16272810725724</v>
      </c>
      <c r="Q35" s="379">
        <f t="shared" si="7"/>
        <v>371.62480532624573</v>
      </c>
      <c r="R35" s="379">
        <f t="shared" si="7"/>
        <v>355.79944013057559</v>
      </c>
      <c r="S35" s="369"/>
    </row>
    <row r="36" spans="1:19" s="368" customFormat="1" x14ac:dyDescent="0.45">
      <c r="A36" s="396" t="s">
        <v>50</v>
      </c>
      <c r="B36" s="397">
        <v>237.5</v>
      </c>
      <c r="C36" s="397">
        <v>257.26800000000003</v>
      </c>
      <c r="D36" s="397">
        <v>320.98084800000004</v>
      </c>
      <c r="E36" s="397">
        <v>538.69445730673647</v>
      </c>
      <c r="F36" s="397">
        <v>580.80717263292797</v>
      </c>
      <c r="G36" s="397">
        <v>697.37404444346009</v>
      </c>
      <c r="H36" s="397">
        <v>722.80292458463362</v>
      </c>
      <c r="I36" s="397">
        <v>662.69283745011535</v>
      </c>
      <c r="J36" s="397">
        <v>598.86783745011542</v>
      </c>
      <c r="K36" s="397">
        <v>558.82683745011548</v>
      </c>
      <c r="L36" s="397">
        <v>0</v>
      </c>
      <c r="M36" s="397">
        <f>K36+L36</f>
        <v>558.82683745011548</v>
      </c>
      <c r="N36" s="397">
        <f>M36-N63</f>
        <v>577.02683745011552</v>
      </c>
      <c r="O36" s="397">
        <f>N36-O63</f>
        <v>588.22683745011557</v>
      </c>
      <c r="P36" s="397">
        <f>O36-P63</f>
        <v>599.72683745011557</v>
      </c>
      <c r="Q36" s="397">
        <f>P36-Q63</f>
        <v>611.62683745011554</v>
      </c>
      <c r="R36" s="397">
        <f>Q36-R63</f>
        <v>621.52683745011552</v>
      </c>
      <c r="S36" s="369"/>
    </row>
    <row r="37" spans="1:19" s="368" customFormat="1" x14ac:dyDescent="0.45">
      <c r="A37" s="396" t="s">
        <v>139</v>
      </c>
      <c r="B37" s="397">
        <v>-26.5</v>
      </c>
      <c r="C37" s="397">
        <v>-42.325000000000003</v>
      </c>
      <c r="D37" s="397">
        <v>-58.445725000000003</v>
      </c>
      <c r="E37" s="397">
        <v>-78.135859225000004</v>
      </c>
      <c r="F37" s="397">
        <v>-112.67775408113</v>
      </c>
      <c r="G37" s="397">
        <v>-147.78746047251499</v>
      </c>
      <c r="H37" s="397">
        <v>-189.00645427033601</v>
      </c>
      <c r="I37" s="397">
        <v>-229.04118954390799</v>
      </c>
      <c r="J37" s="397">
        <v>-261.56506313687402</v>
      </c>
      <c r="K37" s="397">
        <v>-286.86277121036699</v>
      </c>
      <c r="L37" s="397">
        <v>0</v>
      </c>
      <c r="M37" s="397">
        <f>K37+L37</f>
        <v>-286.86277121036699</v>
      </c>
      <c r="N37" s="397">
        <f>M37+N10</f>
        <v>-313.46277121036701</v>
      </c>
      <c r="O37" s="397">
        <f>N37+O10</f>
        <v>-341.26277121036702</v>
      </c>
      <c r="P37" s="397">
        <f>O37+P10</f>
        <v>-371.162771210367</v>
      </c>
      <c r="Q37" s="397">
        <f>P37+Q10</f>
        <v>-401.96277121036701</v>
      </c>
      <c r="R37" s="397">
        <f>Q37+R10</f>
        <v>-433.06277121036703</v>
      </c>
      <c r="S37" s="369"/>
    </row>
    <row r="38" spans="1:19" collapsed="1" x14ac:dyDescent="0.45">
      <c r="A38" s="368" t="s">
        <v>9</v>
      </c>
      <c r="B38" s="379">
        <v>211</v>
      </c>
      <c r="C38" s="379">
        <v>214.94300000000004</v>
      </c>
      <c r="D38" s="379">
        <v>262.535123</v>
      </c>
      <c r="E38" s="379">
        <v>460.55859808173648</v>
      </c>
      <c r="F38" s="379">
        <v>468.1294185517977</v>
      </c>
      <c r="G38" s="379">
        <v>549.58658397094496</v>
      </c>
      <c r="H38" s="379">
        <v>533.79647031429772</v>
      </c>
      <c r="I38" s="379">
        <v>433.65164790620707</v>
      </c>
      <c r="J38" s="379">
        <v>337.30277431324163</v>
      </c>
      <c r="K38" s="379">
        <v>271.96406623974855</v>
      </c>
      <c r="L38" s="379">
        <f>L36-L37</f>
        <v>0</v>
      </c>
      <c r="M38" s="379">
        <f>K38+L38</f>
        <v>271.96406623974855</v>
      </c>
      <c r="N38" s="379">
        <f>N36+N37</f>
        <v>263.56406623974851</v>
      </c>
      <c r="O38" s="379">
        <f>O36+O37</f>
        <v>246.96406623974855</v>
      </c>
      <c r="P38" s="379">
        <f>P36+P37</f>
        <v>228.56406623974857</v>
      </c>
      <c r="Q38" s="379">
        <f>Q36+Q37</f>
        <v>209.66406623974854</v>
      </c>
      <c r="R38" s="379">
        <f>R36+R37</f>
        <v>188.46406623974849</v>
      </c>
    </row>
    <row r="39" spans="1:19" x14ac:dyDescent="0.45">
      <c r="A39" s="381" t="s">
        <v>13</v>
      </c>
      <c r="B39" s="382">
        <v>5.6</v>
      </c>
      <c r="C39" s="382">
        <v>6</v>
      </c>
      <c r="D39" s="382">
        <v>6.5</v>
      </c>
      <c r="E39" s="382">
        <v>7</v>
      </c>
      <c r="F39" s="382">
        <v>7.2</v>
      </c>
      <c r="G39" s="382">
        <v>7.4</v>
      </c>
      <c r="H39" s="382">
        <v>6.8</v>
      </c>
      <c r="I39" s="382">
        <v>6.5</v>
      </c>
      <c r="J39" s="382">
        <v>6.4</v>
      </c>
      <c r="K39" s="382">
        <v>5.9</v>
      </c>
      <c r="L39" s="382">
        <v>0</v>
      </c>
      <c r="M39" s="382">
        <f>K39+L39</f>
        <v>5.9</v>
      </c>
      <c r="N39" s="395">
        <f>M39</f>
        <v>5.9</v>
      </c>
      <c r="O39" s="395">
        <f>N39</f>
        <v>5.9</v>
      </c>
      <c r="P39" s="395">
        <f>O39</f>
        <v>5.9</v>
      </c>
      <c r="Q39" s="395">
        <f>P39</f>
        <v>5.9</v>
      </c>
      <c r="R39" s="395">
        <f>Q39</f>
        <v>5.9</v>
      </c>
    </row>
    <row r="40" spans="1:19" x14ac:dyDescent="0.45">
      <c r="A40" s="370" t="s">
        <v>1</v>
      </c>
      <c r="B40" s="384">
        <v>473.23287333460127</v>
      </c>
      <c r="C40" s="384">
        <v>489.98566278460135</v>
      </c>
      <c r="D40" s="384">
        <v>562.90956785580124</v>
      </c>
      <c r="E40" s="384">
        <v>818.22528565795233</v>
      </c>
      <c r="F40" s="384">
        <v>873.19399778683942</v>
      </c>
      <c r="G40" s="384">
        <v>1026.9578472566411</v>
      </c>
      <c r="H40" s="384">
        <v>979.11674950917802</v>
      </c>
      <c r="I40" s="384">
        <v>809.44707325444142</v>
      </c>
      <c r="J40" s="384">
        <v>666.38288084641965</v>
      </c>
      <c r="K40" s="384">
        <v>574.72009384143678</v>
      </c>
      <c r="L40" s="384">
        <f>L35+L38+L39</f>
        <v>0</v>
      </c>
      <c r="M40" s="384">
        <v>574.72009384143678</v>
      </c>
      <c r="N40" s="384">
        <f>N35+N38+N39</f>
        <v>588.1720676370968</v>
      </c>
      <c r="O40" s="384">
        <f>O35+O38+O39</f>
        <v>630.36185266350924</v>
      </c>
      <c r="P40" s="384">
        <f>P35+P38+P39</f>
        <v>593.62679434700578</v>
      </c>
      <c r="Q40" s="384">
        <f>Q35+Q38+Q39</f>
        <v>587.18887156599419</v>
      </c>
      <c r="R40" s="384">
        <f>R35+R38+R39</f>
        <v>550.16350637032406</v>
      </c>
    </row>
    <row r="41" spans="1:19" x14ac:dyDescent="0.45">
      <c r="B41" s="379"/>
      <c r="C41" s="379"/>
      <c r="D41" s="379"/>
      <c r="E41" s="379"/>
      <c r="F41" s="379"/>
      <c r="G41" s="379"/>
      <c r="H41" s="379"/>
      <c r="I41" s="379"/>
      <c r="J41" s="379"/>
      <c r="K41" s="379"/>
    </row>
    <row r="42" spans="1:19" x14ac:dyDescent="0.45">
      <c r="A42" s="368" t="s">
        <v>7</v>
      </c>
      <c r="B42" s="379">
        <v>70.626815999999991</v>
      </c>
      <c r="C42" s="379">
        <v>75.747022399999992</v>
      </c>
      <c r="D42" s="379">
        <v>83.590933171199978</v>
      </c>
      <c r="E42" s="379">
        <v>92.522220554923734</v>
      </c>
      <c r="F42" s="379">
        <v>106.37128501520793</v>
      </c>
      <c r="G42" s="379">
        <v>116.4211134817358</v>
      </c>
      <c r="H42" s="379">
        <v>108.58767542284646</v>
      </c>
      <c r="I42" s="379">
        <v>84.926239767437195</v>
      </c>
      <c r="J42" s="379">
        <v>76.902374999999992</v>
      </c>
      <c r="K42" s="379">
        <v>79.878127399999997</v>
      </c>
      <c r="L42" s="379">
        <v>0</v>
      </c>
      <c r="M42" s="379">
        <f>K42+L42</f>
        <v>79.878127399999997</v>
      </c>
      <c r="N42" s="388">
        <f>N89</f>
        <v>85.521860667089044</v>
      </c>
      <c r="O42" s="388">
        <f>O89</f>
        <v>90.932925396358527</v>
      </c>
      <c r="P42" s="388">
        <f>P89</f>
        <v>95.382890107565373</v>
      </c>
      <c r="Q42" s="388">
        <f>Q89</f>
        <v>99.675120162405818</v>
      </c>
      <c r="R42" s="388">
        <f>R89</f>
        <v>103.16374936809001</v>
      </c>
      <c r="S42" s="398"/>
    </row>
    <row r="43" spans="1:19" x14ac:dyDescent="0.45">
      <c r="A43" s="368" t="s">
        <v>54</v>
      </c>
      <c r="B43" s="379">
        <v>16.383855640000021</v>
      </c>
      <c r="C43" s="379">
        <v>17.37325970750004</v>
      </c>
      <c r="D43" s="379">
        <v>19.434257712500056</v>
      </c>
      <c r="E43" s="379">
        <v>21.096808358949556</v>
      </c>
      <c r="F43" s="379">
        <v>18.996685042960586</v>
      </c>
      <c r="G43" s="379">
        <v>15.569592394106404</v>
      </c>
      <c r="H43" s="379">
        <v>-21.112635000997233</v>
      </c>
      <c r="I43" s="379">
        <v>-41.510449436336572</v>
      </c>
      <c r="J43" s="379">
        <v>-67.294703691278187</v>
      </c>
      <c r="K43" s="379">
        <v>-79.2</v>
      </c>
      <c r="L43" s="379">
        <v>0</v>
      </c>
      <c r="M43" s="379">
        <f>K43+L43</f>
        <v>-79.2</v>
      </c>
      <c r="N43" s="388">
        <f>N113</f>
        <v>-75.295879735714294</v>
      </c>
      <c r="O43" s="388">
        <f>O113</f>
        <v>-56.906519587142867</v>
      </c>
      <c r="P43" s="388">
        <f>P113</f>
        <v>-25.246487672632284</v>
      </c>
      <c r="Q43" s="388">
        <f>Q113</f>
        <v>0</v>
      </c>
      <c r="R43" s="388">
        <f>R113</f>
        <v>0</v>
      </c>
    </row>
    <row r="44" spans="1:19" x14ac:dyDescent="0.45">
      <c r="A44" s="368" t="s">
        <v>25</v>
      </c>
      <c r="B44" s="379">
        <v>49.5</v>
      </c>
      <c r="C44" s="379">
        <v>47</v>
      </c>
      <c r="D44" s="379">
        <v>92.1</v>
      </c>
      <c r="E44" s="379">
        <v>35.200000000000003</v>
      </c>
      <c r="F44" s="379">
        <v>69.900000000000006</v>
      </c>
      <c r="G44" s="379">
        <v>47.3</v>
      </c>
      <c r="H44" s="379">
        <v>158.19999999999999</v>
      </c>
      <c r="I44" s="379">
        <v>162.5</v>
      </c>
      <c r="J44" s="379">
        <v>190.1</v>
      </c>
      <c r="K44" s="399">
        <v>215</v>
      </c>
      <c r="L44" s="399">
        <f>M44-K44</f>
        <v>-215</v>
      </c>
      <c r="M44" s="399">
        <f>'Pro Forma (Ex. 8)'!E6</f>
        <v>0</v>
      </c>
      <c r="N44" s="379">
        <f t="shared" ref="N44:R45" si="8">N123</f>
        <v>0</v>
      </c>
      <c r="O44" s="379">
        <f t="shared" si="8"/>
        <v>0</v>
      </c>
      <c r="P44" s="379">
        <f t="shared" si="8"/>
        <v>0</v>
      </c>
      <c r="Q44" s="379">
        <f t="shared" si="8"/>
        <v>0</v>
      </c>
      <c r="R44" s="379">
        <f t="shared" si="8"/>
        <v>0</v>
      </c>
    </row>
    <row r="45" spans="1:19" x14ac:dyDescent="0.45">
      <c r="A45" s="381" t="s">
        <v>28</v>
      </c>
      <c r="B45" s="382">
        <v>0</v>
      </c>
      <c r="C45" s="382">
        <v>0</v>
      </c>
      <c r="D45" s="382">
        <v>0</v>
      </c>
      <c r="E45" s="382">
        <v>0</v>
      </c>
      <c r="F45" s="382">
        <v>0</v>
      </c>
      <c r="G45" s="382">
        <v>40.714285714285715</v>
      </c>
      <c r="H45" s="382">
        <v>40.714285714285715</v>
      </c>
      <c r="I45" s="382">
        <v>40.714285714285715</v>
      </c>
      <c r="J45" s="382">
        <v>40.714285714285715</v>
      </c>
      <c r="K45" s="400">
        <v>40.714285714285715</v>
      </c>
      <c r="L45" s="400">
        <f>M45-K45</f>
        <v>-40.714285714285715</v>
      </c>
      <c r="M45" s="400">
        <f>'Pro Forma (Ex. 8)'!E7</f>
        <v>0</v>
      </c>
      <c r="N45" s="382">
        <f t="shared" si="8"/>
        <v>0</v>
      </c>
      <c r="O45" s="382">
        <f t="shared" si="8"/>
        <v>0</v>
      </c>
      <c r="P45" s="382">
        <f t="shared" si="8"/>
        <v>0</v>
      </c>
      <c r="Q45" s="382">
        <f t="shared" si="8"/>
        <v>0</v>
      </c>
      <c r="R45" s="382">
        <f t="shared" si="8"/>
        <v>0</v>
      </c>
    </row>
    <row r="46" spans="1:19" x14ac:dyDescent="0.45">
      <c r="A46" s="368" t="s">
        <v>110</v>
      </c>
      <c r="B46" s="379">
        <v>136.51067164</v>
      </c>
      <c r="C46" s="379">
        <v>140.12028210750003</v>
      </c>
      <c r="D46" s="379">
        <v>195.12519088370004</v>
      </c>
      <c r="E46" s="379">
        <v>148.8190289138733</v>
      </c>
      <c r="F46" s="379">
        <v>195.26797005816852</v>
      </c>
      <c r="G46" s="379">
        <v>220.00499159012793</v>
      </c>
      <c r="H46" s="379">
        <v>286.38932613613491</v>
      </c>
      <c r="I46" s="379">
        <v>246.63007604538635</v>
      </c>
      <c r="J46" s="379">
        <v>240.42195702300751</v>
      </c>
      <c r="K46" s="399">
        <v>256.39241311428572</v>
      </c>
      <c r="L46" s="399">
        <f t="shared" ref="L46:R46" si="9">SUM(L42:L45)</f>
        <v>-255.71428571428572</v>
      </c>
      <c r="M46" s="399">
        <f t="shared" si="9"/>
        <v>0.67812739999999394</v>
      </c>
      <c r="N46" s="379">
        <f t="shared" si="9"/>
        <v>10.22598093137475</v>
      </c>
      <c r="O46" s="379">
        <f t="shared" si="9"/>
        <v>34.02640580921566</v>
      </c>
      <c r="P46" s="379">
        <f t="shared" si="9"/>
        <v>70.136402434933089</v>
      </c>
      <c r="Q46" s="379">
        <f t="shared" si="9"/>
        <v>99.675120162405818</v>
      </c>
      <c r="R46" s="379">
        <f t="shared" si="9"/>
        <v>103.16374936809001</v>
      </c>
    </row>
    <row r="47" spans="1:19" x14ac:dyDescent="0.45">
      <c r="A47" s="368" t="s">
        <v>29</v>
      </c>
      <c r="B47" s="379">
        <v>0</v>
      </c>
      <c r="C47" s="379">
        <v>0</v>
      </c>
      <c r="D47" s="379">
        <v>0</v>
      </c>
      <c r="E47" s="379">
        <v>285</v>
      </c>
      <c r="F47" s="379">
        <v>285</v>
      </c>
      <c r="G47" s="379">
        <v>414.28571428571428</v>
      </c>
      <c r="H47" s="379">
        <v>373.57142857142856</v>
      </c>
      <c r="I47" s="379">
        <v>332.85714285714289</v>
      </c>
      <c r="J47" s="379">
        <v>292.14285714285711</v>
      </c>
      <c r="K47" s="399">
        <v>251.42857142857142</v>
      </c>
      <c r="L47" s="399">
        <f t="shared" ref="L47:R47" si="10">L48+L49+L50</f>
        <v>94.992857142857133</v>
      </c>
      <c r="M47" s="399">
        <f t="shared" si="10"/>
        <v>346.42142857142858</v>
      </c>
      <c r="N47" s="379">
        <f t="shared" si="10"/>
        <v>346.42142857142858</v>
      </c>
      <c r="O47" s="379">
        <f t="shared" si="10"/>
        <v>346.42142857142858</v>
      </c>
      <c r="P47" s="379">
        <f t="shared" si="10"/>
        <v>241.91634171469715</v>
      </c>
      <c r="Q47" s="379">
        <f t="shared" si="10"/>
        <v>170.40779102437983</v>
      </c>
      <c r="R47" s="379">
        <f t="shared" si="10"/>
        <v>100.94171959580842</v>
      </c>
    </row>
    <row r="48" spans="1:19" x14ac:dyDescent="0.45">
      <c r="A48" s="396" t="s">
        <v>170</v>
      </c>
      <c r="B48" s="397">
        <v>0</v>
      </c>
      <c r="C48" s="397">
        <v>0</v>
      </c>
      <c r="D48" s="397">
        <v>0</v>
      </c>
      <c r="E48" s="397">
        <v>0</v>
      </c>
      <c r="F48" s="397">
        <v>0</v>
      </c>
      <c r="G48" s="397">
        <v>0</v>
      </c>
      <c r="H48" s="397">
        <v>0</v>
      </c>
      <c r="I48" s="397">
        <v>0</v>
      </c>
      <c r="J48" s="397">
        <v>0</v>
      </c>
      <c r="K48" s="401">
        <v>0</v>
      </c>
      <c r="L48" s="401">
        <f>M48-K48</f>
        <v>225.75</v>
      </c>
      <c r="M48" s="401">
        <f>'Pro Forma (Ex. 8)'!E10</f>
        <v>225.75</v>
      </c>
      <c r="N48" s="397">
        <f t="shared" ref="N48:R50" si="11">N127</f>
        <v>225.75</v>
      </c>
      <c r="O48" s="397">
        <f t="shared" si="11"/>
        <v>225.75</v>
      </c>
      <c r="P48" s="397">
        <f t="shared" si="11"/>
        <v>134.27348457184002</v>
      </c>
      <c r="Q48" s="397">
        <f t="shared" si="11"/>
        <v>75.793505310094133</v>
      </c>
      <c r="R48" s="397">
        <f t="shared" si="11"/>
        <v>19.356005310094133</v>
      </c>
    </row>
    <row r="49" spans="1:18" x14ac:dyDescent="0.45">
      <c r="A49" s="396" t="s">
        <v>471</v>
      </c>
      <c r="B49" s="397">
        <v>0</v>
      </c>
      <c r="C49" s="397">
        <v>0</v>
      </c>
      <c r="D49" s="397">
        <v>0</v>
      </c>
      <c r="E49" s="397">
        <v>285</v>
      </c>
      <c r="F49" s="397">
        <v>285</v>
      </c>
      <c r="G49" s="397">
        <v>244.28571428571428</v>
      </c>
      <c r="H49" s="397">
        <v>203.57142857142856</v>
      </c>
      <c r="I49" s="397">
        <v>162.85714285714286</v>
      </c>
      <c r="J49" s="397">
        <v>122.14285714285714</v>
      </c>
      <c r="K49" s="401">
        <v>81.428571428571416</v>
      </c>
      <c r="L49" s="401">
        <f>M49-K49</f>
        <v>-3.2571428571428527</v>
      </c>
      <c r="M49" s="401">
        <f>+'Pro Forma (Ex. 8)'!E11</f>
        <v>78.171428571428564</v>
      </c>
      <c r="N49" s="397">
        <f t="shared" si="11"/>
        <v>78.171428571428564</v>
      </c>
      <c r="O49" s="397">
        <f t="shared" si="11"/>
        <v>78.171428571428564</v>
      </c>
      <c r="P49" s="397">
        <f t="shared" si="11"/>
        <v>65.142857142857139</v>
      </c>
      <c r="Q49" s="397">
        <f t="shared" si="11"/>
        <v>52.114285714285714</v>
      </c>
      <c r="R49" s="397">
        <f t="shared" si="11"/>
        <v>39.085714285714289</v>
      </c>
    </row>
    <row r="50" spans="1:18" x14ac:dyDescent="0.45">
      <c r="A50" s="402" t="s">
        <v>470</v>
      </c>
      <c r="B50" s="403">
        <v>0</v>
      </c>
      <c r="C50" s="403">
        <v>0</v>
      </c>
      <c r="D50" s="403">
        <v>0</v>
      </c>
      <c r="E50" s="403">
        <v>0</v>
      </c>
      <c r="F50" s="403">
        <v>0</v>
      </c>
      <c r="G50" s="403">
        <v>170</v>
      </c>
      <c r="H50" s="403">
        <v>170</v>
      </c>
      <c r="I50" s="403">
        <v>170</v>
      </c>
      <c r="J50" s="403">
        <v>170</v>
      </c>
      <c r="K50" s="404">
        <v>170</v>
      </c>
      <c r="L50" s="404">
        <f>M50-K50</f>
        <v>-127.5</v>
      </c>
      <c r="M50" s="404">
        <f>'Pro Forma (Ex. 8)'!E12</f>
        <v>42.5</v>
      </c>
      <c r="N50" s="403">
        <f t="shared" si="11"/>
        <v>42.5</v>
      </c>
      <c r="O50" s="403">
        <f t="shared" si="11"/>
        <v>42.5</v>
      </c>
      <c r="P50" s="403">
        <f t="shared" si="11"/>
        <v>42.5</v>
      </c>
      <c r="Q50" s="403">
        <f t="shared" si="11"/>
        <v>42.5</v>
      </c>
      <c r="R50" s="403">
        <f t="shared" si="11"/>
        <v>42.5</v>
      </c>
    </row>
    <row r="51" spans="1:18" x14ac:dyDescent="0.45">
      <c r="A51" s="370" t="s">
        <v>8</v>
      </c>
      <c r="B51" s="379">
        <v>136.51067164</v>
      </c>
      <c r="C51" s="379">
        <v>140.12028210750003</v>
      </c>
      <c r="D51" s="379">
        <v>195.12519088370004</v>
      </c>
      <c r="E51" s="379">
        <v>433.8190289138733</v>
      </c>
      <c r="F51" s="379">
        <v>480.26797005816854</v>
      </c>
      <c r="G51" s="379">
        <v>634.29070587584215</v>
      </c>
      <c r="H51" s="379">
        <v>659.96075470756341</v>
      </c>
      <c r="I51" s="379">
        <v>579.48721890252921</v>
      </c>
      <c r="J51" s="379">
        <v>532.56481416586462</v>
      </c>
      <c r="K51" s="379">
        <v>507.8209845428571</v>
      </c>
      <c r="L51" s="379">
        <f t="shared" ref="L51:R51" si="12">L46+L47</f>
        <v>-160.72142857142859</v>
      </c>
      <c r="M51" s="379">
        <f t="shared" si="12"/>
        <v>347.09955597142857</v>
      </c>
      <c r="N51" s="379">
        <f t="shared" si="12"/>
        <v>356.64740950280333</v>
      </c>
      <c r="O51" s="379">
        <f t="shared" si="12"/>
        <v>380.44783438064422</v>
      </c>
      <c r="P51" s="379">
        <f t="shared" si="12"/>
        <v>312.05274414963026</v>
      </c>
      <c r="Q51" s="379">
        <f t="shared" si="12"/>
        <v>270.08291118678562</v>
      </c>
      <c r="R51" s="379">
        <f t="shared" si="12"/>
        <v>204.10546896389843</v>
      </c>
    </row>
    <row r="52" spans="1:18" x14ac:dyDescent="0.45">
      <c r="A52" s="368" t="s">
        <v>113</v>
      </c>
      <c r="B52" s="379">
        <v>75</v>
      </c>
      <c r="C52" s="379">
        <v>75</v>
      </c>
      <c r="D52" s="379">
        <v>75</v>
      </c>
      <c r="E52" s="379">
        <v>75</v>
      </c>
      <c r="F52" s="379">
        <v>75</v>
      </c>
      <c r="G52" s="379">
        <v>75</v>
      </c>
      <c r="H52" s="379">
        <v>75</v>
      </c>
      <c r="I52" s="379">
        <v>75</v>
      </c>
      <c r="J52" s="379">
        <v>75</v>
      </c>
      <c r="K52" s="399">
        <v>75</v>
      </c>
      <c r="L52" s="399">
        <f>M52-K52</f>
        <v>-75</v>
      </c>
      <c r="M52" s="399">
        <f>'Pro Forma (Ex. 8)'!E17</f>
        <v>0</v>
      </c>
      <c r="N52" s="388">
        <f>M52+N73</f>
        <v>0</v>
      </c>
      <c r="O52" s="388">
        <f>N52+O73</f>
        <v>0</v>
      </c>
      <c r="P52" s="388">
        <f>O52+P73</f>
        <v>0</v>
      </c>
      <c r="Q52" s="388">
        <f>P52+Q73</f>
        <v>0</v>
      </c>
      <c r="R52" s="388">
        <f>Q52+R73</f>
        <v>0</v>
      </c>
    </row>
    <row r="53" spans="1:18" x14ac:dyDescent="0.45">
      <c r="A53" s="381" t="s">
        <v>112</v>
      </c>
      <c r="B53" s="382">
        <v>261.72220169460127</v>
      </c>
      <c r="C53" s="382">
        <v>274.86538067710126</v>
      </c>
      <c r="D53" s="382">
        <v>292.78437697210126</v>
      </c>
      <c r="E53" s="382">
        <v>309.40625674407886</v>
      </c>
      <c r="F53" s="382">
        <v>317.92602772867076</v>
      </c>
      <c r="G53" s="382">
        <v>317.66714138079868</v>
      </c>
      <c r="H53" s="382">
        <v>244.15599480161436</v>
      </c>
      <c r="I53" s="382">
        <v>154.95985435191213</v>
      </c>
      <c r="J53" s="382">
        <v>58.818066680554871</v>
      </c>
      <c r="K53" s="400">
        <v>-8.1008907014204894</v>
      </c>
      <c r="L53" s="400">
        <f>M53-K53</f>
        <v>235.72142857142859</v>
      </c>
      <c r="M53" s="400">
        <f>'Pro Forma (Ex. 8)'!E18</f>
        <v>227.62053787000809</v>
      </c>
      <c r="N53" s="382">
        <f>M53+N16+N74+N76+N75</f>
        <v>231.52465813429382</v>
      </c>
      <c r="O53" s="382">
        <f>N53+O16+O74+O76+O75</f>
        <v>249.91401828286524</v>
      </c>
      <c r="P53" s="382">
        <f>O53+P16+P74+P76+P75</f>
        <v>281.57405019737581</v>
      </c>
      <c r="Q53" s="382">
        <f>P53+Q16+Q74+Q76+Q75</f>
        <v>317.1059603792088</v>
      </c>
      <c r="R53" s="382">
        <f>Q53+R16+R74+R76+R75</f>
        <v>346.05803740642585</v>
      </c>
    </row>
    <row r="54" spans="1:18" x14ac:dyDescent="0.45">
      <c r="A54" s="405" t="s">
        <v>2</v>
      </c>
      <c r="B54" s="406">
        <v>473.23287333460127</v>
      </c>
      <c r="C54" s="406">
        <v>489.98566278460129</v>
      </c>
      <c r="D54" s="406">
        <v>562.90956785580124</v>
      </c>
      <c r="E54" s="406">
        <v>818.2252856579521</v>
      </c>
      <c r="F54" s="406">
        <v>873.1939977868393</v>
      </c>
      <c r="G54" s="406">
        <v>1026.9578472566409</v>
      </c>
      <c r="H54" s="406">
        <v>979.11674950917779</v>
      </c>
      <c r="I54" s="406">
        <v>809.44707325444131</v>
      </c>
      <c r="J54" s="406">
        <v>666.38288084641954</v>
      </c>
      <c r="K54" s="406">
        <v>574.72009384143666</v>
      </c>
      <c r="L54" s="406">
        <v>574.72009384143666</v>
      </c>
      <c r="M54" s="406">
        <f t="shared" ref="M54:R54" si="13">M51+M52+M53</f>
        <v>574.72009384143666</v>
      </c>
      <c r="N54" s="406">
        <f t="shared" si="13"/>
        <v>588.17206763709714</v>
      </c>
      <c r="O54" s="406">
        <f t="shared" si="13"/>
        <v>630.36185266350947</v>
      </c>
      <c r="P54" s="406">
        <f t="shared" si="13"/>
        <v>593.62679434700613</v>
      </c>
      <c r="Q54" s="406">
        <f t="shared" si="13"/>
        <v>587.18887156599442</v>
      </c>
      <c r="R54" s="406">
        <f t="shared" si="13"/>
        <v>550.16350637032428</v>
      </c>
    </row>
    <row r="55" spans="1:18" x14ac:dyDescent="0.45">
      <c r="A55" s="407" t="s">
        <v>186</v>
      </c>
      <c r="B55" s="408">
        <f>B40-B54</f>
        <v>0</v>
      </c>
      <c r="C55" s="408">
        <f t="shared" ref="C55:R55" si="14">C40-C54</f>
        <v>0</v>
      </c>
      <c r="D55" s="408">
        <f t="shared" si="14"/>
        <v>0</v>
      </c>
      <c r="E55" s="408">
        <f t="shared" si="14"/>
        <v>0</v>
      </c>
      <c r="F55" s="408">
        <f t="shared" si="14"/>
        <v>0</v>
      </c>
      <c r="G55" s="408">
        <f t="shared" si="14"/>
        <v>0</v>
      </c>
      <c r="H55" s="408">
        <f t="shared" si="14"/>
        <v>0</v>
      </c>
      <c r="I55" s="408">
        <f t="shared" si="14"/>
        <v>0</v>
      </c>
      <c r="J55" s="408">
        <f t="shared" si="14"/>
        <v>0</v>
      </c>
      <c r="K55" s="408">
        <f t="shared" si="14"/>
        <v>0</v>
      </c>
      <c r="L55" s="408"/>
      <c r="M55" s="408">
        <f t="shared" si="14"/>
        <v>0</v>
      </c>
      <c r="N55" s="408">
        <f t="shared" si="14"/>
        <v>0</v>
      </c>
      <c r="O55" s="408">
        <f t="shared" si="14"/>
        <v>0</v>
      </c>
      <c r="P55" s="408">
        <f t="shared" si="14"/>
        <v>0</v>
      </c>
      <c r="Q55" s="408">
        <f t="shared" si="14"/>
        <v>0</v>
      </c>
      <c r="R55" s="408">
        <f t="shared" si="14"/>
        <v>0</v>
      </c>
    </row>
    <row r="56" spans="1:18" x14ac:dyDescent="0.45">
      <c r="A56" s="407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  <c r="Q56" s="408"/>
      <c r="R56" s="408"/>
    </row>
    <row r="57" spans="1:18" x14ac:dyDescent="0.45">
      <c r="B57" s="371" t="s">
        <v>190</v>
      </c>
      <c r="C57" s="371"/>
      <c r="D57" s="371"/>
      <c r="E57" s="371"/>
      <c r="F57" s="371"/>
      <c r="G57" s="371"/>
      <c r="H57" s="371"/>
      <c r="I57" s="371"/>
      <c r="J57" s="371"/>
      <c r="K57" s="371"/>
      <c r="L57" s="372" t="s">
        <v>221</v>
      </c>
      <c r="M57" s="372"/>
      <c r="N57" s="373" t="s">
        <v>219</v>
      </c>
      <c r="O57" s="373"/>
      <c r="P57" s="373"/>
      <c r="Q57" s="373"/>
      <c r="R57" s="373"/>
    </row>
    <row r="58" spans="1:18" x14ac:dyDescent="0.45">
      <c r="A58" s="374"/>
      <c r="B58" s="393">
        <v>2001</v>
      </c>
      <c r="C58" s="393">
        <v>2002</v>
      </c>
      <c r="D58" s="393">
        <v>2003</v>
      </c>
      <c r="E58" s="393">
        <v>2004</v>
      </c>
      <c r="F58" s="393">
        <v>2005</v>
      </c>
      <c r="G58" s="393">
        <v>2006</v>
      </c>
      <c r="H58" s="393">
        <v>2007</v>
      </c>
      <c r="I58" s="393">
        <v>2008</v>
      </c>
      <c r="J58" s="393">
        <v>2009</v>
      </c>
      <c r="K58" s="393">
        <v>2010</v>
      </c>
      <c r="L58" s="375" t="s">
        <v>222</v>
      </c>
      <c r="M58" s="375" t="s">
        <v>220</v>
      </c>
      <c r="N58" s="375">
        <v>2011</v>
      </c>
      <c r="O58" s="375">
        <f>N58+1</f>
        <v>2012</v>
      </c>
      <c r="P58" s="375">
        <f>O58+1</f>
        <v>2013</v>
      </c>
      <c r="Q58" s="375">
        <f>P58+1</f>
        <v>2014</v>
      </c>
      <c r="R58" s="375">
        <f>Q58+1</f>
        <v>2015</v>
      </c>
    </row>
    <row r="59" spans="1:18" ht="12.9" x14ac:dyDescent="0.5">
      <c r="A59" s="376" t="s">
        <v>185</v>
      </c>
      <c r="B59" s="394"/>
      <c r="C59" s="394"/>
      <c r="D59" s="394"/>
      <c r="E59" s="394"/>
      <c r="F59" s="394"/>
      <c r="G59" s="394"/>
      <c r="H59" s="394"/>
      <c r="I59" s="394"/>
      <c r="J59" s="394"/>
      <c r="K59" s="394"/>
      <c r="N59" s="409"/>
    </row>
    <row r="60" spans="1:18" x14ac:dyDescent="0.45">
      <c r="A60" s="410" t="s">
        <v>188</v>
      </c>
      <c r="B60" s="409"/>
      <c r="C60" s="409"/>
      <c r="D60" s="409"/>
      <c r="E60" s="409"/>
      <c r="F60" s="409"/>
      <c r="G60" s="409"/>
      <c r="H60" s="409"/>
      <c r="I60" s="409"/>
      <c r="J60" s="409"/>
      <c r="K60" s="409"/>
      <c r="N60" s="409"/>
    </row>
    <row r="61" spans="1:18" x14ac:dyDescent="0.45">
      <c r="A61" s="368" t="s">
        <v>187</v>
      </c>
      <c r="B61" s="379">
        <f t="shared" ref="B61" si="15">B16</f>
        <v>26.712874760000069</v>
      </c>
      <c r="C61" s="379">
        <f t="shared" ref="C61:K61" si="16">C16</f>
        <v>24.123178982499919</v>
      </c>
      <c r="D61" s="379">
        <f t="shared" si="16"/>
        <v>28.898996294999812</v>
      </c>
      <c r="E61" s="379">
        <f t="shared" si="16"/>
        <v>27.601879771972861</v>
      </c>
      <c r="F61" s="379">
        <f t="shared" si="16"/>
        <v>19.499770984595997</v>
      </c>
      <c r="G61" s="379">
        <f t="shared" si="16"/>
        <v>10.721113652129832</v>
      </c>
      <c r="H61" s="379">
        <f t="shared" si="16"/>
        <v>-62.531146579182646</v>
      </c>
      <c r="I61" s="379">
        <f t="shared" si="16"/>
        <v>-78.216140449702038</v>
      </c>
      <c r="J61" s="379">
        <f t="shared" si="16"/>
        <v>-90.651787671357198</v>
      </c>
      <c r="K61" s="379">
        <f t="shared" si="16"/>
        <v>-66.91895738197536</v>
      </c>
      <c r="L61" s="379">
        <v>0</v>
      </c>
      <c r="M61" s="379">
        <f t="shared" ref="M61:M66" si="17">K61+L61</f>
        <v>-66.91895738197536</v>
      </c>
      <c r="N61" s="379">
        <f>N16</f>
        <v>3.9041202642857122</v>
      </c>
      <c r="O61" s="379">
        <f>O16</f>
        <v>18.389360148571431</v>
      </c>
      <c r="P61" s="379">
        <f>P16</f>
        <v>31.660031914510583</v>
      </c>
      <c r="Q61" s="379">
        <f>Q16</f>
        <v>35.531910181833005</v>
      </c>
      <c r="R61" s="379">
        <f>R16</f>
        <v>28.952077027217079</v>
      </c>
    </row>
    <row r="62" spans="1:18" x14ac:dyDescent="0.45">
      <c r="A62" s="368" t="s">
        <v>10</v>
      </c>
      <c r="B62" s="379">
        <f t="shared" ref="B62" si="18">-B10</f>
        <v>6.5</v>
      </c>
      <c r="C62" s="379">
        <f t="shared" ref="C62:K62" si="19">-C10</f>
        <v>15.824999999999999</v>
      </c>
      <c r="D62" s="379">
        <f t="shared" si="19"/>
        <v>16.120725</v>
      </c>
      <c r="E62" s="379">
        <f t="shared" si="19"/>
        <v>19.690134225000001</v>
      </c>
      <c r="F62" s="379">
        <f t="shared" si="19"/>
        <v>34.541894856130199</v>
      </c>
      <c r="G62" s="379">
        <f t="shared" si="19"/>
        <v>35.109706391384798</v>
      </c>
      <c r="H62" s="379">
        <f t="shared" si="19"/>
        <v>41.2189937978209</v>
      </c>
      <c r="I62" s="379">
        <f t="shared" si="19"/>
        <v>40.034735273572302</v>
      </c>
      <c r="J62" s="379">
        <f t="shared" si="19"/>
        <v>32.523873592965501</v>
      </c>
      <c r="K62" s="379">
        <f t="shared" si="19"/>
        <v>25.297708073493101</v>
      </c>
      <c r="L62" s="379">
        <v>0</v>
      </c>
      <c r="M62" s="379">
        <f t="shared" si="17"/>
        <v>25.297708073493101</v>
      </c>
      <c r="N62" s="379">
        <f>-N10</f>
        <v>26.6</v>
      </c>
      <c r="O62" s="379">
        <f>-O10</f>
        <v>27.8</v>
      </c>
      <c r="P62" s="379">
        <f>-P10</f>
        <v>29.9</v>
      </c>
      <c r="Q62" s="379">
        <f>-Q10</f>
        <v>30.8</v>
      </c>
      <c r="R62" s="379">
        <f>-R10</f>
        <v>31.1</v>
      </c>
    </row>
    <row r="63" spans="1:18" x14ac:dyDescent="0.45">
      <c r="A63" s="368" t="s">
        <v>499</v>
      </c>
      <c r="B63" s="411">
        <f>C63/C6*B6*0.9</f>
        <v>-16.977600000000027</v>
      </c>
      <c r="C63" s="379">
        <f>B36-C36</f>
        <v>-19.768000000000029</v>
      </c>
      <c r="D63" s="379">
        <f t="shared" ref="D63:K63" si="20">C36-D36</f>
        <v>-63.712848000000008</v>
      </c>
      <c r="E63" s="379">
        <f t="shared" si="20"/>
        <v>-217.71360930673643</v>
      </c>
      <c r="F63" s="379">
        <f t="shared" si="20"/>
        <v>-42.112715326191505</v>
      </c>
      <c r="G63" s="379">
        <f t="shared" si="20"/>
        <v>-116.56687181053212</v>
      </c>
      <c r="H63" s="379">
        <f t="shared" si="20"/>
        <v>-25.428880141173522</v>
      </c>
      <c r="I63" s="379">
        <f t="shared" si="20"/>
        <v>60.110087134518267</v>
      </c>
      <c r="J63" s="379">
        <f t="shared" si="20"/>
        <v>63.824999999999932</v>
      </c>
      <c r="K63" s="379">
        <f t="shared" si="20"/>
        <v>40.04099999999994</v>
      </c>
      <c r="L63" s="379">
        <v>0</v>
      </c>
      <c r="M63" s="379">
        <f t="shared" si="17"/>
        <v>40.04099999999994</v>
      </c>
      <c r="N63" s="411">
        <f>-'Projections (Ex. 4)'!C14</f>
        <v>-18.2</v>
      </c>
      <c r="O63" s="411">
        <f>-'Projections (Ex. 4)'!D14</f>
        <v>-11.2</v>
      </c>
      <c r="P63" s="411">
        <f>-'Projections (Ex. 4)'!E14</f>
        <v>-11.5</v>
      </c>
      <c r="Q63" s="411">
        <f>-'Projections (Ex. 4)'!F14</f>
        <v>-11.9</v>
      </c>
      <c r="R63" s="411">
        <f>-'Projections (Ex. 4)'!G14</f>
        <v>-9.9</v>
      </c>
    </row>
    <row r="64" spans="1:18" x14ac:dyDescent="0.45">
      <c r="A64" s="368" t="s">
        <v>189</v>
      </c>
      <c r="B64" s="411">
        <f>C64/C6*B6*0.9</f>
        <v>-9.2490144841734878</v>
      </c>
      <c r="C64" s="379">
        <f>C91</f>
        <v>-10.769161620201999</v>
      </c>
      <c r="D64" s="379">
        <f t="shared" ref="D64:K64" si="21">D91</f>
        <v>-17.666760273996744</v>
      </c>
      <c r="E64" s="379">
        <f t="shared" si="21"/>
        <v>-20.692809593908663</v>
      </c>
      <c r="F64" s="379">
        <f t="shared" si="21"/>
        <v>-25.101579076607123</v>
      </c>
      <c r="G64" s="379">
        <f t="shared" si="21"/>
        <v>-37.911120391252553</v>
      </c>
      <c r="H64" s="379">
        <f t="shared" si="21"/>
        <v>-16.055042340660634</v>
      </c>
      <c r="I64" s="379">
        <f t="shared" si="21"/>
        <v>30.542765253516222</v>
      </c>
      <c r="J64" s="379">
        <f t="shared" si="21"/>
        <v>24.787140377712717</v>
      </c>
      <c r="K64" s="379">
        <f t="shared" si="21"/>
        <v>17.23365240000004</v>
      </c>
      <c r="L64" s="379">
        <v>0</v>
      </c>
      <c r="M64" s="379">
        <f t="shared" si="17"/>
        <v>17.23365240000004</v>
      </c>
      <c r="N64" s="379">
        <f>N91</f>
        <v>-4.8047108424999863</v>
      </c>
      <c r="O64" s="379">
        <f>O91</f>
        <v>6.1871864480000625</v>
      </c>
      <c r="P64" s="379">
        <f>P91</f>
        <v>1.5672523535199332</v>
      </c>
      <c r="Q64" s="379">
        <f>Q91</f>
        <v>-5.3768986315805591</v>
      </c>
      <c r="R64" s="379">
        <f>R91</f>
        <v>-7.6453633961858998</v>
      </c>
    </row>
    <row r="65" spans="1:18" x14ac:dyDescent="0.45">
      <c r="A65" s="368" t="s">
        <v>198</v>
      </c>
      <c r="B65" s="411">
        <f>C65/C6*B6*0.9</f>
        <v>-1.8985539004255207</v>
      </c>
      <c r="C65" s="379">
        <f t="shared" ref="C65:K65" si="22">B34-C34+B39-C39+(C43-B43)</f>
        <v>-2.2105959324999818</v>
      </c>
      <c r="D65" s="379">
        <f t="shared" si="22"/>
        <v>1.7609980050000154</v>
      </c>
      <c r="E65" s="379">
        <f t="shared" si="22"/>
        <v>1.0625506464495</v>
      </c>
      <c r="F65" s="379">
        <f t="shared" si="22"/>
        <v>-4.2001233159889688</v>
      </c>
      <c r="G65" s="379">
        <f t="shared" si="22"/>
        <v>-1.6270926488541821</v>
      </c>
      <c r="H65" s="379">
        <f t="shared" si="22"/>
        <v>-36.482227395103635</v>
      </c>
      <c r="I65" s="379">
        <f t="shared" si="22"/>
        <v>-22.697814435339335</v>
      </c>
      <c r="J65" s="379">
        <f t="shared" si="22"/>
        <v>-24.884254254941617</v>
      </c>
      <c r="K65" s="379">
        <f t="shared" si="22"/>
        <v>-12.105296308721815</v>
      </c>
      <c r="L65" s="379">
        <v>0</v>
      </c>
      <c r="M65" s="379">
        <f t="shared" si="17"/>
        <v>-12.105296308721815</v>
      </c>
      <c r="N65" s="379">
        <f>M34-N34+M39-N39+(N43-M43)</f>
        <v>3.9041202642857087</v>
      </c>
      <c r="O65" s="379">
        <f>N34-O34+N39-O39+(O43-N43)</f>
        <v>18.389360148571427</v>
      </c>
      <c r="P65" s="379">
        <f>O34-P34+O39-P39+(P43-O43)</f>
        <v>31.660031914510583</v>
      </c>
      <c r="Q65" s="379">
        <f>P34-Q34+P39-Q39+(Q43-P43)</f>
        <v>25.246487672632284</v>
      </c>
      <c r="R65" s="379">
        <f>Q34-R34+Q39-R39+(R43-Q43)</f>
        <v>0</v>
      </c>
    </row>
    <row r="66" spans="1:18" x14ac:dyDescent="0.45">
      <c r="A66" s="368" t="s">
        <v>4</v>
      </c>
      <c r="B66" s="382">
        <f t="shared" ref="B66:K66" si="23">-B14</f>
        <v>2.3928696</v>
      </c>
      <c r="C66" s="382">
        <f t="shared" si="23"/>
        <v>1.4244169499999999</v>
      </c>
      <c r="D66" s="382">
        <f t="shared" si="23"/>
        <v>0.99758910000000001</v>
      </c>
      <c r="E66" s="382">
        <f t="shared" si="23"/>
        <v>2.3030526</v>
      </c>
      <c r="F66" s="382">
        <f t="shared" si="23"/>
        <v>11.53304</v>
      </c>
      <c r="G66" s="382">
        <f t="shared" si="23"/>
        <v>14.4379752</v>
      </c>
      <c r="H66" s="382">
        <f t="shared" si="23"/>
        <v>22.608280000000001</v>
      </c>
      <c r="I66" s="382">
        <f t="shared" si="23"/>
        <v>24.131846979999999</v>
      </c>
      <c r="J66" s="382">
        <f t="shared" si="23"/>
        <v>19.787168333333302</v>
      </c>
      <c r="K66" s="382">
        <f t="shared" si="23"/>
        <v>18.246646899999998</v>
      </c>
      <c r="L66" s="382">
        <v>0</v>
      </c>
      <c r="M66" s="382">
        <f t="shared" si="17"/>
        <v>18.246646899999998</v>
      </c>
      <c r="N66" s="382">
        <f>-N14</f>
        <v>14.792287735714286</v>
      </c>
      <c r="O66" s="382">
        <f>-O14</f>
        <v>11.33792857142857</v>
      </c>
      <c r="P66" s="382">
        <f>-P14</f>
        <v>10.156354218289415</v>
      </c>
      <c r="Q66" s="382">
        <f>-Q14</f>
        <v>8.0901743375088362</v>
      </c>
      <c r="R66" s="382">
        <f>-R14</f>
        <v>6.339345595581694</v>
      </c>
    </row>
    <row r="67" spans="1:18" x14ac:dyDescent="0.45">
      <c r="A67" s="370" t="s">
        <v>188</v>
      </c>
      <c r="B67" s="384">
        <f>SUM(B61:B66)</f>
        <v>7.4805759754010337</v>
      </c>
      <c r="C67" s="384">
        <f>SUM(C61:C66)</f>
        <v>8.6248383797979091</v>
      </c>
      <c r="D67" s="384">
        <f t="shared" ref="D67:R67" si="24">SUM(D61:D66)</f>
        <v>-33.601299873996922</v>
      </c>
      <c r="E67" s="384">
        <f t="shared" si="24"/>
        <v>-187.74880165722274</v>
      </c>
      <c r="F67" s="384">
        <f t="shared" si="24"/>
        <v>-5.8397118780614008</v>
      </c>
      <c r="G67" s="384">
        <f t="shared" si="24"/>
        <v>-95.836289607124243</v>
      </c>
      <c r="H67" s="384">
        <f t="shared" si="24"/>
        <v>-76.67002265829953</v>
      </c>
      <c r="I67" s="384">
        <f t="shared" si="24"/>
        <v>53.905479756565413</v>
      </c>
      <c r="J67" s="384">
        <f t="shared" si="24"/>
        <v>25.387140377712637</v>
      </c>
      <c r="K67" s="384">
        <f t="shared" si="24"/>
        <v>21.7947536827959</v>
      </c>
      <c r="L67" s="384">
        <f t="shared" si="24"/>
        <v>0</v>
      </c>
      <c r="M67" s="384">
        <f t="shared" si="24"/>
        <v>21.7947536827959</v>
      </c>
      <c r="N67" s="384">
        <f t="shared" si="24"/>
        <v>26.195817421785723</v>
      </c>
      <c r="O67" s="384">
        <f t="shared" si="24"/>
        <v>70.903835316571502</v>
      </c>
      <c r="P67" s="384">
        <f t="shared" si="24"/>
        <v>93.443670400830513</v>
      </c>
      <c r="Q67" s="384">
        <f t="shared" si="24"/>
        <v>82.391673560393571</v>
      </c>
      <c r="R67" s="384">
        <f t="shared" si="24"/>
        <v>48.84605922661288</v>
      </c>
    </row>
    <row r="68" spans="1:18" x14ac:dyDescent="0.45">
      <c r="A68" s="410" t="s">
        <v>205</v>
      </c>
      <c r="B68" s="409"/>
      <c r="C68" s="409"/>
      <c r="D68" s="409"/>
      <c r="E68" s="409"/>
      <c r="F68" s="409"/>
      <c r="G68" s="409"/>
      <c r="H68" s="409"/>
      <c r="I68" s="409"/>
      <c r="J68" s="409"/>
      <c r="K68" s="409"/>
      <c r="N68" s="409"/>
    </row>
    <row r="69" spans="1:18" x14ac:dyDescent="0.45">
      <c r="A69" s="368" t="s">
        <v>199</v>
      </c>
      <c r="B69" s="411">
        <f>-C69</f>
        <v>2.5</v>
      </c>
      <c r="C69" s="379">
        <f t="shared" ref="C69:K69" si="25">C44-B44</f>
        <v>-2.5</v>
      </c>
      <c r="D69" s="379">
        <f t="shared" si="25"/>
        <v>45.099999999999994</v>
      </c>
      <c r="E69" s="379">
        <f t="shared" si="25"/>
        <v>-56.899999999999991</v>
      </c>
      <c r="F69" s="379">
        <f t="shared" si="25"/>
        <v>34.700000000000003</v>
      </c>
      <c r="G69" s="379">
        <f t="shared" si="25"/>
        <v>-22.600000000000009</v>
      </c>
      <c r="H69" s="379">
        <f t="shared" si="25"/>
        <v>110.89999999999999</v>
      </c>
      <c r="I69" s="379">
        <f t="shared" si="25"/>
        <v>4.3000000000000114</v>
      </c>
      <c r="J69" s="379">
        <f t="shared" si="25"/>
        <v>27.599999999999994</v>
      </c>
      <c r="K69" s="399">
        <f t="shared" si="25"/>
        <v>24.900000000000006</v>
      </c>
      <c r="L69" s="399">
        <f>L44</f>
        <v>-215</v>
      </c>
      <c r="M69" s="399">
        <f t="shared" ref="M69:M76" si="26">K69+L69</f>
        <v>-190.1</v>
      </c>
      <c r="N69" s="379">
        <f t="shared" ref="N69:R70" si="27">N44-M44</f>
        <v>0</v>
      </c>
      <c r="O69" s="379">
        <f t="shared" si="27"/>
        <v>0</v>
      </c>
      <c r="P69" s="379">
        <f t="shared" si="27"/>
        <v>0</v>
      </c>
      <c r="Q69" s="379">
        <f t="shared" si="27"/>
        <v>0</v>
      </c>
      <c r="R69" s="379">
        <f t="shared" si="27"/>
        <v>0</v>
      </c>
    </row>
    <row r="70" spans="1:18" x14ac:dyDescent="0.45">
      <c r="A70" s="368" t="s">
        <v>500</v>
      </c>
      <c r="B70" s="411">
        <v>0</v>
      </c>
      <c r="C70" s="379">
        <f t="shared" ref="C70:K70" si="28">C45-B45</f>
        <v>0</v>
      </c>
      <c r="D70" s="379">
        <f t="shared" si="28"/>
        <v>0</v>
      </c>
      <c r="E70" s="379">
        <f t="shared" si="28"/>
        <v>0</v>
      </c>
      <c r="F70" s="379">
        <f t="shared" si="28"/>
        <v>0</v>
      </c>
      <c r="G70" s="379">
        <f t="shared" si="28"/>
        <v>40.714285714285715</v>
      </c>
      <c r="H70" s="379">
        <f t="shared" si="28"/>
        <v>0</v>
      </c>
      <c r="I70" s="379">
        <f t="shared" si="28"/>
        <v>0</v>
      </c>
      <c r="J70" s="379">
        <f t="shared" si="28"/>
        <v>0</v>
      </c>
      <c r="K70" s="399">
        <f t="shared" si="28"/>
        <v>0</v>
      </c>
      <c r="L70" s="399">
        <f>L45</f>
        <v>-40.714285714285715</v>
      </c>
      <c r="M70" s="399">
        <f t="shared" si="26"/>
        <v>-40.714285714285715</v>
      </c>
      <c r="N70" s="379">
        <f t="shared" si="27"/>
        <v>0</v>
      </c>
      <c r="O70" s="379">
        <f t="shared" si="27"/>
        <v>0</v>
      </c>
      <c r="P70" s="379">
        <f t="shared" si="27"/>
        <v>0</v>
      </c>
      <c r="Q70" s="379">
        <f t="shared" si="27"/>
        <v>0</v>
      </c>
      <c r="R70" s="379">
        <f t="shared" si="27"/>
        <v>0</v>
      </c>
    </row>
    <row r="71" spans="1:18" x14ac:dyDescent="0.45">
      <c r="A71" s="368" t="s">
        <v>200</v>
      </c>
      <c r="B71" s="411">
        <v>0</v>
      </c>
      <c r="C71" s="379">
        <f t="shared" ref="C71:K71" si="29">C47-B47</f>
        <v>0</v>
      </c>
      <c r="D71" s="379">
        <f t="shared" si="29"/>
        <v>0</v>
      </c>
      <c r="E71" s="379">
        <f t="shared" si="29"/>
        <v>285</v>
      </c>
      <c r="F71" s="379">
        <f t="shared" si="29"/>
        <v>0</v>
      </c>
      <c r="G71" s="379">
        <f t="shared" si="29"/>
        <v>129.28571428571428</v>
      </c>
      <c r="H71" s="379">
        <f t="shared" si="29"/>
        <v>-40.714285714285722</v>
      </c>
      <c r="I71" s="379">
        <f t="shared" si="29"/>
        <v>-40.714285714285666</v>
      </c>
      <c r="J71" s="379">
        <f t="shared" si="29"/>
        <v>-40.714285714285779</v>
      </c>
      <c r="K71" s="399">
        <f t="shared" si="29"/>
        <v>-40.714285714285694</v>
      </c>
      <c r="L71" s="399">
        <f>L47</f>
        <v>94.992857142857133</v>
      </c>
      <c r="M71" s="399">
        <f t="shared" si="26"/>
        <v>54.278571428571439</v>
      </c>
      <c r="N71" s="379">
        <f>N47-M47</f>
        <v>0</v>
      </c>
      <c r="O71" s="379">
        <f>O47-N47</f>
        <v>0</v>
      </c>
      <c r="P71" s="379">
        <f>P47-O47</f>
        <v>-104.50508685673142</v>
      </c>
      <c r="Q71" s="379">
        <f>Q47-P47</f>
        <v>-71.508550690317321</v>
      </c>
      <c r="R71" s="379">
        <f>R47-Q47</f>
        <v>-69.466071428571411</v>
      </c>
    </row>
    <row r="72" spans="1:18" x14ac:dyDescent="0.45">
      <c r="A72" s="368" t="s">
        <v>4</v>
      </c>
      <c r="B72" s="379">
        <f t="shared" ref="B72:K72" si="30">-B66</f>
        <v>-2.3928696</v>
      </c>
      <c r="C72" s="379">
        <f t="shared" si="30"/>
        <v>-1.4244169499999999</v>
      </c>
      <c r="D72" s="379">
        <f t="shared" si="30"/>
        <v>-0.99758910000000001</v>
      </c>
      <c r="E72" s="379">
        <f t="shared" si="30"/>
        <v>-2.3030526</v>
      </c>
      <c r="F72" s="379">
        <f t="shared" si="30"/>
        <v>-11.53304</v>
      </c>
      <c r="G72" s="379">
        <f t="shared" si="30"/>
        <v>-14.4379752</v>
      </c>
      <c r="H72" s="379">
        <f t="shared" si="30"/>
        <v>-22.608280000000001</v>
      </c>
      <c r="I72" s="379">
        <f t="shared" si="30"/>
        <v>-24.131846979999999</v>
      </c>
      <c r="J72" s="379">
        <f t="shared" si="30"/>
        <v>-19.787168333333302</v>
      </c>
      <c r="K72" s="379">
        <f t="shared" si="30"/>
        <v>-18.246646899999998</v>
      </c>
      <c r="L72" s="379">
        <v>0</v>
      </c>
      <c r="M72" s="379">
        <f t="shared" si="26"/>
        <v>-18.246646899999998</v>
      </c>
      <c r="N72" s="379">
        <f>-N66</f>
        <v>-14.792287735714286</v>
      </c>
      <c r="O72" s="379">
        <f>-O66</f>
        <v>-11.33792857142857</v>
      </c>
      <c r="P72" s="379">
        <f>-P66</f>
        <v>-10.156354218289415</v>
      </c>
      <c r="Q72" s="379">
        <f>-Q66</f>
        <v>-8.0901743375088362</v>
      </c>
      <c r="R72" s="379">
        <f>-R66</f>
        <v>-6.339345595581694</v>
      </c>
    </row>
    <row r="73" spans="1:18" x14ac:dyDescent="0.45">
      <c r="A73" s="368" t="s">
        <v>201</v>
      </c>
      <c r="B73" s="411">
        <v>0</v>
      </c>
      <c r="C73" s="412">
        <f t="shared" ref="C73:K73" si="31">C52-B52</f>
        <v>0</v>
      </c>
      <c r="D73" s="412">
        <f t="shared" si="31"/>
        <v>0</v>
      </c>
      <c r="E73" s="412">
        <f t="shared" si="31"/>
        <v>0</v>
      </c>
      <c r="F73" s="412">
        <f t="shared" si="31"/>
        <v>0</v>
      </c>
      <c r="G73" s="412">
        <f t="shared" si="31"/>
        <v>0</v>
      </c>
      <c r="H73" s="412">
        <f t="shared" si="31"/>
        <v>0</v>
      </c>
      <c r="I73" s="412">
        <f t="shared" si="31"/>
        <v>0</v>
      </c>
      <c r="J73" s="412">
        <f t="shared" si="31"/>
        <v>0</v>
      </c>
      <c r="K73" s="399">
        <f t="shared" si="31"/>
        <v>0</v>
      </c>
      <c r="L73" s="399">
        <f>L52</f>
        <v>-75</v>
      </c>
      <c r="M73" s="399">
        <f t="shared" si="26"/>
        <v>-75</v>
      </c>
      <c r="N73" s="413">
        <v>0</v>
      </c>
      <c r="O73" s="413">
        <v>0</v>
      </c>
      <c r="P73" s="413">
        <v>0</v>
      </c>
      <c r="Q73" s="413">
        <v>0</v>
      </c>
      <c r="R73" s="413">
        <v>0</v>
      </c>
    </row>
    <row r="74" spans="1:18" x14ac:dyDescent="0.45">
      <c r="A74" s="368" t="s">
        <v>202</v>
      </c>
      <c r="B74" s="411">
        <v>0</v>
      </c>
      <c r="C74" s="379">
        <f t="shared" ref="C74:K74" si="32">C53-B53-C61-C75-C76</f>
        <v>7.1054273576010019E-14</v>
      </c>
      <c r="D74" s="379">
        <f t="shared" si="32"/>
        <v>1.8829382497642655E-13</v>
      </c>
      <c r="E74" s="379">
        <f t="shared" si="32"/>
        <v>4.7428727611986687E-12</v>
      </c>
      <c r="F74" s="379">
        <f t="shared" si="32"/>
        <v>-4.0962788716569776E-12</v>
      </c>
      <c r="G74" s="379">
        <f t="shared" si="32"/>
        <v>-1.9095836023552692E-12</v>
      </c>
      <c r="H74" s="379">
        <f t="shared" si="32"/>
        <v>-1.6804335700726369E-12</v>
      </c>
      <c r="I74" s="379">
        <f t="shared" si="32"/>
        <v>-1.8829382497642655E-13</v>
      </c>
      <c r="J74" s="379">
        <f t="shared" si="32"/>
        <v>-6.5725203057809267E-14</v>
      </c>
      <c r="K74" s="399">
        <f t="shared" si="32"/>
        <v>0</v>
      </c>
      <c r="L74" s="399">
        <f>L53</f>
        <v>235.72142857142859</v>
      </c>
      <c r="M74" s="399">
        <f t="shared" si="26"/>
        <v>235.72142857142859</v>
      </c>
      <c r="N74" s="413">
        <v>0</v>
      </c>
      <c r="O74" s="413">
        <v>0</v>
      </c>
      <c r="P74" s="413">
        <v>0</v>
      </c>
      <c r="Q74" s="413">
        <v>0</v>
      </c>
      <c r="R74" s="413">
        <v>0</v>
      </c>
    </row>
    <row r="75" spans="1:18" x14ac:dyDescent="0.45">
      <c r="A75" s="368" t="s">
        <v>204</v>
      </c>
      <c r="B75" s="379">
        <f t="shared" ref="B75:K75" si="33">-B21</f>
        <v>-4.5</v>
      </c>
      <c r="C75" s="379">
        <f t="shared" si="33"/>
        <v>-4.5</v>
      </c>
      <c r="D75" s="379">
        <f t="shared" si="33"/>
        <v>-4.5</v>
      </c>
      <c r="E75" s="379">
        <f t="shared" si="33"/>
        <v>-4.5</v>
      </c>
      <c r="F75" s="379">
        <f t="shared" si="33"/>
        <v>-4.5</v>
      </c>
      <c r="G75" s="379">
        <f t="shared" si="33"/>
        <v>-4.5</v>
      </c>
      <c r="H75" s="379">
        <f t="shared" si="33"/>
        <v>-4.5</v>
      </c>
      <c r="I75" s="379">
        <f t="shared" si="33"/>
        <v>-4.5</v>
      </c>
      <c r="J75" s="379">
        <f t="shared" si="33"/>
        <v>-2.25</v>
      </c>
      <c r="K75" s="379">
        <f t="shared" si="33"/>
        <v>0</v>
      </c>
      <c r="L75" s="379">
        <v>0</v>
      </c>
      <c r="M75" s="379">
        <f t="shared" si="26"/>
        <v>0</v>
      </c>
      <c r="N75" s="413">
        <v>0</v>
      </c>
      <c r="O75" s="413">
        <v>0</v>
      </c>
      <c r="P75" s="413">
        <v>0</v>
      </c>
      <c r="Q75" s="413">
        <v>0</v>
      </c>
      <c r="R75" s="413">
        <v>0</v>
      </c>
    </row>
    <row r="76" spans="1:18" x14ac:dyDescent="0.45">
      <c r="A76" s="368" t="s">
        <v>203</v>
      </c>
      <c r="B76" s="382">
        <f t="shared" ref="B76:K76" si="34">-B24*B22</f>
        <v>-6.48</v>
      </c>
      <c r="C76" s="382">
        <f t="shared" si="34"/>
        <v>-6.48</v>
      </c>
      <c r="D76" s="382">
        <f t="shared" si="34"/>
        <v>-6.48</v>
      </c>
      <c r="E76" s="382">
        <f t="shared" si="34"/>
        <v>-6.48</v>
      </c>
      <c r="F76" s="382">
        <f t="shared" si="34"/>
        <v>-6.48</v>
      </c>
      <c r="G76" s="382">
        <f t="shared" si="34"/>
        <v>-6.48</v>
      </c>
      <c r="H76" s="382">
        <f t="shared" si="34"/>
        <v>-6.48</v>
      </c>
      <c r="I76" s="382">
        <f t="shared" si="34"/>
        <v>-6.48</v>
      </c>
      <c r="J76" s="382">
        <f t="shared" si="34"/>
        <v>-3.24</v>
      </c>
      <c r="K76" s="382">
        <f t="shared" si="34"/>
        <v>0</v>
      </c>
      <c r="L76" s="382">
        <v>0</v>
      </c>
      <c r="M76" s="382">
        <f t="shared" si="26"/>
        <v>0</v>
      </c>
      <c r="N76" s="395">
        <v>0</v>
      </c>
      <c r="O76" s="395">
        <v>0</v>
      </c>
      <c r="P76" s="395">
        <v>0</v>
      </c>
      <c r="Q76" s="395">
        <v>0</v>
      </c>
      <c r="R76" s="395">
        <v>0</v>
      </c>
    </row>
    <row r="77" spans="1:18" x14ac:dyDescent="0.45">
      <c r="A77" s="370" t="s">
        <v>205</v>
      </c>
      <c r="B77" s="414">
        <f>SUM(B69:B76)</f>
        <v>-10.872869600000001</v>
      </c>
      <c r="C77" s="414">
        <f>SUM(C69:C76)</f>
        <v>-14.904416949999929</v>
      </c>
      <c r="D77" s="414">
        <f t="shared" ref="D77:R77" si="35">SUM(D69:D76)</f>
        <v>33.122410900000176</v>
      </c>
      <c r="E77" s="414">
        <f t="shared" si="35"/>
        <v>214.81694740000478</v>
      </c>
      <c r="F77" s="414">
        <f t="shared" si="35"/>
        <v>12.186959999995906</v>
      </c>
      <c r="G77" s="414">
        <f t="shared" si="35"/>
        <v>121.98202479999806</v>
      </c>
      <c r="H77" s="414">
        <f t="shared" si="35"/>
        <v>36.597434285712581</v>
      </c>
      <c r="I77" s="414">
        <f t="shared" si="35"/>
        <v>-71.526132694285849</v>
      </c>
      <c r="J77" s="414">
        <f t="shared" si="35"/>
        <v>-38.391454047619149</v>
      </c>
      <c r="K77" s="414">
        <f t="shared" si="35"/>
        <v>-34.06093261428569</v>
      </c>
      <c r="L77" s="414">
        <f t="shared" si="35"/>
        <v>0</v>
      </c>
      <c r="M77" s="414">
        <f t="shared" si="35"/>
        <v>-34.060932614285719</v>
      </c>
      <c r="N77" s="414">
        <f t="shared" si="35"/>
        <v>-14.792287735714286</v>
      </c>
      <c r="O77" s="414">
        <f t="shared" si="35"/>
        <v>-11.33792857142857</v>
      </c>
      <c r="P77" s="414">
        <f t="shared" si="35"/>
        <v>-114.66144107502083</v>
      </c>
      <c r="Q77" s="414">
        <f t="shared" si="35"/>
        <v>-79.598725027826163</v>
      </c>
      <c r="R77" s="414">
        <f t="shared" si="35"/>
        <v>-75.805417024153101</v>
      </c>
    </row>
    <row r="78" spans="1:18" x14ac:dyDescent="0.45">
      <c r="A78" s="370" t="s">
        <v>206</v>
      </c>
      <c r="B78" s="384">
        <f>B67+B77</f>
        <v>-3.3922936245989677</v>
      </c>
      <c r="C78" s="384">
        <f>C67+C77</f>
        <v>-6.2795785702020197</v>
      </c>
      <c r="D78" s="384">
        <f t="shared" ref="D78:R78" si="36">D67+D77</f>
        <v>-0.4788889739967459</v>
      </c>
      <c r="E78" s="384">
        <f t="shared" si="36"/>
        <v>27.068145742782036</v>
      </c>
      <c r="F78" s="384">
        <f t="shared" si="36"/>
        <v>6.3472481219345056</v>
      </c>
      <c r="G78" s="384">
        <f t="shared" si="36"/>
        <v>26.145735192873815</v>
      </c>
      <c r="H78" s="384">
        <f t="shared" si="36"/>
        <v>-40.072588372586949</v>
      </c>
      <c r="I78" s="384">
        <f t="shared" si="36"/>
        <v>-17.620652937720436</v>
      </c>
      <c r="J78" s="384">
        <f t="shared" si="36"/>
        <v>-13.004313669906512</v>
      </c>
      <c r="K78" s="384">
        <f t="shared" si="36"/>
        <v>-12.26617893148979</v>
      </c>
      <c r="L78" s="384">
        <f t="shared" si="36"/>
        <v>0</v>
      </c>
      <c r="M78" s="384">
        <f t="shared" si="36"/>
        <v>-12.266178931489819</v>
      </c>
      <c r="N78" s="384">
        <f t="shared" si="36"/>
        <v>11.403529686071437</v>
      </c>
      <c r="O78" s="384">
        <f t="shared" si="36"/>
        <v>59.565906745142932</v>
      </c>
      <c r="P78" s="384">
        <f t="shared" si="36"/>
        <v>-21.217770674190319</v>
      </c>
      <c r="Q78" s="384">
        <f t="shared" si="36"/>
        <v>2.7929485325674079</v>
      </c>
      <c r="R78" s="384">
        <f t="shared" si="36"/>
        <v>-26.959357797540221</v>
      </c>
    </row>
    <row r="79" spans="1:18" x14ac:dyDescent="0.45">
      <c r="A79" s="368" t="s">
        <v>207</v>
      </c>
      <c r="B79" s="379">
        <f>B80-B78</f>
        <v>53.89229362459897</v>
      </c>
      <c r="C79" s="379">
        <f t="shared" ref="C79:K79" si="37">B80</f>
        <v>50.5</v>
      </c>
      <c r="D79" s="379">
        <f t="shared" si="37"/>
        <v>44.22042142979798</v>
      </c>
      <c r="E79" s="379">
        <f t="shared" si="37"/>
        <v>43.741532455801234</v>
      </c>
      <c r="F79" s="379">
        <f t="shared" si="37"/>
        <v>70.809678198583271</v>
      </c>
      <c r="G79" s="379">
        <f t="shared" si="37"/>
        <v>77.156926320517783</v>
      </c>
      <c r="H79" s="379">
        <f t="shared" si="37"/>
        <v>103.3026615133916</v>
      </c>
      <c r="I79" s="379">
        <f t="shared" si="37"/>
        <v>63.230073140804649</v>
      </c>
      <c r="J79" s="379">
        <f t="shared" si="37"/>
        <v>45.609420203084213</v>
      </c>
      <c r="K79" s="379">
        <f t="shared" si="37"/>
        <v>32.605106533177704</v>
      </c>
      <c r="L79" s="379"/>
      <c r="M79" s="379">
        <f>K79</f>
        <v>32.605106533177704</v>
      </c>
      <c r="N79" s="409">
        <f>M80</f>
        <v>20.338927601687885</v>
      </c>
      <c r="O79" s="409">
        <f>N80</f>
        <v>31.742457287759322</v>
      </c>
      <c r="P79" s="409">
        <f>O80</f>
        <v>91.308364032902261</v>
      </c>
      <c r="Q79" s="409">
        <f>P80</f>
        <v>70.090593358711942</v>
      </c>
      <c r="R79" s="409">
        <f>Q80</f>
        <v>72.88354189127935</v>
      </c>
    </row>
    <row r="80" spans="1:18" x14ac:dyDescent="0.45">
      <c r="A80" s="368" t="s">
        <v>208</v>
      </c>
      <c r="B80" s="379">
        <f>B31</f>
        <v>50.5</v>
      </c>
      <c r="C80" s="379">
        <f t="shared" ref="C80:K80" si="38">C79+C78</f>
        <v>44.22042142979798</v>
      </c>
      <c r="D80" s="379">
        <f t="shared" si="38"/>
        <v>43.741532455801234</v>
      </c>
      <c r="E80" s="379">
        <f t="shared" si="38"/>
        <v>70.809678198583271</v>
      </c>
      <c r="F80" s="379">
        <f t="shared" si="38"/>
        <v>77.156926320517783</v>
      </c>
      <c r="G80" s="379">
        <f t="shared" si="38"/>
        <v>103.3026615133916</v>
      </c>
      <c r="H80" s="379">
        <f t="shared" si="38"/>
        <v>63.230073140804649</v>
      </c>
      <c r="I80" s="379">
        <f t="shared" si="38"/>
        <v>45.609420203084213</v>
      </c>
      <c r="J80" s="379">
        <f t="shared" si="38"/>
        <v>32.605106533177704</v>
      </c>
      <c r="K80" s="379">
        <f t="shared" si="38"/>
        <v>20.338927601687914</v>
      </c>
      <c r="L80" s="379"/>
      <c r="M80" s="379">
        <f>M79+M78</f>
        <v>20.338927601687885</v>
      </c>
      <c r="N80" s="409">
        <f>N78+N79</f>
        <v>31.742457287759322</v>
      </c>
      <c r="O80" s="409">
        <f>O78+O79</f>
        <v>91.308364032902261</v>
      </c>
      <c r="P80" s="409">
        <f>P78+P79</f>
        <v>70.090593358711942</v>
      </c>
      <c r="Q80" s="409">
        <f>Q78+Q79</f>
        <v>72.88354189127935</v>
      </c>
      <c r="R80" s="409">
        <f>R78+R79</f>
        <v>45.924184093739129</v>
      </c>
    </row>
    <row r="81" spans="1:18" x14ac:dyDescent="0.45">
      <c r="A81" s="407" t="s">
        <v>186</v>
      </c>
      <c r="B81" s="415">
        <f t="shared" ref="B81" si="39">B31-B80</f>
        <v>0</v>
      </c>
      <c r="C81" s="415">
        <f>C31-C80</f>
        <v>7.815970093361102E-14</v>
      </c>
      <c r="D81" s="415">
        <f t="shared" ref="D81:N81" si="40">D31-D80</f>
        <v>1.3500311979441904E-13</v>
      </c>
      <c r="E81" s="415">
        <f t="shared" si="40"/>
        <v>1.7053025658242404E-13</v>
      </c>
      <c r="F81" s="415">
        <f t="shared" si="40"/>
        <v>2.2737367544323206E-13</v>
      </c>
      <c r="G81" s="415">
        <f t="shared" si="40"/>
        <v>3.836930773104541E-13</v>
      </c>
      <c r="H81" s="415">
        <f t="shared" si="40"/>
        <v>2.2737367544323206E-13</v>
      </c>
      <c r="I81" s="415">
        <f t="shared" si="40"/>
        <v>1.7053025658242404E-13</v>
      </c>
      <c r="J81" s="415">
        <f t="shared" si="40"/>
        <v>3.2684965844964609E-13</v>
      </c>
      <c r="K81" s="415">
        <f t="shared" si="40"/>
        <v>4.0145664570445661E-13</v>
      </c>
      <c r="L81" s="415"/>
      <c r="M81" s="415">
        <f t="shared" si="40"/>
        <v>4.2987835513486061E-13</v>
      </c>
      <c r="N81" s="415">
        <f t="shared" si="40"/>
        <v>0</v>
      </c>
      <c r="O81" s="415">
        <f t="shared" ref="O81" si="41">O31-O80</f>
        <v>0</v>
      </c>
      <c r="P81" s="415">
        <f t="shared" ref="P81" si="42">P31-P80</f>
        <v>0</v>
      </c>
      <c r="Q81" s="415">
        <f t="shared" ref="Q81" si="43">Q31-Q80</f>
        <v>0</v>
      </c>
      <c r="R81" s="415">
        <f t="shared" ref="R81" si="44">R31-R80</f>
        <v>0</v>
      </c>
    </row>
    <row r="82" spans="1:18" x14ac:dyDescent="0.45">
      <c r="A82" s="370"/>
      <c r="B82" s="379"/>
      <c r="C82" s="384"/>
      <c r="D82" s="416"/>
      <c r="E82" s="416"/>
      <c r="F82" s="416"/>
      <c r="G82" s="416"/>
      <c r="H82" s="416"/>
      <c r="I82" s="416"/>
      <c r="J82" s="416"/>
      <c r="K82" s="416"/>
      <c r="N82" s="409"/>
    </row>
    <row r="83" spans="1:18" x14ac:dyDescent="0.45">
      <c r="A83" s="370"/>
      <c r="B83" s="371" t="s">
        <v>190</v>
      </c>
      <c r="C83" s="371"/>
      <c r="D83" s="371"/>
      <c r="E83" s="371"/>
      <c r="F83" s="371"/>
      <c r="G83" s="371"/>
      <c r="H83" s="371"/>
      <c r="I83" s="371"/>
      <c r="J83" s="371"/>
      <c r="K83" s="371"/>
      <c r="L83" s="372" t="s">
        <v>221</v>
      </c>
      <c r="M83" s="372"/>
      <c r="N83" s="373" t="s">
        <v>219</v>
      </c>
      <c r="O83" s="373"/>
      <c r="P83" s="373"/>
      <c r="Q83" s="373"/>
      <c r="R83" s="373"/>
    </row>
    <row r="84" spans="1:18" s="18" customFormat="1" ht="12.9" x14ac:dyDescent="0.5">
      <c r="A84" s="374"/>
      <c r="B84" s="375">
        <v>2001</v>
      </c>
      <c r="C84" s="375">
        <v>2002</v>
      </c>
      <c r="D84" s="375">
        <v>2003</v>
      </c>
      <c r="E84" s="375">
        <v>2004</v>
      </c>
      <c r="F84" s="375">
        <v>2005</v>
      </c>
      <c r="G84" s="375">
        <v>2006</v>
      </c>
      <c r="H84" s="375">
        <v>2007</v>
      </c>
      <c r="I84" s="375">
        <v>2008</v>
      </c>
      <c r="J84" s="375">
        <v>2009</v>
      </c>
      <c r="K84" s="375">
        <v>2010</v>
      </c>
      <c r="L84" s="375" t="s">
        <v>222</v>
      </c>
      <c r="M84" s="375" t="s">
        <v>220</v>
      </c>
      <c r="N84" s="375">
        <v>2011</v>
      </c>
      <c r="O84" s="375">
        <f>N84+1</f>
        <v>2012</v>
      </c>
      <c r="P84" s="375">
        <f>O84+1</f>
        <v>2013</v>
      </c>
      <c r="Q84" s="375">
        <f>P84+1</f>
        <v>2014</v>
      </c>
      <c r="R84" s="375">
        <f>Q84+1</f>
        <v>2015</v>
      </c>
    </row>
    <row r="85" spans="1:18" ht="12.9" x14ac:dyDescent="0.45">
      <c r="A85" s="417" t="s">
        <v>191</v>
      </c>
      <c r="B85" s="409"/>
      <c r="C85" s="409"/>
      <c r="D85" s="409"/>
      <c r="E85" s="409"/>
      <c r="F85" s="409"/>
      <c r="G85" s="409"/>
      <c r="H85" s="409"/>
      <c r="I85" s="409"/>
      <c r="J85" s="409"/>
      <c r="K85" s="409"/>
      <c r="N85" s="409"/>
    </row>
    <row r="86" spans="1:18" x14ac:dyDescent="0.45">
      <c r="A86" s="418" t="s">
        <v>192</v>
      </c>
      <c r="B86" s="409"/>
      <c r="C86" s="409"/>
      <c r="D86" s="409"/>
      <c r="E86" s="409"/>
      <c r="F86" s="409"/>
      <c r="G86" s="409"/>
      <c r="H86" s="409"/>
      <c r="I86" s="409"/>
      <c r="J86" s="409"/>
      <c r="K86" s="409"/>
      <c r="N86" s="409"/>
    </row>
    <row r="87" spans="1:18" x14ac:dyDescent="0.45">
      <c r="A87" s="368" t="s">
        <v>6</v>
      </c>
      <c r="B87" s="379">
        <f t="shared" ref="B87:K87" si="45">B32</f>
        <v>73.671273334601224</v>
      </c>
      <c r="C87" s="379">
        <f t="shared" si="45"/>
        <v>76.404241354803247</v>
      </c>
      <c r="D87" s="379">
        <f t="shared" si="45"/>
        <v>89.666659599999988</v>
      </c>
      <c r="E87" s="379">
        <f t="shared" si="45"/>
        <v>103.37542388096796</v>
      </c>
      <c r="F87" s="379">
        <f t="shared" si="45"/>
        <v>124.97967129063282</v>
      </c>
      <c r="G87" s="379">
        <f t="shared" si="45"/>
        <v>151.6125675477291</v>
      </c>
      <c r="H87" s="379">
        <f t="shared" si="45"/>
        <v>179.27360499527367</v>
      </c>
      <c r="I87" s="379">
        <f t="shared" si="45"/>
        <v>148.7131768416113</v>
      </c>
      <c r="J87" s="379">
        <f t="shared" si="45"/>
        <v>137.77500000000001</v>
      </c>
      <c r="K87" s="379">
        <f t="shared" si="45"/>
        <v>130.41969999999998</v>
      </c>
      <c r="L87" s="379"/>
      <c r="M87" s="379">
        <f>K87</f>
        <v>130.41969999999998</v>
      </c>
      <c r="N87" s="379">
        <f>(N6/365)*N97</f>
        <v>135.74104438356161</v>
      </c>
      <c r="O87" s="379">
        <f>(O6/365)*O97</f>
        <v>135.4948249682831</v>
      </c>
      <c r="P87" s="379">
        <f>(P6/365)*P97</f>
        <v>131.38473561876751</v>
      </c>
      <c r="Q87" s="379">
        <f>(Q6/365)*Q97</f>
        <v>134.30893134434854</v>
      </c>
      <c r="R87" s="379">
        <f>(R6/365)*R97</f>
        <v>139.96079232304706</v>
      </c>
    </row>
    <row r="88" spans="1:18" x14ac:dyDescent="0.45">
      <c r="A88" s="368" t="s">
        <v>193</v>
      </c>
      <c r="B88" s="379">
        <f t="shared" ref="B88:K88" si="46">B33</f>
        <v>130.16160000000002</v>
      </c>
      <c r="C88" s="379">
        <f t="shared" si="46"/>
        <v>143.31799999999998</v>
      </c>
      <c r="D88" s="379">
        <f t="shared" si="46"/>
        <v>155.56625279999997</v>
      </c>
      <c r="E88" s="379">
        <f t="shared" si="46"/>
        <v>171.48158549666445</v>
      </c>
      <c r="F88" s="379">
        <f t="shared" si="46"/>
        <v>188.82798162389091</v>
      </c>
      <c r="G88" s="379">
        <f t="shared" si="46"/>
        <v>210.156034224575</v>
      </c>
      <c r="H88" s="379">
        <f t="shared" si="46"/>
        <v>190.71660105880179</v>
      </c>
      <c r="I88" s="379">
        <f t="shared" si="46"/>
        <v>167.07282830353861</v>
      </c>
      <c r="J88" s="379">
        <f t="shared" si="46"/>
        <v>145.19999999999999</v>
      </c>
      <c r="K88" s="379">
        <f t="shared" si="46"/>
        <v>138.29739999999998</v>
      </c>
      <c r="L88" s="379"/>
      <c r="M88" s="379">
        <f>K88</f>
        <v>138.29739999999998</v>
      </c>
      <c r="N88" s="379">
        <f>(-N7/365)*N98</f>
        <v>143.42449972602739</v>
      </c>
      <c r="O88" s="379">
        <f>(-O7/365)*O98</f>
        <v>142.89459742257534</v>
      </c>
      <c r="P88" s="379">
        <f>(-P7/365)*P98</f>
        <v>149.8873991297778</v>
      </c>
      <c r="Q88" s="379">
        <f>(-Q7/365)*Q98</f>
        <v>156.63233209061781</v>
      </c>
      <c r="R88" s="379">
        <f>(-R7/365)*R98</f>
        <v>162.11446371378941</v>
      </c>
    </row>
    <row r="89" spans="1:18" x14ac:dyDescent="0.45">
      <c r="A89" s="368" t="s">
        <v>7</v>
      </c>
      <c r="B89" s="382">
        <f t="shared" ref="B89:K89" si="47">B42</f>
        <v>70.626815999999991</v>
      </c>
      <c r="C89" s="382">
        <f t="shared" si="47"/>
        <v>75.747022399999992</v>
      </c>
      <c r="D89" s="382">
        <f t="shared" si="47"/>
        <v>83.590933171199978</v>
      </c>
      <c r="E89" s="382">
        <f t="shared" si="47"/>
        <v>92.522220554923734</v>
      </c>
      <c r="F89" s="382">
        <f t="shared" si="47"/>
        <v>106.37128501520793</v>
      </c>
      <c r="G89" s="382">
        <f t="shared" si="47"/>
        <v>116.4211134817358</v>
      </c>
      <c r="H89" s="382">
        <f t="shared" si="47"/>
        <v>108.58767542284646</v>
      </c>
      <c r="I89" s="382">
        <f t="shared" si="47"/>
        <v>84.926239767437195</v>
      </c>
      <c r="J89" s="382">
        <f t="shared" si="47"/>
        <v>76.902374999999992</v>
      </c>
      <c r="K89" s="382">
        <f t="shared" si="47"/>
        <v>79.878127399999997</v>
      </c>
      <c r="L89" s="382"/>
      <c r="M89" s="382">
        <f>K89</f>
        <v>79.878127399999997</v>
      </c>
      <c r="N89" s="382">
        <f>(-N7/365)*N99</f>
        <v>85.521860667089044</v>
      </c>
      <c r="O89" s="382">
        <f>(-O7/365)*O99</f>
        <v>90.932925396358527</v>
      </c>
      <c r="P89" s="382">
        <f>(-P7/365)*P99</f>
        <v>95.382890107565373</v>
      </c>
      <c r="Q89" s="382">
        <f>(-Q7/365)*Q99</f>
        <v>99.675120162405818</v>
      </c>
      <c r="R89" s="382">
        <f>(-R7/365)*R99</f>
        <v>103.16374936809001</v>
      </c>
    </row>
    <row r="90" spans="1:18" x14ac:dyDescent="0.45">
      <c r="A90" s="370" t="s">
        <v>194</v>
      </c>
      <c r="B90" s="384">
        <f t="shared" ref="B90:K90" si="48">B87+B88-B89</f>
        <v>133.20605733460124</v>
      </c>
      <c r="C90" s="384">
        <f t="shared" si="48"/>
        <v>143.97521895480324</v>
      </c>
      <c r="D90" s="384">
        <f t="shared" si="48"/>
        <v>161.64197922879998</v>
      </c>
      <c r="E90" s="384">
        <f t="shared" si="48"/>
        <v>182.33478882270865</v>
      </c>
      <c r="F90" s="384">
        <f t="shared" si="48"/>
        <v>207.43636789931577</v>
      </c>
      <c r="G90" s="384">
        <f t="shared" si="48"/>
        <v>245.34748829056832</v>
      </c>
      <c r="H90" s="384">
        <f t="shared" si="48"/>
        <v>261.40253063122896</v>
      </c>
      <c r="I90" s="384">
        <f t="shared" si="48"/>
        <v>230.85976537771273</v>
      </c>
      <c r="J90" s="384">
        <f t="shared" si="48"/>
        <v>206.07262500000002</v>
      </c>
      <c r="K90" s="384">
        <f t="shared" si="48"/>
        <v>188.83897259999998</v>
      </c>
      <c r="L90" s="384"/>
      <c r="M90" s="384">
        <f t="shared" ref="M90:R90" si="49">M87+M88-M89</f>
        <v>188.83897259999998</v>
      </c>
      <c r="N90" s="384">
        <f t="shared" si="49"/>
        <v>193.64368344249996</v>
      </c>
      <c r="O90" s="384">
        <f t="shared" si="49"/>
        <v>187.4564969944999</v>
      </c>
      <c r="P90" s="384">
        <f t="shared" si="49"/>
        <v>185.88924464097997</v>
      </c>
      <c r="Q90" s="384">
        <f t="shared" si="49"/>
        <v>191.26614327256053</v>
      </c>
      <c r="R90" s="384">
        <f t="shared" si="49"/>
        <v>198.91150666874643</v>
      </c>
    </row>
    <row r="91" spans="1:18" x14ac:dyDescent="0.45">
      <c r="A91" s="370" t="s">
        <v>189</v>
      </c>
      <c r="B91" s="379"/>
      <c r="C91" s="419">
        <f t="shared" ref="C91:K91" si="50">B90-C90</f>
        <v>-10.769161620201999</v>
      </c>
      <c r="D91" s="419">
        <f t="shared" si="50"/>
        <v>-17.666760273996744</v>
      </c>
      <c r="E91" s="419">
        <f t="shared" si="50"/>
        <v>-20.692809593908663</v>
      </c>
      <c r="F91" s="419">
        <f t="shared" si="50"/>
        <v>-25.101579076607123</v>
      </c>
      <c r="G91" s="419">
        <f t="shared" si="50"/>
        <v>-37.911120391252553</v>
      </c>
      <c r="H91" s="419">
        <f t="shared" si="50"/>
        <v>-16.055042340660634</v>
      </c>
      <c r="I91" s="419">
        <f t="shared" si="50"/>
        <v>30.542765253516222</v>
      </c>
      <c r="J91" s="419">
        <f t="shared" si="50"/>
        <v>24.787140377712717</v>
      </c>
      <c r="K91" s="419">
        <f t="shared" si="50"/>
        <v>17.23365240000004</v>
      </c>
      <c r="L91" s="419"/>
      <c r="M91" s="419">
        <f>J90-M90</f>
        <v>17.23365240000004</v>
      </c>
      <c r="N91" s="419">
        <f>M90-N90</f>
        <v>-4.8047108424999863</v>
      </c>
      <c r="O91" s="419">
        <f>N90-O90</f>
        <v>6.1871864480000625</v>
      </c>
      <c r="P91" s="419">
        <f>O90-P90</f>
        <v>1.5672523535199332</v>
      </c>
      <c r="Q91" s="419">
        <f>P90-Q90</f>
        <v>-5.3768986315805591</v>
      </c>
      <c r="R91" s="419">
        <f>Q90-R90</f>
        <v>-7.6453633961858998</v>
      </c>
    </row>
    <row r="92" spans="1:18" x14ac:dyDescent="0.45">
      <c r="A92" s="368" t="s">
        <v>195</v>
      </c>
      <c r="B92" s="379"/>
      <c r="C92" s="379">
        <f t="shared" ref="C92:K92" si="51">B87-C87</f>
        <v>-2.7329680202020228</v>
      </c>
      <c r="D92" s="379">
        <f t="shared" si="51"/>
        <v>-13.262418245196741</v>
      </c>
      <c r="E92" s="379">
        <f t="shared" si="51"/>
        <v>-13.708764280967969</v>
      </c>
      <c r="F92" s="379">
        <f t="shared" si="51"/>
        <v>-21.604247409664865</v>
      </c>
      <c r="G92" s="379">
        <f t="shared" si="51"/>
        <v>-26.632896257096277</v>
      </c>
      <c r="H92" s="379">
        <f t="shared" si="51"/>
        <v>-27.661037447544572</v>
      </c>
      <c r="I92" s="379">
        <f t="shared" si="51"/>
        <v>30.560428153662372</v>
      </c>
      <c r="J92" s="379">
        <f t="shared" si="51"/>
        <v>10.938176841611295</v>
      </c>
      <c r="K92" s="379">
        <f t="shared" si="51"/>
        <v>7.3553000000000281</v>
      </c>
      <c r="L92" s="379"/>
      <c r="M92" s="379">
        <f>J87-M87</f>
        <v>7.3553000000000281</v>
      </c>
      <c r="N92" s="379">
        <f t="shared" ref="N92:R93" si="52">M87-N87</f>
        <v>-5.3213443835616374</v>
      </c>
      <c r="O92" s="379">
        <f t="shared" si="52"/>
        <v>0.24621941527851732</v>
      </c>
      <c r="P92" s="379">
        <f t="shared" si="52"/>
        <v>4.1100893495155901</v>
      </c>
      <c r="Q92" s="379">
        <f t="shared" si="52"/>
        <v>-2.9241957255810291</v>
      </c>
      <c r="R92" s="379">
        <f t="shared" si="52"/>
        <v>-5.6518609786985223</v>
      </c>
    </row>
    <row r="93" spans="1:18" x14ac:dyDescent="0.45">
      <c r="A93" s="368" t="s">
        <v>197</v>
      </c>
      <c r="B93" s="379"/>
      <c r="C93" s="379">
        <f t="shared" ref="C93:K93" si="53">B88-C88</f>
        <v>-13.156399999999962</v>
      </c>
      <c r="D93" s="379">
        <f t="shared" si="53"/>
        <v>-12.248252799999989</v>
      </c>
      <c r="E93" s="379">
        <f t="shared" si="53"/>
        <v>-15.915332696664478</v>
      </c>
      <c r="F93" s="379">
        <f t="shared" si="53"/>
        <v>-17.346396127226456</v>
      </c>
      <c r="G93" s="379">
        <f t="shared" si="53"/>
        <v>-21.328052600684089</v>
      </c>
      <c r="H93" s="379">
        <f t="shared" si="53"/>
        <v>19.43943316577321</v>
      </c>
      <c r="I93" s="379">
        <f t="shared" si="53"/>
        <v>23.643772755263171</v>
      </c>
      <c r="J93" s="379">
        <f t="shared" si="53"/>
        <v>21.872828303538626</v>
      </c>
      <c r="K93" s="379">
        <f t="shared" si="53"/>
        <v>6.9026000000000067</v>
      </c>
      <c r="L93" s="379"/>
      <c r="M93" s="379">
        <f>J88-M88</f>
        <v>6.9026000000000067</v>
      </c>
      <c r="N93" s="379">
        <f t="shared" si="52"/>
        <v>-5.12709972602741</v>
      </c>
      <c r="O93" s="379">
        <f t="shared" si="52"/>
        <v>0.52990230345204736</v>
      </c>
      <c r="P93" s="379">
        <f t="shared" si="52"/>
        <v>-6.9928017072024602</v>
      </c>
      <c r="Q93" s="379">
        <f t="shared" si="52"/>
        <v>-6.7449329608400035</v>
      </c>
      <c r="R93" s="379">
        <f t="shared" si="52"/>
        <v>-5.4821316231715969</v>
      </c>
    </row>
    <row r="94" spans="1:18" x14ac:dyDescent="0.45">
      <c r="A94" s="368" t="s">
        <v>196</v>
      </c>
      <c r="B94" s="379"/>
      <c r="C94" s="379">
        <f t="shared" ref="C94:K94" si="54">C89-B89</f>
        <v>5.1202064000000007</v>
      </c>
      <c r="D94" s="379">
        <f t="shared" si="54"/>
        <v>7.8439107711999867</v>
      </c>
      <c r="E94" s="379">
        <f t="shared" si="54"/>
        <v>8.9312873837237561</v>
      </c>
      <c r="F94" s="379">
        <f t="shared" si="54"/>
        <v>13.849064460284197</v>
      </c>
      <c r="G94" s="379">
        <f t="shared" si="54"/>
        <v>10.04982846652787</v>
      </c>
      <c r="H94" s="379">
        <f t="shared" si="54"/>
        <v>-7.8334380588893424</v>
      </c>
      <c r="I94" s="379">
        <f t="shared" si="54"/>
        <v>-23.661435655409264</v>
      </c>
      <c r="J94" s="379">
        <f t="shared" si="54"/>
        <v>-8.0238647674372032</v>
      </c>
      <c r="K94" s="379">
        <f t="shared" si="54"/>
        <v>2.9757524000000046</v>
      </c>
      <c r="L94" s="379"/>
      <c r="M94" s="379">
        <f>M89-J89</f>
        <v>2.9757524000000046</v>
      </c>
      <c r="N94" s="379">
        <f>N89-M89</f>
        <v>5.643733267089047</v>
      </c>
      <c r="O94" s="379">
        <f>O89-N89</f>
        <v>5.4110647292694836</v>
      </c>
      <c r="P94" s="379">
        <f>P89-O89</f>
        <v>4.4499647112068459</v>
      </c>
      <c r="Q94" s="379">
        <f>Q89-P89</f>
        <v>4.2922300548404451</v>
      </c>
      <c r="R94" s="379">
        <f>R89-Q89</f>
        <v>3.488629205684191</v>
      </c>
    </row>
    <row r="95" spans="1:18" x14ac:dyDescent="0.45">
      <c r="A95" s="407" t="s">
        <v>186</v>
      </c>
      <c r="B95" s="420"/>
      <c r="C95" s="415">
        <f t="shared" ref="C95:K95" si="55">C91-C92-C93-C94</f>
        <v>-1.4210854715202004E-14</v>
      </c>
      <c r="D95" s="415">
        <f t="shared" si="55"/>
        <v>0</v>
      </c>
      <c r="E95" s="415">
        <f t="shared" si="55"/>
        <v>2.8421709430404007E-14</v>
      </c>
      <c r="F95" s="415">
        <f t="shared" si="55"/>
        <v>0</v>
      </c>
      <c r="G95" s="415">
        <f t="shared" si="55"/>
        <v>-5.6843418860808015E-14</v>
      </c>
      <c r="H95" s="415">
        <f t="shared" si="55"/>
        <v>7.1054273576010019E-14</v>
      </c>
      <c r="I95" s="415">
        <f t="shared" si="55"/>
        <v>-5.6843418860808015E-14</v>
      </c>
      <c r="J95" s="415">
        <f t="shared" si="55"/>
        <v>0</v>
      </c>
      <c r="K95" s="415">
        <f t="shared" si="55"/>
        <v>0</v>
      </c>
      <c r="M95" s="415">
        <f t="shared" ref="M95:R95" si="56">M91-M92-M93-M94</f>
        <v>0</v>
      </c>
      <c r="N95" s="415">
        <f t="shared" si="56"/>
        <v>1.4210854715202004E-14</v>
      </c>
      <c r="O95" s="415">
        <f t="shared" si="56"/>
        <v>1.4210854715202004E-14</v>
      </c>
      <c r="P95" s="415">
        <f t="shared" si="56"/>
        <v>-4.2632564145606011E-14</v>
      </c>
      <c r="Q95" s="415">
        <f t="shared" si="56"/>
        <v>2.8421709430404007E-14</v>
      </c>
      <c r="R95" s="415">
        <f t="shared" si="56"/>
        <v>2.8421709430404007E-14</v>
      </c>
    </row>
    <row r="96" spans="1:18" ht="6.9" customHeight="1" x14ac:dyDescent="0.45">
      <c r="A96" s="407"/>
      <c r="B96" s="420"/>
      <c r="C96" s="415"/>
      <c r="D96" s="415"/>
      <c r="E96" s="415"/>
      <c r="F96" s="415"/>
      <c r="G96" s="415"/>
      <c r="H96" s="415"/>
      <c r="I96" s="415"/>
      <c r="J96" s="415"/>
      <c r="K96" s="415"/>
      <c r="N96" s="421"/>
    </row>
    <row r="97" spans="1:18" s="18" customFormat="1" ht="12.9" x14ac:dyDescent="0.5">
      <c r="A97" s="363" t="s">
        <v>255</v>
      </c>
      <c r="B97" s="422">
        <f t="shared" ref="B97:K97" si="57">B87/(B6/365)</f>
        <v>28.509345597041396</v>
      </c>
      <c r="C97" s="422">
        <f t="shared" si="57"/>
        <v>28.214840241302291</v>
      </c>
      <c r="D97" s="422">
        <f t="shared" si="57"/>
        <v>30.294999999999998</v>
      </c>
      <c r="E97" s="422">
        <f t="shared" si="57"/>
        <v>31.025000000000002</v>
      </c>
      <c r="F97" s="422">
        <f t="shared" si="57"/>
        <v>33.58</v>
      </c>
      <c r="G97" s="422">
        <f t="shared" si="57"/>
        <v>36.865000000000009</v>
      </c>
      <c r="H97" s="422">
        <f t="shared" si="57"/>
        <v>51.464999999999996</v>
      </c>
      <c r="I97" s="422">
        <f t="shared" si="57"/>
        <v>59.13</v>
      </c>
      <c r="J97" s="422">
        <f t="shared" si="57"/>
        <v>60.954999999999998</v>
      </c>
      <c r="K97" s="422">
        <f t="shared" si="57"/>
        <v>54.384999999999991</v>
      </c>
      <c r="N97" s="421">
        <v>53</v>
      </c>
      <c r="O97" s="421">
        <v>49.909305466008199</v>
      </c>
      <c r="P97" s="421">
        <v>45.872379644241704</v>
      </c>
      <c r="Q97" s="421">
        <v>44.874018382818527</v>
      </c>
      <c r="R97" s="421">
        <v>45.181028246666187</v>
      </c>
    </row>
    <row r="98" spans="1:18" s="18" customFormat="1" ht="12.9" x14ac:dyDescent="0.5">
      <c r="A98" s="363" t="s">
        <v>256</v>
      </c>
      <c r="B98" s="422">
        <f t="shared" ref="B98:K98" si="58">-B88/(B7/365)</f>
        <v>60.540865384615394</v>
      </c>
      <c r="C98" s="422">
        <f t="shared" si="58"/>
        <v>63.535414165666253</v>
      </c>
      <c r="D98" s="422">
        <f t="shared" si="58"/>
        <v>63.173076923076906</v>
      </c>
      <c r="E98" s="422">
        <f t="shared" si="58"/>
        <v>61.561004784688713</v>
      </c>
      <c r="F98" s="422">
        <f t="shared" si="58"/>
        <v>60.906362545018212</v>
      </c>
      <c r="G98" s="422">
        <f t="shared" si="58"/>
        <v>60.616493161855452</v>
      </c>
      <c r="H98" s="422">
        <f t="shared" si="58"/>
        <v>60.90100111234716</v>
      </c>
      <c r="I98" s="422">
        <f t="shared" si="58"/>
        <v>73.241455347298782</v>
      </c>
      <c r="J98" s="422">
        <f t="shared" si="58"/>
        <v>70.983425414364632</v>
      </c>
      <c r="K98" s="422">
        <f t="shared" si="58"/>
        <v>65.090293453724598</v>
      </c>
      <c r="N98" s="421">
        <v>64</v>
      </c>
      <c r="O98" s="421">
        <v>60.5</v>
      </c>
      <c r="P98" s="421">
        <f t="shared" ref="P98:R99" si="59">O98</f>
        <v>60.5</v>
      </c>
      <c r="Q98" s="421">
        <f t="shared" si="59"/>
        <v>60.5</v>
      </c>
      <c r="R98" s="421">
        <f t="shared" si="59"/>
        <v>60.5</v>
      </c>
    </row>
    <row r="99" spans="1:18" s="18" customFormat="1" ht="12.9" x14ac:dyDescent="0.5">
      <c r="A99" s="366" t="s">
        <v>257</v>
      </c>
      <c r="B99" s="423">
        <f t="shared" ref="B99:K99" si="60">-B89/(B7/365)</f>
        <v>32.849999999999994</v>
      </c>
      <c r="C99" s="423">
        <f t="shared" si="60"/>
        <v>33.58</v>
      </c>
      <c r="D99" s="423">
        <f t="shared" si="60"/>
        <v>33.944999999999986</v>
      </c>
      <c r="E99" s="423">
        <f t="shared" si="60"/>
        <v>33.214999999999854</v>
      </c>
      <c r="F99" s="423">
        <f t="shared" si="60"/>
        <v>34.310000000000109</v>
      </c>
      <c r="G99" s="423">
        <f t="shared" si="60"/>
        <v>33.580000000000034</v>
      </c>
      <c r="H99" s="423">
        <f t="shared" si="60"/>
        <v>34.675000000000068</v>
      </c>
      <c r="I99" s="423">
        <f t="shared" si="60"/>
        <v>37.22999999999999</v>
      </c>
      <c r="J99" s="423">
        <f t="shared" si="60"/>
        <v>37.594999999999992</v>
      </c>
      <c r="K99" s="423">
        <f t="shared" si="60"/>
        <v>37.594999999999999</v>
      </c>
      <c r="N99" s="424">
        <v>38.162232346280483</v>
      </c>
      <c r="O99" s="424">
        <v>38.499999899999999</v>
      </c>
      <c r="P99" s="424">
        <f t="shared" si="59"/>
        <v>38.499999899999999</v>
      </c>
      <c r="Q99" s="424">
        <f t="shared" si="59"/>
        <v>38.499999899999999</v>
      </c>
      <c r="R99" s="424">
        <f t="shared" si="59"/>
        <v>38.499999899999999</v>
      </c>
    </row>
    <row r="100" spans="1:18" s="18" customFormat="1" ht="12.9" x14ac:dyDescent="0.5">
      <c r="A100" s="363" t="s">
        <v>36</v>
      </c>
      <c r="B100" s="422">
        <f t="shared" ref="B100:K100" si="61">B97+B98-B99</f>
        <v>56.200210981656795</v>
      </c>
      <c r="C100" s="422">
        <f t="shared" si="61"/>
        <v>58.170254406968539</v>
      </c>
      <c r="D100" s="422">
        <f t="shared" si="61"/>
        <v>59.523076923076921</v>
      </c>
      <c r="E100" s="422">
        <f t="shared" si="61"/>
        <v>59.371004784688857</v>
      </c>
      <c r="F100" s="422">
        <f t="shared" si="61"/>
        <v>60.176362545018101</v>
      </c>
      <c r="G100" s="422">
        <f t="shared" si="61"/>
        <v>63.901493161855434</v>
      </c>
      <c r="H100" s="422">
        <f t="shared" si="61"/>
        <v>77.691001112347095</v>
      </c>
      <c r="I100" s="422">
        <f t="shared" si="61"/>
        <v>95.141455347298802</v>
      </c>
      <c r="J100" s="422">
        <f t="shared" si="61"/>
        <v>94.343425414364646</v>
      </c>
      <c r="K100" s="422">
        <f t="shared" si="61"/>
        <v>81.88029345372459</v>
      </c>
      <c r="N100" s="422">
        <f>N97+N98-N99</f>
        <v>78.83776765371951</v>
      </c>
      <c r="O100" s="422">
        <f>O97+O98-O99</f>
        <v>71.909305566008186</v>
      </c>
      <c r="P100" s="422">
        <f>P97+P98-P99</f>
        <v>67.872379744241698</v>
      </c>
      <c r="Q100" s="422">
        <f>Q97+Q98-Q99</f>
        <v>66.874018482818514</v>
      </c>
      <c r="R100" s="422">
        <f>R97+R98-R99</f>
        <v>67.181028346666182</v>
      </c>
    </row>
    <row r="101" spans="1:18" s="18" customFormat="1" ht="8.4" customHeight="1" x14ac:dyDescent="0.5">
      <c r="A101" s="362"/>
      <c r="B101" s="425"/>
      <c r="C101" s="425"/>
      <c r="D101" s="425"/>
      <c r="E101" s="425"/>
      <c r="F101" s="425"/>
      <c r="G101" s="425"/>
      <c r="H101" s="425"/>
      <c r="I101" s="425"/>
      <c r="J101" s="425"/>
      <c r="K101" s="425"/>
    </row>
    <row r="102" spans="1:18" hidden="1" outlineLevel="1" x14ac:dyDescent="0.45">
      <c r="A102" s="426" t="s">
        <v>258</v>
      </c>
      <c r="B102" s="420"/>
      <c r="C102" s="415"/>
      <c r="D102" s="415"/>
      <c r="E102" s="415"/>
      <c r="F102" s="415"/>
      <c r="G102" s="415"/>
      <c r="H102" s="415"/>
      <c r="I102" s="415"/>
      <c r="J102" s="415"/>
      <c r="K102" s="415"/>
      <c r="L102" s="426"/>
      <c r="M102" s="426"/>
      <c r="N102" s="397">
        <f>-'Projections (Ex. 4)'!C13</f>
        <v>-4.9000000000000004</v>
      </c>
      <c r="O102" s="397">
        <f>-'Projections (Ex. 4)'!D13</f>
        <v>9.6999999999999993</v>
      </c>
      <c r="P102" s="397">
        <f>-'Projections (Ex. 4)'!E13</f>
        <v>9.6</v>
      </c>
      <c r="Q102" s="397">
        <f>-'Projections (Ex. 4)'!F13</f>
        <v>5.9</v>
      </c>
      <c r="R102" s="397">
        <f>-'Projections (Ex. 4)'!G13</f>
        <v>5.0999999999999996</v>
      </c>
    </row>
    <row r="103" spans="1:18" hidden="1" outlineLevel="1" x14ac:dyDescent="0.45">
      <c r="A103" s="427" t="s">
        <v>259</v>
      </c>
      <c r="B103" s="420"/>
      <c r="C103" s="415"/>
      <c r="D103" s="415"/>
      <c r="E103" s="415"/>
      <c r="F103" s="415"/>
      <c r="G103" s="415"/>
      <c r="H103" s="415"/>
      <c r="I103" s="415"/>
      <c r="J103" s="415"/>
      <c r="K103" s="415"/>
      <c r="N103" s="379">
        <f>N91+N114</f>
        <v>-0.90059057821427757</v>
      </c>
      <c r="O103" s="379">
        <f>O91+O114</f>
        <v>24.57654659657149</v>
      </c>
      <c r="P103" s="379">
        <f>P91+P114</f>
        <v>33.227284268030516</v>
      </c>
      <c r="Q103" s="379">
        <f>Q91+Q114</f>
        <v>19.869589041051725</v>
      </c>
      <c r="R103" s="379">
        <f>R91+R114</f>
        <v>-7.6453633961858998</v>
      </c>
    </row>
    <row r="104" spans="1:18" hidden="1" outlineLevel="1" x14ac:dyDescent="0.45">
      <c r="A104" s="407" t="s">
        <v>186</v>
      </c>
      <c r="B104" s="420"/>
      <c r="C104" s="415"/>
      <c r="D104" s="415"/>
      <c r="E104" s="415"/>
      <c r="F104" s="415"/>
      <c r="G104" s="415"/>
      <c r="H104" s="415"/>
      <c r="I104" s="415"/>
      <c r="J104" s="415"/>
      <c r="K104" s="415"/>
      <c r="M104" s="407" t="s">
        <v>186</v>
      </c>
      <c r="N104" s="415">
        <f>N102-N103</f>
        <v>-3.9994094217857228</v>
      </c>
      <c r="O104" s="415">
        <f>O102-O103</f>
        <v>-14.87654659657149</v>
      </c>
      <c r="P104" s="415">
        <f>P102-P103</f>
        <v>-23.627284268030515</v>
      </c>
      <c r="Q104" s="415">
        <f>Q102-Q103</f>
        <v>-13.969589041051725</v>
      </c>
      <c r="R104" s="415">
        <f>R102-R103</f>
        <v>12.745363396185899</v>
      </c>
    </row>
    <row r="105" spans="1:18" collapsed="1" x14ac:dyDescent="0.45">
      <c r="A105" s="407"/>
      <c r="B105" s="420"/>
      <c r="C105" s="415"/>
      <c r="D105" s="415"/>
      <c r="E105" s="415"/>
      <c r="F105" s="415"/>
      <c r="G105" s="415"/>
      <c r="H105" s="415"/>
      <c r="I105" s="415"/>
      <c r="J105" s="415"/>
      <c r="K105" s="415"/>
      <c r="N105" s="409"/>
    </row>
    <row r="106" spans="1:18" x14ac:dyDescent="0.45">
      <c r="A106" s="418" t="s">
        <v>54</v>
      </c>
      <c r="B106" s="420"/>
      <c r="C106" s="415"/>
      <c r="D106" s="415"/>
      <c r="E106" s="415"/>
      <c r="F106" s="415"/>
      <c r="G106" s="415"/>
      <c r="H106" s="415"/>
      <c r="I106" s="415"/>
      <c r="J106" s="415"/>
      <c r="K106" s="415"/>
      <c r="N106" s="409"/>
    </row>
    <row r="107" spans="1:18" x14ac:dyDescent="0.45">
      <c r="A107" s="368" t="s">
        <v>252</v>
      </c>
      <c r="B107" s="428">
        <f t="shared" ref="B107:K107" si="62">-B15/(B11+B14+B13)</f>
        <v>0.34999999999999942</v>
      </c>
      <c r="C107" s="428">
        <f t="shared" si="62"/>
        <v>0.35000000000000075</v>
      </c>
      <c r="D107" s="428">
        <f t="shared" si="62"/>
        <v>0.35000000000000148</v>
      </c>
      <c r="E107" s="428">
        <f t="shared" si="62"/>
        <v>0.35000000000003945</v>
      </c>
      <c r="F107" s="428">
        <f t="shared" si="62"/>
        <v>0.34999999999995168</v>
      </c>
      <c r="G107" s="428">
        <f t="shared" si="62"/>
        <v>0.34999999999996012</v>
      </c>
      <c r="H107" s="428">
        <f t="shared" si="62"/>
        <v>0.34600000000000586</v>
      </c>
      <c r="I107" s="428">
        <f t="shared" si="62"/>
        <v>0.34500000000000031</v>
      </c>
      <c r="J107" s="428">
        <f t="shared" si="62"/>
        <v>0.34000000000000008</v>
      </c>
      <c r="K107" s="428">
        <f t="shared" si="62"/>
        <v>0.31999999999999984</v>
      </c>
      <c r="N107" s="641">
        <v>0.35</v>
      </c>
      <c r="O107" s="428">
        <f>N107</f>
        <v>0.35</v>
      </c>
      <c r="P107" s="428">
        <f t="shared" ref="P107:R107" si="63">O107</f>
        <v>0.35</v>
      </c>
      <c r="Q107" s="428">
        <f t="shared" si="63"/>
        <v>0.35</v>
      </c>
      <c r="R107" s="428">
        <f t="shared" si="63"/>
        <v>0.35</v>
      </c>
    </row>
    <row r="108" spans="1:18" ht="2.7" customHeight="1" x14ac:dyDescent="0.45">
      <c r="A108" s="407"/>
      <c r="B108" s="420"/>
      <c r="C108" s="415"/>
      <c r="D108" s="415"/>
      <c r="E108" s="415"/>
      <c r="F108" s="415"/>
      <c r="G108" s="415"/>
      <c r="H108" s="415"/>
      <c r="I108" s="415"/>
      <c r="J108" s="415"/>
      <c r="K108" s="415"/>
      <c r="N108" s="409"/>
    </row>
    <row r="109" spans="1:18" hidden="1" outlineLevel="1" x14ac:dyDescent="0.45">
      <c r="A109" s="368" t="s">
        <v>253</v>
      </c>
      <c r="B109" s="379">
        <f t="shared" ref="B109:K109" si="64">-B107*B11</f>
        <v>-15.221359999999999</v>
      </c>
      <c r="C109" s="379">
        <f t="shared" si="64"/>
        <v>-13.487950000000001</v>
      </c>
      <c r="D109" s="379">
        <f t="shared" si="64"/>
        <v>-15.910154190000002</v>
      </c>
      <c r="E109" s="379">
        <f t="shared" si="64"/>
        <v>-15.668619056449593</v>
      </c>
      <c r="F109" s="379">
        <f t="shared" si="64"/>
        <v>-14.536440684010442</v>
      </c>
      <c r="G109" s="379">
        <f t="shared" si="64"/>
        <v>-10.826198671145244</v>
      </c>
      <c r="H109" s="379">
        <f t="shared" si="64"/>
        <v>25.259762515103468</v>
      </c>
      <c r="I109" s="379">
        <f t="shared" si="64"/>
        <v>25.213327227239287</v>
      </c>
      <c r="J109" s="379">
        <f t="shared" si="64"/>
        <v>20.314617021608274</v>
      </c>
      <c r="K109" s="379">
        <f t="shared" si="64"/>
        <v>7.8151705835178085</v>
      </c>
      <c r="M109" s="379">
        <f>K109</f>
        <v>7.8151705835178085</v>
      </c>
      <c r="N109" s="379">
        <f>-N107*N11</f>
        <v>-6.5437427999999986</v>
      </c>
      <c r="O109" s="379">
        <f>-O107*O11</f>
        <v>-10.404551052</v>
      </c>
      <c r="P109" s="379">
        <f>-P107*P11</f>
        <v>-14.635735146479998</v>
      </c>
      <c r="Q109" s="379">
        <f>-Q107*Q11</f>
        <v>-17.206136131580546</v>
      </c>
      <c r="R109" s="379">
        <f>-R107*R11</f>
        <v>-17.808350896185864</v>
      </c>
    </row>
    <row r="110" spans="1:18" hidden="1" outlineLevel="1" x14ac:dyDescent="0.45">
      <c r="A110" s="368" t="s">
        <v>254</v>
      </c>
      <c r="B110" s="382">
        <f t="shared" ref="B110:K110" si="65">-B107*(B14+B13)</f>
        <v>0.83750435999999862</v>
      </c>
      <c r="C110" s="382">
        <f t="shared" si="65"/>
        <v>0.49854593250000107</v>
      </c>
      <c r="D110" s="382">
        <f t="shared" si="65"/>
        <v>0.34915618500000145</v>
      </c>
      <c r="E110" s="382">
        <f t="shared" si="65"/>
        <v>0.80606841000009088</v>
      </c>
      <c r="F110" s="382">
        <f t="shared" si="65"/>
        <v>4.0365639999994425</v>
      </c>
      <c r="G110" s="382">
        <f t="shared" si="65"/>
        <v>5.053291319999424</v>
      </c>
      <c r="H110" s="382">
        <f t="shared" si="65"/>
        <v>7.8224648800001324</v>
      </c>
      <c r="I110" s="382">
        <f t="shared" si="65"/>
        <v>15.984487208100012</v>
      </c>
      <c r="J110" s="382">
        <f t="shared" si="65"/>
        <v>15.669637233333326</v>
      </c>
      <c r="K110" s="382">
        <f t="shared" si="65"/>
        <v>13.134927007999993</v>
      </c>
      <c r="M110" s="382">
        <f>K110</f>
        <v>13.134927007999993</v>
      </c>
      <c r="N110" s="382">
        <f>-N107*(N14+N13)</f>
        <v>5.1773007074999997</v>
      </c>
      <c r="O110" s="382">
        <f>-O107*(O14+O13)</f>
        <v>3.9682749999999993</v>
      </c>
      <c r="P110" s="382">
        <f>-P107*(P14+P13)</f>
        <v>3.554723976401295</v>
      </c>
      <c r="Q110" s="382">
        <f>-Q107*(Q14+Q13)</f>
        <v>2.8315610181280926</v>
      </c>
      <c r="R110" s="382">
        <f>-R107*(R14+R13)</f>
        <v>2.2187709584535926</v>
      </c>
    </row>
    <row r="111" spans="1:18" hidden="1" outlineLevel="1" x14ac:dyDescent="0.45">
      <c r="A111" s="368" t="s">
        <v>262</v>
      </c>
      <c r="B111" s="379">
        <f t="shared" ref="B111:K111" si="66">B109+B110</f>
        <v>-14.38385564</v>
      </c>
      <c r="C111" s="379">
        <f t="shared" si="66"/>
        <v>-12.989404067500001</v>
      </c>
      <c r="D111" s="379">
        <f t="shared" si="66"/>
        <v>-15.560998005</v>
      </c>
      <c r="E111" s="379">
        <f t="shared" si="66"/>
        <v>-14.862550646449503</v>
      </c>
      <c r="F111" s="379">
        <f t="shared" si="66"/>
        <v>-10.499876684010999</v>
      </c>
      <c r="G111" s="379">
        <f t="shared" si="66"/>
        <v>-5.77290735114582</v>
      </c>
      <c r="H111" s="379">
        <f t="shared" si="66"/>
        <v>33.082227395103601</v>
      </c>
      <c r="I111" s="379">
        <f t="shared" si="66"/>
        <v>41.197814435339296</v>
      </c>
      <c r="J111" s="379">
        <f t="shared" si="66"/>
        <v>35.984254254941604</v>
      </c>
      <c r="K111" s="379">
        <f t="shared" si="66"/>
        <v>20.950097591517803</v>
      </c>
      <c r="M111" s="379">
        <f t="shared" ref="M111:R111" si="67">M109+M110</f>
        <v>20.950097591517803</v>
      </c>
      <c r="N111" s="379">
        <f t="shared" si="67"/>
        <v>-1.3664420924999989</v>
      </c>
      <c r="O111" s="379">
        <f t="shared" si="67"/>
        <v>-6.4362760520000011</v>
      </c>
      <c r="P111" s="379">
        <f t="shared" si="67"/>
        <v>-11.081011170078703</v>
      </c>
      <c r="Q111" s="379">
        <f t="shared" si="67"/>
        <v>-14.374575113452455</v>
      </c>
      <c r="R111" s="379">
        <f t="shared" si="67"/>
        <v>-15.589579937732271</v>
      </c>
    </row>
    <row r="112" spans="1:18" hidden="1" outlineLevel="1" x14ac:dyDescent="0.45">
      <c r="A112" s="407"/>
      <c r="B112" s="415">
        <f t="shared" ref="B112:K112" si="68">B15-B111</f>
        <v>0</v>
      </c>
      <c r="C112" s="415">
        <f t="shared" si="68"/>
        <v>0</v>
      </c>
      <c r="D112" s="415">
        <f t="shared" si="68"/>
        <v>0</v>
      </c>
      <c r="E112" s="415">
        <f t="shared" si="68"/>
        <v>0</v>
      </c>
      <c r="F112" s="415">
        <f t="shared" si="68"/>
        <v>0</v>
      </c>
      <c r="G112" s="415">
        <f t="shared" si="68"/>
        <v>0</v>
      </c>
      <c r="H112" s="415">
        <f t="shared" si="68"/>
        <v>0</v>
      </c>
      <c r="I112" s="415">
        <f t="shared" si="68"/>
        <v>0</v>
      </c>
      <c r="J112" s="415">
        <f t="shared" si="68"/>
        <v>0</v>
      </c>
      <c r="K112" s="415">
        <f t="shared" si="68"/>
        <v>0</v>
      </c>
      <c r="M112" s="415">
        <f t="shared" ref="M112:R112" si="69">M15-M111</f>
        <v>0</v>
      </c>
      <c r="N112" s="415">
        <f t="shared" si="69"/>
        <v>1.3664420924999989</v>
      </c>
      <c r="O112" s="415">
        <f t="shared" si="69"/>
        <v>6.4362760520000011</v>
      </c>
      <c r="P112" s="415">
        <f t="shared" si="69"/>
        <v>11.081011170078703</v>
      </c>
      <c r="Q112" s="415">
        <f t="shared" si="69"/>
        <v>8.8362706854212991</v>
      </c>
      <c r="R112" s="415">
        <f t="shared" si="69"/>
        <v>0</v>
      </c>
    </row>
    <row r="113" spans="1:21" collapsed="1" x14ac:dyDescent="0.45">
      <c r="A113" s="368" t="s">
        <v>463</v>
      </c>
      <c r="B113" s="379">
        <f t="shared" ref="B113:K113" si="70">B43</f>
        <v>16.383855640000021</v>
      </c>
      <c r="C113" s="379">
        <f t="shared" si="70"/>
        <v>17.37325970750004</v>
      </c>
      <c r="D113" s="379">
        <f t="shared" si="70"/>
        <v>19.434257712500056</v>
      </c>
      <c r="E113" s="379">
        <f t="shared" si="70"/>
        <v>21.096808358949556</v>
      </c>
      <c r="F113" s="379">
        <f t="shared" si="70"/>
        <v>18.996685042960586</v>
      </c>
      <c r="G113" s="379">
        <f t="shared" si="70"/>
        <v>15.569592394106404</v>
      </c>
      <c r="H113" s="379">
        <f t="shared" si="70"/>
        <v>-21.112635000997233</v>
      </c>
      <c r="I113" s="379">
        <f t="shared" si="70"/>
        <v>-41.510449436336572</v>
      </c>
      <c r="J113" s="379">
        <f t="shared" si="70"/>
        <v>-67.294703691278187</v>
      </c>
      <c r="K113" s="379">
        <f t="shared" si="70"/>
        <v>-79.2</v>
      </c>
      <c r="M113" s="379">
        <f>M43</f>
        <v>-79.2</v>
      </c>
      <c r="N113" s="379">
        <f>N116</f>
        <v>-75.295879735714294</v>
      </c>
      <c r="O113" s="379">
        <f>O116</f>
        <v>-56.906519587142867</v>
      </c>
      <c r="P113" s="379">
        <f>P116</f>
        <v>-25.246487672632284</v>
      </c>
      <c r="Q113" s="379">
        <f>Q116</f>
        <v>0</v>
      </c>
      <c r="R113" s="379">
        <f>R116</f>
        <v>0</v>
      </c>
    </row>
    <row r="114" spans="1:21" x14ac:dyDescent="0.45">
      <c r="A114" s="368" t="s">
        <v>231</v>
      </c>
      <c r="B114" s="379"/>
      <c r="C114" s="379">
        <f t="shared" ref="C114:K114" si="71">C113-B113</f>
        <v>0.98940406750001841</v>
      </c>
      <c r="D114" s="379">
        <f t="shared" si="71"/>
        <v>2.0609980050000161</v>
      </c>
      <c r="E114" s="379">
        <f t="shared" si="71"/>
        <v>1.6625506464494997</v>
      </c>
      <c r="F114" s="379">
        <f t="shared" si="71"/>
        <v>-2.1001233159889701</v>
      </c>
      <c r="G114" s="379">
        <f t="shared" si="71"/>
        <v>-3.4270926488541811</v>
      </c>
      <c r="H114" s="379">
        <f t="shared" si="71"/>
        <v>-36.682227395103638</v>
      </c>
      <c r="I114" s="379">
        <f t="shared" si="71"/>
        <v>-20.397814435339338</v>
      </c>
      <c r="J114" s="379">
        <f t="shared" si="71"/>
        <v>-25.784254254941615</v>
      </c>
      <c r="K114" s="379">
        <f t="shared" si="71"/>
        <v>-11.905296308721816</v>
      </c>
      <c r="M114" s="379">
        <f>M113-J113</f>
        <v>-11.905296308721816</v>
      </c>
      <c r="N114" s="379">
        <f>N113-M113</f>
        <v>3.9041202642857087</v>
      </c>
      <c r="O114" s="379">
        <f>O113-N113</f>
        <v>18.389360148571427</v>
      </c>
      <c r="P114" s="379">
        <f>P113-O113</f>
        <v>31.660031914510583</v>
      </c>
      <c r="Q114" s="379">
        <f>Q113-P113</f>
        <v>25.246487672632284</v>
      </c>
      <c r="R114" s="379">
        <f>R113-Q113</f>
        <v>0</v>
      </c>
    </row>
    <row r="115" spans="1:21" x14ac:dyDescent="0.45">
      <c r="A115" s="368" t="s">
        <v>468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M115" s="379"/>
      <c r="N115" s="379">
        <f>N11+N14</f>
        <v>3.9041202642857122</v>
      </c>
      <c r="O115" s="379">
        <f>O11+O14</f>
        <v>18.389360148571431</v>
      </c>
      <c r="P115" s="379">
        <f>P11+P14</f>
        <v>31.660031914510583</v>
      </c>
      <c r="Q115" s="379">
        <f>Q11+Q14</f>
        <v>41.070214609864159</v>
      </c>
      <c r="R115" s="379">
        <f>R11+R14</f>
        <v>44.541656964949354</v>
      </c>
    </row>
    <row r="116" spans="1:21" x14ac:dyDescent="0.45">
      <c r="A116" s="368" t="s">
        <v>464</v>
      </c>
      <c r="B116" s="379"/>
      <c r="C116" s="379"/>
      <c r="D116" s="379"/>
      <c r="E116" s="379"/>
      <c r="F116" s="379"/>
      <c r="G116" s="379"/>
      <c r="H116" s="379"/>
      <c r="I116" s="379"/>
      <c r="J116" s="379"/>
      <c r="K116" s="379"/>
      <c r="M116" s="379">
        <f>M113</f>
        <v>-79.2</v>
      </c>
      <c r="N116" s="379">
        <f>M116+N115</f>
        <v>-75.295879735714294</v>
      </c>
      <c r="O116" s="379">
        <f>N116+O115</f>
        <v>-56.906519587142867</v>
      </c>
      <c r="P116" s="379">
        <f>O116+P115</f>
        <v>-25.246487672632284</v>
      </c>
      <c r="Q116" s="379">
        <v>0</v>
      </c>
      <c r="R116" s="379">
        <v>0</v>
      </c>
    </row>
    <row r="117" spans="1:21" x14ac:dyDescent="0.45">
      <c r="A117" s="368" t="s">
        <v>466</v>
      </c>
      <c r="L117" s="369"/>
      <c r="M117" s="369"/>
      <c r="N117" s="379">
        <v>0</v>
      </c>
      <c r="O117" s="379">
        <v>0</v>
      </c>
      <c r="P117" s="379">
        <v>0</v>
      </c>
      <c r="Q117" s="412">
        <f>Q115+P116</f>
        <v>15.823726937231875</v>
      </c>
      <c r="R117" s="412">
        <f>R115</f>
        <v>44.541656964949354</v>
      </c>
    </row>
    <row r="118" spans="1:21" x14ac:dyDescent="0.45">
      <c r="A118" s="369" t="s">
        <v>467</v>
      </c>
      <c r="L118" s="369"/>
      <c r="M118" s="369"/>
      <c r="N118" s="412">
        <f>N107*N117</f>
        <v>0</v>
      </c>
      <c r="O118" s="412">
        <f>O107*O117</f>
        <v>0</v>
      </c>
      <c r="P118" s="412">
        <f>P107*P117</f>
        <v>0</v>
      </c>
      <c r="Q118" s="412">
        <f>Q107*Q117</f>
        <v>5.5383044280311555</v>
      </c>
      <c r="R118" s="412">
        <f>R107*R117</f>
        <v>15.589579937732273</v>
      </c>
    </row>
    <row r="119" spans="1:21" x14ac:dyDescent="0.45">
      <c r="A119" s="407"/>
      <c r="B119" s="420"/>
      <c r="C119" s="415"/>
      <c r="D119" s="415"/>
      <c r="E119" s="415"/>
      <c r="F119" s="415"/>
      <c r="G119" s="415"/>
      <c r="H119" s="415"/>
      <c r="I119" s="415"/>
      <c r="J119" s="415"/>
      <c r="K119" s="415"/>
      <c r="N119" s="409"/>
    </row>
    <row r="120" spans="1:21" s="383" customFormat="1" x14ac:dyDescent="0.45">
      <c r="A120" s="368"/>
      <c r="B120" s="371" t="s">
        <v>190</v>
      </c>
      <c r="C120" s="371"/>
      <c r="D120" s="371"/>
      <c r="E120" s="371"/>
      <c r="F120" s="371"/>
      <c r="G120" s="371"/>
      <c r="H120" s="371"/>
      <c r="I120" s="371"/>
      <c r="J120" s="371"/>
      <c r="K120" s="371"/>
      <c r="L120" s="372" t="s">
        <v>221</v>
      </c>
      <c r="M120" s="372"/>
      <c r="N120" s="373" t="s">
        <v>219</v>
      </c>
      <c r="O120" s="373"/>
      <c r="P120" s="373"/>
      <c r="Q120" s="373"/>
      <c r="R120" s="373"/>
    </row>
    <row r="121" spans="1:21" s="383" customFormat="1" x14ac:dyDescent="0.45">
      <c r="A121" s="418" t="s">
        <v>247</v>
      </c>
      <c r="B121" s="375">
        <v>2001</v>
      </c>
      <c r="C121" s="375">
        <v>2002</v>
      </c>
      <c r="D121" s="375">
        <v>2003</v>
      </c>
      <c r="E121" s="375">
        <v>2004</v>
      </c>
      <c r="F121" s="375">
        <v>2005</v>
      </c>
      <c r="G121" s="375">
        <v>2006</v>
      </c>
      <c r="H121" s="375">
        <v>2007</v>
      </c>
      <c r="I121" s="375">
        <v>2008</v>
      </c>
      <c r="J121" s="375">
        <v>2009</v>
      </c>
      <c r="K121" s="375">
        <v>2010</v>
      </c>
      <c r="L121" s="375" t="s">
        <v>222</v>
      </c>
      <c r="M121" s="375" t="s">
        <v>220</v>
      </c>
      <c r="N121" s="375">
        <v>2011</v>
      </c>
      <c r="O121" s="375">
        <f>N121+1</f>
        <v>2012</v>
      </c>
      <c r="P121" s="375">
        <f>O121+1</f>
        <v>2013</v>
      </c>
      <c r="Q121" s="375">
        <f>P121+1</f>
        <v>2014</v>
      </c>
      <c r="R121" s="375">
        <f>Q121+1</f>
        <v>2015</v>
      </c>
    </row>
    <row r="122" spans="1:21" s="383" customFormat="1" x14ac:dyDescent="0.45">
      <c r="A122" s="362" t="s">
        <v>96</v>
      </c>
    </row>
    <row r="123" spans="1:21" s="383" customFormat="1" x14ac:dyDescent="0.45">
      <c r="A123" s="429" t="s">
        <v>58</v>
      </c>
      <c r="B123" s="367">
        <f t="shared" ref="B123:M123" si="72">B44</f>
        <v>49.5</v>
      </c>
      <c r="C123" s="367">
        <f t="shared" si="72"/>
        <v>47</v>
      </c>
      <c r="D123" s="367">
        <f t="shared" si="72"/>
        <v>92.1</v>
      </c>
      <c r="E123" s="367">
        <f t="shared" si="72"/>
        <v>35.200000000000003</v>
      </c>
      <c r="F123" s="367">
        <f t="shared" si="72"/>
        <v>69.900000000000006</v>
      </c>
      <c r="G123" s="367">
        <f t="shared" si="72"/>
        <v>47.3</v>
      </c>
      <c r="H123" s="367">
        <f t="shared" si="72"/>
        <v>158.19999999999999</v>
      </c>
      <c r="I123" s="367">
        <f t="shared" si="72"/>
        <v>162.5</v>
      </c>
      <c r="J123" s="367">
        <f t="shared" si="72"/>
        <v>190.1</v>
      </c>
      <c r="K123" s="367">
        <f t="shared" si="72"/>
        <v>215</v>
      </c>
      <c r="L123" s="367">
        <f t="shared" si="72"/>
        <v>-215</v>
      </c>
      <c r="M123" s="367">
        <f t="shared" si="72"/>
        <v>0</v>
      </c>
      <c r="N123" s="367">
        <f t="shared" ref="N123:R124" si="73">M123</f>
        <v>0</v>
      </c>
      <c r="O123" s="367">
        <f t="shared" si="73"/>
        <v>0</v>
      </c>
      <c r="P123" s="367">
        <f t="shared" si="73"/>
        <v>0</v>
      </c>
      <c r="Q123" s="367">
        <f t="shared" si="73"/>
        <v>0</v>
      </c>
      <c r="R123" s="367">
        <f t="shared" si="73"/>
        <v>0</v>
      </c>
    </row>
    <row r="124" spans="1:21" s="383" customFormat="1" ht="13.2" x14ac:dyDescent="0.45">
      <c r="A124" s="429" t="s">
        <v>369</v>
      </c>
      <c r="B124" s="367">
        <f t="shared" ref="B124:M124" si="74">B45</f>
        <v>0</v>
      </c>
      <c r="C124" s="367">
        <f t="shared" si="74"/>
        <v>0</v>
      </c>
      <c r="D124" s="367">
        <f t="shared" si="74"/>
        <v>0</v>
      </c>
      <c r="E124" s="367">
        <f t="shared" si="74"/>
        <v>0</v>
      </c>
      <c r="F124" s="367">
        <f t="shared" si="74"/>
        <v>0</v>
      </c>
      <c r="G124" s="367">
        <f t="shared" si="74"/>
        <v>40.714285714285715</v>
      </c>
      <c r="H124" s="367">
        <f t="shared" si="74"/>
        <v>40.714285714285715</v>
      </c>
      <c r="I124" s="367">
        <f t="shared" si="74"/>
        <v>40.714285714285715</v>
      </c>
      <c r="J124" s="367">
        <f t="shared" si="74"/>
        <v>40.714285714285715</v>
      </c>
      <c r="K124" s="367">
        <f t="shared" si="74"/>
        <v>40.714285714285715</v>
      </c>
      <c r="L124" s="367">
        <f t="shared" si="74"/>
        <v>-40.714285714285715</v>
      </c>
      <c r="M124" s="367">
        <f t="shared" si="74"/>
        <v>0</v>
      </c>
      <c r="N124" s="367">
        <f t="shared" si="73"/>
        <v>0</v>
      </c>
      <c r="O124" s="367">
        <f t="shared" si="73"/>
        <v>0</v>
      </c>
      <c r="P124" s="367">
        <f t="shared" si="73"/>
        <v>0</v>
      </c>
      <c r="Q124" s="367">
        <f t="shared" si="73"/>
        <v>0</v>
      </c>
      <c r="R124" s="367">
        <f t="shared" si="73"/>
        <v>0</v>
      </c>
    </row>
    <row r="125" spans="1:21" s="383" customFormat="1" ht="5.7" customHeight="1" x14ac:dyDescent="0.45">
      <c r="A125" s="362"/>
      <c r="B125" s="369"/>
      <c r="C125" s="369"/>
      <c r="D125" s="369"/>
      <c r="E125" s="369"/>
      <c r="F125" s="369"/>
      <c r="G125" s="369"/>
      <c r="H125" s="369"/>
      <c r="I125" s="369"/>
      <c r="J125" s="369"/>
      <c r="K125" s="369"/>
      <c r="L125" s="369"/>
      <c r="M125" s="369"/>
      <c r="N125" s="369"/>
      <c r="O125" s="369"/>
      <c r="P125" s="369"/>
      <c r="Q125" s="369"/>
      <c r="R125" s="369"/>
    </row>
    <row r="126" spans="1:21" s="383" customFormat="1" x14ac:dyDescent="0.45">
      <c r="A126" s="362" t="s">
        <v>95</v>
      </c>
      <c r="B126" s="369"/>
      <c r="C126" s="369"/>
      <c r="D126" s="369"/>
      <c r="E126" s="369"/>
      <c r="F126" s="369"/>
      <c r="G126" s="369"/>
      <c r="H126" s="369"/>
      <c r="I126" s="369"/>
      <c r="J126" s="369"/>
      <c r="K126" s="369"/>
      <c r="L126" s="369"/>
      <c r="M126" s="369"/>
      <c r="N126" s="369"/>
      <c r="O126" s="369"/>
      <c r="P126" s="369"/>
      <c r="Q126" s="369"/>
      <c r="R126" s="369"/>
      <c r="T126" s="638" t="s">
        <v>457</v>
      </c>
    </row>
    <row r="127" spans="1:21" s="383" customFormat="1" x14ac:dyDescent="0.45">
      <c r="A127" s="429" t="s">
        <v>170</v>
      </c>
      <c r="B127" s="367">
        <v>0</v>
      </c>
      <c r="C127" s="367">
        <v>0</v>
      </c>
      <c r="D127" s="367">
        <v>0</v>
      </c>
      <c r="E127" s="367">
        <v>0</v>
      </c>
      <c r="F127" s="367">
        <v>0</v>
      </c>
      <c r="G127" s="367">
        <v>0</v>
      </c>
      <c r="H127" s="367">
        <v>0</v>
      </c>
      <c r="I127" s="367">
        <v>0</v>
      </c>
      <c r="J127" s="367">
        <v>0</v>
      </c>
      <c r="K127" s="367">
        <v>0</v>
      </c>
      <c r="L127" s="367">
        <f t="shared" ref="L127:M129" si="75">L48</f>
        <v>225.75</v>
      </c>
      <c r="M127" s="367">
        <f t="shared" si="75"/>
        <v>225.75</v>
      </c>
      <c r="N127" s="367">
        <f t="shared" ref="N127:O129" si="76">M127</f>
        <v>225.75</v>
      </c>
      <c r="O127" s="367">
        <f t="shared" si="76"/>
        <v>225.75</v>
      </c>
      <c r="P127" s="430">
        <f>O127+P137-T127</f>
        <v>134.27348457184002</v>
      </c>
      <c r="Q127" s="430">
        <f>P127+Q137-T127</f>
        <v>75.793505310094133</v>
      </c>
      <c r="R127" s="430">
        <f>Q127+R137-T127</f>
        <v>19.356005310094133</v>
      </c>
      <c r="T127" s="430">
        <f>'Pro Forma (Ex. 8)'!E10/4</f>
        <v>56.4375</v>
      </c>
      <c r="U127" s="637" t="s">
        <v>459</v>
      </c>
    </row>
    <row r="128" spans="1:21" s="383" customFormat="1" x14ac:dyDescent="0.45">
      <c r="A128" s="429" t="s">
        <v>120</v>
      </c>
      <c r="B128" s="367">
        <f t="shared" ref="B128:K128" si="77">B49</f>
        <v>0</v>
      </c>
      <c r="C128" s="367">
        <f t="shared" si="77"/>
        <v>0</v>
      </c>
      <c r="D128" s="367">
        <f t="shared" si="77"/>
        <v>0</v>
      </c>
      <c r="E128" s="367">
        <f t="shared" si="77"/>
        <v>285</v>
      </c>
      <c r="F128" s="367">
        <f t="shared" si="77"/>
        <v>285</v>
      </c>
      <c r="G128" s="367">
        <f t="shared" si="77"/>
        <v>244.28571428571428</v>
      </c>
      <c r="H128" s="367">
        <f t="shared" si="77"/>
        <v>203.57142857142856</v>
      </c>
      <c r="I128" s="367">
        <f t="shared" si="77"/>
        <v>162.85714285714286</v>
      </c>
      <c r="J128" s="367">
        <f t="shared" si="77"/>
        <v>122.14285714285714</v>
      </c>
      <c r="K128" s="367">
        <f t="shared" si="77"/>
        <v>81.428571428571416</v>
      </c>
      <c r="L128" s="367">
        <f t="shared" si="75"/>
        <v>-3.2571428571428527</v>
      </c>
      <c r="M128" s="367">
        <f t="shared" si="75"/>
        <v>78.171428571428564</v>
      </c>
      <c r="N128" s="367">
        <f t="shared" si="76"/>
        <v>78.171428571428564</v>
      </c>
      <c r="O128" s="367">
        <f t="shared" si="76"/>
        <v>78.171428571428564</v>
      </c>
      <c r="P128" s="430">
        <f>O128-T128</f>
        <v>65.142857142857139</v>
      </c>
      <c r="Q128" s="430">
        <f>P128-T128</f>
        <v>52.114285714285714</v>
      </c>
      <c r="R128" s="430">
        <f>Q128-T128</f>
        <v>39.085714285714289</v>
      </c>
      <c r="T128" s="430">
        <f>'Pro Forma (Ex. 8)'!E11/6</f>
        <v>13.028571428571427</v>
      </c>
      <c r="U128" s="637" t="s">
        <v>458</v>
      </c>
    </row>
    <row r="129" spans="1:19" s="383" customFormat="1" x14ac:dyDescent="0.45">
      <c r="A129" s="429" t="s">
        <v>154</v>
      </c>
      <c r="B129" s="367">
        <f t="shared" ref="B129:K129" si="78">B50</f>
        <v>0</v>
      </c>
      <c r="C129" s="367">
        <f t="shared" si="78"/>
        <v>0</v>
      </c>
      <c r="D129" s="367">
        <f t="shared" si="78"/>
        <v>0</v>
      </c>
      <c r="E129" s="367">
        <f t="shared" si="78"/>
        <v>0</v>
      </c>
      <c r="F129" s="367">
        <f t="shared" si="78"/>
        <v>0</v>
      </c>
      <c r="G129" s="367">
        <f t="shared" si="78"/>
        <v>170</v>
      </c>
      <c r="H129" s="367">
        <f t="shared" si="78"/>
        <v>170</v>
      </c>
      <c r="I129" s="367">
        <f t="shared" si="78"/>
        <v>170</v>
      </c>
      <c r="J129" s="367">
        <f t="shared" si="78"/>
        <v>170</v>
      </c>
      <c r="K129" s="367">
        <f t="shared" si="78"/>
        <v>170</v>
      </c>
      <c r="L129" s="367">
        <f t="shared" si="75"/>
        <v>-127.5</v>
      </c>
      <c r="M129" s="367">
        <f t="shared" si="75"/>
        <v>42.5</v>
      </c>
      <c r="N129" s="367">
        <f t="shared" si="76"/>
        <v>42.5</v>
      </c>
      <c r="O129" s="367">
        <f t="shared" si="76"/>
        <v>42.5</v>
      </c>
      <c r="P129" s="367">
        <f t="shared" ref="P129:R129" si="79">O129</f>
        <v>42.5</v>
      </c>
      <c r="Q129" s="367">
        <f t="shared" si="79"/>
        <v>42.5</v>
      </c>
      <c r="R129" s="367">
        <f t="shared" si="79"/>
        <v>42.5</v>
      </c>
    </row>
    <row r="130" spans="1:19" s="383" customFormat="1" ht="5.7" customHeight="1" x14ac:dyDescent="0.45">
      <c r="A130" s="429"/>
      <c r="B130" s="381"/>
      <c r="C130" s="381"/>
      <c r="D130" s="381"/>
      <c r="E130" s="381"/>
      <c r="F130" s="381"/>
      <c r="G130" s="381"/>
      <c r="H130" s="381"/>
      <c r="I130" s="381"/>
      <c r="J130" s="381"/>
      <c r="K130" s="381"/>
      <c r="L130" s="381"/>
      <c r="M130" s="381"/>
      <c r="N130" s="381"/>
      <c r="O130" s="381"/>
      <c r="P130" s="381"/>
      <c r="Q130" s="381"/>
      <c r="R130" s="381"/>
    </row>
    <row r="131" spans="1:19" s="383" customFormat="1" x14ac:dyDescent="0.45">
      <c r="A131" s="431" t="s">
        <v>100</v>
      </c>
      <c r="B131" s="419">
        <f t="shared" ref="B131:R131" si="80">B123+B124+B127+B128+B129</f>
        <v>49.5</v>
      </c>
      <c r="C131" s="419">
        <f t="shared" si="80"/>
        <v>47</v>
      </c>
      <c r="D131" s="419">
        <f t="shared" si="80"/>
        <v>92.1</v>
      </c>
      <c r="E131" s="419">
        <f t="shared" si="80"/>
        <v>320.2</v>
      </c>
      <c r="F131" s="419">
        <f t="shared" si="80"/>
        <v>354.9</v>
      </c>
      <c r="G131" s="419">
        <f t="shared" si="80"/>
        <v>502.29999999999995</v>
      </c>
      <c r="H131" s="419">
        <f t="shared" si="80"/>
        <v>572.48571428571427</v>
      </c>
      <c r="I131" s="419">
        <f t="shared" si="80"/>
        <v>536.07142857142856</v>
      </c>
      <c r="J131" s="419">
        <f t="shared" si="80"/>
        <v>522.9571428571428</v>
      </c>
      <c r="K131" s="419">
        <f t="shared" si="80"/>
        <v>507.14285714285711</v>
      </c>
      <c r="L131" s="419">
        <f t="shared" si="80"/>
        <v>-160.72142857142859</v>
      </c>
      <c r="M131" s="419">
        <f t="shared" si="80"/>
        <v>346.42142857142858</v>
      </c>
      <c r="N131" s="419">
        <f t="shared" si="80"/>
        <v>346.42142857142858</v>
      </c>
      <c r="O131" s="419">
        <f t="shared" si="80"/>
        <v>346.42142857142858</v>
      </c>
      <c r="P131" s="419">
        <f t="shared" si="80"/>
        <v>241.91634171469715</v>
      </c>
      <c r="Q131" s="419">
        <f t="shared" si="80"/>
        <v>170.40779102437983</v>
      </c>
      <c r="R131" s="419">
        <f t="shared" si="80"/>
        <v>100.94171959580842</v>
      </c>
    </row>
    <row r="132" spans="1:19" s="383" customFormat="1" x14ac:dyDescent="0.45">
      <c r="A132" s="429"/>
      <c r="C132" s="369"/>
      <c r="D132" s="369"/>
      <c r="E132" s="369"/>
      <c r="F132" s="369"/>
      <c r="G132" s="369"/>
      <c r="H132" s="369"/>
      <c r="I132" s="369"/>
      <c r="J132" s="369"/>
      <c r="K132" s="369"/>
      <c r="L132" s="372"/>
      <c r="M132" s="372"/>
      <c r="N132" s="370"/>
      <c r="O132" s="370"/>
      <c r="P132" s="370"/>
    </row>
    <row r="133" spans="1:19" s="383" customFormat="1" x14ac:dyDescent="0.45">
      <c r="A133" s="383" t="s">
        <v>314</v>
      </c>
      <c r="B133" s="432">
        <f t="shared" ref="B133:K133" si="81">B31</f>
        <v>50.5</v>
      </c>
      <c r="C133" s="432">
        <f t="shared" si="81"/>
        <v>44.220421429798058</v>
      </c>
      <c r="D133" s="432">
        <f t="shared" si="81"/>
        <v>43.741532455801369</v>
      </c>
      <c r="E133" s="432">
        <f t="shared" si="81"/>
        <v>70.809678198583441</v>
      </c>
      <c r="F133" s="432">
        <f t="shared" si="81"/>
        <v>77.156926320518011</v>
      </c>
      <c r="G133" s="432">
        <f t="shared" si="81"/>
        <v>103.30266151339198</v>
      </c>
      <c r="H133" s="432">
        <f t="shared" si="81"/>
        <v>63.230073140804876</v>
      </c>
      <c r="I133" s="432">
        <f t="shared" si="81"/>
        <v>45.609420203084383</v>
      </c>
      <c r="J133" s="432">
        <f t="shared" si="81"/>
        <v>32.605106533178031</v>
      </c>
      <c r="K133" s="432">
        <f t="shared" si="81"/>
        <v>20.338927601688315</v>
      </c>
      <c r="L133" s="372"/>
      <c r="M133" s="432">
        <f t="shared" ref="M133:R133" si="82">M31</f>
        <v>20.338927601688315</v>
      </c>
      <c r="N133" s="432">
        <f t="shared" si="82"/>
        <v>31.742457287759322</v>
      </c>
      <c r="O133" s="432">
        <f t="shared" si="82"/>
        <v>91.308364032902261</v>
      </c>
      <c r="P133" s="432">
        <f t="shared" si="82"/>
        <v>70.090593358711942</v>
      </c>
      <c r="Q133" s="432">
        <f t="shared" si="82"/>
        <v>72.88354189127935</v>
      </c>
      <c r="R133" s="432">
        <f t="shared" si="82"/>
        <v>45.924184093739129</v>
      </c>
    </row>
    <row r="134" spans="1:19" s="383" customFormat="1" x14ac:dyDescent="0.45">
      <c r="A134" s="369" t="s">
        <v>315</v>
      </c>
      <c r="B134" s="367">
        <f t="shared" ref="B134:K134" si="83">-(B7+B9)/12</f>
        <v>74.43419999999999</v>
      </c>
      <c r="C134" s="367">
        <f t="shared" si="83"/>
        <v>77.836500000000001</v>
      </c>
      <c r="D134" s="367">
        <f t="shared" si="83"/>
        <v>84.895240966666663</v>
      </c>
      <c r="E134" s="367">
        <f t="shared" si="83"/>
        <v>95.976986681644163</v>
      </c>
      <c r="F134" s="367">
        <f t="shared" si="83"/>
        <v>106.86667545141033</v>
      </c>
      <c r="G134" s="367">
        <f t="shared" si="83"/>
        <v>119.58940229840626</v>
      </c>
      <c r="H134" s="367">
        <f t="shared" si="83"/>
        <v>108.602508936262</v>
      </c>
      <c r="I134" s="367">
        <f t="shared" si="83"/>
        <v>79.252495477319584</v>
      </c>
      <c r="J134" s="367">
        <f t="shared" si="83"/>
        <v>71.018749999999997</v>
      </c>
      <c r="K134" s="367">
        <f t="shared" si="83"/>
        <v>72.868724999999998</v>
      </c>
      <c r="L134" s="372"/>
      <c r="M134" s="367">
        <f t="shared" ref="M134:R134" si="84">-(M7+M9)/12</f>
        <v>72.868724999999998</v>
      </c>
      <c r="N134" s="367">
        <f t="shared" si="84"/>
        <v>74.12699933333333</v>
      </c>
      <c r="O134" s="367">
        <f t="shared" si="84"/>
        <v>77.781861273333334</v>
      </c>
      <c r="P134" s="367">
        <f t="shared" si="84"/>
        <v>81.141105598933336</v>
      </c>
      <c r="Q134" s="367">
        <f t="shared" si="84"/>
        <v>84.374391564335568</v>
      </c>
      <c r="R134" s="367">
        <f t="shared" si="84"/>
        <v>87.392328602420648</v>
      </c>
    </row>
    <row r="135" spans="1:19" s="383" customFormat="1" x14ac:dyDescent="0.45">
      <c r="A135" s="369" t="s">
        <v>316</v>
      </c>
      <c r="B135" s="433">
        <f t="shared" ref="B135:K135" si="85">B133/B134</f>
        <v>0.67845157199244444</v>
      </c>
      <c r="C135" s="433">
        <f t="shared" si="85"/>
        <v>0.56811934542018283</v>
      </c>
      <c r="D135" s="433">
        <f t="shared" si="85"/>
        <v>0.51524127804732989</v>
      </c>
      <c r="E135" s="433">
        <f t="shared" si="85"/>
        <v>0.73777767615750711</v>
      </c>
      <c r="F135" s="433">
        <f t="shared" si="85"/>
        <v>0.721992389064254</v>
      </c>
      <c r="G135" s="546">
        <f t="shared" si="85"/>
        <v>0.86381116995321483</v>
      </c>
      <c r="H135" s="433">
        <f t="shared" si="85"/>
        <v>0.5822155837846632</v>
      </c>
      <c r="I135" s="433">
        <f t="shared" si="85"/>
        <v>0.57549506710658527</v>
      </c>
      <c r="J135" s="433">
        <f t="shared" si="85"/>
        <v>0.45910560990130117</v>
      </c>
      <c r="K135" s="433">
        <f t="shared" si="85"/>
        <v>0.27911737994164598</v>
      </c>
      <c r="L135" s="434"/>
      <c r="M135" s="433">
        <f t="shared" ref="M135:R135" si="86">M133/M134</f>
        <v>0.27911737994164598</v>
      </c>
      <c r="N135" s="433">
        <f t="shared" si="86"/>
        <v>0.42821721603784679</v>
      </c>
      <c r="O135" s="433">
        <f t="shared" si="86"/>
        <v>1.1739030480645793</v>
      </c>
      <c r="P135" s="433">
        <f t="shared" si="86"/>
        <v>0.86381116995321472</v>
      </c>
      <c r="Q135" s="433">
        <f t="shared" si="86"/>
        <v>0.86381116995321461</v>
      </c>
      <c r="R135" s="433">
        <f t="shared" si="86"/>
        <v>0.52549445504152748</v>
      </c>
    </row>
    <row r="136" spans="1:19" s="383" customFormat="1" x14ac:dyDescent="0.45">
      <c r="A136" s="435" t="s">
        <v>318</v>
      </c>
      <c r="C136" s="436"/>
      <c r="D136" s="436"/>
      <c r="E136" s="436"/>
      <c r="F136" s="436"/>
      <c r="G136" s="436"/>
      <c r="H136" s="436"/>
      <c r="I136" s="436"/>
      <c r="J136" s="436"/>
      <c r="K136" s="436"/>
      <c r="L136" s="372"/>
      <c r="M136" s="436"/>
      <c r="N136" s="436"/>
      <c r="O136" s="436"/>
      <c r="P136" s="437">
        <f>G135</f>
        <v>0.86381116995321483</v>
      </c>
      <c r="Q136" s="437">
        <f>P136</f>
        <v>0.86381116995321483</v>
      </c>
      <c r="R136" s="437">
        <f>Q136</f>
        <v>0.86381116995321483</v>
      </c>
    </row>
    <row r="137" spans="1:19" s="383" customFormat="1" x14ac:dyDescent="0.45">
      <c r="A137" s="383" t="s">
        <v>317</v>
      </c>
      <c r="B137" s="367"/>
      <c r="C137" s="367"/>
      <c r="D137" s="367"/>
      <c r="E137" s="367"/>
      <c r="F137" s="367"/>
      <c r="G137" s="367"/>
      <c r="H137" s="367"/>
      <c r="I137" s="367"/>
      <c r="J137" s="367"/>
      <c r="K137" s="367"/>
      <c r="L137" s="372"/>
      <c r="M137" s="367"/>
      <c r="N137" s="367"/>
      <c r="O137" s="367"/>
      <c r="P137" s="438">
        <v>-35.039015428159992</v>
      </c>
      <c r="Q137" s="438">
        <v>-2.042479261745874</v>
      </c>
      <c r="R137" s="438"/>
      <c r="S137" s="637" t="s">
        <v>460</v>
      </c>
    </row>
    <row r="138" spans="1:19" s="383" customFormat="1" x14ac:dyDescent="0.45">
      <c r="C138" s="436"/>
      <c r="D138" s="436"/>
      <c r="E138" s="436"/>
      <c r="F138" s="436"/>
      <c r="G138" s="436"/>
      <c r="H138" s="436"/>
      <c r="I138" s="436"/>
      <c r="J138" s="436"/>
      <c r="K138" s="440"/>
      <c r="L138" s="439"/>
      <c r="M138" s="440"/>
      <c r="N138" s="440"/>
      <c r="O138" s="441" t="s">
        <v>319</v>
      </c>
      <c r="P138" s="545">
        <f>P135-P136</f>
        <v>0</v>
      </c>
      <c r="Q138" s="545">
        <f>Q135-Q136</f>
        <v>0</v>
      </c>
      <c r="R138" s="545">
        <f>R135-R136</f>
        <v>-0.33831671491168736</v>
      </c>
    </row>
    <row r="139" spans="1:19" s="383" customFormat="1" x14ac:dyDescent="0.45">
      <c r="C139" s="436"/>
      <c r="D139" s="436"/>
      <c r="E139" s="436"/>
      <c r="F139" s="436"/>
      <c r="G139" s="436"/>
      <c r="H139" s="436"/>
      <c r="I139" s="436"/>
      <c r="J139" s="436"/>
      <c r="K139" s="436"/>
      <c r="L139" s="372"/>
      <c r="M139" s="436"/>
      <c r="N139" s="436"/>
      <c r="O139" s="436"/>
      <c r="P139" s="436"/>
      <c r="Q139" s="436"/>
      <c r="R139" s="436"/>
    </row>
    <row r="140" spans="1:19" s="383" customFormat="1" x14ac:dyDescent="0.45">
      <c r="A140" s="418" t="s">
        <v>246</v>
      </c>
      <c r="C140" s="369"/>
      <c r="D140" s="369"/>
      <c r="E140" s="369"/>
      <c r="F140" s="369"/>
      <c r="G140" s="369"/>
      <c r="H140" s="369"/>
      <c r="I140" s="369"/>
      <c r="J140" s="369"/>
      <c r="K140" s="369"/>
      <c r="L140" s="372"/>
      <c r="M140" s="372"/>
      <c r="N140" s="443" t="s">
        <v>251</v>
      </c>
      <c r="O140" s="370"/>
      <c r="P140" s="370"/>
    </row>
    <row r="141" spans="1:19" s="383" customFormat="1" x14ac:dyDescent="0.45">
      <c r="A141" s="362" t="s">
        <v>96</v>
      </c>
      <c r="C141" s="369"/>
      <c r="D141" s="369"/>
      <c r="E141" s="369"/>
      <c r="F141" s="369"/>
      <c r="G141" s="369"/>
      <c r="H141" s="369"/>
      <c r="I141" s="369"/>
      <c r="J141" s="369"/>
      <c r="K141" s="369"/>
      <c r="L141" s="372"/>
      <c r="M141" s="372"/>
      <c r="N141" s="444" t="s">
        <v>284</v>
      </c>
      <c r="O141" s="370"/>
      <c r="P141" s="370"/>
    </row>
    <row r="142" spans="1:19" s="383" customFormat="1" x14ac:dyDescent="0.45">
      <c r="A142" s="429" t="s">
        <v>58</v>
      </c>
      <c r="C142" s="367"/>
      <c r="D142" s="367"/>
      <c r="E142" s="367"/>
      <c r="F142" s="367"/>
      <c r="G142" s="367"/>
      <c r="H142" s="367"/>
      <c r="I142" s="367"/>
      <c r="J142" s="367">
        <f>((I123+J123)/2)*J143-0.8134716666667</f>
        <v>2.3246683333333005</v>
      </c>
      <c r="K142" s="367">
        <f>((J123+K123)/2)*K143-1.3962431</f>
        <v>2.2091469000000004</v>
      </c>
      <c r="L142" s="367"/>
      <c r="M142" s="367">
        <f>K142</f>
        <v>2.2091469000000004</v>
      </c>
      <c r="N142" s="445">
        <f>M142/2</f>
        <v>1.1045734500000002</v>
      </c>
      <c r="O142" s="367">
        <f>((N123+O123)/2)*O143</f>
        <v>0</v>
      </c>
      <c r="P142" s="367">
        <f>((O123+P123)/2)*P143</f>
        <v>0</v>
      </c>
      <c r="Q142" s="367">
        <f>((P123+Q123)/2)*Q143</f>
        <v>0</v>
      </c>
      <c r="R142" s="367">
        <f>((Q123+R123)/2)*R143</f>
        <v>0</v>
      </c>
    </row>
    <row r="143" spans="1:19" s="383" customFormat="1" x14ac:dyDescent="0.45">
      <c r="A143" s="446" t="s">
        <v>249</v>
      </c>
      <c r="C143" s="367"/>
      <c r="D143" s="367"/>
      <c r="E143" s="367"/>
      <c r="F143" s="367"/>
      <c r="G143" s="367"/>
      <c r="H143" s="367"/>
      <c r="I143" s="367"/>
      <c r="J143" s="447">
        <f>K143</f>
        <v>1.78E-2</v>
      </c>
      <c r="K143" s="447">
        <f>'Pro Forma (Ex. 8)'!R6</f>
        <v>1.78E-2</v>
      </c>
      <c r="L143" s="367"/>
      <c r="M143" s="447">
        <f>K143</f>
        <v>1.78E-2</v>
      </c>
      <c r="N143" s="447">
        <f>M143</f>
        <v>1.78E-2</v>
      </c>
      <c r="O143" s="447">
        <f>'Pro Forma (Ex. 8)'!U6</f>
        <v>1.7999999999999999E-2</v>
      </c>
      <c r="P143" s="447">
        <f>'Pro Forma (Ex. 8)'!V6</f>
        <v>0</v>
      </c>
      <c r="Q143" s="447">
        <f>'Pro Forma (Ex. 8)'!W6</f>
        <v>0</v>
      </c>
      <c r="R143" s="447">
        <f>'Pro Forma (Ex. 8)'!X6</f>
        <v>1.7999999999999999E-2</v>
      </c>
    </row>
    <row r="144" spans="1:19" s="383" customFormat="1" ht="13.2" x14ac:dyDescent="0.45">
      <c r="A144" s="429" t="s">
        <v>369</v>
      </c>
      <c r="C144" s="367"/>
      <c r="D144" s="367"/>
      <c r="E144" s="367"/>
      <c r="F144" s="367"/>
      <c r="G144" s="367"/>
      <c r="H144" s="367"/>
      <c r="I144" s="367"/>
      <c r="J144" s="367">
        <f>((I124+J124)/2)*J145</f>
        <v>1.4250000000000003</v>
      </c>
      <c r="K144" s="367">
        <f>((J124+K124)/2)*K145</f>
        <v>1.4250000000000003</v>
      </c>
      <c r="L144" s="367"/>
      <c r="M144" s="367">
        <f>K144</f>
        <v>1.4250000000000003</v>
      </c>
      <c r="N144" s="445">
        <f>M144/2</f>
        <v>0.71250000000000013</v>
      </c>
      <c r="O144" s="367">
        <f>((N124+O124)/2)*O145</f>
        <v>0</v>
      </c>
      <c r="P144" s="367">
        <f>((O124+P124)/2)*P145</f>
        <v>0</v>
      </c>
      <c r="Q144" s="367">
        <f>((P124+Q124)/2)*Q145</f>
        <v>0</v>
      </c>
      <c r="R144" s="367">
        <f>((Q124+R124)/2)*R145</f>
        <v>0</v>
      </c>
    </row>
    <row r="145" spans="1:18" s="383" customFormat="1" x14ac:dyDescent="0.45">
      <c r="A145" s="446" t="s">
        <v>249</v>
      </c>
      <c r="C145" s="367"/>
      <c r="D145" s="367"/>
      <c r="E145" s="367"/>
      <c r="F145" s="367"/>
      <c r="G145" s="367"/>
      <c r="H145" s="367"/>
      <c r="I145" s="367"/>
      <c r="J145" s="447">
        <f>K145</f>
        <v>3.5000000000000003E-2</v>
      </c>
      <c r="K145" s="447">
        <f>'Pro Forma (Ex. 8)'!R7</f>
        <v>3.5000000000000003E-2</v>
      </c>
      <c r="L145" s="367"/>
      <c r="M145" s="447">
        <f>K145</f>
        <v>3.5000000000000003E-2</v>
      </c>
      <c r="N145" s="447">
        <f>M145</f>
        <v>3.5000000000000003E-2</v>
      </c>
      <c r="O145" s="447">
        <f>'Pro Forma (Ex. 8)'!U7</f>
        <v>5.5E-2</v>
      </c>
      <c r="P145" s="447">
        <f>'Pro Forma (Ex. 8)'!V7</f>
        <v>0</v>
      </c>
      <c r="Q145" s="447">
        <f>'Pro Forma (Ex. 8)'!W7</f>
        <v>0</v>
      </c>
      <c r="R145" s="447">
        <f>'Pro Forma (Ex. 8)'!X7</f>
        <v>5.5E-2</v>
      </c>
    </row>
    <row r="146" spans="1:18" s="383" customFormat="1" ht="5.7" customHeight="1" x14ac:dyDescent="0.45">
      <c r="A146" s="362"/>
      <c r="C146" s="369"/>
      <c r="D146" s="369"/>
      <c r="E146" s="369"/>
      <c r="F146" s="369"/>
      <c r="G146" s="369"/>
      <c r="H146" s="369"/>
      <c r="I146" s="369"/>
      <c r="J146" s="369"/>
      <c r="K146" s="369"/>
      <c r="L146" s="369"/>
      <c r="M146" s="369"/>
      <c r="N146" s="369"/>
      <c r="O146" s="369"/>
      <c r="P146" s="369"/>
      <c r="Q146" s="369"/>
      <c r="R146" s="369"/>
    </row>
    <row r="147" spans="1:18" s="383" customFormat="1" x14ac:dyDescent="0.45">
      <c r="A147" s="362" t="s">
        <v>95</v>
      </c>
      <c r="C147" s="369"/>
      <c r="D147" s="369"/>
      <c r="E147" s="369"/>
      <c r="F147" s="369"/>
      <c r="G147" s="369"/>
      <c r="H147" s="369"/>
      <c r="I147" s="369"/>
      <c r="J147" s="369"/>
      <c r="K147" s="369"/>
      <c r="L147" s="369"/>
      <c r="M147" s="369"/>
      <c r="N147" s="369"/>
      <c r="O147" s="369"/>
      <c r="P147" s="369"/>
      <c r="Q147" s="369"/>
      <c r="R147" s="369"/>
    </row>
    <row r="148" spans="1:18" s="383" customFormat="1" x14ac:dyDescent="0.45">
      <c r="A148" s="429" t="s">
        <v>170</v>
      </c>
      <c r="C148" s="367"/>
      <c r="D148" s="367"/>
      <c r="E148" s="367"/>
      <c r="F148" s="367"/>
      <c r="G148" s="367"/>
      <c r="H148" s="367"/>
      <c r="I148" s="367"/>
      <c r="J148" s="448" t="s">
        <v>212</v>
      </c>
      <c r="K148" s="448" t="s">
        <v>212</v>
      </c>
      <c r="L148" s="367"/>
      <c r="M148" s="448" t="s">
        <v>212</v>
      </c>
      <c r="N148" s="445">
        <f>((M127+N127)/2)*N149*0.5</f>
        <v>2.0317499999999997</v>
      </c>
      <c r="O148" s="367">
        <f>((N127+O127)/2)*O149</f>
        <v>4.0634999999999994</v>
      </c>
      <c r="P148" s="367">
        <f>((O127+P127)/2)*P149</f>
        <v>3.2402113611465597</v>
      </c>
      <c r="Q148" s="367">
        <f>((P127+Q127)/2)*Q149</f>
        <v>1.8906029089374072</v>
      </c>
      <c r="R148" s="367">
        <f>((Q127+R127)/2)*R149</f>
        <v>0.85634559558169432</v>
      </c>
    </row>
    <row r="149" spans="1:18" s="383" customFormat="1" x14ac:dyDescent="0.45">
      <c r="A149" s="446" t="s">
        <v>249</v>
      </c>
      <c r="C149" s="367"/>
      <c r="D149" s="367"/>
      <c r="E149" s="367"/>
      <c r="F149" s="367"/>
      <c r="G149" s="367"/>
      <c r="H149" s="367"/>
      <c r="I149" s="367"/>
      <c r="N149" s="447">
        <f>'Pro Forma (Ex. 8)'!$U$10</f>
        <v>1.7999999999999999E-2</v>
      </c>
      <c r="O149" s="447">
        <f>'Pro Forma (Ex. 8)'!$U$10</f>
        <v>1.7999999999999999E-2</v>
      </c>
      <c r="P149" s="447">
        <f>'Pro Forma (Ex. 8)'!$U$10</f>
        <v>1.7999999999999999E-2</v>
      </c>
      <c r="Q149" s="447">
        <f>'Pro Forma (Ex. 8)'!$U$10</f>
        <v>1.7999999999999999E-2</v>
      </c>
      <c r="R149" s="447">
        <f>'Pro Forma (Ex. 8)'!$U$10</f>
        <v>1.7999999999999999E-2</v>
      </c>
    </row>
    <row r="150" spans="1:18" s="383" customFormat="1" x14ac:dyDescent="0.45">
      <c r="A150" s="429" t="s">
        <v>120</v>
      </c>
      <c r="C150" s="367"/>
      <c r="D150" s="367"/>
      <c r="E150" s="367"/>
      <c r="F150" s="367"/>
      <c r="G150" s="367"/>
      <c r="H150" s="367"/>
      <c r="I150" s="367"/>
      <c r="J150" s="367">
        <f>((I128+J128)/2)*J151</f>
        <v>4.9875000000000007</v>
      </c>
      <c r="K150" s="367">
        <f>((J128+K128)/2)*K151</f>
        <v>3.5625</v>
      </c>
      <c r="L150" s="367"/>
      <c r="M150" s="367">
        <f>K150</f>
        <v>3.5625</v>
      </c>
      <c r="N150" s="445">
        <f>M150*0.5+(((M128+N128)/2)*N151)*0.5</f>
        <v>3.9309642857142855</v>
      </c>
      <c r="O150" s="367">
        <f>((N128+O128)/2)*O151</f>
        <v>4.2994285714285709</v>
      </c>
      <c r="P150" s="367">
        <f>((O128+P128)/2)*P151</f>
        <v>3.9411428571428564</v>
      </c>
      <c r="Q150" s="367">
        <f>((P128+Q128)/2)*Q151</f>
        <v>3.2245714285714286</v>
      </c>
      <c r="R150" s="367">
        <f>((Q128+R128)/2)*R151</f>
        <v>2.508</v>
      </c>
    </row>
    <row r="151" spans="1:18" s="383" customFormat="1" x14ac:dyDescent="0.45">
      <c r="A151" s="446" t="s">
        <v>249</v>
      </c>
      <c r="C151" s="367"/>
      <c r="D151" s="367"/>
      <c r="E151" s="367"/>
      <c r="F151" s="367"/>
      <c r="G151" s="367"/>
      <c r="H151" s="367"/>
      <c r="I151" s="367"/>
      <c r="J151" s="447">
        <f>K151</f>
        <v>3.5000000000000003E-2</v>
      </c>
      <c r="K151" s="447">
        <f>'Pro Forma (Ex. 8)'!R11</f>
        <v>3.5000000000000003E-2</v>
      </c>
      <c r="L151" s="367"/>
      <c r="M151" s="447">
        <f>K151</f>
        <v>3.5000000000000003E-2</v>
      </c>
      <c r="N151" s="447">
        <f>'Pro Forma (Ex. 8)'!$U$11</f>
        <v>5.5E-2</v>
      </c>
      <c r="O151" s="447">
        <f>'Pro Forma (Ex. 8)'!$U$11</f>
        <v>5.5E-2</v>
      </c>
      <c r="P151" s="447">
        <f>'Pro Forma (Ex. 8)'!$U$11</f>
        <v>5.5E-2</v>
      </c>
      <c r="Q151" s="447">
        <f>'Pro Forma (Ex. 8)'!$U$11</f>
        <v>5.5E-2</v>
      </c>
      <c r="R151" s="447">
        <f>'Pro Forma (Ex. 8)'!$U$11</f>
        <v>5.5E-2</v>
      </c>
    </row>
    <row r="152" spans="1:18" s="383" customFormat="1" x14ac:dyDescent="0.45">
      <c r="A152" s="429" t="s">
        <v>154</v>
      </c>
      <c r="C152" s="367"/>
      <c r="D152" s="367"/>
      <c r="E152" s="367"/>
      <c r="F152" s="367"/>
      <c r="G152" s="367"/>
      <c r="H152" s="367"/>
      <c r="I152" s="367"/>
      <c r="J152" s="367">
        <f>((I129+J129)/2)*J153</f>
        <v>11.05</v>
      </c>
      <c r="K152" s="367">
        <f>((J129+K129)/2)*K153</f>
        <v>11.05</v>
      </c>
      <c r="L152" s="367"/>
      <c r="M152" s="367">
        <f>K152</f>
        <v>11.05</v>
      </c>
      <c r="N152" s="445">
        <f>M152*0.5+(((M129+N129)/2)*N153)*0.5</f>
        <v>7.0125000000000002</v>
      </c>
      <c r="O152" s="367">
        <f>((N129+O129)/2)*O153</f>
        <v>2.9750000000000001</v>
      </c>
      <c r="P152" s="367">
        <f>((O129+P129)/2)*P153</f>
        <v>2.9750000000000001</v>
      </c>
      <c r="Q152" s="367">
        <f>((P129+Q129)/2)*Q153</f>
        <v>2.9750000000000001</v>
      </c>
      <c r="R152" s="367">
        <f>((Q129+R129)/2)*R153</f>
        <v>2.9750000000000001</v>
      </c>
    </row>
    <row r="153" spans="1:18" s="383" customFormat="1" x14ac:dyDescent="0.45">
      <c r="A153" s="446" t="s">
        <v>249</v>
      </c>
      <c r="C153" s="367"/>
      <c r="D153" s="367"/>
      <c r="E153" s="367"/>
      <c r="F153" s="367"/>
      <c r="G153" s="367"/>
      <c r="H153" s="367"/>
      <c r="I153" s="367"/>
      <c r="J153" s="447">
        <f>K153</f>
        <v>6.5000000000000002E-2</v>
      </c>
      <c r="K153" s="447">
        <f>'Pro Forma (Ex. 8)'!R12</f>
        <v>6.5000000000000002E-2</v>
      </c>
      <c r="L153" s="367"/>
      <c r="M153" s="447">
        <f>K153</f>
        <v>6.5000000000000002E-2</v>
      </c>
      <c r="N153" s="447">
        <f>'Pro Forma (Ex. 8)'!$U$12</f>
        <v>7.0000000000000007E-2</v>
      </c>
      <c r="O153" s="447">
        <f>'Pro Forma (Ex. 8)'!$U$12</f>
        <v>7.0000000000000007E-2</v>
      </c>
      <c r="P153" s="447">
        <f>'Pro Forma (Ex. 8)'!$U$12</f>
        <v>7.0000000000000007E-2</v>
      </c>
      <c r="Q153" s="447">
        <f>'Pro Forma (Ex. 8)'!$U$12</f>
        <v>7.0000000000000007E-2</v>
      </c>
      <c r="R153" s="447">
        <f>'Pro Forma (Ex. 8)'!$U$12</f>
        <v>7.0000000000000007E-2</v>
      </c>
    </row>
    <row r="154" spans="1:18" s="383" customFormat="1" ht="5.7" customHeight="1" x14ac:dyDescent="0.45">
      <c r="A154" s="429"/>
      <c r="C154" s="381"/>
      <c r="D154" s="381"/>
      <c r="E154" s="381"/>
      <c r="F154" s="381"/>
      <c r="G154" s="381"/>
      <c r="H154" s="381"/>
      <c r="I154" s="381"/>
      <c r="J154" s="381"/>
      <c r="K154" s="381"/>
      <c r="L154" s="381"/>
      <c r="M154" s="381"/>
      <c r="N154" s="381"/>
      <c r="O154" s="381"/>
      <c r="P154" s="381"/>
      <c r="Q154" s="381"/>
      <c r="R154" s="381"/>
    </row>
    <row r="155" spans="1:18" s="383" customFormat="1" x14ac:dyDescent="0.45">
      <c r="A155" s="431" t="s">
        <v>248</v>
      </c>
      <c r="C155" s="419">
        <f t="shared" ref="C155:I155" si="87">-C14</f>
        <v>1.4244169499999999</v>
      </c>
      <c r="D155" s="419">
        <f t="shared" si="87"/>
        <v>0.99758910000000001</v>
      </c>
      <c r="E155" s="419">
        <f t="shared" si="87"/>
        <v>2.3030526</v>
      </c>
      <c r="F155" s="419">
        <f t="shared" si="87"/>
        <v>11.53304</v>
      </c>
      <c r="G155" s="419">
        <f t="shared" si="87"/>
        <v>14.4379752</v>
      </c>
      <c r="H155" s="419">
        <f t="shared" si="87"/>
        <v>22.608280000000001</v>
      </c>
      <c r="I155" s="419">
        <f t="shared" si="87"/>
        <v>24.131846979999999</v>
      </c>
      <c r="J155" s="419">
        <f>J142+J144+J150+J152</f>
        <v>19.787168333333302</v>
      </c>
      <c r="K155" s="419">
        <f>K142+K144+K150+K152</f>
        <v>18.246646900000002</v>
      </c>
      <c r="L155" s="419"/>
      <c r="M155" s="419">
        <f>M142+M144+M150+M152</f>
        <v>18.246646900000002</v>
      </c>
      <c r="N155" s="419">
        <f t="shared" ref="N155:O155" si="88">N142+N144+N148+N150+N152</f>
        <v>14.792287735714286</v>
      </c>
      <c r="O155" s="419">
        <f t="shared" si="88"/>
        <v>11.33792857142857</v>
      </c>
      <c r="P155" s="419">
        <f t="shared" ref="P155:R155" si="89">P142+P144+P148+P150+P152</f>
        <v>10.156354218289415</v>
      </c>
      <c r="Q155" s="419">
        <f t="shared" si="89"/>
        <v>8.0901743375088362</v>
      </c>
      <c r="R155" s="419">
        <f t="shared" si="89"/>
        <v>6.339345595581694</v>
      </c>
    </row>
    <row r="156" spans="1:18" s="383" customFormat="1" x14ac:dyDescent="0.45">
      <c r="A156" s="431" t="s">
        <v>250</v>
      </c>
      <c r="C156" s="449">
        <f t="shared" ref="C156:K156" si="90">C155/((C131+B131)/2)</f>
        <v>2.9521594818652849E-2</v>
      </c>
      <c r="D156" s="449">
        <f t="shared" si="90"/>
        <v>1.4343480948957585E-2</v>
      </c>
      <c r="E156" s="449">
        <f t="shared" si="90"/>
        <v>1.1171732233810334E-2</v>
      </c>
      <c r="F156" s="449">
        <f t="shared" si="90"/>
        <v>3.4166908606132432E-2</v>
      </c>
      <c r="G156" s="449">
        <f t="shared" si="90"/>
        <v>3.3686363042463842E-2</v>
      </c>
      <c r="H156" s="449">
        <f t="shared" si="90"/>
        <v>4.2070302385857648E-2</v>
      </c>
      <c r="I156" s="449">
        <f t="shared" si="90"/>
        <v>4.3537398383999788E-2</v>
      </c>
      <c r="J156" s="449">
        <f t="shared" si="90"/>
        <v>3.7368525962697109E-2</v>
      </c>
      <c r="K156" s="449">
        <f t="shared" si="90"/>
        <v>3.5426942821085342E-2</v>
      </c>
      <c r="L156" s="416"/>
      <c r="M156" s="449">
        <f>M155/((M131+K131)/2)</f>
        <v>4.2754007414287989E-2</v>
      </c>
      <c r="N156" s="449">
        <f>N155/((N131+M131)/2)</f>
        <v>4.2700267696241162E-2</v>
      </c>
      <c r="O156" s="449">
        <f>O155/((O131+N131)/2)</f>
        <v>3.2728716056001153E-2</v>
      </c>
      <c r="P156" s="449">
        <f>P155/((P131+O131)/2)</f>
        <v>3.4525589656941739E-2</v>
      </c>
      <c r="Q156" s="449">
        <f>Q155/((Q131+P131)/2)</f>
        <v>3.9241818245105649E-2</v>
      </c>
      <c r="R156" s="449">
        <f>R155/((R131+Q131)/2)</f>
        <v>4.6724577325329808E-2</v>
      </c>
    </row>
    <row r="157" spans="1:18" s="383" customFormat="1" x14ac:dyDescent="0.45">
      <c r="C157" s="436">
        <f t="shared" ref="C157:K157" si="91">C14+C155</f>
        <v>0</v>
      </c>
      <c r="D157" s="436">
        <f t="shared" si="91"/>
        <v>0</v>
      </c>
      <c r="E157" s="436">
        <f t="shared" si="91"/>
        <v>0</v>
      </c>
      <c r="F157" s="436">
        <f t="shared" si="91"/>
        <v>0</v>
      </c>
      <c r="G157" s="436">
        <f t="shared" si="91"/>
        <v>0</v>
      </c>
      <c r="H157" s="436">
        <f t="shared" si="91"/>
        <v>0</v>
      </c>
      <c r="I157" s="436">
        <f t="shared" si="91"/>
        <v>0</v>
      </c>
      <c r="J157" s="436">
        <f t="shared" si="91"/>
        <v>0</v>
      </c>
      <c r="K157" s="436">
        <f t="shared" si="91"/>
        <v>0</v>
      </c>
      <c r="L157" s="372"/>
      <c r="M157" s="436">
        <f t="shared" ref="M157:R157" si="92">M14+M155</f>
        <v>0</v>
      </c>
      <c r="N157" s="436">
        <f t="shared" si="92"/>
        <v>0</v>
      </c>
      <c r="O157" s="436">
        <f t="shared" si="92"/>
        <v>0</v>
      </c>
      <c r="P157" s="436">
        <f t="shared" si="92"/>
        <v>0</v>
      </c>
      <c r="Q157" s="436">
        <f t="shared" si="92"/>
        <v>0</v>
      </c>
      <c r="R157" s="436">
        <f t="shared" si="92"/>
        <v>0</v>
      </c>
    </row>
    <row r="158" spans="1:18" s="383" customFormat="1" x14ac:dyDescent="0.45">
      <c r="C158" s="436"/>
      <c r="D158" s="436"/>
      <c r="E158" s="436"/>
      <c r="F158" s="436"/>
      <c r="G158" s="436"/>
      <c r="H158" s="436"/>
      <c r="I158" s="436"/>
      <c r="J158" s="436"/>
      <c r="K158" s="436"/>
      <c r="L158" s="372"/>
      <c r="M158" s="436"/>
      <c r="N158" s="436"/>
      <c r="O158" s="436"/>
      <c r="P158" s="436"/>
      <c r="Q158" s="436"/>
      <c r="R158" s="436"/>
    </row>
    <row r="159" spans="1:18" s="383" customFormat="1" ht="14.4" x14ac:dyDescent="0.55000000000000004">
      <c r="A159" s="671" t="s">
        <v>490</v>
      </c>
      <c r="B159" s="371" t="s">
        <v>190</v>
      </c>
      <c r="C159" s="371"/>
      <c r="D159" s="371"/>
      <c r="E159" s="371"/>
      <c r="F159" s="371"/>
      <c r="G159" s="371"/>
      <c r="H159" s="371"/>
      <c r="I159" s="371"/>
      <c r="J159" s="371"/>
      <c r="K159" s="371"/>
      <c r="L159" s="372" t="s">
        <v>221</v>
      </c>
      <c r="M159" s="372"/>
      <c r="N159" s="373" t="s">
        <v>219</v>
      </c>
      <c r="O159" s="373"/>
      <c r="P159" s="373"/>
      <c r="Q159" s="373"/>
      <c r="R159" s="373"/>
    </row>
    <row r="160" spans="1:18" s="18" customFormat="1" ht="12.9" x14ac:dyDescent="0.5">
      <c r="A160" s="639" t="s">
        <v>462</v>
      </c>
      <c r="B160" s="375">
        <v>2001</v>
      </c>
      <c r="C160" s="375">
        <v>2002</v>
      </c>
      <c r="D160" s="375">
        <v>2003</v>
      </c>
      <c r="E160" s="375">
        <v>2004</v>
      </c>
      <c r="F160" s="375">
        <v>2005</v>
      </c>
      <c r="G160" s="375">
        <v>2006</v>
      </c>
      <c r="H160" s="375">
        <v>2007</v>
      </c>
      <c r="I160" s="375">
        <v>2008</v>
      </c>
      <c r="J160" s="375">
        <v>2009</v>
      </c>
      <c r="K160" s="375">
        <v>2010</v>
      </c>
      <c r="L160" s="375" t="s">
        <v>222</v>
      </c>
      <c r="M160" s="375" t="s">
        <v>220</v>
      </c>
      <c r="N160" s="375">
        <v>2011</v>
      </c>
      <c r="O160" s="375">
        <f>N160+1</f>
        <v>2012</v>
      </c>
      <c r="P160" s="375">
        <f>O160+1</f>
        <v>2013</v>
      </c>
      <c r="Q160" s="375">
        <f>P160+1</f>
        <v>2014</v>
      </c>
      <c r="R160" s="375">
        <f>Q160+1</f>
        <v>2015</v>
      </c>
    </row>
    <row r="161" spans="1:18" s="18" customFormat="1" ht="12.9" x14ac:dyDescent="0.5">
      <c r="A161" s="417" t="s">
        <v>461</v>
      </c>
      <c r="B161" s="450"/>
      <c r="C161" s="451"/>
      <c r="D161" s="451"/>
      <c r="E161" s="451"/>
      <c r="F161" s="451"/>
      <c r="G161" s="451"/>
      <c r="H161" s="451"/>
      <c r="I161" s="451"/>
      <c r="J161" s="451"/>
      <c r="K161" s="451"/>
    </row>
    <row r="162" spans="1:18" s="18" customFormat="1" ht="12.9" x14ac:dyDescent="0.5">
      <c r="A162" s="452" t="s">
        <v>41</v>
      </c>
      <c r="B162" s="453" t="s">
        <v>68</v>
      </c>
      <c r="C162" s="453">
        <f t="shared" ref="C162:K162" si="93">C6/B6-1</f>
        <v>4.7921967769295915E-2</v>
      </c>
      <c r="D162" s="453">
        <f t="shared" si="93"/>
        <v>9.2999999999999972E-2</v>
      </c>
      <c r="E162" s="453">
        <f t="shared" si="93"/>
        <v>0.12575913295337759</v>
      </c>
      <c r="F162" s="453">
        <f t="shared" si="93"/>
        <v>0.11699999999999999</v>
      </c>
      <c r="G162" s="453">
        <f t="shared" si="93"/>
        <v>0.10499999999999998</v>
      </c>
      <c r="H162" s="547">
        <f t="shared" si="93"/>
        <v>-0.15300000000000002</v>
      </c>
      <c r="I162" s="547">
        <f t="shared" si="93"/>
        <v>-0.27800000000000002</v>
      </c>
      <c r="J162" s="547">
        <f t="shared" si="93"/>
        <v>-0.10129012883407429</v>
      </c>
      <c r="K162" s="453">
        <f t="shared" si="93"/>
        <v>6.0969696969696896E-2</v>
      </c>
      <c r="N162" s="454">
        <f>'Projections (Ex. 4)'!C3</f>
        <v>6.8000000000000005E-2</v>
      </c>
      <c r="O162" s="454">
        <f>'Projections (Ex. 4)'!D3</f>
        <v>0.06</v>
      </c>
      <c r="P162" s="454">
        <f>'Projections (Ex. 4)'!E3</f>
        <v>5.5E-2</v>
      </c>
      <c r="Q162" s="454">
        <f>'Projections (Ex. 4)'!F3</f>
        <v>4.4999999999999998E-2</v>
      </c>
      <c r="R162" s="454">
        <f>'Projections (Ex. 4)'!G3</f>
        <v>3.5000000000000003E-2</v>
      </c>
    </row>
    <row r="163" spans="1:18" s="18" customFormat="1" ht="12.9" x14ac:dyDescent="0.5">
      <c r="A163" s="452" t="s">
        <v>31</v>
      </c>
      <c r="B163" s="455">
        <f t="shared" ref="B163:K163" si="94">B8/B6</f>
        <v>0.16800000000000007</v>
      </c>
      <c r="C163" s="455">
        <f t="shared" si="94"/>
        <v>0.16699999999999993</v>
      </c>
      <c r="D163" s="455">
        <f t="shared" si="94"/>
        <v>0.16799999999999984</v>
      </c>
      <c r="E163" s="455">
        <f t="shared" si="94"/>
        <v>0.1639999999999962</v>
      </c>
      <c r="F163" s="455">
        <f t="shared" si="94"/>
        <v>0.16700000000000279</v>
      </c>
      <c r="G163" s="455">
        <f t="shared" si="94"/>
        <v>0.1569951124761528</v>
      </c>
      <c r="H163" s="455">
        <f t="shared" si="94"/>
        <v>0.10100000000000169</v>
      </c>
      <c r="I163" s="455">
        <f t="shared" si="94"/>
        <v>9.299999999999993E-2</v>
      </c>
      <c r="J163" s="455">
        <f t="shared" si="94"/>
        <v>9.5000000000000001E-2</v>
      </c>
      <c r="K163" s="455">
        <f t="shared" si="94"/>
        <v>0.11399999999999993</v>
      </c>
      <c r="N163" s="454">
        <f>'Projections (Ex. 4)'!C4</f>
        <v>0.125</v>
      </c>
      <c r="O163" s="454">
        <f>'Projections (Ex. 4)'!D4</f>
        <v>0.13</v>
      </c>
      <c r="P163" s="454">
        <f>'Projections (Ex. 4)'!E4</f>
        <v>0.13500000000000001</v>
      </c>
      <c r="Q163" s="454">
        <f>'Projections (Ex. 4)'!F4</f>
        <v>0.13500000000000001</v>
      </c>
      <c r="R163" s="454">
        <f>'Projections (Ex. 4)'!G4</f>
        <v>0.13500000000000001</v>
      </c>
    </row>
    <row r="164" spans="1:18" s="18" customFormat="1" ht="12.9" x14ac:dyDescent="0.5">
      <c r="A164" s="363" t="s">
        <v>37</v>
      </c>
      <c r="B164" s="456">
        <f t="shared" ref="B164:K164" si="95">-B9/B6</f>
        <v>0.115</v>
      </c>
      <c r="C164" s="456">
        <f t="shared" si="95"/>
        <v>0.112</v>
      </c>
      <c r="D164" s="456">
        <f t="shared" si="95"/>
        <v>0.11100000000000002</v>
      </c>
      <c r="E164" s="456">
        <f t="shared" si="95"/>
        <v>0.11100000000000008</v>
      </c>
      <c r="F164" s="456">
        <f t="shared" si="95"/>
        <v>0.11099999999999972</v>
      </c>
      <c r="G164" s="456">
        <f t="shared" si="95"/>
        <v>0.11299999999999967</v>
      </c>
      <c r="H164" s="456">
        <f t="shared" si="95"/>
        <v>0.12600000000000039</v>
      </c>
      <c r="I164" s="456">
        <f t="shared" si="95"/>
        <v>0.12899999999999978</v>
      </c>
      <c r="J164" s="456">
        <f t="shared" si="95"/>
        <v>0.128</v>
      </c>
      <c r="K164" s="456">
        <f t="shared" si="95"/>
        <v>0.113</v>
      </c>
      <c r="L164" s="457"/>
      <c r="M164" s="457"/>
      <c r="N164" s="456">
        <f>-N9/N6</f>
        <v>7.6545336409004336E-2</v>
      </c>
      <c r="O164" s="456">
        <f>-O9/O6</f>
        <v>7.1944969221532165E-2</v>
      </c>
      <c r="P164" s="456">
        <f>-P9/P6</f>
        <v>6.6398771854608463E-2</v>
      </c>
      <c r="Q164" s="456">
        <f>-Q9/Q6</f>
        <v>6.1806569685936875E-2</v>
      </c>
      <c r="R164" s="456">
        <f>-R9/R6</f>
        <v>6.249464575044348E-2</v>
      </c>
    </row>
    <row r="165" spans="1:18" s="18" customFormat="1" ht="12.9" x14ac:dyDescent="0.5">
      <c r="A165" s="452" t="s">
        <v>210</v>
      </c>
      <c r="B165" s="455">
        <f t="shared" ref="B165:K165" si="96">B11/B6</f>
        <v>4.6108566581849093E-2</v>
      </c>
      <c r="C165" s="455">
        <f t="shared" si="96"/>
        <v>3.8989275596924243E-2</v>
      </c>
      <c r="D165" s="455">
        <f t="shared" si="96"/>
        <v>4.20778407384765E-2</v>
      </c>
      <c r="E165" s="455">
        <f t="shared" si="96"/>
        <v>3.680987137665772E-2</v>
      </c>
      <c r="F165" s="455">
        <f t="shared" si="96"/>
        <v>3.0573030206059011E-2</v>
      </c>
      <c r="G165" s="455">
        <f t="shared" si="96"/>
        <v>2.0606020114706747E-2</v>
      </c>
      <c r="H165" s="459">
        <f t="shared" si="96"/>
        <v>-5.7419039744561057E-2</v>
      </c>
      <c r="I165" s="459">
        <f t="shared" si="96"/>
        <v>-7.9611650642271492E-2</v>
      </c>
      <c r="J165" s="459">
        <f t="shared" si="96"/>
        <v>-7.2422877082382417E-2</v>
      </c>
      <c r="K165" s="459">
        <f t="shared" si="96"/>
        <v>-2.7901757195810766E-2</v>
      </c>
      <c r="N165" s="458">
        <f>'Projections (Ex. 4)'!C5</f>
        <v>0.02</v>
      </c>
      <c r="O165" s="458">
        <f>'Projections (Ex. 4)'!D5</f>
        <v>0.03</v>
      </c>
      <c r="P165" s="458">
        <f>'Projections (Ex. 4)'!E5</f>
        <v>0.04</v>
      </c>
      <c r="Q165" s="458">
        <f>'Projections (Ex. 4)'!F5</f>
        <v>4.4999999999999998E-2</v>
      </c>
      <c r="R165" s="458">
        <f>'Projections (Ex. 4)'!G5</f>
        <v>4.4999999999999998E-2</v>
      </c>
    </row>
    <row r="166" spans="1:18" s="18" customFormat="1" ht="12.9" x14ac:dyDescent="0.5">
      <c r="A166" s="452" t="s">
        <v>211</v>
      </c>
      <c r="B166" s="455">
        <f t="shared" ref="B166:K166" si="97">B18/B6</f>
        <v>5.3000000000000068E-2</v>
      </c>
      <c r="C166" s="455">
        <f t="shared" si="97"/>
        <v>5.4999999999999924E-2</v>
      </c>
      <c r="D166" s="455">
        <f t="shared" si="97"/>
        <v>5.6999999999999836E-2</v>
      </c>
      <c r="E166" s="455">
        <f t="shared" si="97"/>
        <v>5.2999999999996127E-2</v>
      </c>
      <c r="F166" s="455">
        <f t="shared" si="97"/>
        <v>5.6000000000003068E-2</v>
      </c>
      <c r="G166" s="455">
        <f t="shared" si="97"/>
        <v>4.3995112476153134E-2</v>
      </c>
      <c r="H166" s="459">
        <f t="shared" si="97"/>
        <v>-2.4999999999998721E-2</v>
      </c>
      <c r="I166" s="459">
        <f t="shared" si="97"/>
        <v>-3.5999999999999852E-2</v>
      </c>
      <c r="J166" s="459">
        <f t="shared" si="97"/>
        <v>-3.2999999999999995E-2</v>
      </c>
      <c r="K166" s="455">
        <f t="shared" si="97"/>
        <v>9.999999999999302E-4</v>
      </c>
      <c r="N166" s="455">
        <f t="shared" ref="N166:R166" si="98">N18/N6</f>
        <v>4.8454663590995664E-2</v>
      </c>
      <c r="O166" s="455">
        <f t="shared" si="98"/>
        <v>5.8055030778467846E-2</v>
      </c>
      <c r="P166" s="455">
        <f t="shared" si="98"/>
        <v>6.8601228145391546E-2</v>
      </c>
      <c r="Q166" s="455">
        <f t="shared" si="98"/>
        <v>7.3193430314063126E-2</v>
      </c>
      <c r="R166" s="455">
        <f t="shared" si="98"/>
        <v>7.2505354249556536E-2</v>
      </c>
    </row>
    <row r="167" spans="1:18" s="18" customFormat="1" ht="12.9" x14ac:dyDescent="0.5">
      <c r="A167" s="452" t="s">
        <v>38</v>
      </c>
      <c r="B167" s="455">
        <f t="shared" ref="B167:K167" si="99">B16/B6</f>
        <v>2.8321538125530184E-2</v>
      </c>
      <c r="C167" s="455">
        <f t="shared" si="99"/>
        <v>2.4406291969344313E-2</v>
      </c>
      <c r="D167" s="455">
        <f t="shared" si="99"/>
        <v>2.6750374143356452E-2</v>
      </c>
      <c r="E167" s="455">
        <f t="shared" si="99"/>
        <v>2.2695527549364037E-2</v>
      </c>
      <c r="F167" s="455">
        <f t="shared" si="99"/>
        <v>1.4354165857990136E-2</v>
      </c>
      <c r="G167" s="455">
        <f t="shared" si="99"/>
        <v>7.1421023756769175E-3</v>
      </c>
      <c r="H167" s="459">
        <f t="shared" si="99"/>
        <v>-4.9181203601596557E-2</v>
      </c>
      <c r="I167" s="459">
        <f t="shared" si="99"/>
        <v>-8.5204384856542623E-2</v>
      </c>
      <c r="J167" s="459">
        <f t="shared" si="99"/>
        <v>-0.10988095475316025</v>
      </c>
      <c r="K167" s="459">
        <f t="shared" si="99"/>
        <v>-7.6452596117874291E-2</v>
      </c>
      <c r="N167" s="455">
        <f>N16/N6</f>
        <v>4.1763319074826699E-3</v>
      </c>
      <c r="O167" s="455">
        <f>O16/O6</f>
        <v>1.8558059890809407E-2</v>
      </c>
      <c r="P167" s="455">
        <f>P16/P6</f>
        <v>3.0284809226665373E-2</v>
      </c>
      <c r="Q167" s="455">
        <f>Q16/Q6</f>
        <v>3.2524884208995422E-2</v>
      </c>
      <c r="R167" s="455">
        <f>R16/R6</f>
        <v>2.5605695655757352E-2</v>
      </c>
    </row>
    <row r="168" spans="1:18" s="18" customFormat="1" ht="12.9" x14ac:dyDescent="0.5">
      <c r="A168" s="452" t="s">
        <v>39</v>
      </c>
      <c r="B168" s="460">
        <f>B11/B40</f>
        <v>9.1898941198978304E-2</v>
      </c>
      <c r="C168" s="460">
        <f t="shared" ref="C168:K168" si="100">C11/((B40+C40)/2)</f>
        <v>8.0017147832858557E-2</v>
      </c>
      <c r="D168" s="460">
        <f t="shared" si="100"/>
        <v>8.6347781008279695E-2</v>
      </c>
      <c r="E168" s="550">
        <f t="shared" si="100"/>
        <v>6.4827099112775469E-2</v>
      </c>
      <c r="F168" s="550">
        <f t="shared" si="100"/>
        <v>4.9109866577872238E-2</v>
      </c>
      <c r="G168" s="459">
        <f t="shared" si="100"/>
        <v>3.255739406717556E-2</v>
      </c>
      <c r="H168" s="459">
        <f t="shared" si="100"/>
        <v>-7.2784027166272483E-2</v>
      </c>
      <c r="I168" s="459">
        <f t="shared" si="100"/>
        <v>-8.1721554439268151E-2</v>
      </c>
      <c r="J168" s="459">
        <f t="shared" si="100"/>
        <v>-8.0969861638791676E-2</v>
      </c>
      <c r="K168" s="459">
        <f t="shared" si="100"/>
        <v>-3.9355973793609701E-2</v>
      </c>
      <c r="N168" s="459">
        <f>N11/((M40+N40)/2)</f>
        <v>3.2155015949593919E-2</v>
      </c>
      <c r="O168" s="646">
        <f>O11/((N40+O40)/2)</f>
        <v>4.8791893643250296E-2</v>
      </c>
      <c r="P168" s="455">
        <f>P11/((O40+P40)/2)</f>
        <v>6.8328062086086924E-2</v>
      </c>
      <c r="Q168" s="455">
        <f>Q11/((P40+Q40)/2)</f>
        <v>8.3265136746576721E-2</v>
      </c>
      <c r="R168" s="455">
        <f>R11/((Q40+R40)/2)</f>
        <v>8.9472714960780506E-2</v>
      </c>
    </row>
    <row r="169" spans="1:18" s="18" customFormat="1" ht="12.9" hidden="1" outlineLevel="1" x14ac:dyDescent="0.5">
      <c r="A169" s="452" t="s">
        <v>40</v>
      </c>
      <c r="B169" s="460">
        <f>B16/(B52+B53)</f>
        <v>7.9332086288233489E-2</v>
      </c>
      <c r="C169" s="460">
        <f t="shared" ref="C169:K169" si="101">C16/((B52+B53+C52+C53)/2)</f>
        <v>7.0269779418877382E-2</v>
      </c>
      <c r="D169" s="460">
        <f t="shared" si="101"/>
        <v>8.0537883520406778E-2</v>
      </c>
      <c r="E169" s="462">
        <f t="shared" si="101"/>
        <v>7.3390650015426065E-2</v>
      </c>
      <c r="F169" s="462">
        <f t="shared" si="101"/>
        <v>5.0171005049204506E-2</v>
      </c>
      <c r="G169" s="455">
        <f t="shared" si="101"/>
        <v>2.72943148532797E-2</v>
      </c>
      <c r="H169" s="459">
        <f t="shared" si="101"/>
        <v>-0.17569293101245392</v>
      </c>
      <c r="I169" s="459">
        <f t="shared" si="101"/>
        <v>-0.2848802873574815</v>
      </c>
      <c r="J169" s="459">
        <f t="shared" si="101"/>
        <v>-0.49839081720007178</v>
      </c>
      <c r="K169" s="459">
        <f t="shared" si="101"/>
        <v>-0.66679851443238669</v>
      </c>
      <c r="L169" s="455"/>
      <c r="M169" s="455"/>
      <c r="N169" s="455">
        <f>N16/((M52+M53+N52+N53)/2)</f>
        <v>1.7006037733863746E-2</v>
      </c>
      <c r="O169" s="646">
        <f>O16/((N52+N53+O52+O53)/2)</f>
        <v>7.6393364510820225E-2</v>
      </c>
      <c r="P169" s="455">
        <f>P16/((O52+O53+P52+P53)/2)</f>
        <v>0.11913731950762539</v>
      </c>
      <c r="Q169" s="455">
        <f>Q16/((P52+P53+Q52+Q53)/2)</f>
        <v>0.11870084036249169</v>
      </c>
      <c r="R169" s="455">
        <f>R16/((Q52+Q53+R52+R53)/2)</f>
        <v>8.7314984299180054E-2</v>
      </c>
    </row>
    <row r="170" spans="1:18" s="461" customFormat="1" ht="12.9" collapsed="1" x14ac:dyDescent="0.5">
      <c r="A170" s="452" t="s">
        <v>182</v>
      </c>
      <c r="B170" s="460">
        <f>-B14/(B44+B45+B47)</f>
        <v>4.8340800000000003E-2</v>
      </c>
      <c r="C170" s="460">
        <f t="shared" ref="C170:K170" si="102">-C14/((C44+B44+C45+B45+C47+B47)/2)</f>
        <v>2.9521594818652849E-2</v>
      </c>
      <c r="D170" s="460">
        <f t="shared" si="102"/>
        <v>1.4343480948957585E-2</v>
      </c>
      <c r="E170" s="460">
        <f t="shared" si="102"/>
        <v>1.1171732233810332E-2</v>
      </c>
      <c r="F170" s="460">
        <f t="shared" si="102"/>
        <v>3.4166908606132425E-2</v>
      </c>
      <c r="G170" s="460">
        <f t="shared" si="102"/>
        <v>3.3686363042463835E-2</v>
      </c>
      <c r="H170" s="460">
        <f t="shared" si="102"/>
        <v>4.2070302385857648E-2</v>
      </c>
      <c r="I170" s="460">
        <f t="shared" si="102"/>
        <v>4.3537398383999788E-2</v>
      </c>
      <c r="J170" s="460">
        <f t="shared" si="102"/>
        <v>3.7368525962697109E-2</v>
      </c>
      <c r="K170" s="460">
        <f t="shared" si="102"/>
        <v>3.5426942821085335E-2</v>
      </c>
      <c r="N170" s="462">
        <f>-N14/((N44+M44+N45+M45+N47+M47)/2)</f>
        <v>4.2700267696241162E-2</v>
      </c>
      <c r="O170" s="550">
        <f>-O14/((O44+N44+O45+N45+O47+N47)/2)</f>
        <v>3.2728716056001153E-2</v>
      </c>
      <c r="P170" s="460">
        <f>-P14/((P44+O44+P45+O45+P47+O47)/2)</f>
        <v>3.4525589656941739E-2</v>
      </c>
      <c r="Q170" s="460">
        <f>-Q14/((Q44+P44+Q45+P45+Q47+P47)/2)</f>
        <v>3.9241818245105649E-2</v>
      </c>
      <c r="R170" s="460">
        <f>-R14/((R44+Q44+R45+Q45+R47+Q47)/2)</f>
        <v>4.6724577325329808E-2</v>
      </c>
    </row>
    <row r="171" spans="1:18" s="18" customFormat="1" ht="12.9" x14ac:dyDescent="0.5">
      <c r="A171" s="452"/>
      <c r="B171" s="425"/>
      <c r="C171" s="425"/>
      <c r="D171" s="425"/>
      <c r="E171" s="425"/>
      <c r="F171" s="425"/>
      <c r="G171" s="425"/>
      <c r="H171" s="425"/>
      <c r="I171" s="425"/>
      <c r="J171" s="425"/>
      <c r="K171" s="425"/>
    </row>
    <row r="172" spans="1:18" s="18" customFormat="1" ht="12.9" x14ac:dyDescent="0.5">
      <c r="A172" s="417" t="s">
        <v>42</v>
      </c>
      <c r="B172" s="425"/>
      <c r="C172" s="425"/>
      <c r="D172" s="425"/>
      <c r="E172" s="425"/>
      <c r="F172" s="425"/>
      <c r="G172" s="425"/>
      <c r="H172" s="425"/>
      <c r="I172" s="425"/>
      <c r="J172" s="425"/>
      <c r="K172" s="425"/>
      <c r="L172" s="463"/>
      <c r="M172" s="463"/>
      <c r="N172" s="463"/>
    </row>
    <row r="173" spans="1:18" s="18" customFormat="1" ht="12.9" x14ac:dyDescent="0.5">
      <c r="A173" s="452" t="s">
        <v>43</v>
      </c>
      <c r="B173" s="460">
        <f t="shared" ref="B173:K173" si="103">(B44+B45+B47)/(B52+B53)</f>
        <v>0.14700545360800199</v>
      </c>
      <c r="C173" s="460">
        <f t="shared" si="103"/>
        <v>0.13433738402193435</v>
      </c>
      <c r="D173" s="460">
        <f t="shared" si="103"/>
        <v>0.25041846735916778</v>
      </c>
      <c r="E173" s="460">
        <f t="shared" si="103"/>
        <v>0.83297291441636279</v>
      </c>
      <c r="F173" s="460">
        <f t="shared" si="103"/>
        <v>0.9032234439940714</v>
      </c>
      <c r="G173" s="460">
        <f t="shared" si="103"/>
        <v>1.2792004908627741</v>
      </c>
      <c r="H173" s="460">
        <f t="shared" si="103"/>
        <v>1.7937488990033486</v>
      </c>
      <c r="I173" s="460">
        <f t="shared" si="103"/>
        <v>2.3311522356031236</v>
      </c>
      <c r="J173" s="460">
        <f t="shared" si="103"/>
        <v>3.9079711419350063</v>
      </c>
      <c r="K173" s="460">
        <f t="shared" si="103"/>
        <v>7.5807116486321515</v>
      </c>
      <c r="L173" s="463"/>
      <c r="M173" s="460">
        <f t="shared" ref="M173:R173" si="104">(M44+M45+M47)/(M52+M53)</f>
        <v>1.5219251822050721</v>
      </c>
      <c r="N173" s="460">
        <f t="shared" si="104"/>
        <v>1.4962614840380843</v>
      </c>
      <c r="O173" s="460">
        <f t="shared" si="104"/>
        <v>1.3861624527973913</v>
      </c>
      <c r="P173" s="460">
        <f t="shared" si="104"/>
        <v>0.85915709045318744</v>
      </c>
      <c r="Q173" s="460">
        <f t="shared" si="104"/>
        <v>0.5373843835057498</v>
      </c>
      <c r="R173" s="460">
        <f t="shared" si="104"/>
        <v>0.29169014640529212</v>
      </c>
    </row>
    <row r="174" spans="1:18" s="18" customFormat="1" ht="12.9" x14ac:dyDescent="0.5">
      <c r="A174" s="452" t="s">
        <v>35</v>
      </c>
      <c r="B174" s="460">
        <f t="shared" ref="B174:K174" si="105">(B44+B45+B47)/(B44+B45+B47+B52+B53)</f>
        <v>0.12816456377394198</v>
      </c>
      <c r="C174" s="460">
        <f t="shared" si="105"/>
        <v>0.11842806727009599</v>
      </c>
      <c r="D174" s="460">
        <f t="shared" si="105"/>
        <v>0.20026772948102828</v>
      </c>
      <c r="E174" s="460">
        <f t="shared" si="105"/>
        <v>0.45443820138585622</v>
      </c>
      <c r="F174" s="460">
        <f t="shared" si="105"/>
        <v>0.47457561898175366</v>
      </c>
      <c r="G174" s="455">
        <f t="shared" si="105"/>
        <v>0.56124965574158081</v>
      </c>
      <c r="H174" s="455">
        <f t="shared" si="105"/>
        <v>0.642058024485757</v>
      </c>
      <c r="I174" s="455">
        <f t="shared" si="105"/>
        <v>0.69980357267612403</v>
      </c>
      <c r="J174" s="459">
        <f t="shared" si="105"/>
        <v>0.79624982073432837</v>
      </c>
      <c r="K174" s="459">
        <f t="shared" si="105"/>
        <v>0.88345954963311113</v>
      </c>
      <c r="M174" s="455">
        <f t="shared" ref="M174:R174" si="106">(M44+M45+M47)/(M44+M45+M47+M52+M53)</f>
        <v>0.60347753095290502</v>
      </c>
      <c r="N174" s="455">
        <f t="shared" si="106"/>
        <v>0.59940094161035284</v>
      </c>
      <c r="O174" s="455">
        <f t="shared" si="106"/>
        <v>0.58091704995707183</v>
      </c>
      <c r="P174" s="455">
        <f t="shared" si="106"/>
        <v>0.46212183729119938</v>
      </c>
      <c r="Q174" s="455">
        <f t="shared" si="106"/>
        <v>0.34954458317075782</v>
      </c>
      <c r="R174" s="455">
        <f t="shared" si="106"/>
        <v>0.22582052454069651</v>
      </c>
    </row>
    <row r="175" spans="1:18" s="18" customFormat="1" ht="12.9" hidden="1" outlineLevel="2" x14ac:dyDescent="0.5">
      <c r="A175" s="452" t="s">
        <v>215</v>
      </c>
      <c r="B175" s="464">
        <f t="shared" ref="B175:K175" si="107">B11/-B14</f>
        <v>18.174663592199117</v>
      </c>
      <c r="C175" s="464">
        <f t="shared" si="107"/>
        <v>27.0545783662571</v>
      </c>
      <c r="D175" s="464">
        <f t="shared" si="107"/>
        <v>45.567441945786911</v>
      </c>
      <c r="E175" s="464">
        <f t="shared" si="107"/>
        <v>19.438324169592288</v>
      </c>
      <c r="F175" s="464">
        <f t="shared" si="107"/>
        <v>3.6011916778756508</v>
      </c>
      <c r="G175" s="464">
        <f t="shared" si="107"/>
        <v>2.142405411755774</v>
      </c>
      <c r="H175" s="464">
        <f t="shared" si="107"/>
        <v>-3.2291308305756226</v>
      </c>
      <c r="I175" s="464">
        <f t="shared" si="107"/>
        <v>-3.0284506596453373</v>
      </c>
      <c r="J175" s="464">
        <f t="shared" si="107"/>
        <v>-3.0195767573429411</v>
      </c>
      <c r="K175" s="464">
        <f t="shared" si="107"/>
        <v>-1.3384600582966926</v>
      </c>
      <c r="M175" s="464">
        <f t="shared" ref="M175:R175" si="108">M11/-M14</f>
        <v>-1.3384600582966926</v>
      </c>
      <c r="N175" s="464">
        <f t="shared" si="108"/>
        <v>1.2639294431016008</v>
      </c>
      <c r="O175" s="464">
        <f t="shared" si="108"/>
        <v>2.6219329688592654</v>
      </c>
      <c r="P175" s="464">
        <f t="shared" si="108"/>
        <v>4.1172634622665738</v>
      </c>
      <c r="Q175" s="464">
        <f t="shared" si="108"/>
        <v>6.0765549537602039</v>
      </c>
      <c r="R175" s="464">
        <f t="shared" si="108"/>
        <v>8.026223179249504</v>
      </c>
    </row>
    <row r="176" spans="1:18" s="18" customFormat="1" ht="12.9" collapsed="1" x14ac:dyDescent="0.5">
      <c r="A176" s="452" t="s">
        <v>214</v>
      </c>
      <c r="B176" s="464">
        <f t="shared" ref="B176:K176" si="109">B18/-B14</f>
        <v>20.891067361129945</v>
      </c>
      <c r="C176" s="464">
        <f t="shared" si="109"/>
        <v>38.164387190141149</v>
      </c>
      <c r="D176" s="464">
        <f t="shared" si="109"/>
        <v>61.727126328866078</v>
      </c>
      <c r="E176" s="464">
        <f t="shared" si="109"/>
        <v>27.987904941216872</v>
      </c>
      <c r="F176" s="464">
        <f t="shared" si="109"/>
        <v>6.5962298340018934</v>
      </c>
      <c r="G176" s="464">
        <f t="shared" si="109"/>
        <v>4.5741665074102942</v>
      </c>
      <c r="H176" s="465">
        <f t="shared" si="109"/>
        <v>-1.4059495094923338</v>
      </c>
      <c r="I176" s="465">
        <f t="shared" si="109"/>
        <v>-1.3694506126637573</v>
      </c>
      <c r="J176" s="465">
        <f t="shared" si="109"/>
        <v>-1.3758916658194584</v>
      </c>
      <c r="K176" s="465">
        <f t="shared" si="109"/>
        <v>4.7970457520057505E-2</v>
      </c>
      <c r="M176" s="465">
        <f t="shared" ref="M176:R176" si="110">M18/-M14</f>
        <v>4.7970457520057505E-2</v>
      </c>
      <c r="N176" s="464">
        <f t="shared" si="110"/>
        <v>3.0621637984121284</v>
      </c>
      <c r="O176" s="464">
        <f t="shared" si="110"/>
        <v>5.0738799735401408</v>
      </c>
      <c r="P176" s="464">
        <f t="shared" si="110"/>
        <v>7.0612332527408475</v>
      </c>
      <c r="Q176" s="464">
        <f t="shared" si="110"/>
        <v>9.8836422568360582</v>
      </c>
      <c r="R176" s="464">
        <f t="shared" si="110"/>
        <v>12.932092331055271</v>
      </c>
    </row>
    <row r="177" spans="1:18" s="18" customFormat="1" ht="12.9" hidden="1" outlineLevel="1" x14ac:dyDescent="0.5">
      <c r="A177" s="452" t="s">
        <v>213</v>
      </c>
      <c r="B177" s="464" t="s">
        <v>212</v>
      </c>
      <c r="C177" s="464">
        <f t="shared" ref="C177:K177" si="111">(C67-C63)/-C14</f>
        <v>19.932954588751517</v>
      </c>
      <c r="D177" s="464">
        <f t="shared" si="111"/>
        <v>30.184319501890194</v>
      </c>
      <c r="E177" s="464">
        <f t="shared" si="111"/>
        <v>13.010908934304709</v>
      </c>
      <c r="F177" s="464">
        <f t="shared" si="111"/>
        <v>3.14513809439056</v>
      </c>
      <c r="G177" s="464">
        <f t="shared" si="111"/>
        <v>1.4358372220647586</v>
      </c>
      <c r="H177" s="465">
        <f t="shared" si="111"/>
        <v>-2.266476818100537</v>
      </c>
      <c r="I177" s="465">
        <f t="shared" si="111"/>
        <v>-0.25711282617924403</v>
      </c>
      <c r="J177" s="465">
        <f t="shared" si="111"/>
        <v>-1.9425649478877272</v>
      </c>
      <c r="K177" s="465">
        <f t="shared" si="111"/>
        <v>-0.99997804622415543</v>
      </c>
      <c r="M177" s="465">
        <f t="shared" ref="M177:R177" si="112">(M67-M63)/-M14</f>
        <v>-0.99997804622415543</v>
      </c>
      <c r="N177" s="464">
        <f t="shared" si="112"/>
        <v>3.0012813578928093</v>
      </c>
      <c r="O177" s="464">
        <f t="shared" si="112"/>
        <v>7.2415198948661645</v>
      </c>
      <c r="P177" s="464">
        <f t="shared" si="112"/>
        <v>10.332809209415862</v>
      </c>
      <c r="Q177" s="464">
        <f t="shared" si="112"/>
        <v>11.655085493426871</v>
      </c>
      <c r="R177" s="464">
        <f t="shared" si="112"/>
        <v>9.2668964549837547</v>
      </c>
    </row>
    <row r="178" spans="1:18" s="18" customFormat="1" ht="12.9" collapsed="1" x14ac:dyDescent="0.5">
      <c r="A178" s="452" t="s">
        <v>286</v>
      </c>
      <c r="B178" s="464" t="s">
        <v>212</v>
      </c>
      <c r="C178" s="464">
        <f>C67/-C14</f>
        <v>6.0549956105183318</v>
      </c>
      <c r="D178" s="464">
        <f t="shared" ref="D178:R178" si="113">D67/-D14</f>
        <v>-33.682505025362566</v>
      </c>
      <c r="E178" s="465">
        <f t="shared" si="113"/>
        <v>-81.521716723805071</v>
      </c>
      <c r="F178" s="465">
        <f t="shared" si="113"/>
        <v>-0.5063462780031458</v>
      </c>
      <c r="G178" s="465">
        <f t="shared" si="113"/>
        <v>-6.6377929231464705</v>
      </c>
      <c r="H178" s="465">
        <f t="shared" si="113"/>
        <v>-3.3912364256944594</v>
      </c>
      <c r="I178" s="464">
        <f t="shared" si="113"/>
        <v>2.2337900535023785</v>
      </c>
      <c r="J178" s="465">
        <f t="shared" si="113"/>
        <v>1.2830102796945264</v>
      </c>
      <c r="K178" s="465">
        <f t="shared" si="113"/>
        <v>1.194452537073861</v>
      </c>
      <c r="M178" s="465">
        <f t="shared" si="113"/>
        <v>1.194452537073861</v>
      </c>
      <c r="N178" s="465">
        <f t="shared" si="113"/>
        <v>1.7709104832066591</v>
      </c>
      <c r="O178" s="464">
        <f t="shared" si="113"/>
        <v>6.2536851303904166</v>
      </c>
      <c r="P178" s="464">
        <f t="shared" si="113"/>
        <v>9.2005131361565269</v>
      </c>
      <c r="Q178" s="464">
        <f t="shared" si="113"/>
        <v>10.184165399056653</v>
      </c>
      <c r="R178" s="464">
        <f t="shared" si="113"/>
        <v>7.7052210658237188</v>
      </c>
    </row>
    <row r="179" spans="1:18" s="18" customFormat="1" ht="12.9" x14ac:dyDescent="0.5">
      <c r="A179" s="452" t="s">
        <v>287</v>
      </c>
      <c r="B179" s="464">
        <f t="shared" ref="B179:K179" si="114">(B44+B45+B47)/B18</f>
        <v>0.9902059628402694</v>
      </c>
      <c r="C179" s="464">
        <f t="shared" si="114"/>
        <v>0.86457451896545501</v>
      </c>
      <c r="D179" s="464">
        <f t="shared" si="114"/>
        <v>1.4956565451869457</v>
      </c>
      <c r="E179" s="465">
        <f t="shared" si="114"/>
        <v>4.9676052838064706</v>
      </c>
      <c r="F179" s="465">
        <f t="shared" si="114"/>
        <v>4.6651586932415574</v>
      </c>
      <c r="G179" s="465">
        <f t="shared" si="114"/>
        <v>7.6058002786955932</v>
      </c>
      <c r="H179" s="465">
        <f t="shared" si="114"/>
        <v>-18.010567861658817</v>
      </c>
      <c r="I179" s="465">
        <f t="shared" si="114"/>
        <v>-16.221302508658734</v>
      </c>
      <c r="J179" s="465">
        <f t="shared" si="114"/>
        <v>-19.208710481437755</v>
      </c>
      <c r="K179" s="465">
        <f t="shared" si="114"/>
        <v>579.39318764182849</v>
      </c>
      <c r="M179" s="465">
        <f t="shared" ref="M179:R179" si="115">(M44+M45+M47)/M18</f>
        <v>395.77450996395839</v>
      </c>
      <c r="N179" s="465">
        <f t="shared" si="115"/>
        <v>7.6478785817062711</v>
      </c>
      <c r="O179" s="465">
        <f t="shared" si="115"/>
        <v>6.0218626025910957</v>
      </c>
      <c r="P179" s="465">
        <f t="shared" si="115"/>
        <v>3.3732366445059201</v>
      </c>
      <c r="Q179" s="464">
        <f t="shared" si="115"/>
        <v>2.1311526027785583</v>
      </c>
      <c r="R179" s="466">
        <f t="shared" si="115"/>
        <v>1.2312818390001714</v>
      </c>
    </row>
    <row r="180" spans="1:18" s="18" customFormat="1" ht="12.9" x14ac:dyDescent="0.5">
      <c r="A180" s="362"/>
      <c r="B180" s="425"/>
      <c r="C180" s="425"/>
      <c r="D180" s="425"/>
      <c r="E180" s="425"/>
      <c r="F180" s="425"/>
      <c r="G180" s="425"/>
      <c r="H180" s="425"/>
      <c r="I180" s="425"/>
      <c r="J180" s="425"/>
      <c r="K180" s="425"/>
    </row>
    <row r="181" spans="1:18" s="18" customFormat="1" ht="12.9" x14ac:dyDescent="0.5">
      <c r="A181" s="417" t="s">
        <v>285</v>
      </c>
      <c r="B181" s="467"/>
      <c r="C181" s="467"/>
      <c r="D181" s="467"/>
      <c r="E181" s="467"/>
      <c r="F181" s="467"/>
      <c r="G181" s="467"/>
      <c r="H181" s="467"/>
      <c r="I181" s="467"/>
      <c r="J181" s="467"/>
      <c r="K181" s="467"/>
    </row>
    <row r="182" spans="1:18" s="18" customFormat="1" ht="12.9" x14ac:dyDescent="0.5">
      <c r="A182" s="468" t="s">
        <v>32</v>
      </c>
      <c r="B182" s="464">
        <f t="shared" ref="B182:C182" si="116">B35/B46</f>
        <v>1.8799473348968812</v>
      </c>
      <c r="C182" s="464">
        <f t="shared" si="116"/>
        <v>1.9200836505466943</v>
      </c>
      <c r="D182" s="464">
        <f>D35/D46</f>
        <v>1.5060815239942982</v>
      </c>
      <c r="E182" s="464">
        <f t="shared" ref="E182:K182" si="117">E35/E46</f>
        <v>2.3563296316034879</v>
      </c>
      <c r="F182" s="464">
        <f t="shared" si="117"/>
        <v>2.0375311891475163</v>
      </c>
      <c r="G182" s="464">
        <f t="shared" si="117"/>
        <v>2.1361845469454548</v>
      </c>
      <c r="H182" s="464">
        <f t="shared" si="117"/>
        <v>1.5312032927736634</v>
      </c>
      <c r="I182" s="464">
        <f t="shared" si="117"/>
        <v>1.4973657360437838</v>
      </c>
      <c r="J182" s="464">
        <f t="shared" si="117"/>
        <v>1.3421407534017316</v>
      </c>
      <c r="K182" s="464">
        <f t="shared" si="117"/>
        <v>1.1578190789497584</v>
      </c>
      <c r="M182" s="464">
        <f t="shared" ref="M182:R182" si="118">M35/M46</f>
        <v>437.75849140101241</v>
      </c>
      <c r="N182" s="464">
        <f t="shared" si="118"/>
        <v>31.166496743555168</v>
      </c>
      <c r="O182" s="464">
        <f t="shared" si="118"/>
        <v>11.094259809289637</v>
      </c>
      <c r="P182" s="464">
        <f t="shared" si="118"/>
        <v>5.1209174642292146</v>
      </c>
      <c r="Q182" s="464">
        <f t="shared" si="118"/>
        <v>3.7283607455976804</v>
      </c>
      <c r="R182" s="464">
        <f t="shared" si="118"/>
        <v>3.4488804673149009</v>
      </c>
    </row>
    <row r="183" spans="1:18" s="18" customFormat="1" ht="12.9" x14ac:dyDescent="0.5">
      <c r="A183" s="468" t="s">
        <v>44</v>
      </c>
      <c r="B183" s="464">
        <f t="shared" ref="B183:K183" si="119">(B35-B33)/B46</f>
        <v>0.92645704409195029</v>
      </c>
      <c r="C183" s="464">
        <f t="shared" si="119"/>
        <v>0.89726241550202979</v>
      </c>
      <c r="D183" s="464">
        <f t="shared" si="119"/>
        <v>0.70881771558771622</v>
      </c>
      <c r="E183" s="464">
        <f t="shared" si="119"/>
        <v>1.2040469783151992</v>
      </c>
      <c r="F183" s="464">
        <f t="shared" si="119"/>
        <v>1.0705114492094157</v>
      </c>
      <c r="G183" s="464">
        <f t="shared" si="119"/>
        <v>1.1809515192508</v>
      </c>
      <c r="H183" s="465">
        <f t="shared" si="119"/>
        <v>0.86526855410206627</v>
      </c>
      <c r="I183" s="465">
        <f t="shared" si="119"/>
        <v>0.81994297000290206</v>
      </c>
      <c r="J183" s="465">
        <f t="shared" si="119"/>
        <v>0.7382025698933723</v>
      </c>
      <c r="K183" s="465">
        <f t="shared" si="119"/>
        <v>0.61842168290296295</v>
      </c>
      <c r="M183" s="464">
        <f t="shared" ref="M183:R183" si="120">(M35-M33)/M46</f>
        <v>233.81834682050848</v>
      </c>
      <c r="N183" s="464">
        <f t="shared" si="120"/>
        <v>17.14099633547394</v>
      </c>
      <c r="O183" s="464">
        <f t="shared" si="120"/>
        <v>6.8947390540333178</v>
      </c>
      <c r="P183" s="464">
        <f t="shared" si="120"/>
        <v>2.983833240828516</v>
      </c>
      <c r="Q183" s="464">
        <f t="shared" si="120"/>
        <v>2.156932170087476</v>
      </c>
      <c r="R183" s="464">
        <f t="shared" si="120"/>
        <v>1.8774518918046967</v>
      </c>
    </row>
    <row r="184" spans="1:18" s="18" customFormat="1" ht="12.9" x14ac:dyDescent="0.5">
      <c r="A184" s="366"/>
      <c r="B184" s="467"/>
      <c r="C184" s="467"/>
      <c r="D184" s="467"/>
      <c r="E184" s="467"/>
      <c r="F184" s="467"/>
      <c r="G184" s="467"/>
      <c r="H184" s="467"/>
      <c r="I184" s="467"/>
      <c r="J184" s="467"/>
      <c r="K184" s="467"/>
    </row>
    <row r="185" spans="1:18" s="18" customFormat="1" ht="12.9" x14ac:dyDescent="0.5">
      <c r="A185" s="417" t="s">
        <v>70</v>
      </c>
      <c r="B185" s="467"/>
      <c r="C185" s="467"/>
      <c r="D185" s="467"/>
      <c r="E185" s="467"/>
      <c r="F185" s="467"/>
      <c r="G185" s="467"/>
      <c r="H185" s="467"/>
      <c r="I185" s="467"/>
      <c r="J185" s="467"/>
      <c r="K185" s="467"/>
    </row>
    <row r="186" spans="1:18" s="18" customFormat="1" ht="12.9" x14ac:dyDescent="0.5">
      <c r="A186" s="468" t="s">
        <v>217</v>
      </c>
      <c r="B186" s="469">
        <f>+B22*B25</f>
        <v>680.4</v>
      </c>
      <c r="C186" s="469">
        <f t="shared" ref="C186:K186" si="121">+C22*C25</f>
        <v>816.4799999999999</v>
      </c>
      <c r="D186" s="469">
        <f t="shared" si="121"/>
        <v>868.96799999999996</v>
      </c>
      <c r="E186" s="469">
        <f t="shared" si="121"/>
        <v>861.84</v>
      </c>
      <c r="F186" s="469">
        <f t="shared" si="121"/>
        <v>822.95999999999992</v>
      </c>
      <c r="G186" s="469">
        <f t="shared" si="121"/>
        <v>695.952</v>
      </c>
      <c r="H186" s="469">
        <f t="shared" si="121"/>
        <v>544.32000000000005</v>
      </c>
      <c r="I186" s="469">
        <f t="shared" si="121"/>
        <v>265.67999999999995</v>
      </c>
      <c r="J186" s="469">
        <f t="shared" si="121"/>
        <v>99.792000000000002</v>
      </c>
      <c r="K186" s="469">
        <f t="shared" si="121"/>
        <v>66.096000000000004</v>
      </c>
      <c r="M186" s="469">
        <f t="shared" ref="M186" si="122">+M22*M25</f>
        <v>66.096000000000004</v>
      </c>
    </row>
    <row r="187" spans="1:18" s="18" customFormat="1" ht="12.9" x14ac:dyDescent="0.5">
      <c r="A187" s="468" t="s">
        <v>75</v>
      </c>
      <c r="B187" s="469">
        <f>B52</f>
        <v>75</v>
      </c>
      <c r="C187" s="469">
        <f t="shared" ref="C187:K187" si="123">C52</f>
        <v>75</v>
      </c>
      <c r="D187" s="469">
        <f t="shared" si="123"/>
        <v>75</v>
      </c>
      <c r="E187" s="469">
        <f t="shared" si="123"/>
        <v>75</v>
      </c>
      <c r="F187" s="469">
        <f t="shared" si="123"/>
        <v>75</v>
      </c>
      <c r="G187" s="469">
        <f t="shared" si="123"/>
        <v>75</v>
      </c>
      <c r="H187" s="469">
        <f t="shared" si="123"/>
        <v>75</v>
      </c>
      <c r="I187" s="469">
        <f t="shared" si="123"/>
        <v>75</v>
      </c>
      <c r="J187" s="469">
        <f t="shared" si="123"/>
        <v>75</v>
      </c>
      <c r="K187" s="469">
        <f t="shared" si="123"/>
        <v>75</v>
      </c>
      <c r="M187" s="469">
        <f>K20*1.35</f>
        <v>33.75</v>
      </c>
    </row>
    <row r="188" spans="1:18" s="18" customFormat="1" ht="12.9" x14ac:dyDescent="0.5">
      <c r="A188" s="468" t="s">
        <v>218</v>
      </c>
      <c r="B188" s="470">
        <f t="shared" ref="B188:K188" si="124">B44+B45+B47-B31</f>
        <v>-1</v>
      </c>
      <c r="C188" s="470">
        <f t="shared" si="124"/>
        <v>2.7795785702019415</v>
      </c>
      <c r="D188" s="470">
        <f t="shared" si="124"/>
        <v>48.358467544198625</v>
      </c>
      <c r="E188" s="470">
        <f t="shared" si="124"/>
        <v>249.39032180141655</v>
      </c>
      <c r="F188" s="470">
        <f t="shared" si="124"/>
        <v>277.74307367948199</v>
      </c>
      <c r="G188" s="470">
        <f t="shared" si="124"/>
        <v>398.99733848660799</v>
      </c>
      <c r="H188" s="470">
        <f t="shared" si="124"/>
        <v>509.25564114490942</v>
      </c>
      <c r="I188" s="470">
        <f t="shared" si="124"/>
        <v>490.4620083683443</v>
      </c>
      <c r="J188" s="470">
        <f t="shared" si="124"/>
        <v>490.35203632396474</v>
      </c>
      <c r="K188" s="470">
        <f t="shared" si="124"/>
        <v>486.80392954116877</v>
      </c>
      <c r="M188" s="470">
        <f>M44+M45+M47-M31</f>
        <v>326.08250096974024</v>
      </c>
    </row>
    <row r="189" spans="1:18" s="18" customFormat="1" ht="12.9" x14ac:dyDescent="0.5">
      <c r="A189" s="468" t="s">
        <v>91</v>
      </c>
      <c r="B189" s="469">
        <f>B186+B187+B188</f>
        <v>754.4</v>
      </c>
      <c r="C189" s="469">
        <f t="shared" ref="C189:M189" si="125">C186+C187+C188</f>
        <v>894.25957857020182</v>
      </c>
      <c r="D189" s="469">
        <f t="shared" si="125"/>
        <v>992.32646754419864</v>
      </c>
      <c r="E189" s="469">
        <f t="shared" si="125"/>
        <v>1186.2303218014165</v>
      </c>
      <c r="F189" s="469">
        <f t="shared" si="125"/>
        <v>1175.7030736794818</v>
      </c>
      <c r="G189" s="469">
        <f t="shared" si="125"/>
        <v>1169.949338486608</v>
      </c>
      <c r="H189" s="469">
        <f t="shared" si="125"/>
        <v>1128.5756411449095</v>
      </c>
      <c r="I189" s="469">
        <f t="shared" si="125"/>
        <v>831.14200836834425</v>
      </c>
      <c r="J189" s="469">
        <f t="shared" si="125"/>
        <v>665.14403632396477</v>
      </c>
      <c r="K189" s="469">
        <f t="shared" si="125"/>
        <v>627.89992954116883</v>
      </c>
      <c r="M189" s="469">
        <f t="shared" si="125"/>
        <v>425.92850096974024</v>
      </c>
    </row>
    <row r="190" spans="1:18" s="18" customFormat="1" ht="12.9" x14ac:dyDescent="0.5">
      <c r="A190" s="471"/>
      <c r="B190" s="467"/>
      <c r="C190" s="467"/>
      <c r="D190" s="467"/>
      <c r="E190" s="467"/>
      <c r="F190" s="467"/>
      <c r="G190" s="467"/>
      <c r="H190" s="467"/>
      <c r="I190" s="467"/>
      <c r="J190" s="467"/>
      <c r="K190" s="467"/>
    </row>
    <row r="191" spans="1:18" s="18" customFormat="1" ht="12.9" x14ac:dyDescent="0.5">
      <c r="A191" s="468" t="s">
        <v>216</v>
      </c>
      <c r="B191" s="464">
        <f t="shared" ref="B191:K191" si="126">B189/B18</f>
        <v>15.091138956903015</v>
      </c>
      <c r="C191" s="464">
        <f t="shared" si="126"/>
        <v>16.450086063246442</v>
      </c>
      <c r="D191" s="464">
        <f t="shared" si="126"/>
        <v>16.11487053360176</v>
      </c>
      <c r="E191" s="464">
        <f t="shared" si="126"/>
        <v>18.403260507158546</v>
      </c>
      <c r="F191" s="464">
        <f t="shared" si="126"/>
        <v>15.454610918136529</v>
      </c>
      <c r="G191" s="464">
        <f t="shared" si="126"/>
        <v>17.715311576191855</v>
      </c>
      <c r="H191" s="464">
        <f t="shared" si="126"/>
        <v>-35.505319459746595</v>
      </c>
      <c r="I191" s="464">
        <f t="shared" si="126"/>
        <v>-25.150017752905942</v>
      </c>
      <c r="J191" s="464">
        <f t="shared" si="126"/>
        <v>-24.431369561945452</v>
      </c>
      <c r="K191" s="464">
        <f t="shared" si="126"/>
        <v>717.35396954325677</v>
      </c>
      <c r="M191" s="464">
        <f>M189/M18</f>
        <v>486.60859244804061</v>
      </c>
    </row>
    <row r="192" spans="1:18" s="18" customFormat="1" ht="12.9" x14ac:dyDescent="0.5">
      <c r="A192" s="468" t="s">
        <v>71</v>
      </c>
      <c r="B192" s="464">
        <f t="shared" ref="B192:K192" si="127">B25/B23</f>
        <v>30.630884446583831</v>
      </c>
      <c r="C192" s="464">
        <f t="shared" si="127"/>
        <v>41.607937262771628</v>
      </c>
      <c r="D192" s="464">
        <f t="shared" si="127"/>
        <v>35.614907658233193</v>
      </c>
      <c r="E192" s="464">
        <f t="shared" si="127"/>
        <v>37.306055113549839</v>
      </c>
      <c r="F192" s="464">
        <f t="shared" si="127"/>
        <v>54.864837659545721</v>
      </c>
      <c r="G192" s="464">
        <f t="shared" si="127"/>
        <v>111.86935955782567</v>
      </c>
      <c r="H192" s="464">
        <f t="shared" si="127"/>
        <v>-8.1204041371572124</v>
      </c>
      <c r="I192" s="464">
        <f t="shared" si="127"/>
        <v>-3.2119487025818594</v>
      </c>
      <c r="J192" s="464">
        <f t="shared" si="127"/>
        <v>-1.0741666280203033</v>
      </c>
      <c r="K192" s="464">
        <f t="shared" si="127"/>
        <v>-0.98770217866249921</v>
      </c>
      <c r="M192" s="464">
        <f>M25/M23</f>
        <v>-0.98770217866249932</v>
      </c>
    </row>
    <row r="193" spans="1:13" x14ac:dyDescent="0.45">
      <c r="A193" s="472" t="s">
        <v>72</v>
      </c>
      <c r="B193" s="473">
        <f t="shared" ref="B193:K193" si="128">B25/(B53/B22)</f>
        <v>2.599703027081921</v>
      </c>
      <c r="C193" s="473">
        <f t="shared" si="128"/>
        <v>2.9704723017088925</v>
      </c>
      <c r="D193" s="473">
        <f t="shared" si="128"/>
        <v>2.9679452468968379</v>
      </c>
      <c r="E193" s="473">
        <f t="shared" si="128"/>
        <v>2.7854640338215884</v>
      </c>
      <c r="F193" s="473">
        <f t="shared" si="128"/>
        <v>2.5885266641407005</v>
      </c>
      <c r="G193" s="473">
        <f t="shared" si="128"/>
        <v>2.1908214899876537</v>
      </c>
      <c r="H193" s="473">
        <f t="shared" si="128"/>
        <v>2.2293943691297846</v>
      </c>
      <c r="I193" s="473">
        <f t="shared" si="128"/>
        <v>1.7145085810202403</v>
      </c>
      <c r="J193" s="473">
        <f t="shared" si="128"/>
        <v>1.696621559188225</v>
      </c>
      <c r="K193" s="473">
        <f t="shared" si="128"/>
        <v>-8.1591027994501975</v>
      </c>
      <c r="M193" s="473">
        <f>M25/(M53/M22)</f>
        <v>0.29037801517605938</v>
      </c>
    </row>
    <row r="194" spans="1:13" x14ac:dyDescent="0.45">
      <c r="B194" s="474"/>
      <c r="C194" s="474"/>
      <c r="D194" s="474"/>
      <c r="E194" s="474"/>
      <c r="F194" s="474"/>
      <c r="G194" s="474"/>
      <c r="H194" s="474"/>
      <c r="I194" s="474"/>
      <c r="J194" s="474"/>
      <c r="K194" s="4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A86-E9A8-41ED-9B08-B37AC51A76CE}">
  <dimension ref="A1:U194"/>
  <sheetViews>
    <sheetView showGridLines="0" topLeftCell="A53" zoomScale="98" zoomScaleNormal="111" workbookViewId="0">
      <selection activeCell="B63" sqref="B63"/>
    </sheetView>
  </sheetViews>
  <sheetFormatPr baseColWidth="10" defaultColWidth="9.15625" defaultRowHeight="11.7" outlineLevelRow="2" outlineLevelCol="1" x14ac:dyDescent="0.45"/>
  <cols>
    <col min="1" max="1" width="21.5234375" style="368" customWidth="1"/>
    <col min="2" max="11" width="6.734375" style="369" customWidth="1"/>
    <col min="12" max="12" width="6.734375" style="368" hidden="1" customWidth="1" outlineLevel="1"/>
    <col min="13" max="13" width="6.734375" style="368" customWidth="1" collapsed="1"/>
    <col min="14" max="16" width="6.734375" style="368" customWidth="1"/>
    <col min="17" max="18" width="6.734375" style="369" customWidth="1"/>
    <col min="19" max="19" width="7.83984375" style="369" customWidth="1"/>
    <col min="20" max="16384" width="9.15625" style="369"/>
  </cols>
  <sheetData>
    <row r="1" spans="1:19" s="368" customFormat="1" ht="15" customHeight="1" thickBot="1" x14ac:dyDescent="0.65">
      <c r="A1" s="521" t="s">
        <v>389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369"/>
    </row>
    <row r="2" spans="1:19" s="368" customFormat="1" ht="15" customHeight="1" thickTop="1" x14ac:dyDescent="0.45">
      <c r="A2" s="368" t="s">
        <v>388</v>
      </c>
      <c r="Q2" s="369"/>
      <c r="R2" s="369"/>
      <c r="S2" s="369"/>
    </row>
    <row r="3" spans="1:19" s="368" customFormat="1" ht="12.3" customHeight="1" x14ac:dyDescent="0.45">
      <c r="A3" s="370"/>
      <c r="B3" s="371" t="s">
        <v>190</v>
      </c>
      <c r="C3" s="371"/>
      <c r="D3" s="371"/>
      <c r="E3" s="371"/>
      <c r="F3" s="371"/>
      <c r="G3" s="371"/>
      <c r="H3" s="371"/>
      <c r="I3" s="371"/>
      <c r="J3" s="371"/>
      <c r="K3" s="371"/>
      <c r="L3" s="372" t="s">
        <v>221</v>
      </c>
      <c r="M3" s="372"/>
      <c r="N3" s="373" t="s">
        <v>219</v>
      </c>
      <c r="O3" s="373"/>
      <c r="P3" s="373"/>
      <c r="Q3" s="373"/>
      <c r="R3" s="373"/>
      <c r="S3" s="369"/>
    </row>
    <row r="4" spans="1:19" s="368" customFormat="1" x14ac:dyDescent="0.45">
      <c r="A4" s="374"/>
      <c r="B4" s="375">
        <v>2001</v>
      </c>
      <c r="C4" s="375">
        <v>2002</v>
      </c>
      <c r="D4" s="375">
        <v>2003</v>
      </c>
      <c r="E4" s="375">
        <v>2004</v>
      </c>
      <c r="F4" s="375">
        <v>2005</v>
      </c>
      <c r="G4" s="375">
        <v>2006</v>
      </c>
      <c r="H4" s="375">
        <v>2007</v>
      </c>
      <c r="I4" s="375">
        <v>2008</v>
      </c>
      <c r="J4" s="375">
        <v>2009</v>
      </c>
      <c r="K4" s="375">
        <v>2010</v>
      </c>
      <c r="L4" s="375" t="s">
        <v>222</v>
      </c>
      <c r="M4" s="375" t="s">
        <v>220</v>
      </c>
      <c r="N4" s="375">
        <v>2011</v>
      </c>
      <c r="O4" s="375">
        <f>N4+1</f>
        <v>2012</v>
      </c>
      <c r="P4" s="375">
        <f>O4+1</f>
        <v>2013</v>
      </c>
      <c r="Q4" s="375">
        <f>P4+1</f>
        <v>2014</v>
      </c>
      <c r="R4" s="375">
        <f>Q4+1</f>
        <v>2015</v>
      </c>
    </row>
    <row r="5" spans="1:19" s="368" customFormat="1" ht="12.9" x14ac:dyDescent="0.5">
      <c r="A5" s="376" t="s">
        <v>45</v>
      </c>
      <c r="B5" s="377"/>
      <c r="C5" s="377"/>
      <c r="D5" s="377"/>
      <c r="E5" s="377"/>
      <c r="F5" s="377"/>
      <c r="G5" s="378"/>
      <c r="H5" s="378"/>
      <c r="I5" s="377"/>
      <c r="J5" s="377"/>
      <c r="K5" s="377"/>
    </row>
    <row r="6" spans="1:19" s="368" customFormat="1" x14ac:dyDescent="0.45">
      <c r="A6" s="368" t="s">
        <v>3</v>
      </c>
      <c r="B6" s="379">
        <v>943.2</v>
      </c>
      <c r="C6" s="379">
        <v>988.4</v>
      </c>
      <c r="D6" s="379">
        <v>1080.3211999999999</v>
      </c>
      <c r="E6" s="379">
        <v>1216.1814574231523</v>
      </c>
      <c r="F6" s="379">
        <v>1358.4746879416612</v>
      </c>
      <c r="G6" s="379">
        <v>1501.1145301755355</v>
      </c>
      <c r="H6" s="379">
        <v>1271.4440070586786</v>
      </c>
      <c r="I6" s="379">
        <v>917.98257309636597</v>
      </c>
      <c r="J6" s="379">
        <v>825</v>
      </c>
      <c r="K6" s="379">
        <v>875.3</v>
      </c>
      <c r="L6" s="379">
        <v>0</v>
      </c>
      <c r="M6" s="379">
        <f>K6</f>
        <v>875.3</v>
      </c>
      <c r="N6" s="380">
        <f>M6*(1+N162)</f>
        <v>934.82039999999995</v>
      </c>
      <c r="O6" s="380">
        <f>N6*(1+O162)</f>
        <v>990.90962400000001</v>
      </c>
      <c r="P6" s="380">
        <f>O6*(1+P162)</f>
        <v>1045.40965332</v>
      </c>
      <c r="Q6" s="380">
        <f>P6*(1+Q162)</f>
        <v>1092.4530877193999</v>
      </c>
      <c r="R6" s="380">
        <f>Q6*(1+R162)</f>
        <v>1130.6889457895788</v>
      </c>
    </row>
    <row r="7" spans="1:19" s="368" customFormat="1" x14ac:dyDescent="0.45">
      <c r="A7" s="381" t="s">
        <v>23</v>
      </c>
      <c r="B7" s="382">
        <v>-784.74239999999998</v>
      </c>
      <c r="C7" s="382">
        <v>-823.33720000000005</v>
      </c>
      <c r="D7" s="382">
        <v>-898.82723840000006</v>
      </c>
      <c r="E7" s="640">
        <v>-1016.72769840576</v>
      </c>
      <c r="F7" s="640">
        <v>-1131.6094150553999</v>
      </c>
      <c r="G7" s="640">
        <v>-1265.44688567104</v>
      </c>
      <c r="H7" s="640">
        <v>-1143.0281623457499</v>
      </c>
      <c r="I7" s="382">
        <v>-832.610193798404</v>
      </c>
      <c r="J7" s="382">
        <v>-746.625</v>
      </c>
      <c r="K7" s="382">
        <v>-775.51580000000001</v>
      </c>
      <c r="L7" s="382">
        <v>0</v>
      </c>
      <c r="M7" s="382">
        <f>K7</f>
        <v>-775.51580000000001</v>
      </c>
      <c r="N7" s="382">
        <f>N8-N6</f>
        <v>-817.96785</v>
      </c>
      <c r="O7" s="382">
        <f>O8-O6</f>
        <v>-862.09137287999999</v>
      </c>
      <c r="P7" s="382">
        <f>P8-P6</f>
        <v>-904.27935012180001</v>
      </c>
      <c r="Q7" s="382">
        <f>Q8-Q6</f>
        <v>-944.97192087728092</v>
      </c>
      <c r="R7" s="382">
        <f>R8-R6</f>
        <v>-978.04593810798565</v>
      </c>
      <c r="S7" s="369"/>
    </row>
    <row r="8" spans="1:19" s="368" customFormat="1" x14ac:dyDescent="0.45">
      <c r="A8" s="383" t="s">
        <v>11</v>
      </c>
      <c r="B8" s="384">
        <f t="shared" ref="B8:M8" si="0">B6+B7</f>
        <v>158.45760000000007</v>
      </c>
      <c r="C8" s="384">
        <f t="shared" si="0"/>
        <v>165.06279999999992</v>
      </c>
      <c r="D8" s="384">
        <f t="shared" si="0"/>
        <v>181.49396159999981</v>
      </c>
      <c r="E8" s="384">
        <f t="shared" si="0"/>
        <v>199.45375901739237</v>
      </c>
      <c r="F8" s="384">
        <f t="shared" si="0"/>
        <v>226.86527288626121</v>
      </c>
      <c r="G8" s="384">
        <f t="shared" si="0"/>
        <v>235.66764450449546</v>
      </c>
      <c r="H8" s="384">
        <f t="shared" si="0"/>
        <v>128.41584471292867</v>
      </c>
      <c r="I8" s="384">
        <f t="shared" si="0"/>
        <v>85.37237929796197</v>
      </c>
      <c r="J8" s="384">
        <f t="shared" si="0"/>
        <v>78.375</v>
      </c>
      <c r="K8" s="384">
        <f t="shared" si="0"/>
        <v>99.784199999999942</v>
      </c>
      <c r="L8" s="384">
        <f t="shared" si="0"/>
        <v>0</v>
      </c>
      <c r="M8" s="384">
        <f t="shared" si="0"/>
        <v>99.784199999999942</v>
      </c>
      <c r="N8" s="384">
        <f>N163*N6</f>
        <v>116.85254999999999</v>
      </c>
      <c r="O8" s="384">
        <f>O163*O6</f>
        <v>128.81825112000001</v>
      </c>
      <c r="P8" s="384">
        <f>P163*P6</f>
        <v>141.13030319820001</v>
      </c>
      <c r="Q8" s="384">
        <f>Q163*Q6</f>
        <v>147.48116684211899</v>
      </c>
      <c r="R8" s="384">
        <f>R163*R6</f>
        <v>152.64300768159316</v>
      </c>
      <c r="S8" s="369"/>
    </row>
    <row r="9" spans="1:19" s="368" customFormat="1" x14ac:dyDescent="0.45">
      <c r="A9" s="368" t="s">
        <v>51</v>
      </c>
      <c r="B9" s="379">
        <v>-108.468</v>
      </c>
      <c r="C9" s="379">
        <v>-110.7008</v>
      </c>
      <c r="D9" s="379">
        <v>-119.91565319999999</v>
      </c>
      <c r="E9" s="379">
        <v>-134.99614177397001</v>
      </c>
      <c r="F9" s="379">
        <v>-150.79069036152401</v>
      </c>
      <c r="G9" s="379">
        <v>-169.62594190983501</v>
      </c>
      <c r="H9" s="379">
        <v>-160.20194488939401</v>
      </c>
      <c r="I9" s="379">
        <v>-118.419751929431</v>
      </c>
      <c r="J9" s="379">
        <v>-105.6</v>
      </c>
      <c r="K9" s="379">
        <v>-98.908900000000003</v>
      </c>
      <c r="L9" s="379">
        <v>0</v>
      </c>
      <c r="M9" s="379">
        <f>K9</f>
        <v>-98.908900000000003</v>
      </c>
      <c r="N9" s="379">
        <f>N11-N8-N10</f>
        <v>-71.556141999999994</v>
      </c>
      <c r="O9" s="379">
        <f>O11-O8-O10</f>
        <v>-71.290962400000012</v>
      </c>
      <c r="P9" s="379">
        <f>P11-P8-P10</f>
        <v>-69.4139170654</v>
      </c>
      <c r="Q9" s="379">
        <f>Q11-Q8-Q10</f>
        <v>-67.520777894746004</v>
      </c>
      <c r="R9" s="379">
        <f>R11-R8-R10</f>
        <v>-70.662005121062123</v>
      </c>
      <c r="S9" s="369"/>
    </row>
    <row r="10" spans="1:19" s="368" customFormat="1" ht="12.75" customHeight="1" x14ac:dyDescent="0.45">
      <c r="A10" s="381" t="s">
        <v>10</v>
      </c>
      <c r="B10" s="382">
        <v>-6.5</v>
      </c>
      <c r="C10" s="382">
        <v>-15.824999999999999</v>
      </c>
      <c r="D10" s="382">
        <v>-16.120725</v>
      </c>
      <c r="E10" s="382">
        <v>-19.690134225000001</v>
      </c>
      <c r="F10" s="382">
        <v>-34.541894856130199</v>
      </c>
      <c r="G10" s="382">
        <v>-35.109706391384798</v>
      </c>
      <c r="H10" s="382">
        <v>-41.2189937978209</v>
      </c>
      <c r="I10" s="382">
        <v>-40.034735273572302</v>
      </c>
      <c r="J10" s="382">
        <v>-32.523873592965501</v>
      </c>
      <c r="K10" s="382">
        <v>-25.297708073493101</v>
      </c>
      <c r="L10" s="382">
        <v>0</v>
      </c>
      <c r="M10" s="382">
        <f>K10</f>
        <v>-25.297708073493101</v>
      </c>
      <c r="N10" s="382">
        <f>-'Projections (Ex. 4)'!C12</f>
        <v>-26.6</v>
      </c>
      <c r="O10" s="382">
        <f>-'Projections (Ex. 4)'!D12</f>
        <v>-27.8</v>
      </c>
      <c r="P10" s="382">
        <f>-'Projections (Ex. 4)'!E12</f>
        <v>-29.9</v>
      </c>
      <c r="Q10" s="382">
        <f>-'Projections (Ex. 4)'!F12</f>
        <v>-30.8</v>
      </c>
      <c r="R10" s="382">
        <f>-'Projections (Ex. 4)'!G12</f>
        <v>-31.1</v>
      </c>
      <c r="S10" s="369"/>
    </row>
    <row r="11" spans="1:19" s="368" customFormat="1" x14ac:dyDescent="0.45">
      <c r="A11" s="370" t="s">
        <v>209</v>
      </c>
      <c r="B11" s="384">
        <f t="shared" ref="B11:M11" si="1">B8+B9+B10</f>
        <v>43.489600000000067</v>
      </c>
      <c r="C11" s="384">
        <f t="shared" si="1"/>
        <v>38.536999999999921</v>
      </c>
      <c r="D11" s="384">
        <f t="shared" si="1"/>
        <v>45.457583399999812</v>
      </c>
      <c r="E11" s="384">
        <f t="shared" si="1"/>
        <v>44.767483018422361</v>
      </c>
      <c r="F11" s="384">
        <f t="shared" si="1"/>
        <v>41.532687668606997</v>
      </c>
      <c r="G11" s="384">
        <f t="shared" si="1"/>
        <v>30.931996203275652</v>
      </c>
      <c r="H11" s="384">
        <f t="shared" si="1"/>
        <v>-73.00509397428624</v>
      </c>
      <c r="I11" s="384">
        <f t="shared" si="1"/>
        <v>-73.08210790504134</v>
      </c>
      <c r="J11" s="384">
        <f t="shared" si="1"/>
        <v>-59.748873592965495</v>
      </c>
      <c r="K11" s="384">
        <f t="shared" si="1"/>
        <v>-24.422408073493163</v>
      </c>
      <c r="L11" s="384">
        <f t="shared" si="1"/>
        <v>0</v>
      </c>
      <c r="M11" s="384">
        <f t="shared" si="1"/>
        <v>-24.422408073493163</v>
      </c>
      <c r="N11" s="384">
        <f>N165*N6</f>
        <v>18.696407999999998</v>
      </c>
      <c r="O11" s="384">
        <f>O165*O6</f>
        <v>29.727288720000001</v>
      </c>
      <c r="P11" s="384">
        <f>P165*P6</f>
        <v>41.816386132799998</v>
      </c>
      <c r="Q11" s="384">
        <f>Q165*Q6</f>
        <v>49.160388947372994</v>
      </c>
      <c r="R11" s="384">
        <f>R165*R6</f>
        <v>50.881002560531044</v>
      </c>
      <c r="S11" s="369"/>
    </row>
    <row r="12" spans="1:19" s="368" customFormat="1" x14ac:dyDescent="0.45">
      <c r="A12" s="368" t="s">
        <v>52</v>
      </c>
      <c r="B12" s="379">
        <v>0</v>
      </c>
      <c r="C12" s="379">
        <v>0</v>
      </c>
      <c r="D12" s="379">
        <v>0</v>
      </c>
      <c r="E12" s="379">
        <v>0</v>
      </c>
      <c r="F12" s="379">
        <v>0</v>
      </c>
      <c r="G12" s="379">
        <v>0</v>
      </c>
      <c r="H12" s="379">
        <v>0</v>
      </c>
      <c r="I12" s="379">
        <v>0</v>
      </c>
      <c r="J12" s="379">
        <v>-20.8</v>
      </c>
      <c r="K12" s="379">
        <v>-22.4</v>
      </c>
      <c r="L12" s="379">
        <v>0</v>
      </c>
      <c r="M12" s="379">
        <f>K12</f>
        <v>-22.4</v>
      </c>
      <c r="N12" s="379">
        <v>0</v>
      </c>
      <c r="O12" s="379">
        <v>0</v>
      </c>
      <c r="P12" s="379">
        <v>0</v>
      </c>
      <c r="Q12" s="379">
        <v>0</v>
      </c>
      <c r="R12" s="379">
        <v>0</v>
      </c>
      <c r="S12" s="369"/>
    </row>
    <row r="13" spans="1:19" s="368" customFormat="1" x14ac:dyDescent="0.45">
      <c r="A13" s="368" t="s">
        <v>30</v>
      </c>
      <c r="B13" s="379">
        <v>0</v>
      </c>
      <c r="C13" s="379">
        <v>0</v>
      </c>
      <c r="D13" s="379">
        <v>0</v>
      </c>
      <c r="E13" s="379">
        <v>0</v>
      </c>
      <c r="F13" s="379">
        <v>0</v>
      </c>
      <c r="G13" s="379">
        <v>0</v>
      </c>
      <c r="H13" s="379">
        <v>0</v>
      </c>
      <c r="I13" s="379">
        <v>-22.2</v>
      </c>
      <c r="J13" s="379">
        <v>-26.3</v>
      </c>
      <c r="K13" s="379">
        <v>-22.8</v>
      </c>
      <c r="L13" s="379">
        <v>0</v>
      </c>
      <c r="M13" s="379">
        <f>K13</f>
        <v>-22.8</v>
      </c>
      <c r="N13" s="379">
        <v>0</v>
      </c>
      <c r="O13" s="379">
        <v>0</v>
      </c>
      <c r="P13" s="379">
        <v>0</v>
      </c>
      <c r="Q13" s="379">
        <v>0</v>
      </c>
      <c r="R13" s="379">
        <v>0</v>
      </c>
      <c r="S13" s="369"/>
    </row>
    <row r="14" spans="1:19" s="368" customFormat="1" x14ac:dyDescent="0.45">
      <c r="A14" s="369" t="s">
        <v>4</v>
      </c>
      <c r="B14" s="379">
        <v>-2.3928696</v>
      </c>
      <c r="C14" s="379">
        <v>-1.4244169499999999</v>
      </c>
      <c r="D14" s="379">
        <v>-0.99758910000000001</v>
      </c>
      <c r="E14" s="379">
        <v>-2.3030526</v>
      </c>
      <c r="F14" s="379">
        <v>-11.53304</v>
      </c>
      <c r="G14" s="379">
        <v>-14.4379752</v>
      </c>
      <c r="H14" s="379">
        <v>-22.608280000000001</v>
      </c>
      <c r="I14" s="379">
        <v>-24.131846979999999</v>
      </c>
      <c r="J14" s="379">
        <v>-19.787168333333302</v>
      </c>
      <c r="K14" s="379">
        <v>-18.246646899999998</v>
      </c>
      <c r="L14" s="379">
        <v>0</v>
      </c>
      <c r="M14" s="379">
        <f>K14</f>
        <v>-18.246646899999998</v>
      </c>
      <c r="N14" s="379">
        <f>-N155</f>
        <v>-15.475098450000001</v>
      </c>
      <c r="O14" s="379">
        <f>-O155</f>
        <v>-13.039442857142857</v>
      </c>
      <c r="P14" s="379">
        <f>-P155</f>
        <v>-11.623202843544</v>
      </c>
      <c r="Q14" s="379">
        <f>-Q155</f>
        <v>-9.6323386324537275</v>
      </c>
      <c r="R14" s="379">
        <f>-R155</f>
        <v>-8.1892519349623143</v>
      </c>
      <c r="S14" s="369"/>
    </row>
    <row r="15" spans="1:19" s="368" customFormat="1" x14ac:dyDescent="0.45">
      <c r="A15" s="381" t="s">
        <v>24</v>
      </c>
      <c r="B15" s="382">
        <v>-14.38385564</v>
      </c>
      <c r="C15" s="382">
        <v>-12.989404067500001</v>
      </c>
      <c r="D15" s="382">
        <v>-15.560998005</v>
      </c>
      <c r="E15" s="382">
        <v>-14.862550646449501</v>
      </c>
      <c r="F15" s="382">
        <v>-10.499876684010999</v>
      </c>
      <c r="G15" s="382">
        <v>-5.77290735114582</v>
      </c>
      <c r="H15" s="382">
        <v>33.082227395103601</v>
      </c>
      <c r="I15" s="382">
        <v>41.197814435339303</v>
      </c>
      <c r="J15" s="382">
        <v>35.984254254941597</v>
      </c>
      <c r="K15" s="382">
        <v>20.9500975915178</v>
      </c>
      <c r="L15" s="382">
        <v>0</v>
      </c>
      <c r="M15" s="382">
        <f>K15</f>
        <v>20.9500975915178</v>
      </c>
      <c r="N15" s="382">
        <f>-N118</f>
        <v>0</v>
      </c>
      <c r="O15" s="382">
        <f>-O118</f>
        <v>0</v>
      </c>
      <c r="P15" s="382">
        <f>-P118</f>
        <v>0</v>
      </c>
      <c r="Q15" s="382">
        <f>-Q118</f>
        <v>-3.6506361559613434</v>
      </c>
      <c r="R15" s="382">
        <f>-R118</f>
        <v>-14.942112718949055</v>
      </c>
      <c r="S15" s="369"/>
    </row>
    <row r="16" spans="1:19" s="368" customFormat="1" x14ac:dyDescent="0.45">
      <c r="A16" s="370" t="s">
        <v>5</v>
      </c>
      <c r="B16" s="384">
        <f t="shared" ref="B16:R16" si="2">SUM(B11:B15)</f>
        <v>26.712874760000069</v>
      </c>
      <c r="C16" s="384">
        <f t="shared" si="2"/>
        <v>24.123178982499919</v>
      </c>
      <c r="D16" s="384">
        <f t="shared" si="2"/>
        <v>28.898996294999812</v>
      </c>
      <c r="E16" s="384">
        <f t="shared" si="2"/>
        <v>27.601879771972861</v>
      </c>
      <c r="F16" s="384">
        <f t="shared" si="2"/>
        <v>19.499770984595997</v>
      </c>
      <c r="G16" s="384">
        <f t="shared" si="2"/>
        <v>10.721113652129832</v>
      </c>
      <c r="H16" s="384">
        <f t="shared" si="2"/>
        <v>-62.531146579182646</v>
      </c>
      <c r="I16" s="384">
        <f t="shared" si="2"/>
        <v>-78.216140449702038</v>
      </c>
      <c r="J16" s="384">
        <f t="shared" si="2"/>
        <v>-90.651787671357198</v>
      </c>
      <c r="K16" s="384">
        <f t="shared" si="2"/>
        <v>-66.91895738197536</v>
      </c>
      <c r="L16" s="384">
        <f t="shared" si="2"/>
        <v>0</v>
      </c>
      <c r="M16" s="384">
        <f t="shared" si="2"/>
        <v>-66.91895738197536</v>
      </c>
      <c r="N16" s="384">
        <f t="shared" si="2"/>
        <v>3.2213095499999973</v>
      </c>
      <c r="O16" s="384">
        <f t="shared" si="2"/>
        <v>16.687845862857145</v>
      </c>
      <c r="P16" s="384">
        <f t="shared" si="2"/>
        <v>30.193183289255998</v>
      </c>
      <c r="Q16" s="384">
        <f t="shared" si="2"/>
        <v>35.877414158957926</v>
      </c>
      <c r="R16" s="384">
        <f t="shared" si="2"/>
        <v>27.749637906619675</v>
      </c>
      <c r="S16" s="369"/>
    </row>
    <row r="17" spans="1:19" s="368" customFormat="1" x14ac:dyDescent="0.45">
      <c r="A17" s="370"/>
      <c r="B17" s="384"/>
      <c r="C17" s="384"/>
      <c r="D17" s="384"/>
      <c r="E17" s="384"/>
      <c r="F17" s="384"/>
      <c r="G17" s="384"/>
      <c r="H17" s="384"/>
      <c r="I17" s="384"/>
      <c r="J17" s="384"/>
      <c r="K17" s="384"/>
      <c r="L17" s="384"/>
      <c r="M17" s="384"/>
      <c r="Q17" s="369"/>
      <c r="R17" s="369"/>
      <c r="S17" s="369"/>
    </row>
    <row r="18" spans="1:19" s="368" customFormat="1" x14ac:dyDescent="0.45">
      <c r="A18" s="370" t="s">
        <v>368</v>
      </c>
      <c r="B18" s="384">
        <f t="shared" ref="B18:R18" si="3">B11-B10</f>
        <v>49.989600000000067</v>
      </c>
      <c r="C18" s="384">
        <f t="shared" si="3"/>
        <v>54.361999999999924</v>
      </c>
      <c r="D18" s="384">
        <f t="shared" si="3"/>
        <v>61.578308399999813</v>
      </c>
      <c r="E18" s="384">
        <f t="shared" si="3"/>
        <v>64.457617243422362</v>
      </c>
      <c r="F18" s="384">
        <f t="shared" si="3"/>
        <v>76.074582524737195</v>
      </c>
      <c r="G18" s="384">
        <f t="shared" si="3"/>
        <v>66.04170259466045</v>
      </c>
      <c r="H18" s="384">
        <f t="shared" si="3"/>
        <v>-31.786100176465339</v>
      </c>
      <c r="I18" s="384">
        <f t="shared" si="3"/>
        <v>-33.047372631469038</v>
      </c>
      <c r="J18" s="384">
        <f t="shared" si="3"/>
        <v>-27.224999999999994</v>
      </c>
      <c r="K18" s="384">
        <f t="shared" si="3"/>
        <v>0.8752999999999389</v>
      </c>
      <c r="L18" s="384">
        <f t="shared" si="3"/>
        <v>0</v>
      </c>
      <c r="M18" s="384">
        <f t="shared" si="3"/>
        <v>0.8752999999999389</v>
      </c>
      <c r="N18" s="384">
        <f t="shared" si="3"/>
        <v>45.296408</v>
      </c>
      <c r="O18" s="384">
        <f t="shared" si="3"/>
        <v>57.527288720000001</v>
      </c>
      <c r="P18" s="384">
        <f t="shared" si="3"/>
        <v>71.716386132799997</v>
      </c>
      <c r="Q18" s="384">
        <f t="shared" si="3"/>
        <v>79.960388947372991</v>
      </c>
      <c r="R18" s="384">
        <f t="shared" si="3"/>
        <v>81.981002560531039</v>
      </c>
      <c r="S18" s="369"/>
    </row>
    <row r="19" spans="1:19" s="368" customFormat="1" x14ac:dyDescent="0.45">
      <c r="B19" s="385"/>
      <c r="C19" s="385"/>
      <c r="D19" s="385"/>
      <c r="E19" s="385"/>
      <c r="F19" s="385"/>
      <c r="G19" s="385"/>
      <c r="H19" s="385"/>
      <c r="I19" s="385"/>
      <c r="J19" s="385"/>
      <c r="K19" s="385"/>
      <c r="Q19" s="369"/>
      <c r="R19" s="369"/>
      <c r="S19" s="369"/>
    </row>
    <row r="20" spans="1:19" s="368" customFormat="1" x14ac:dyDescent="0.45">
      <c r="A20" s="368" t="s">
        <v>183</v>
      </c>
      <c r="B20" s="386">
        <v>25</v>
      </c>
      <c r="C20" s="386">
        <v>25</v>
      </c>
      <c r="D20" s="386">
        <v>25</v>
      </c>
      <c r="E20" s="386">
        <v>25</v>
      </c>
      <c r="F20" s="386">
        <v>25</v>
      </c>
      <c r="G20" s="386">
        <v>25</v>
      </c>
      <c r="H20" s="386">
        <v>25</v>
      </c>
      <c r="I20" s="386">
        <v>25</v>
      </c>
      <c r="J20" s="386">
        <v>25</v>
      </c>
      <c r="K20" s="386">
        <v>25</v>
      </c>
      <c r="L20" s="387">
        <f>-K20</f>
        <v>-25</v>
      </c>
      <c r="M20" s="386">
        <f>K20+L20</f>
        <v>0</v>
      </c>
      <c r="N20" s="387">
        <f t="shared" ref="N20:R22" si="4">M20</f>
        <v>0</v>
      </c>
      <c r="O20" s="387">
        <f t="shared" si="4"/>
        <v>0</v>
      </c>
      <c r="P20" s="387">
        <f t="shared" si="4"/>
        <v>0</v>
      </c>
      <c r="Q20" s="387">
        <f t="shared" si="4"/>
        <v>0</v>
      </c>
      <c r="R20" s="387">
        <f t="shared" si="4"/>
        <v>0</v>
      </c>
      <c r="S20" s="369"/>
    </row>
    <row r="21" spans="1:19" s="368" customFormat="1" x14ac:dyDescent="0.45">
      <c r="A21" s="368" t="s">
        <v>138</v>
      </c>
      <c r="B21" s="379">
        <v>4.5</v>
      </c>
      <c r="C21" s="379">
        <v>4.5</v>
      </c>
      <c r="D21" s="379">
        <v>4.5</v>
      </c>
      <c r="E21" s="379">
        <v>4.5</v>
      </c>
      <c r="F21" s="379">
        <v>4.5</v>
      </c>
      <c r="G21" s="379">
        <v>4.5</v>
      </c>
      <c r="H21" s="379">
        <v>4.5</v>
      </c>
      <c r="I21" s="379">
        <v>4.5</v>
      </c>
      <c r="J21" s="379">
        <v>2.25</v>
      </c>
      <c r="K21" s="379">
        <v>0</v>
      </c>
      <c r="L21" s="379"/>
      <c r="M21" s="379">
        <f>K21</f>
        <v>0</v>
      </c>
      <c r="N21" s="388">
        <f t="shared" si="4"/>
        <v>0</v>
      </c>
      <c r="O21" s="388">
        <f t="shared" si="4"/>
        <v>0</v>
      </c>
      <c r="P21" s="388">
        <f t="shared" si="4"/>
        <v>0</v>
      </c>
      <c r="Q21" s="388">
        <f t="shared" si="4"/>
        <v>0</v>
      </c>
      <c r="R21" s="388">
        <f t="shared" si="4"/>
        <v>0</v>
      </c>
      <c r="S21" s="369"/>
    </row>
    <row r="22" spans="1:19" s="368" customFormat="1" x14ac:dyDescent="0.45">
      <c r="A22" s="368" t="s">
        <v>184</v>
      </c>
      <c r="B22" s="389">
        <v>64.8</v>
      </c>
      <c r="C22" s="389">
        <v>64.8</v>
      </c>
      <c r="D22" s="389">
        <v>64.8</v>
      </c>
      <c r="E22" s="389">
        <v>64.8</v>
      </c>
      <c r="F22" s="389">
        <v>64.8</v>
      </c>
      <c r="G22" s="389">
        <v>64.8</v>
      </c>
      <c r="H22" s="389">
        <v>64.8</v>
      </c>
      <c r="I22" s="389">
        <v>64.8</v>
      </c>
      <c r="J22" s="389">
        <v>64.8</v>
      </c>
      <c r="K22" s="389">
        <v>64.8</v>
      </c>
      <c r="L22" s="387">
        <f>M22-K22</f>
        <v>231.37785714285712</v>
      </c>
      <c r="M22" s="389">
        <f>'Pro Forma (Ex. 8)'!L22</f>
        <v>296.17785714285714</v>
      </c>
      <c r="N22" s="387">
        <f t="shared" si="4"/>
        <v>296.17785714285714</v>
      </c>
      <c r="O22" s="387">
        <f t="shared" si="4"/>
        <v>296.17785714285714</v>
      </c>
      <c r="P22" s="387">
        <f t="shared" si="4"/>
        <v>296.17785714285714</v>
      </c>
      <c r="Q22" s="387">
        <f t="shared" si="4"/>
        <v>296.17785714285714</v>
      </c>
      <c r="R22" s="387">
        <f t="shared" si="4"/>
        <v>296.17785714285714</v>
      </c>
      <c r="S22" s="369"/>
    </row>
    <row r="23" spans="1:19" s="368" customFormat="1" x14ac:dyDescent="0.45">
      <c r="A23" s="368" t="s">
        <v>69</v>
      </c>
      <c r="B23" s="390">
        <v>0.34279127716049457</v>
      </c>
      <c r="C23" s="390">
        <v>0.3028268361496918</v>
      </c>
      <c r="D23" s="390">
        <v>0.37652772060185236</v>
      </c>
      <c r="E23" s="390">
        <v>0.35651049030829696</v>
      </c>
      <c r="F23" s="390">
        <v>0.23147794729308518</v>
      </c>
      <c r="G23" s="390">
        <v>9.6004840310616554E-2</v>
      </c>
      <c r="H23" s="390">
        <v>-1.0344312743701287</v>
      </c>
      <c r="I23" s="390">
        <v>-1.2764836489151581</v>
      </c>
      <c r="J23" s="390">
        <v>-1.4336695628295872</v>
      </c>
      <c r="K23" s="390">
        <v>-1.0326999595983852</v>
      </c>
      <c r="M23" s="390">
        <f t="shared" ref="M23:R23" si="5">M16/M22</f>
        <v>-0.22594179736298775</v>
      </c>
      <c r="N23" s="390">
        <f t="shared" si="5"/>
        <v>1.0876267324894058E-2</v>
      </c>
      <c r="O23" s="390">
        <f t="shared" si="5"/>
        <v>5.634400229591776E-2</v>
      </c>
      <c r="P23" s="390">
        <f t="shared" si="5"/>
        <v>0.10194274339250402</v>
      </c>
      <c r="Q23" s="390">
        <f t="shared" si="5"/>
        <v>0.12113469421737685</v>
      </c>
      <c r="R23" s="390">
        <f t="shared" si="5"/>
        <v>9.3692479830573674E-2</v>
      </c>
      <c r="S23" s="369"/>
    </row>
    <row r="24" spans="1:19" s="368" customFormat="1" x14ac:dyDescent="0.45">
      <c r="A24" s="368" t="s">
        <v>74</v>
      </c>
      <c r="B24" s="390">
        <v>0.1</v>
      </c>
      <c r="C24" s="390">
        <v>0.1</v>
      </c>
      <c r="D24" s="390">
        <v>0.1</v>
      </c>
      <c r="E24" s="390">
        <v>0.1</v>
      </c>
      <c r="F24" s="390">
        <v>0.1</v>
      </c>
      <c r="G24" s="390">
        <v>0.1</v>
      </c>
      <c r="H24" s="390">
        <v>0.1</v>
      </c>
      <c r="I24" s="390">
        <v>0.1</v>
      </c>
      <c r="J24" s="390">
        <v>0.05</v>
      </c>
      <c r="K24" s="390">
        <v>0</v>
      </c>
      <c r="L24" s="390">
        <v>0</v>
      </c>
      <c r="M24" s="390">
        <f>K24</f>
        <v>0</v>
      </c>
      <c r="N24" s="390">
        <f>M24</f>
        <v>0</v>
      </c>
      <c r="O24" s="390">
        <f>N24</f>
        <v>0</v>
      </c>
      <c r="P24" s="390">
        <f>O24</f>
        <v>0</v>
      </c>
      <c r="Q24" s="390">
        <f>P24</f>
        <v>0</v>
      </c>
      <c r="R24" s="390">
        <f>Q24</f>
        <v>0</v>
      </c>
      <c r="S24" s="369"/>
    </row>
    <row r="25" spans="1:19" s="368" customFormat="1" x14ac:dyDescent="0.45">
      <c r="A25" s="381" t="s">
        <v>73</v>
      </c>
      <c r="B25" s="391">
        <v>10.5</v>
      </c>
      <c r="C25" s="391">
        <v>12.6</v>
      </c>
      <c r="D25" s="391">
        <v>13.41</v>
      </c>
      <c r="E25" s="391">
        <v>13.3</v>
      </c>
      <c r="F25" s="391">
        <v>12.7</v>
      </c>
      <c r="G25" s="391">
        <v>10.74</v>
      </c>
      <c r="H25" s="391">
        <v>8.4</v>
      </c>
      <c r="I25" s="391">
        <v>4.0999999999999996</v>
      </c>
      <c r="J25" s="391">
        <v>1.54</v>
      </c>
      <c r="K25" s="391">
        <v>1.02</v>
      </c>
      <c r="L25" s="391"/>
      <c r="M25" s="391">
        <f>K25*K22/M22</f>
        <v>0.22316320550634394</v>
      </c>
      <c r="N25" s="391"/>
      <c r="O25" s="391"/>
      <c r="P25" s="391"/>
      <c r="Q25" s="391"/>
      <c r="R25" s="391"/>
      <c r="S25" s="369"/>
    </row>
    <row r="26" spans="1:19" s="368" customFormat="1" x14ac:dyDescent="0.45">
      <c r="B26" s="392"/>
      <c r="C26" s="392"/>
      <c r="D26" s="392"/>
      <c r="E26" s="392"/>
      <c r="F26" s="392"/>
      <c r="G26" s="392"/>
      <c r="H26" s="392"/>
      <c r="I26" s="392"/>
      <c r="J26" s="392"/>
      <c r="K26" s="392"/>
      <c r="Q26" s="369"/>
      <c r="R26" s="369"/>
      <c r="S26" s="369"/>
    </row>
    <row r="27" spans="1:19" s="368" customFormat="1" x14ac:dyDescent="0.45"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Q27" s="369"/>
      <c r="R27" s="369"/>
      <c r="S27" s="369"/>
    </row>
    <row r="28" spans="1:19" s="368" customFormat="1" x14ac:dyDescent="0.45">
      <c r="A28" s="381"/>
      <c r="B28" s="371" t="s">
        <v>190</v>
      </c>
      <c r="C28" s="371"/>
      <c r="D28" s="371"/>
      <c r="E28" s="371"/>
      <c r="F28" s="371"/>
      <c r="G28" s="371"/>
      <c r="H28" s="371"/>
      <c r="I28" s="371"/>
      <c r="J28" s="371"/>
      <c r="K28" s="371"/>
      <c r="L28" s="372" t="s">
        <v>221</v>
      </c>
      <c r="M28" s="372"/>
      <c r="N28" s="373" t="s">
        <v>219</v>
      </c>
      <c r="O28" s="373"/>
      <c r="P28" s="373"/>
      <c r="Q28" s="373"/>
      <c r="R28" s="373"/>
      <c r="S28" s="369"/>
    </row>
    <row r="29" spans="1:19" s="368" customFormat="1" x14ac:dyDescent="0.45">
      <c r="A29" s="374"/>
      <c r="B29" s="393">
        <v>2001</v>
      </c>
      <c r="C29" s="393">
        <v>2002</v>
      </c>
      <c r="D29" s="393">
        <v>2003</v>
      </c>
      <c r="E29" s="393">
        <v>2004</v>
      </c>
      <c r="F29" s="393">
        <v>2005</v>
      </c>
      <c r="G29" s="393">
        <v>2006</v>
      </c>
      <c r="H29" s="393">
        <v>2007</v>
      </c>
      <c r="I29" s="393">
        <v>2008</v>
      </c>
      <c r="J29" s="393">
        <v>2009</v>
      </c>
      <c r="K29" s="393">
        <v>2010</v>
      </c>
      <c r="L29" s="375" t="s">
        <v>222</v>
      </c>
      <c r="M29" s="375" t="s">
        <v>220</v>
      </c>
      <c r="N29" s="375">
        <v>2011</v>
      </c>
      <c r="O29" s="375">
        <f>N29+1</f>
        <v>2012</v>
      </c>
      <c r="P29" s="375">
        <f>O29+1</f>
        <v>2013</v>
      </c>
      <c r="Q29" s="375">
        <f>P29+1</f>
        <v>2014</v>
      </c>
      <c r="R29" s="375">
        <f>Q29+1</f>
        <v>2015</v>
      </c>
      <c r="S29" s="369"/>
    </row>
    <row r="30" spans="1:19" s="368" customFormat="1" ht="12.9" x14ac:dyDescent="0.5">
      <c r="A30" s="376" t="s">
        <v>153</v>
      </c>
      <c r="B30" s="394"/>
      <c r="C30" s="394"/>
      <c r="D30" s="394"/>
      <c r="E30" s="394"/>
      <c r="F30" s="394"/>
      <c r="G30" s="394"/>
      <c r="H30" s="394"/>
      <c r="I30" s="394"/>
      <c r="J30" s="394"/>
      <c r="K30" s="394"/>
      <c r="Q30" s="369"/>
      <c r="R30" s="369"/>
      <c r="S30" s="369"/>
    </row>
    <row r="31" spans="1:19" s="368" customFormat="1" x14ac:dyDescent="0.45">
      <c r="A31" s="368" t="s">
        <v>14</v>
      </c>
      <c r="B31" s="379">
        <v>50.5</v>
      </c>
      <c r="C31" s="379">
        <v>44.220421429798058</v>
      </c>
      <c r="D31" s="379">
        <v>43.741532455801369</v>
      </c>
      <c r="E31" s="379">
        <v>70.809678198583441</v>
      </c>
      <c r="F31" s="379">
        <v>77.156926320518011</v>
      </c>
      <c r="G31" s="379">
        <v>103.30266151339198</v>
      </c>
      <c r="H31" s="379">
        <v>63.230073140804876</v>
      </c>
      <c r="I31" s="379">
        <v>45.609420203084383</v>
      </c>
      <c r="J31" s="379">
        <v>32.605106533178031</v>
      </c>
      <c r="K31" s="379">
        <v>20.338927601688315</v>
      </c>
      <c r="L31" s="379">
        <v>0</v>
      </c>
      <c r="M31" s="379">
        <f>K31+L31</f>
        <v>20.338927601688315</v>
      </c>
      <c r="N31" s="379">
        <f>N80</f>
        <v>29.634335859187956</v>
      </c>
      <c r="O31" s="379">
        <f>O80</f>
        <v>84.312214032902304</v>
      </c>
      <c r="P31" s="379">
        <f>P80</f>
        <v>70.090593358712027</v>
      </c>
      <c r="Q31" s="379">
        <f>Q80</f>
        <v>72.883541891279421</v>
      </c>
      <c r="R31" s="379">
        <f>R80</f>
        <v>43.155316401713215</v>
      </c>
      <c r="S31" s="369"/>
    </row>
    <row r="32" spans="1:19" s="368" customFormat="1" x14ac:dyDescent="0.45">
      <c r="A32" s="368" t="s">
        <v>6</v>
      </c>
      <c r="B32" s="379">
        <v>73.671273334601224</v>
      </c>
      <c r="C32" s="379">
        <v>76.404241354803247</v>
      </c>
      <c r="D32" s="379">
        <v>89.666659599999988</v>
      </c>
      <c r="E32" s="379">
        <v>103.37542388096796</v>
      </c>
      <c r="F32" s="379">
        <v>124.97967129063282</v>
      </c>
      <c r="G32" s="379">
        <v>151.6125675477291</v>
      </c>
      <c r="H32" s="379">
        <v>179.27360499527367</v>
      </c>
      <c r="I32" s="379">
        <v>148.7131768416113</v>
      </c>
      <c r="J32" s="379">
        <v>137.77500000000001</v>
      </c>
      <c r="K32" s="379">
        <v>130.41969999999998</v>
      </c>
      <c r="L32" s="379">
        <v>0</v>
      </c>
      <c r="M32" s="379">
        <f>K32+L32</f>
        <v>130.41969999999998</v>
      </c>
      <c r="N32" s="388">
        <f t="shared" ref="N32:R33" si="6">N87</f>
        <v>135.74104438356161</v>
      </c>
      <c r="O32" s="388">
        <f t="shared" si="6"/>
        <v>135.4948249682831</v>
      </c>
      <c r="P32" s="388">
        <f t="shared" si="6"/>
        <v>131.38473561876751</v>
      </c>
      <c r="Q32" s="388">
        <f t="shared" si="6"/>
        <v>134.30893134434854</v>
      </c>
      <c r="R32" s="388">
        <f t="shared" si="6"/>
        <v>139.96079232304706</v>
      </c>
      <c r="S32" s="369"/>
    </row>
    <row r="33" spans="1:19" s="368" customFormat="1" x14ac:dyDescent="0.45">
      <c r="A33" s="368" t="s">
        <v>27</v>
      </c>
      <c r="B33" s="379">
        <v>130.16160000000002</v>
      </c>
      <c r="C33" s="379">
        <v>143.31799999999998</v>
      </c>
      <c r="D33" s="379">
        <v>155.56625279999997</v>
      </c>
      <c r="E33" s="379">
        <v>171.48158549666445</v>
      </c>
      <c r="F33" s="379">
        <v>188.82798162389091</v>
      </c>
      <c r="G33" s="379">
        <v>210.156034224575</v>
      </c>
      <c r="H33" s="379">
        <v>190.71660105880179</v>
      </c>
      <c r="I33" s="379">
        <v>167.07282830353861</v>
      </c>
      <c r="J33" s="379">
        <v>145.19999999999999</v>
      </c>
      <c r="K33" s="379">
        <v>138.29739999999998</v>
      </c>
      <c r="L33" s="379">
        <v>0</v>
      </c>
      <c r="M33" s="379">
        <f>K33+L33</f>
        <v>138.29739999999998</v>
      </c>
      <c r="N33" s="388">
        <f t="shared" si="6"/>
        <v>143.42449972602739</v>
      </c>
      <c r="O33" s="388">
        <f t="shared" si="6"/>
        <v>142.89459742257534</v>
      </c>
      <c r="P33" s="388">
        <f t="shared" si="6"/>
        <v>149.8873991297778</v>
      </c>
      <c r="Q33" s="388">
        <f t="shared" si="6"/>
        <v>156.63233209061781</v>
      </c>
      <c r="R33" s="388">
        <f t="shared" si="6"/>
        <v>162.11446371378941</v>
      </c>
      <c r="S33" s="369"/>
    </row>
    <row r="34" spans="1:19" s="368" customFormat="1" x14ac:dyDescent="0.45">
      <c r="A34" s="381" t="s">
        <v>15</v>
      </c>
      <c r="B34" s="382">
        <v>2.2999999999999998</v>
      </c>
      <c r="C34" s="382">
        <v>5.0999999999999996</v>
      </c>
      <c r="D34" s="382">
        <v>4.9000000000000004</v>
      </c>
      <c r="E34" s="382">
        <v>5</v>
      </c>
      <c r="F34" s="382">
        <v>6.8999999999999986</v>
      </c>
      <c r="G34" s="382">
        <v>4.9000000000000004</v>
      </c>
      <c r="H34" s="382">
        <v>5.3000000000000007</v>
      </c>
      <c r="I34" s="382">
        <v>7.8999999999999986</v>
      </c>
      <c r="J34" s="382">
        <v>7.1000000000000014</v>
      </c>
      <c r="K34" s="382">
        <v>7.8000000000000007</v>
      </c>
      <c r="L34" s="382">
        <v>0</v>
      </c>
      <c r="M34" s="382">
        <f>K34+L34</f>
        <v>7.8000000000000007</v>
      </c>
      <c r="N34" s="395">
        <f>M34</f>
        <v>7.8000000000000007</v>
      </c>
      <c r="O34" s="395">
        <f>N34</f>
        <v>7.8000000000000007</v>
      </c>
      <c r="P34" s="395">
        <f>O34</f>
        <v>7.8000000000000007</v>
      </c>
      <c r="Q34" s="395">
        <f>P34</f>
        <v>7.8000000000000007</v>
      </c>
      <c r="R34" s="395">
        <f>Q34</f>
        <v>7.8000000000000007</v>
      </c>
      <c r="S34" s="369"/>
    </row>
    <row r="35" spans="1:19" s="368" customFormat="1" x14ac:dyDescent="0.45">
      <c r="A35" s="368" t="s">
        <v>0</v>
      </c>
      <c r="B35" s="379">
        <v>256.63287333460124</v>
      </c>
      <c r="C35" s="379">
        <v>269.0426627846013</v>
      </c>
      <c r="D35" s="379">
        <v>293.8744448558013</v>
      </c>
      <c r="E35" s="379">
        <v>350.66668757621585</v>
      </c>
      <c r="F35" s="379">
        <v>397.86457923504167</v>
      </c>
      <c r="G35" s="379">
        <v>469.97126328569607</v>
      </c>
      <c r="H35" s="379">
        <v>438.52027919488035</v>
      </c>
      <c r="I35" s="379">
        <v>369.29542534823429</v>
      </c>
      <c r="J35" s="379">
        <v>322.68010653317805</v>
      </c>
      <c r="K35" s="379">
        <v>296.85602760168825</v>
      </c>
      <c r="L35" s="379">
        <f t="shared" ref="L35:R35" si="7">SUM(L31:L34)</f>
        <v>0</v>
      </c>
      <c r="M35" s="379">
        <f t="shared" si="7"/>
        <v>296.85602760168825</v>
      </c>
      <c r="N35" s="379">
        <f t="shared" si="7"/>
        <v>316.59987996877697</v>
      </c>
      <c r="O35" s="379">
        <f t="shared" si="7"/>
        <v>370.50163642376077</v>
      </c>
      <c r="P35" s="379">
        <f t="shared" si="7"/>
        <v>359.16272810725735</v>
      </c>
      <c r="Q35" s="379">
        <f t="shared" si="7"/>
        <v>371.62480532624579</v>
      </c>
      <c r="R35" s="379">
        <f t="shared" si="7"/>
        <v>353.03057243854965</v>
      </c>
      <c r="S35" s="369"/>
    </row>
    <row r="36" spans="1:19" s="368" customFormat="1" x14ac:dyDescent="0.45">
      <c r="A36" s="396" t="s">
        <v>50</v>
      </c>
      <c r="B36" s="397">
        <v>237.5</v>
      </c>
      <c r="C36" s="397">
        <v>257.26800000000003</v>
      </c>
      <c r="D36" s="397">
        <v>320.98084800000004</v>
      </c>
      <c r="E36" s="397">
        <v>538.69445730673647</v>
      </c>
      <c r="F36" s="397">
        <v>580.80717263292797</v>
      </c>
      <c r="G36" s="397">
        <v>697.37404444346009</v>
      </c>
      <c r="H36" s="397">
        <v>722.80292458463362</v>
      </c>
      <c r="I36" s="397">
        <v>662.69283745011535</v>
      </c>
      <c r="J36" s="397">
        <v>598.86783745011542</v>
      </c>
      <c r="K36" s="397">
        <v>558.82683745011548</v>
      </c>
      <c r="L36" s="397">
        <v>0</v>
      </c>
      <c r="M36" s="397">
        <f>K36+L36</f>
        <v>558.82683745011548</v>
      </c>
      <c r="N36" s="397">
        <f>M36-N63</f>
        <v>577.02683745011552</v>
      </c>
      <c r="O36" s="397">
        <f>N36-O63</f>
        <v>588.22683745011557</v>
      </c>
      <c r="P36" s="397">
        <f>O36-P63</f>
        <v>599.72683745011557</v>
      </c>
      <c r="Q36" s="397">
        <f>P36-Q63</f>
        <v>611.62683745011554</v>
      </c>
      <c r="R36" s="397">
        <f>Q36-R63</f>
        <v>621.52683745011552</v>
      </c>
      <c r="S36" s="369"/>
    </row>
    <row r="37" spans="1:19" s="368" customFormat="1" x14ac:dyDescent="0.45">
      <c r="A37" s="396" t="s">
        <v>139</v>
      </c>
      <c r="B37" s="397">
        <v>-26.5</v>
      </c>
      <c r="C37" s="397">
        <v>-42.325000000000003</v>
      </c>
      <c r="D37" s="397">
        <v>-58.445725000000003</v>
      </c>
      <c r="E37" s="397">
        <v>-78.135859225000004</v>
      </c>
      <c r="F37" s="397">
        <v>-112.67775408113</v>
      </c>
      <c r="G37" s="397">
        <v>-147.78746047251499</v>
      </c>
      <c r="H37" s="397">
        <v>-189.00645427033601</v>
      </c>
      <c r="I37" s="397">
        <v>-229.04118954390799</v>
      </c>
      <c r="J37" s="397">
        <v>-261.56506313687402</v>
      </c>
      <c r="K37" s="397">
        <v>-286.86277121036699</v>
      </c>
      <c r="L37" s="397">
        <v>0</v>
      </c>
      <c r="M37" s="397">
        <f>K37+L37</f>
        <v>-286.86277121036699</v>
      </c>
      <c r="N37" s="397">
        <f>M37+N10</f>
        <v>-313.46277121036701</v>
      </c>
      <c r="O37" s="397">
        <f>N37+O10</f>
        <v>-341.26277121036702</v>
      </c>
      <c r="P37" s="397">
        <f>O37+P10</f>
        <v>-371.162771210367</v>
      </c>
      <c r="Q37" s="397">
        <f>P37+Q10</f>
        <v>-401.96277121036701</v>
      </c>
      <c r="R37" s="397">
        <f>Q37+R10</f>
        <v>-433.06277121036703</v>
      </c>
      <c r="S37" s="369"/>
    </row>
    <row r="38" spans="1:19" collapsed="1" x14ac:dyDescent="0.45">
      <c r="A38" s="368" t="s">
        <v>9</v>
      </c>
      <c r="B38" s="379">
        <v>211</v>
      </c>
      <c r="C38" s="379">
        <v>214.94300000000004</v>
      </c>
      <c r="D38" s="379">
        <v>262.535123</v>
      </c>
      <c r="E38" s="379">
        <v>460.55859808173648</v>
      </c>
      <c r="F38" s="379">
        <v>468.1294185517977</v>
      </c>
      <c r="G38" s="379">
        <v>549.58658397094496</v>
      </c>
      <c r="H38" s="379">
        <v>533.79647031429772</v>
      </c>
      <c r="I38" s="379">
        <v>433.65164790620707</v>
      </c>
      <c r="J38" s="379">
        <v>337.30277431324163</v>
      </c>
      <c r="K38" s="379">
        <v>271.96406623974855</v>
      </c>
      <c r="L38" s="379">
        <f>L36-L37</f>
        <v>0</v>
      </c>
      <c r="M38" s="379">
        <f>K38+L38</f>
        <v>271.96406623974855</v>
      </c>
      <c r="N38" s="379">
        <f>N36+N37</f>
        <v>263.56406623974851</v>
      </c>
      <c r="O38" s="379">
        <f>O36+O37</f>
        <v>246.96406623974855</v>
      </c>
      <c r="P38" s="379">
        <f>P36+P37</f>
        <v>228.56406623974857</v>
      </c>
      <c r="Q38" s="379">
        <f>Q36+Q37</f>
        <v>209.66406623974854</v>
      </c>
      <c r="R38" s="379">
        <f>R36+R37</f>
        <v>188.46406623974849</v>
      </c>
    </row>
    <row r="39" spans="1:19" x14ac:dyDescent="0.45">
      <c r="A39" s="381" t="s">
        <v>13</v>
      </c>
      <c r="B39" s="382">
        <v>5.6</v>
      </c>
      <c r="C39" s="382">
        <v>6</v>
      </c>
      <c r="D39" s="382">
        <v>6.5</v>
      </c>
      <c r="E39" s="382">
        <v>7</v>
      </c>
      <c r="F39" s="382">
        <v>7.2</v>
      </c>
      <c r="G39" s="382">
        <v>7.4</v>
      </c>
      <c r="H39" s="382">
        <v>6.8</v>
      </c>
      <c r="I39" s="382">
        <v>6.5</v>
      </c>
      <c r="J39" s="382">
        <v>6.4</v>
      </c>
      <c r="K39" s="382">
        <v>5.9</v>
      </c>
      <c r="L39" s="382">
        <v>0</v>
      </c>
      <c r="M39" s="382">
        <f>K39+L39</f>
        <v>5.9</v>
      </c>
      <c r="N39" s="395">
        <f>M39</f>
        <v>5.9</v>
      </c>
      <c r="O39" s="395">
        <f>N39</f>
        <v>5.9</v>
      </c>
      <c r="P39" s="395">
        <f>O39</f>
        <v>5.9</v>
      </c>
      <c r="Q39" s="395">
        <f>P39</f>
        <v>5.9</v>
      </c>
      <c r="R39" s="395">
        <f>Q39</f>
        <v>5.9</v>
      </c>
    </row>
    <row r="40" spans="1:19" x14ac:dyDescent="0.45">
      <c r="A40" s="370" t="s">
        <v>1</v>
      </c>
      <c r="B40" s="384">
        <v>473.23287333460127</v>
      </c>
      <c r="C40" s="384">
        <v>489.98566278460135</v>
      </c>
      <c r="D40" s="384">
        <v>562.90956785580124</v>
      </c>
      <c r="E40" s="384">
        <v>818.22528565795233</v>
      </c>
      <c r="F40" s="384">
        <v>873.19399778683942</v>
      </c>
      <c r="G40" s="384">
        <v>1026.9578472566411</v>
      </c>
      <c r="H40" s="384">
        <v>979.11674950917802</v>
      </c>
      <c r="I40" s="384">
        <v>809.44707325444142</v>
      </c>
      <c r="J40" s="384">
        <v>666.38288084641965</v>
      </c>
      <c r="K40" s="384">
        <v>574.72009384143678</v>
      </c>
      <c r="L40" s="384">
        <f>L35+L38+L39</f>
        <v>0</v>
      </c>
      <c r="M40" s="384">
        <v>574.72009384143678</v>
      </c>
      <c r="N40" s="384">
        <f>N35+N38+N39</f>
        <v>586.06394620852541</v>
      </c>
      <c r="O40" s="384">
        <f>O35+O38+O39</f>
        <v>623.3657026635093</v>
      </c>
      <c r="P40" s="384">
        <f>P35+P38+P39</f>
        <v>593.6267943470059</v>
      </c>
      <c r="Q40" s="384">
        <f>Q35+Q38+Q39</f>
        <v>587.1888715659943</v>
      </c>
      <c r="R40" s="384">
        <f>R35+R38+R39</f>
        <v>547.39463867829807</v>
      </c>
    </row>
    <row r="41" spans="1:19" x14ac:dyDescent="0.45">
      <c r="B41" s="379"/>
      <c r="C41" s="379"/>
      <c r="D41" s="379"/>
      <c r="E41" s="379"/>
      <c r="F41" s="379"/>
      <c r="G41" s="379"/>
      <c r="H41" s="379"/>
      <c r="I41" s="379"/>
      <c r="J41" s="379"/>
      <c r="K41" s="379"/>
    </row>
    <row r="42" spans="1:19" x14ac:dyDescent="0.45">
      <c r="A42" s="368" t="s">
        <v>7</v>
      </c>
      <c r="B42" s="379">
        <v>70.626815999999991</v>
      </c>
      <c r="C42" s="379">
        <v>75.747022399999992</v>
      </c>
      <c r="D42" s="379">
        <v>83.590933171199978</v>
      </c>
      <c r="E42" s="379">
        <v>92.522220554923734</v>
      </c>
      <c r="F42" s="379">
        <v>106.37128501520793</v>
      </c>
      <c r="G42" s="379">
        <v>116.4211134817358</v>
      </c>
      <c r="H42" s="379">
        <v>108.58767542284646</v>
      </c>
      <c r="I42" s="379">
        <v>84.926239767437195</v>
      </c>
      <c r="J42" s="379">
        <v>76.902374999999992</v>
      </c>
      <c r="K42" s="379">
        <v>79.878127399999997</v>
      </c>
      <c r="L42" s="379">
        <v>0</v>
      </c>
      <c r="M42" s="379">
        <f>K42+L42</f>
        <v>79.878127399999997</v>
      </c>
      <c r="N42" s="388">
        <f>N89</f>
        <v>85.521860667089044</v>
      </c>
      <c r="O42" s="388">
        <f>O89</f>
        <v>90.932925396358527</v>
      </c>
      <c r="P42" s="388">
        <f>P89</f>
        <v>95.382890107565373</v>
      </c>
      <c r="Q42" s="388">
        <f>Q89</f>
        <v>99.675120162405818</v>
      </c>
      <c r="R42" s="388">
        <f>R89</f>
        <v>103.16374936809001</v>
      </c>
      <c r="S42" s="398"/>
    </row>
    <row r="43" spans="1:19" x14ac:dyDescent="0.45">
      <c r="A43" s="368" t="s">
        <v>54</v>
      </c>
      <c r="B43" s="379">
        <v>16.383855640000021</v>
      </c>
      <c r="C43" s="379">
        <v>17.37325970750004</v>
      </c>
      <c r="D43" s="379">
        <v>19.434257712500056</v>
      </c>
      <c r="E43" s="379">
        <v>21.096808358949556</v>
      </c>
      <c r="F43" s="379">
        <v>18.996685042960586</v>
      </c>
      <c r="G43" s="379">
        <v>15.569592394106404</v>
      </c>
      <c r="H43" s="379">
        <v>-21.112635000997233</v>
      </c>
      <c r="I43" s="379">
        <v>-41.510449436336572</v>
      </c>
      <c r="J43" s="379">
        <v>-67.294703691278187</v>
      </c>
      <c r="K43" s="379">
        <v>-79.2</v>
      </c>
      <c r="L43" s="379">
        <v>0</v>
      </c>
      <c r="M43" s="379">
        <f>K43+L43</f>
        <v>-79.2</v>
      </c>
      <c r="N43" s="388">
        <f>N113</f>
        <v>-75.978690450000002</v>
      </c>
      <c r="O43" s="388">
        <f>O113</f>
        <v>-59.290844587142857</v>
      </c>
      <c r="P43" s="388">
        <f>P113</f>
        <v>-29.097661297886859</v>
      </c>
      <c r="Q43" s="388">
        <f>Q113</f>
        <v>0</v>
      </c>
      <c r="R43" s="388">
        <f>R113</f>
        <v>0</v>
      </c>
    </row>
    <row r="44" spans="1:19" x14ac:dyDescent="0.45">
      <c r="A44" s="368" t="s">
        <v>25</v>
      </c>
      <c r="B44" s="379">
        <v>49.5</v>
      </c>
      <c r="C44" s="379">
        <v>47</v>
      </c>
      <c r="D44" s="379">
        <v>92.1</v>
      </c>
      <c r="E44" s="379">
        <v>35.200000000000003</v>
      </c>
      <c r="F44" s="379">
        <v>69.900000000000006</v>
      </c>
      <c r="G44" s="379">
        <v>47.3</v>
      </c>
      <c r="H44" s="379">
        <v>158.19999999999999</v>
      </c>
      <c r="I44" s="379">
        <v>162.5</v>
      </c>
      <c r="J44" s="379">
        <v>190.1</v>
      </c>
      <c r="K44" s="399">
        <v>215</v>
      </c>
      <c r="L44" s="399">
        <f>M44-K44</f>
        <v>-215</v>
      </c>
      <c r="M44" s="399">
        <f>'Pro Forma (Ex. 8)'!G6</f>
        <v>0</v>
      </c>
      <c r="N44" s="379">
        <f t="shared" ref="N44:R45" si="8">N123</f>
        <v>0</v>
      </c>
      <c r="O44" s="379">
        <f t="shared" si="8"/>
        <v>0</v>
      </c>
      <c r="P44" s="379">
        <f t="shared" si="8"/>
        <v>0</v>
      </c>
      <c r="Q44" s="379">
        <f t="shared" si="8"/>
        <v>0</v>
      </c>
      <c r="R44" s="379">
        <f t="shared" si="8"/>
        <v>0</v>
      </c>
    </row>
    <row r="45" spans="1:19" x14ac:dyDescent="0.45">
      <c r="A45" s="381" t="s">
        <v>28</v>
      </c>
      <c r="B45" s="382">
        <v>0</v>
      </c>
      <c r="C45" s="382">
        <v>0</v>
      </c>
      <c r="D45" s="382">
        <v>0</v>
      </c>
      <c r="E45" s="382">
        <v>0</v>
      </c>
      <c r="F45" s="382">
        <v>0</v>
      </c>
      <c r="G45" s="382">
        <v>40.714285714285715</v>
      </c>
      <c r="H45" s="382">
        <v>40.714285714285715</v>
      </c>
      <c r="I45" s="382">
        <v>40.714285714285715</v>
      </c>
      <c r="J45" s="382">
        <v>40.714285714285715</v>
      </c>
      <c r="K45" s="400">
        <v>40.714285714285715</v>
      </c>
      <c r="L45" s="400">
        <f>M45-K45</f>
        <v>-34.607142857142861</v>
      </c>
      <c r="M45" s="400">
        <f>'Pro Forma (Ex. 8)'!G7</f>
        <v>6.1071428571428568</v>
      </c>
      <c r="N45" s="382">
        <f t="shared" si="8"/>
        <v>6.1071428571428568</v>
      </c>
      <c r="O45" s="382">
        <f t="shared" si="8"/>
        <v>6.1071428571428568</v>
      </c>
      <c r="P45" s="382">
        <f t="shared" si="8"/>
        <v>6.1071428571428568</v>
      </c>
      <c r="Q45" s="382">
        <f t="shared" si="8"/>
        <v>6.1071428571428568</v>
      </c>
      <c r="R45" s="382">
        <f t="shared" si="8"/>
        <v>6.1071428571428568</v>
      </c>
    </row>
    <row r="46" spans="1:19" x14ac:dyDescent="0.45">
      <c r="A46" s="368" t="s">
        <v>110</v>
      </c>
      <c r="B46" s="379">
        <v>136.51067164</v>
      </c>
      <c r="C46" s="379">
        <v>140.12028210750003</v>
      </c>
      <c r="D46" s="379">
        <v>195.12519088370004</v>
      </c>
      <c r="E46" s="379">
        <v>148.8190289138733</v>
      </c>
      <c r="F46" s="379">
        <v>195.26797005816852</v>
      </c>
      <c r="G46" s="379">
        <v>220.00499159012793</v>
      </c>
      <c r="H46" s="379">
        <v>286.38932613613491</v>
      </c>
      <c r="I46" s="379">
        <v>246.63007604538635</v>
      </c>
      <c r="J46" s="379">
        <v>240.42195702300751</v>
      </c>
      <c r="K46" s="399">
        <v>256.39241311428572</v>
      </c>
      <c r="L46" s="399">
        <f t="shared" ref="L46:R46" si="9">SUM(L42:L45)</f>
        <v>-249.60714285714286</v>
      </c>
      <c r="M46" s="399">
        <f t="shared" si="9"/>
        <v>6.7852702571428507</v>
      </c>
      <c r="N46" s="379">
        <f t="shared" si="9"/>
        <v>15.650313074231899</v>
      </c>
      <c r="O46" s="379">
        <f t="shared" si="9"/>
        <v>37.749223666358525</v>
      </c>
      <c r="P46" s="379">
        <f t="shared" si="9"/>
        <v>72.392371666821376</v>
      </c>
      <c r="Q46" s="379">
        <f t="shared" si="9"/>
        <v>105.78226301954868</v>
      </c>
      <c r="R46" s="379">
        <f t="shared" si="9"/>
        <v>109.27089222523287</v>
      </c>
    </row>
    <row r="47" spans="1:19" x14ac:dyDescent="0.45">
      <c r="A47" s="368" t="s">
        <v>29</v>
      </c>
      <c r="B47" s="379">
        <v>0</v>
      </c>
      <c r="C47" s="379">
        <v>0</v>
      </c>
      <c r="D47" s="379">
        <v>0</v>
      </c>
      <c r="E47" s="379">
        <v>285</v>
      </c>
      <c r="F47" s="379">
        <v>285</v>
      </c>
      <c r="G47" s="379">
        <v>414.28571428571428</v>
      </c>
      <c r="H47" s="379">
        <v>373.57142857142856</v>
      </c>
      <c r="I47" s="379">
        <v>332.85714285714289</v>
      </c>
      <c r="J47" s="379">
        <v>292.14285714285711</v>
      </c>
      <c r="K47" s="399">
        <v>251.42857142857142</v>
      </c>
      <c r="L47" s="399">
        <f t="shared" ref="L47:R47" si="10">L48+L49+L50</f>
        <v>114.60642857142858</v>
      </c>
      <c r="M47" s="399">
        <f t="shared" si="10"/>
        <v>366.03499999999997</v>
      </c>
      <c r="N47" s="379">
        <f t="shared" si="10"/>
        <v>366.03499999999997</v>
      </c>
      <c r="O47" s="379">
        <f t="shared" si="10"/>
        <v>366.03499999999997</v>
      </c>
      <c r="P47" s="379">
        <f t="shared" si="10"/>
        <v>272.94476039377776</v>
      </c>
      <c r="Q47" s="379">
        <f t="shared" si="10"/>
        <v>198.72453210108091</v>
      </c>
      <c r="R47" s="379">
        <f t="shared" si="10"/>
        <v>129.17703210108093</v>
      </c>
    </row>
    <row r="48" spans="1:19" x14ac:dyDescent="0.45">
      <c r="A48" s="396" t="s">
        <v>170</v>
      </c>
      <c r="B48" s="397">
        <v>0</v>
      </c>
      <c r="C48" s="397">
        <v>0</v>
      </c>
      <c r="D48" s="397">
        <v>0</v>
      </c>
      <c r="E48" s="397">
        <v>0</v>
      </c>
      <c r="F48" s="397">
        <v>0</v>
      </c>
      <c r="G48" s="397">
        <v>0</v>
      </c>
      <c r="H48" s="397">
        <v>0</v>
      </c>
      <c r="I48" s="397">
        <v>0</v>
      </c>
      <c r="J48" s="397">
        <v>0</v>
      </c>
      <c r="K48" s="401">
        <v>0</v>
      </c>
      <c r="L48" s="401">
        <f>M48-K48</f>
        <v>225.75</v>
      </c>
      <c r="M48" s="401">
        <f>'Pro Forma (Ex. 8)'!G10</f>
        <v>225.75</v>
      </c>
      <c r="N48" s="397">
        <f t="shared" ref="N48:R50" si="11">N127</f>
        <v>225.75</v>
      </c>
      <c r="O48" s="397">
        <f t="shared" si="11"/>
        <v>225.75</v>
      </c>
      <c r="P48" s="397">
        <f t="shared" si="11"/>
        <v>145.7697603937778</v>
      </c>
      <c r="Q48" s="397">
        <f t="shared" si="11"/>
        <v>84.659532101080941</v>
      </c>
      <c r="R48" s="397">
        <f t="shared" si="11"/>
        <v>28.222032101080941</v>
      </c>
    </row>
    <row r="49" spans="1:18" x14ac:dyDescent="0.45">
      <c r="A49" s="396" t="s">
        <v>471</v>
      </c>
      <c r="B49" s="397">
        <v>0</v>
      </c>
      <c r="C49" s="397">
        <v>0</v>
      </c>
      <c r="D49" s="397">
        <v>0</v>
      </c>
      <c r="E49" s="397">
        <v>285</v>
      </c>
      <c r="F49" s="397">
        <v>285</v>
      </c>
      <c r="G49" s="397">
        <v>244.28571428571428</v>
      </c>
      <c r="H49" s="397">
        <v>203.57142857142856</v>
      </c>
      <c r="I49" s="397">
        <v>162.85714285714286</v>
      </c>
      <c r="J49" s="397">
        <v>122.14285714285714</v>
      </c>
      <c r="K49" s="401">
        <v>81.428571428571416</v>
      </c>
      <c r="L49" s="401">
        <f>M49-K49</f>
        <v>-2.768571428571434</v>
      </c>
      <c r="M49" s="401">
        <f>+'Pro Forma (Ex. 8)'!G11</f>
        <v>78.659999999999982</v>
      </c>
      <c r="N49" s="397">
        <f t="shared" si="11"/>
        <v>78.659999999999982</v>
      </c>
      <c r="O49" s="397">
        <f t="shared" si="11"/>
        <v>78.659999999999982</v>
      </c>
      <c r="P49" s="397">
        <f t="shared" si="11"/>
        <v>65.549999999999983</v>
      </c>
      <c r="Q49" s="397">
        <f t="shared" si="11"/>
        <v>52.439999999999984</v>
      </c>
      <c r="R49" s="397">
        <f t="shared" si="11"/>
        <v>39.329999999999984</v>
      </c>
    </row>
    <row r="50" spans="1:18" x14ac:dyDescent="0.45">
      <c r="A50" s="402" t="s">
        <v>470</v>
      </c>
      <c r="B50" s="403">
        <v>0</v>
      </c>
      <c r="C50" s="403">
        <v>0</v>
      </c>
      <c r="D50" s="403">
        <v>0</v>
      </c>
      <c r="E50" s="403">
        <v>0</v>
      </c>
      <c r="F50" s="403">
        <v>0</v>
      </c>
      <c r="G50" s="403">
        <v>170</v>
      </c>
      <c r="H50" s="403">
        <v>170</v>
      </c>
      <c r="I50" s="403">
        <v>170</v>
      </c>
      <c r="J50" s="403">
        <v>170</v>
      </c>
      <c r="K50" s="404">
        <v>170</v>
      </c>
      <c r="L50" s="404">
        <f>M50-K50</f>
        <v>-108.375</v>
      </c>
      <c r="M50" s="404">
        <f>'Pro Forma (Ex. 8)'!G12</f>
        <v>61.625</v>
      </c>
      <c r="N50" s="403">
        <f t="shared" si="11"/>
        <v>61.625</v>
      </c>
      <c r="O50" s="403">
        <f t="shared" si="11"/>
        <v>61.625</v>
      </c>
      <c r="P50" s="403">
        <f t="shared" si="11"/>
        <v>61.625</v>
      </c>
      <c r="Q50" s="403">
        <f t="shared" si="11"/>
        <v>61.625</v>
      </c>
      <c r="R50" s="403">
        <f t="shared" si="11"/>
        <v>61.625</v>
      </c>
    </row>
    <row r="51" spans="1:18" x14ac:dyDescent="0.45">
      <c r="A51" s="370" t="s">
        <v>8</v>
      </c>
      <c r="B51" s="379">
        <v>136.51067164</v>
      </c>
      <c r="C51" s="379">
        <v>140.12028210750003</v>
      </c>
      <c r="D51" s="379">
        <v>195.12519088370004</v>
      </c>
      <c r="E51" s="379">
        <v>433.8190289138733</v>
      </c>
      <c r="F51" s="379">
        <v>480.26797005816854</v>
      </c>
      <c r="G51" s="379">
        <v>634.29070587584215</v>
      </c>
      <c r="H51" s="379">
        <v>659.96075470756341</v>
      </c>
      <c r="I51" s="379">
        <v>579.48721890252921</v>
      </c>
      <c r="J51" s="379">
        <v>532.56481416586462</v>
      </c>
      <c r="K51" s="379">
        <v>507.8209845428571</v>
      </c>
      <c r="L51" s="379">
        <f t="shared" ref="L51:R51" si="12">L46+L47</f>
        <v>-135.00071428571428</v>
      </c>
      <c r="M51" s="379">
        <f t="shared" si="12"/>
        <v>372.82027025714279</v>
      </c>
      <c r="N51" s="379">
        <f t="shared" si="12"/>
        <v>381.68531307423189</v>
      </c>
      <c r="O51" s="379">
        <f t="shared" si="12"/>
        <v>403.78422366635851</v>
      </c>
      <c r="P51" s="379">
        <f t="shared" si="12"/>
        <v>345.33713206059912</v>
      </c>
      <c r="Q51" s="379">
        <f t="shared" si="12"/>
        <v>304.50679512062959</v>
      </c>
      <c r="R51" s="379">
        <f t="shared" si="12"/>
        <v>238.4479243263138</v>
      </c>
    </row>
    <row r="52" spans="1:18" x14ac:dyDescent="0.45">
      <c r="A52" s="368" t="s">
        <v>113</v>
      </c>
      <c r="B52" s="379">
        <v>75</v>
      </c>
      <c r="C52" s="379">
        <v>75</v>
      </c>
      <c r="D52" s="379">
        <v>75</v>
      </c>
      <c r="E52" s="379">
        <v>75</v>
      </c>
      <c r="F52" s="379">
        <v>75</v>
      </c>
      <c r="G52" s="379">
        <v>75</v>
      </c>
      <c r="H52" s="379">
        <v>75</v>
      </c>
      <c r="I52" s="379">
        <v>75</v>
      </c>
      <c r="J52" s="379">
        <v>75</v>
      </c>
      <c r="K52" s="399">
        <v>75</v>
      </c>
      <c r="L52" s="399">
        <f>M52-K52</f>
        <v>-50.25</v>
      </c>
      <c r="M52" s="399">
        <f>'Pro Forma (Ex. 8)'!G17</f>
        <v>24.749999999999996</v>
      </c>
      <c r="N52" s="388">
        <f>M52+N73</f>
        <v>24.749999999999996</v>
      </c>
      <c r="O52" s="388">
        <f>N52+O73</f>
        <v>24.749999999999996</v>
      </c>
      <c r="P52" s="388">
        <f>O52+P73</f>
        <v>24.749999999999996</v>
      </c>
      <c r="Q52" s="388">
        <f>P52+Q73</f>
        <v>24.749999999999996</v>
      </c>
      <c r="R52" s="388">
        <f>Q52+R73</f>
        <v>24.749999999999996</v>
      </c>
    </row>
    <row r="53" spans="1:18" x14ac:dyDescent="0.45">
      <c r="A53" s="381" t="s">
        <v>112</v>
      </c>
      <c r="B53" s="382">
        <v>261.72220169460127</v>
      </c>
      <c r="C53" s="382">
        <v>274.86538067710126</v>
      </c>
      <c r="D53" s="382">
        <v>292.78437697210126</v>
      </c>
      <c r="E53" s="382">
        <v>309.40625674407886</v>
      </c>
      <c r="F53" s="382">
        <v>317.92602772867076</v>
      </c>
      <c r="G53" s="382">
        <v>317.66714138079868</v>
      </c>
      <c r="H53" s="382">
        <v>244.15599480161436</v>
      </c>
      <c r="I53" s="382">
        <v>154.95985435191213</v>
      </c>
      <c r="J53" s="382">
        <v>58.818066680554871</v>
      </c>
      <c r="K53" s="400">
        <v>-8.1008907014204894</v>
      </c>
      <c r="L53" s="400">
        <f>M53-K53</f>
        <v>185.25071428571431</v>
      </c>
      <c r="M53" s="400">
        <f>'Pro Forma (Ex. 8)'!G18</f>
        <v>177.14982358429381</v>
      </c>
      <c r="N53" s="382">
        <f>M53+N16+N74+N76+N75</f>
        <v>179.62863313429381</v>
      </c>
      <c r="O53" s="382">
        <f>N53+O16+O74+O76+O75</f>
        <v>194.83147899715095</v>
      </c>
      <c r="P53" s="382">
        <f>O53+P16+P74+P76+P75</f>
        <v>223.53966228640695</v>
      </c>
      <c r="Q53" s="382">
        <f>P53+Q16+Q74+Q76+Q75</f>
        <v>257.93207644536488</v>
      </c>
      <c r="R53" s="382">
        <f>Q53+R16+R74+R76+R75</f>
        <v>284.19671435198455</v>
      </c>
    </row>
    <row r="54" spans="1:18" x14ac:dyDescent="0.45">
      <c r="A54" s="405" t="s">
        <v>2</v>
      </c>
      <c r="B54" s="406">
        <v>473.23287333460127</v>
      </c>
      <c r="C54" s="406">
        <v>489.98566278460129</v>
      </c>
      <c r="D54" s="406">
        <v>562.90956785580124</v>
      </c>
      <c r="E54" s="406">
        <v>818.2252856579521</v>
      </c>
      <c r="F54" s="406">
        <v>873.1939977868393</v>
      </c>
      <c r="G54" s="406">
        <v>1026.9578472566409</v>
      </c>
      <c r="H54" s="406">
        <v>979.11674950917779</v>
      </c>
      <c r="I54" s="406">
        <v>809.44707325444131</v>
      </c>
      <c r="J54" s="406">
        <v>666.38288084641954</v>
      </c>
      <c r="K54" s="406">
        <v>574.72009384143666</v>
      </c>
      <c r="L54" s="406">
        <v>574.72009384143666</v>
      </c>
      <c r="M54" s="406">
        <f t="shared" ref="M54:R54" si="13">M51+M52+M53</f>
        <v>574.72009384143666</v>
      </c>
      <c r="N54" s="406">
        <f t="shared" si="13"/>
        <v>586.06394620852575</v>
      </c>
      <c r="O54" s="406">
        <f t="shared" si="13"/>
        <v>623.36570266350941</v>
      </c>
      <c r="P54" s="406">
        <f t="shared" si="13"/>
        <v>593.62679434700613</v>
      </c>
      <c r="Q54" s="406">
        <f t="shared" si="13"/>
        <v>587.18887156599453</v>
      </c>
      <c r="R54" s="406">
        <f t="shared" si="13"/>
        <v>547.39463867829841</v>
      </c>
    </row>
    <row r="55" spans="1:18" x14ac:dyDescent="0.45">
      <c r="A55" s="407" t="s">
        <v>186</v>
      </c>
      <c r="B55" s="408">
        <f>B40-B54</f>
        <v>0</v>
      </c>
      <c r="C55" s="408">
        <f t="shared" ref="C55:R55" si="14">C40-C54</f>
        <v>0</v>
      </c>
      <c r="D55" s="408">
        <f t="shared" si="14"/>
        <v>0</v>
      </c>
      <c r="E55" s="408">
        <f t="shared" si="14"/>
        <v>0</v>
      </c>
      <c r="F55" s="408">
        <f t="shared" si="14"/>
        <v>0</v>
      </c>
      <c r="G55" s="408">
        <f t="shared" si="14"/>
        <v>0</v>
      </c>
      <c r="H55" s="408">
        <f t="shared" si="14"/>
        <v>0</v>
      </c>
      <c r="I55" s="408">
        <f t="shared" si="14"/>
        <v>0</v>
      </c>
      <c r="J55" s="408">
        <f t="shared" si="14"/>
        <v>0</v>
      </c>
      <c r="K55" s="408">
        <f t="shared" si="14"/>
        <v>0</v>
      </c>
      <c r="L55" s="408"/>
      <c r="M55" s="408">
        <f t="shared" si="14"/>
        <v>0</v>
      </c>
      <c r="N55" s="408">
        <f t="shared" si="14"/>
        <v>0</v>
      </c>
      <c r="O55" s="408">
        <f t="shared" si="14"/>
        <v>0</v>
      </c>
      <c r="P55" s="408">
        <f t="shared" si="14"/>
        <v>0</v>
      </c>
      <c r="Q55" s="408">
        <f t="shared" si="14"/>
        <v>0</v>
      </c>
      <c r="R55" s="408">
        <f t="shared" si="14"/>
        <v>0</v>
      </c>
    </row>
    <row r="56" spans="1:18" x14ac:dyDescent="0.45">
      <c r="A56" s="407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  <c r="Q56" s="408"/>
      <c r="R56" s="408"/>
    </row>
    <row r="57" spans="1:18" x14ac:dyDescent="0.45">
      <c r="B57" s="371" t="s">
        <v>190</v>
      </c>
      <c r="C57" s="371"/>
      <c r="D57" s="371"/>
      <c r="E57" s="371"/>
      <c r="F57" s="371"/>
      <c r="G57" s="371"/>
      <c r="H57" s="371"/>
      <c r="I57" s="371"/>
      <c r="J57" s="371"/>
      <c r="K57" s="371"/>
      <c r="L57" s="372" t="s">
        <v>221</v>
      </c>
      <c r="M57" s="372"/>
      <c r="N57" s="373" t="s">
        <v>219</v>
      </c>
      <c r="O57" s="373"/>
      <c r="P57" s="373"/>
      <c r="Q57" s="373"/>
      <c r="R57" s="373"/>
    </row>
    <row r="58" spans="1:18" x14ac:dyDescent="0.45">
      <c r="A58" s="374"/>
      <c r="B58" s="393">
        <v>2001</v>
      </c>
      <c r="C58" s="393">
        <v>2002</v>
      </c>
      <c r="D58" s="393">
        <v>2003</v>
      </c>
      <c r="E58" s="393">
        <v>2004</v>
      </c>
      <c r="F58" s="393">
        <v>2005</v>
      </c>
      <c r="G58" s="393">
        <v>2006</v>
      </c>
      <c r="H58" s="393">
        <v>2007</v>
      </c>
      <c r="I58" s="393">
        <v>2008</v>
      </c>
      <c r="J58" s="393">
        <v>2009</v>
      </c>
      <c r="K58" s="393">
        <v>2010</v>
      </c>
      <c r="L58" s="375" t="s">
        <v>222</v>
      </c>
      <c r="M58" s="375" t="s">
        <v>220</v>
      </c>
      <c r="N58" s="375">
        <v>2011</v>
      </c>
      <c r="O58" s="375">
        <f>N58+1</f>
        <v>2012</v>
      </c>
      <c r="P58" s="375">
        <f>O58+1</f>
        <v>2013</v>
      </c>
      <c r="Q58" s="375">
        <f>P58+1</f>
        <v>2014</v>
      </c>
      <c r="R58" s="375">
        <f>Q58+1</f>
        <v>2015</v>
      </c>
    </row>
    <row r="59" spans="1:18" ht="12.9" x14ac:dyDescent="0.5">
      <c r="A59" s="376" t="s">
        <v>185</v>
      </c>
      <c r="B59" s="394"/>
      <c r="C59" s="394"/>
      <c r="D59" s="394"/>
      <c r="E59" s="394"/>
      <c r="F59" s="394"/>
      <c r="G59" s="394"/>
      <c r="H59" s="394"/>
      <c r="I59" s="394"/>
      <c r="J59" s="394"/>
      <c r="K59" s="394"/>
      <c r="N59" s="409"/>
    </row>
    <row r="60" spans="1:18" x14ac:dyDescent="0.45">
      <c r="A60" s="410" t="s">
        <v>188</v>
      </c>
      <c r="B60" s="409"/>
      <c r="C60" s="409"/>
      <c r="D60" s="409"/>
      <c r="E60" s="409"/>
      <c r="F60" s="409"/>
      <c r="G60" s="409"/>
      <c r="H60" s="409"/>
      <c r="I60" s="409"/>
      <c r="J60" s="409"/>
      <c r="K60" s="409"/>
      <c r="N60" s="409"/>
    </row>
    <row r="61" spans="1:18" x14ac:dyDescent="0.45">
      <c r="A61" s="368" t="s">
        <v>187</v>
      </c>
      <c r="B61" s="379">
        <f t="shared" ref="B61" si="15">B16</f>
        <v>26.712874760000069</v>
      </c>
      <c r="C61" s="379">
        <f t="shared" ref="C61:K61" si="16">C16</f>
        <v>24.123178982499919</v>
      </c>
      <c r="D61" s="379">
        <f t="shared" si="16"/>
        <v>28.898996294999812</v>
      </c>
      <c r="E61" s="379">
        <f t="shared" si="16"/>
        <v>27.601879771972861</v>
      </c>
      <c r="F61" s="379">
        <f t="shared" si="16"/>
        <v>19.499770984595997</v>
      </c>
      <c r="G61" s="379">
        <f t="shared" si="16"/>
        <v>10.721113652129832</v>
      </c>
      <c r="H61" s="379">
        <f t="shared" si="16"/>
        <v>-62.531146579182646</v>
      </c>
      <c r="I61" s="379">
        <f t="shared" si="16"/>
        <v>-78.216140449702038</v>
      </c>
      <c r="J61" s="379">
        <f t="shared" si="16"/>
        <v>-90.651787671357198</v>
      </c>
      <c r="K61" s="379">
        <f t="shared" si="16"/>
        <v>-66.91895738197536</v>
      </c>
      <c r="L61" s="379">
        <v>0</v>
      </c>
      <c r="M61" s="379">
        <f t="shared" ref="M61:M66" si="17">K61+L61</f>
        <v>-66.91895738197536</v>
      </c>
      <c r="N61" s="379">
        <f>N16</f>
        <v>3.2213095499999973</v>
      </c>
      <c r="O61" s="379">
        <f>O16</f>
        <v>16.687845862857145</v>
      </c>
      <c r="P61" s="379">
        <f>P16</f>
        <v>30.193183289255998</v>
      </c>
      <c r="Q61" s="379">
        <f>Q16</f>
        <v>35.877414158957926</v>
      </c>
      <c r="R61" s="379">
        <f>R16</f>
        <v>27.749637906619675</v>
      </c>
    </row>
    <row r="62" spans="1:18" x14ac:dyDescent="0.45">
      <c r="A62" s="368" t="s">
        <v>10</v>
      </c>
      <c r="B62" s="379">
        <f t="shared" ref="B62" si="18">-B10</f>
        <v>6.5</v>
      </c>
      <c r="C62" s="379">
        <f t="shared" ref="C62:K62" si="19">-C10</f>
        <v>15.824999999999999</v>
      </c>
      <c r="D62" s="379">
        <f t="shared" si="19"/>
        <v>16.120725</v>
      </c>
      <c r="E62" s="379">
        <f t="shared" si="19"/>
        <v>19.690134225000001</v>
      </c>
      <c r="F62" s="379">
        <f t="shared" si="19"/>
        <v>34.541894856130199</v>
      </c>
      <c r="G62" s="379">
        <f t="shared" si="19"/>
        <v>35.109706391384798</v>
      </c>
      <c r="H62" s="379">
        <f t="shared" si="19"/>
        <v>41.2189937978209</v>
      </c>
      <c r="I62" s="379">
        <f t="shared" si="19"/>
        <v>40.034735273572302</v>
      </c>
      <c r="J62" s="379">
        <f t="shared" si="19"/>
        <v>32.523873592965501</v>
      </c>
      <c r="K62" s="379">
        <f t="shared" si="19"/>
        <v>25.297708073493101</v>
      </c>
      <c r="L62" s="379">
        <v>0</v>
      </c>
      <c r="M62" s="379">
        <f t="shared" si="17"/>
        <v>25.297708073493101</v>
      </c>
      <c r="N62" s="379">
        <f>-N10</f>
        <v>26.6</v>
      </c>
      <c r="O62" s="379">
        <f>-O10</f>
        <v>27.8</v>
      </c>
      <c r="P62" s="379">
        <f>-P10</f>
        <v>29.9</v>
      </c>
      <c r="Q62" s="379">
        <f>-Q10</f>
        <v>30.8</v>
      </c>
      <c r="R62" s="379">
        <f>-R10</f>
        <v>31.1</v>
      </c>
    </row>
    <row r="63" spans="1:18" x14ac:dyDescent="0.45">
      <c r="A63" s="368" t="s">
        <v>499</v>
      </c>
      <c r="B63" s="411">
        <f>C63/C6*B6*0.9</f>
        <v>-16.977600000000027</v>
      </c>
      <c r="C63" s="379">
        <f>B36-C36</f>
        <v>-19.768000000000029</v>
      </c>
      <c r="D63" s="379">
        <f t="shared" ref="D63:K63" si="20">C36-D36</f>
        <v>-63.712848000000008</v>
      </c>
      <c r="E63" s="379">
        <f t="shared" si="20"/>
        <v>-217.71360930673643</v>
      </c>
      <c r="F63" s="379">
        <f t="shared" si="20"/>
        <v>-42.112715326191505</v>
      </c>
      <c r="G63" s="379">
        <f t="shared" si="20"/>
        <v>-116.56687181053212</v>
      </c>
      <c r="H63" s="379">
        <f t="shared" si="20"/>
        <v>-25.428880141173522</v>
      </c>
      <c r="I63" s="379">
        <f t="shared" si="20"/>
        <v>60.110087134518267</v>
      </c>
      <c r="J63" s="379">
        <f t="shared" si="20"/>
        <v>63.824999999999932</v>
      </c>
      <c r="K63" s="379">
        <f t="shared" si="20"/>
        <v>40.04099999999994</v>
      </c>
      <c r="L63" s="379">
        <v>0</v>
      </c>
      <c r="M63" s="379">
        <f t="shared" si="17"/>
        <v>40.04099999999994</v>
      </c>
      <c r="N63" s="411">
        <f>-'Projections (Ex. 4)'!C14</f>
        <v>-18.2</v>
      </c>
      <c r="O63" s="411">
        <f>-'Projections (Ex. 4)'!D14</f>
        <v>-11.2</v>
      </c>
      <c r="P63" s="411">
        <f>-'Projections (Ex. 4)'!E14</f>
        <v>-11.5</v>
      </c>
      <c r="Q63" s="411">
        <f>-'Projections (Ex. 4)'!F14</f>
        <v>-11.9</v>
      </c>
      <c r="R63" s="411">
        <f>-'Projections (Ex. 4)'!G14</f>
        <v>-9.9</v>
      </c>
    </row>
    <row r="64" spans="1:18" x14ac:dyDescent="0.45">
      <c r="A64" s="368" t="s">
        <v>189</v>
      </c>
      <c r="B64" s="411">
        <f>C64/C6*B6*0.9</f>
        <v>-9.2490144841734878</v>
      </c>
      <c r="C64" s="379">
        <f>C91</f>
        <v>-10.769161620201999</v>
      </c>
      <c r="D64" s="379">
        <f t="shared" ref="D64:K64" si="21">D91</f>
        <v>-17.666760273996744</v>
      </c>
      <c r="E64" s="379">
        <f t="shared" si="21"/>
        <v>-20.692809593908663</v>
      </c>
      <c r="F64" s="379">
        <f t="shared" si="21"/>
        <v>-25.101579076607123</v>
      </c>
      <c r="G64" s="379">
        <f t="shared" si="21"/>
        <v>-37.911120391252553</v>
      </c>
      <c r="H64" s="379">
        <f t="shared" si="21"/>
        <v>-16.055042340660634</v>
      </c>
      <c r="I64" s="379">
        <f t="shared" si="21"/>
        <v>30.542765253516222</v>
      </c>
      <c r="J64" s="379">
        <f t="shared" si="21"/>
        <v>24.787140377712717</v>
      </c>
      <c r="K64" s="379">
        <f t="shared" si="21"/>
        <v>17.23365240000004</v>
      </c>
      <c r="L64" s="379">
        <v>0</v>
      </c>
      <c r="M64" s="379">
        <f t="shared" si="17"/>
        <v>17.23365240000004</v>
      </c>
      <c r="N64" s="379">
        <f>N91</f>
        <v>-4.8047108424999863</v>
      </c>
      <c r="O64" s="379">
        <f>O91</f>
        <v>6.1871864480000625</v>
      </c>
      <c r="P64" s="379">
        <f>P91</f>
        <v>1.5672523535199332</v>
      </c>
      <c r="Q64" s="379">
        <f>Q91</f>
        <v>-5.3768986315805591</v>
      </c>
      <c r="R64" s="379">
        <f>R91</f>
        <v>-7.6453633961858998</v>
      </c>
    </row>
    <row r="65" spans="1:20" x14ac:dyDescent="0.45">
      <c r="A65" s="368" t="s">
        <v>198</v>
      </c>
      <c r="B65" s="411">
        <f>C65/C6*B6*0.9</f>
        <v>-1.8985539004255207</v>
      </c>
      <c r="C65" s="379">
        <f t="shared" ref="C65:K65" si="22">B34-C34+B39-C39+(C43-B43)</f>
        <v>-2.2105959324999818</v>
      </c>
      <c r="D65" s="379">
        <f t="shared" si="22"/>
        <v>1.7609980050000154</v>
      </c>
      <c r="E65" s="379">
        <f t="shared" si="22"/>
        <v>1.0625506464495</v>
      </c>
      <c r="F65" s="379">
        <f t="shared" si="22"/>
        <v>-4.2001233159889688</v>
      </c>
      <c r="G65" s="379">
        <f t="shared" si="22"/>
        <v>-1.6270926488541821</v>
      </c>
      <c r="H65" s="379">
        <f t="shared" si="22"/>
        <v>-36.482227395103635</v>
      </c>
      <c r="I65" s="379">
        <f t="shared" si="22"/>
        <v>-22.697814435339335</v>
      </c>
      <c r="J65" s="379">
        <f t="shared" si="22"/>
        <v>-24.884254254941617</v>
      </c>
      <c r="K65" s="379">
        <f t="shared" si="22"/>
        <v>-12.105296308721815</v>
      </c>
      <c r="L65" s="379">
        <v>0</v>
      </c>
      <c r="M65" s="379">
        <f t="shared" si="17"/>
        <v>-12.105296308721815</v>
      </c>
      <c r="N65" s="379">
        <f>M34-N34+M39-N39+(N43-M43)</f>
        <v>3.2213095500000009</v>
      </c>
      <c r="O65" s="379">
        <f>N34-O34+N39-O39+(O43-N43)</f>
        <v>16.687845862857145</v>
      </c>
      <c r="P65" s="379">
        <f>O34-P34+O39-P39+(P43-O43)</f>
        <v>30.193183289255998</v>
      </c>
      <c r="Q65" s="379">
        <f>P34-Q34+P39-Q39+(Q43-P43)</f>
        <v>29.097661297886859</v>
      </c>
      <c r="R65" s="379">
        <f>Q34-R34+Q39-R39+(R43-Q43)</f>
        <v>0</v>
      </c>
    </row>
    <row r="66" spans="1:20" x14ac:dyDescent="0.45">
      <c r="A66" s="368" t="s">
        <v>4</v>
      </c>
      <c r="B66" s="382">
        <f t="shared" ref="B66" si="23">-B14</f>
        <v>2.3928696</v>
      </c>
      <c r="C66" s="382">
        <f t="shared" ref="C66:K66" si="24">-C14</f>
        <v>1.4244169499999999</v>
      </c>
      <c r="D66" s="382">
        <f t="shared" si="24"/>
        <v>0.99758910000000001</v>
      </c>
      <c r="E66" s="382">
        <f t="shared" si="24"/>
        <v>2.3030526</v>
      </c>
      <c r="F66" s="382">
        <f t="shared" si="24"/>
        <v>11.53304</v>
      </c>
      <c r="G66" s="382">
        <f t="shared" si="24"/>
        <v>14.4379752</v>
      </c>
      <c r="H66" s="382">
        <f t="shared" si="24"/>
        <v>22.608280000000001</v>
      </c>
      <c r="I66" s="382">
        <f t="shared" si="24"/>
        <v>24.131846979999999</v>
      </c>
      <c r="J66" s="382">
        <f t="shared" si="24"/>
        <v>19.787168333333302</v>
      </c>
      <c r="K66" s="382">
        <f t="shared" si="24"/>
        <v>18.246646899999998</v>
      </c>
      <c r="L66" s="382">
        <v>0</v>
      </c>
      <c r="M66" s="382">
        <f t="shared" si="17"/>
        <v>18.246646899999998</v>
      </c>
      <c r="N66" s="382">
        <f>-N14</f>
        <v>15.475098450000001</v>
      </c>
      <c r="O66" s="382">
        <f>-O14</f>
        <v>13.039442857142857</v>
      </c>
      <c r="P66" s="382">
        <f>-P14</f>
        <v>11.623202843544</v>
      </c>
      <c r="Q66" s="382">
        <f>-Q14</f>
        <v>9.6323386324537275</v>
      </c>
      <c r="R66" s="382">
        <f>-R14</f>
        <v>8.1892519349623143</v>
      </c>
    </row>
    <row r="67" spans="1:20" x14ac:dyDescent="0.45">
      <c r="A67" s="370" t="s">
        <v>188</v>
      </c>
      <c r="B67" s="384">
        <f>SUM(B61:B66)</f>
        <v>7.4805759754010337</v>
      </c>
      <c r="C67" s="384">
        <f>SUM(C61:C66)</f>
        <v>8.6248383797979091</v>
      </c>
      <c r="D67" s="384">
        <f t="shared" ref="D67:R67" si="25">SUM(D61:D66)</f>
        <v>-33.601299873996922</v>
      </c>
      <c r="E67" s="384">
        <f t="shared" si="25"/>
        <v>-187.74880165722274</v>
      </c>
      <c r="F67" s="384">
        <f t="shared" si="25"/>
        <v>-5.8397118780614008</v>
      </c>
      <c r="G67" s="384">
        <f t="shared" si="25"/>
        <v>-95.836289607124243</v>
      </c>
      <c r="H67" s="384">
        <f t="shared" si="25"/>
        <v>-76.67002265829953</v>
      </c>
      <c r="I67" s="384">
        <f t="shared" si="25"/>
        <v>53.905479756565413</v>
      </c>
      <c r="J67" s="384">
        <f t="shared" si="25"/>
        <v>25.387140377712637</v>
      </c>
      <c r="K67" s="384">
        <f t="shared" si="25"/>
        <v>21.7947536827959</v>
      </c>
      <c r="L67" s="384">
        <f t="shared" si="25"/>
        <v>0</v>
      </c>
      <c r="M67" s="384">
        <f t="shared" si="25"/>
        <v>21.7947536827959</v>
      </c>
      <c r="N67" s="384">
        <f t="shared" si="25"/>
        <v>25.513006707500015</v>
      </c>
      <c r="O67" s="384">
        <f t="shared" si="25"/>
        <v>69.202321030857206</v>
      </c>
      <c r="P67" s="384">
        <f t="shared" si="25"/>
        <v>91.976821775575928</v>
      </c>
      <c r="Q67" s="384">
        <f t="shared" si="25"/>
        <v>88.130515457717962</v>
      </c>
      <c r="R67" s="384">
        <f t="shared" si="25"/>
        <v>49.493526445396093</v>
      </c>
    </row>
    <row r="68" spans="1:20" x14ac:dyDescent="0.45">
      <c r="A68" s="410" t="s">
        <v>205</v>
      </c>
      <c r="B68" s="409"/>
      <c r="C68" s="409"/>
      <c r="D68" s="409"/>
      <c r="E68" s="409"/>
      <c r="F68" s="409"/>
      <c r="G68" s="409"/>
      <c r="H68" s="409"/>
      <c r="I68" s="409"/>
      <c r="J68" s="409"/>
      <c r="K68" s="409"/>
      <c r="N68" s="409"/>
    </row>
    <row r="69" spans="1:20" x14ac:dyDescent="0.45">
      <c r="A69" s="368" t="s">
        <v>199</v>
      </c>
      <c r="B69" s="411">
        <f>-C69</f>
        <v>2.5</v>
      </c>
      <c r="C69" s="379">
        <f t="shared" ref="C69:K69" si="26">C44-B44</f>
        <v>-2.5</v>
      </c>
      <c r="D69" s="379">
        <f t="shared" si="26"/>
        <v>45.099999999999994</v>
      </c>
      <c r="E69" s="379">
        <f t="shared" si="26"/>
        <v>-56.899999999999991</v>
      </c>
      <c r="F69" s="379">
        <f t="shared" si="26"/>
        <v>34.700000000000003</v>
      </c>
      <c r="G69" s="379">
        <f t="shared" si="26"/>
        <v>-22.600000000000009</v>
      </c>
      <c r="H69" s="379">
        <f t="shared" si="26"/>
        <v>110.89999999999999</v>
      </c>
      <c r="I69" s="379">
        <f t="shared" si="26"/>
        <v>4.3000000000000114</v>
      </c>
      <c r="J69" s="379">
        <f t="shared" si="26"/>
        <v>27.599999999999994</v>
      </c>
      <c r="K69" s="399">
        <f t="shared" si="26"/>
        <v>24.900000000000006</v>
      </c>
      <c r="L69" s="399">
        <f>L44</f>
        <v>-215</v>
      </c>
      <c r="M69" s="399">
        <f t="shared" ref="M69:M76" si="27">K69+L69</f>
        <v>-190.1</v>
      </c>
      <c r="N69" s="379">
        <f t="shared" ref="N69:R70" si="28">N44-M44</f>
        <v>0</v>
      </c>
      <c r="O69" s="379">
        <f t="shared" si="28"/>
        <v>0</v>
      </c>
      <c r="P69" s="379">
        <f t="shared" si="28"/>
        <v>0</v>
      </c>
      <c r="Q69" s="379">
        <f t="shared" si="28"/>
        <v>0</v>
      </c>
      <c r="R69" s="379">
        <f t="shared" si="28"/>
        <v>0</v>
      </c>
    </row>
    <row r="70" spans="1:20" x14ac:dyDescent="0.45">
      <c r="A70" s="368" t="s">
        <v>500</v>
      </c>
      <c r="B70" s="411">
        <v>0</v>
      </c>
      <c r="C70" s="379">
        <f t="shared" ref="C70:K70" si="29">C45-B45</f>
        <v>0</v>
      </c>
      <c r="D70" s="379">
        <f t="shared" si="29"/>
        <v>0</v>
      </c>
      <c r="E70" s="379">
        <f t="shared" si="29"/>
        <v>0</v>
      </c>
      <c r="F70" s="379">
        <f t="shared" si="29"/>
        <v>0</v>
      </c>
      <c r="G70" s="379">
        <f t="shared" si="29"/>
        <v>40.714285714285715</v>
      </c>
      <c r="H70" s="379">
        <f t="shared" si="29"/>
        <v>0</v>
      </c>
      <c r="I70" s="379">
        <f t="shared" si="29"/>
        <v>0</v>
      </c>
      <c r="J70" s="379">
        <f t="shared" si="29"/>
        <v>0</v>
      </c>
      <c r="K70" s="399">
        <f t="shared" si="29"/>
        <v>0</v>
      </c>
      <c r="L70" s="399">
        <f>L45</f>
        <v>-34.607142857142861</v>
      </c>
      <c r="M70" s="399">
        <f t="shared" si="27"/>
        <v>-34.607142857142861</v>
      </c>
      <c r="N70" s="379">
        <f t="shared" si="28"/>
        <v>0</v>
      </c>
      <c r="O70" s="379">
        <f t="shared" si="28"/>
        <v>0</v>
      </c>
      <c r="P70" s="379">
        <f t="shared" si="28"/>
        <v>0</v>
      </c>
      <c r="Q70" s="379">
        <f t="shared" si="28"/>
        <v>0</v>
      </c>
      <c r="R70" s="379">
        <f t="shared" si="28"/>
        <v>0</v>
      </c>
    </row>
    <row r="71" spans="1:20" x14ac:dyDescent="0.45">
      <c r="A71" s="368" t="s">
        <v>200</v>
      </c>
      <c r="B71" s="411">
        <v>0</v>
      </c>
      <c r="C71" s="379">
        <f t="shared" ref="C71:K71" si="30">C47-B47</f>
        <v>0</v>
      </c>
      <c r="D71" s="379">
        <f t="shared" si="30"/>
        <v>0</v>
      </c>
      <c r="E71" s="379">
        <f t="shared" si="30"/>
        <v>285</v>
      </c>
      <c r="F71" s="379">
        <f t="shared" si="30"/>
        <v>0</v>
      </c>
      <c r="G71" s="379">
        <f t="shared" si="30"/>
        <v>129.28571428571428</v>
      </c>
      <c r="H71" s="379">
        <f t="shared" si="30"/>
        <v>-40.714285714285722</v>
      </c>
      <c r="I71" s="379">
        <f t="shared" si="30"/>
        <v>-40.714285714285666</v>
      </c>
      <c r="J71" s="379">
        <f t="shared" si="30"/>
        <v>-40.714285714285779</v>
      </c>
      <c r="K71" s="399">
        <f t="shared" si="30"/>
        <v>-40.714285714285694</v>
      </c>
      <c r="L71" s="399">
        <f>L47</f>
        <v>114.60642857142858</v>
      </c>
      <c r="M71" s="399">
        <f t="shared" si="27"/>
        <v>73.892142857142886</v>
      </c>
      <c r="N71" s="379">
        <f>N47-M47</f>
        <v>0</v>
      </c>
      <c r="O71" s="379">
        <f>O47-N47</f>
        <v>0</v>
      </c>
      <c r="P71" s="379">
        <f>P47-O47</f>
        <v>-93.090239606222212</v>
      </c>
      <c r="Q71" s="379">
        <f>Q47-P47</f>
        <v>-74.220228292696845</v>
      </c>
      <c r="R71" s="379">
        <f>R47-Q47</f>
        <v>-69.547499999999985</v>
      </c>
    </row>
    <row r="72" spans="1:20" x14ac:dyDescent="0.45">
      <c r="A72" s="368" t="s">
        <v>4</v>
      </c>
      <c r="B72" s="379">
        <f t="shared" ref="B72" si="31">-B66</f>
        <v>-2.3928696</v>
      </c>
      <c r="C72" s="379">
        <f t="shared" ref="C72:K72" si="32">-C66</f>
        <v>-1.4244169499999999</v>
      </c>
      <c r="D72" s="379">
        <f t="shared" si="32"/>
        <v>-0.99758910000000001</v>
      </c>
      <c r="E72" s="379">
        <f t="shared" si="32"/>
        <v>-2.3030526</v>
      </c>
      <c r="F72" s="379">
        <f t="shared" si="32"/>
        <v>-11.53304</v>
      </c>
      <c r="G72" s="379">
        <f t="shared" si="32"/>
        <v>-14.4379752</v>
      </c>
      <c r="H72" s="379">
        <f t="shared" si="32"/>
        <v>-22.608280000000001</v>
      </c>
      <c r="I72" s="379">
        <f t="shared" si="32"/>
        <v>-24.131846979999999</v>
      </c>
      <c r="J72" s="379">
        <f t="shared" si="32"/>
        <v>-19.787168333333302</v>
      </c>
      <c r="K72" s="379">
        <f t="shared" si="32"/>
        <v>-18.246646899999998</v>
      </c>
      <c r="L72" s="379">
        <v>0</v>
      </c>
      <c r="M72" s="379">
        <f t="shared" si="27"/>
        <v>-18.246646899999998</v>
      </c>
      <c r="N72" s="379">
        <f>-N66</f>
        <v>-15.475098450000001</v>
      </c>
      <c r="O72" s="379">
        <f>-O66</f>
        <v>-13.039442857142857</v>
      </c>
      <c r="P72" s="379">
        <f>-P66</f>
        <v>-11.623202843544</v>
      </c>
      <c r="Q72" s="379">
        <f>-Q66</f>
        <v>-9.6323386324537275</v>
      </c>
      <c r="R72" s="379">
        <f>-R66</f>
        <v>-8.1892519349623143</v>
      </c>
    </row>
    <row r="73" spans="1:20" x14ac:dyDescent="0.45">
      <c r="A73" s="368" t="s">
        <v>201</v>
      </c>
      <c r="B73" s="411">
        <v>0</v>
      </c>
      <c r="C73" s="412">
        <f t="shared" ref="C73:K73" si="33">C52-B52</f>
        <v>0</v>
      </c>
      <c r="D73" s="412">
        <f t="shared" si="33"/>
        <v>0</v>
      </c>
      <c r="E73" s="412">
        <f t="shared" si="33"/>
        <v>0</v>
      </c>
      <c r="F73" s="412">
        <f t="shared" si="33"/>
        <v>0</v>
      </c>
      <c r="G73" s="412">
        <f t="shared" si="33"/>
        <v>0</v>
      </c>
      <c r="H73" s="412">
        <f t="shared" si="33"/>
        <v>0</v>
      </c>
      <c r="I73" s="412">
        <f t="shared" si="33"/>
        <v>0</v>
      </c>
      <c r="J73" s="412">
        <f t="shared" si="33"/>
        <v>0</v>
      </c>
      <c r="K73" s="399">
        <f t="shared" si="33"/>
        <v>0</v>
      </c>
      <c r="L73" s="399">
        <f>L52</f>
        <v>-50.25</v>
      </c>
      <c r="M73" s="399">
        <f t="shared" si="27"/>
        <v>-50.25</v>
      </c>
      <c r="N73" s="413">
        <v>0</v>
      </c>
      <c r="O73" s="413">
        <v>0</v>
      </c>
      <c r="P73" s="413">
        <v>0</v>
      </c>
      <c r="Q73" s="413">
        <v>0</v>
      </c>
      <c r="R73" s="413">
        <v>0</v>
      </c>
    </row>
    <row r="74" spans="1:20" x14ac:dyDescent="0.45">
      <c r="A74" s="368" t="s">
        <v>202</v>
      </c>
      <c r="B74" s="411">
        <v>0</v>
      </c>
      <c r="C74" s="379">
        <f t="shared" ref="C74:K74" si="34">C53-B53-C61-C75-C76</f>
        <v>7.1054273576010019E-14</v>
      </c>
      <c r="D74" s="379">
        <f t="shared" si="34"/>
        <v>1.8829382497642655E-13</v>
      </c>
      <c r="E74" s="379">
        <f t="shared" si="34"/>
        <v>4.7428727611986687E-12</v>
      </c>
      <c r="F74" s="379">
        <f t="shared" si="34"/>
        <v>-4.0962788716569776E-12</v>
      </c>
      <c r="G74" s="379">
        <f t="shared" si="34"/>
        <v>-1.9095836023552692E-12</v>
      </c>
      <c r="H74" s="379">
        <f t="shared" si="34"/>
        <v>-1.6804335700726369E-12</v>
      </c>
      <c r="I74" s="379">
        <f t="shared" si="34"/>
        <v>-1.8829382497642655E-13</v>
      </c>
      <c r="J74" s="379">
        <f t="shared" si="34"/>
        <v>-6.5725203057809267E-14</v>
      </c>
      <c r="K74" s="399">
        <f t="shared" si="34"/>
        <v>0</v>
      </c>
      <c r="L74" s="399">
        <f>L53</f>
        <v>185.25071428571431</v>
      </c>
      <c r="M74" s="399">
        <f t="shared" si="27"/>
        <v>185.25071428571431</v>
      </c>
      <c r="N74" s="413">
        <v>0</v>
      </c>
      <c r="O74" s="413">
        <v>0</v>
      </c>
      <c r="P74" s="413">
        <v>0</v>
      </c>
      <c r="Q74" s="413">
        <v>0</v>
      </c>
      <c r="R74" s="413">
        <v>0</v>
      </c>
    </row>
    <row r="75" spans="1:20" x14ac:dyDescent="0.45">
      <c r="A75" s="368" t="s">
        <v>204</v>
      </c>
      <c r="B75" s="379">
        <f t="shared" ref="B75" si="35">-B21</f>
        <v>-4.5</v>
      </c>
      <c r="C75" s="379">
        <f t="shared" ref="C75:K75" si="36">-C21</f>
        <v>-4.5</v>
      </c>
      <c r="D75" s="379">
        <f t="shared" si="36"/>
        <v>-4.5</v>
      </c>
      <c r="E75" s="379">
        <f t="shared" si="36"/>
        <v>-4.5</v>
      </c>
      <c r="F75" s="379">
        <f t="shared" si="36"/>
        <v>-4.5</v>
      </c>
      <c r="G75" s="379">
        <f t="shared" si="36"/>
        <v>-4.5</v>
      </c>
      <c r="H75" s="379">
        <f t="shared" si="36"/>
        <v>-4.5</v>
      </c>
      <c r="I75" s="379">
        <f t="shared" si="36"/>
        <v>-4.5</v>
      </c>
      <c r="J75" s="379">
        <f t="shared" si="36"/>
        <v>-2.25</v>
      </c>
      <c r="K75" s="379">
        <f t="shared" si="36"/>
        <v>0</v>
      </c>
      <c r="L75" s="379">
        <v>0</v>
      </c>
      <c r="M75" s="379">
        <f t="shared" si="27"/>
        <v>0</v>
      </c>
      <c r="N75" s="413">
        <f>M52/$K52*J75</f>
        <v>-0.74249999999999994</v>
      </c>
      <c r="O75" s="413">
        <f>M52/$K52*I75</f>
        <v>-1.4849999999999999</v>
      </c>
      <c r="P75" s="413">
        <f>M52/$K52*I75</f>
        <v>-1.4849999999999999</v>
      </c>
      <c r="Q75" s="413">
        <f>M52/$K52*I75</f>
        <v>-1.4849999999999999</v>
      </c>
      <c r="R75" s="413">
        <f>M52/$K52*I75</f>
        <v>-1.4849999999999999</v>
      </c>
      <c r="T75" s="637" t="s">
        <v>469</v>
      </c>
    </row>
    <row r="76" spans="1:20" x14ac:dyDescent="0.45">
      <c r="A76" s="368" t="s">
        <v>203</v>
      </c>
      <c r="B76" s="382">
        <f t="shared" ref="B76" si="37">-B24*B22</f>
        <v>-6.48</v>
      </c>
      <c r="C76" s="382">
        <f t="shared" ref="C76:K76" si="38">-C24*C22</f>
        <v>-6.48</v>
      </c>
      <c r="D76" s="382">
        <f t="shared" si="38"/>
        <v>-6.48</v>
      </c>
      <c r="E76" s="382">
        <f t="shared" si="38"/>
        <v>-6.48</v>
      </c>
      <c r="F76" s="382">
        <f t="shared" si="38"/>
        <v>-6.48</v>
      </c>
      <c r="G76" s="382">
        <f t="shared" si="38"/>
        <v>-6.48</v>
      </c>
      <c r="H76" s="382">
        <f t="shared" si="38"/>
        <v>-6.48</v>
      </c>
      <c r="I76" s="382">
        <f t="shared" si="38"/>
        <v>-6.48</v>
      </c>
      <c r="J76" s="382">
        <f t="shared" si="38"/>
        <v>-3.24</v>
      </c>
      <c r="K76" s="382">
        <f t="shared" si="38"/>
        <v>0</v>
      </c>
      <c r="L76" s="382">
        <v>0</v>
      </c>
      <c r="M76" s="382">
        <f t="shared" si="27"/>
        <v>0</v>
      </c>
      <c r="N76" s="395">
        <v>0</v>
      </c>
      <c r="O76" s="395">
        <v>0</v>
      </c>
      <c r="P76" s="395">
        <v>0</v>
      </c>
      <c r="Q76" s="395">
        <v>0</v>
      </c>
      <c r="R76" s="395">
        <v>0</v>
      </c>
    </row>
    <row r="77" spans="1:20" x14ac:dyDescent="0.45">
      <c r="A77" s="370" t="s">
        <v>205</v>
      </c>
      <c r="B77" s="414">
        <f>SUM(B69:B76)</f>
        <v>-10.872869600000001</v>
      </c>
      <c r="C77" s="414">
        <f>SUM(C69:C76)</f>
        <v>-14.904416949999929</v>
      </c>
      <c r="D77" s="414">
        <f t="shared" ref="D77:R77" si="39">SUM(D69:D76)</f>
        <v>33.122410900000176</v>
      </c>
      <c r="E77" s="414">
        <f t="shared" si="39"/>
        <v>214.81694740000478</v>
      </c>
      <c r="F77" s="414">
        <f t="shared" si="39"/>
        <v>12.186959999995906</v>
      </c>
      <c r="G77" s="414">
        <f t="shared" si="39"/>
        <v>121.98202479999806</v>
      </c>
      <c r="H77" s="414">
        <f t="shared" si="39"/>
        <v>36.597434285712581</v>
      </c>
      <c r="I77" s="414">
        <f t="shared" si="39"/>
        <v>-71.526132694285849</v>
      </c>
      <c r="J77" s="414">
        <f t="shared" si="39"/>
        <v>-38.391454047619149</v>
      </c>
      <c r="K77" s="414">
        <f t="shared" si="39"/>
        <v>-34.06093261428569</v>
      </c>
      <c r="L77" s="414">
        <f t="shared" si="39"/>
        <v>2.8421709430404007E-14</v>
      </c>
      <c r="M77" s="414">
        <f t="shared" si="39"/>
        <v>-34.060932614285662</v>
      </c>
      <c r="N77" s="414">
        <f t="shared" si="39"/>
        <v>-16.217598450000001</v>
      </c>
      <c r="O77" s="414">
        <f t="shared" si="39"/>
        <v>-14.524442857142857</v>
      </c>
      <c r="P77" s="414">
        <f t="shared" si="39"/>
        <v>-106.1984424497662</v>
      </c>
      <c r="Q77" s="414">
        <f t="shared" si="39"/>
        <v>-85.337566925150568</v>
      </c>
      <c r="R77" s="414">
        <f t="shared" si="39"/>
        <v>-79.221751934962299</v>
      </c>
    </row>
    <row r="78" spans="1:20" x14ac:dyDescent="0.45">
      <c r="A78" s="370" t="s">
        <v>206</v>
      </c>
      <c r="B78" s="384">
        <f>B67+B77</f>
        <v>-3.3922936245989677</v>
      </c>
      <c r="C78" s="384">
        <f>C67+C77</f>
        <v>-6.2795785702020197</v>
      </c>
      <c r="D78" s="384">
        <f t="shared" ref="D78:R78" si="40">D67+D77</f>
        <v>-0.4788889739967459</v>
      </c>
      <c r="E78" s="384">
        <f t="shared" si="40"/>
        <v>27.068145742782036</v>
      </c>
      <c r="F78" s="384">
        <f t="shared" si="40"/>
        <v>6.3472481219345056</v>
      </c>
      <c r="G78" s="384">
        <f t="shared" si="40"/>
        <v>26.145735192873815</v>
      </c>
      <c r="H78" s="384">
        <f t="shared" si="40"/>
        <v>-40.072588372586949</v>
      </c>
      <c r="I78" s="384">
        <f t="shared" si="40"/>
        <v>-17.620652937720436</v>
      </c>
      <c r="J78" s="384">
        <f t="shared" si="40"/>
        <v>-13.004313669906512</v>
      </c>
      <c r="K78" s="384">
        <f t="shared" si="40"/>
        <v>-12.26617893148979</v>
      </c>
      <c r="L78" s="384">
        <f t="shared" si="40"/>
        <v>2.8421709430404007E-14</v>
      </c>
      <c r="M78" s="384">
        <f t="shared" si="40"/>
        <v>-12.266178931489762</v>
      </c>
      <c r="N78" s="384">
        <f t="shared" si="40"/>
        <v>9.2954082575000143</v>
      </c>
      <c r="O78" s="384">
        <f t="shared" si="40"/>
        <v>54.677878173714348</v>
      </c>
      <c r="P78" s="384">
        <f t="shared" si="40"/>
        <v>-14.221620674190277</v>
      </c>
      <c r="Q78" s="384">
        <f t="shared" si="40"/>
        <v>2.7929485325673937</v>
      </c>
      <c r="R78" s="384">
        <f t="shared" si="40"/>
        <v>-29.728225489566206</v>
      </c>
    </row>
    <row r="79" spans="1:20" x14ac:dyDescent="0.45">
      <c r="A79" s="368" t="s">
        <v>207</v>
      </c>
      <c r="B79" s="379">
        <f>B80-B78</f>
        <v>53.89229362459897</v>
      </c>
      <c r="C79" s="379">
        <f t="shared" ref="C79:K79" si="41">B80</f>
        <v>50.5</v>
      </c>
      <c r="D79" s="379">
        <f t="shared" si="41"/>
        <v>44.22042142979798</v>
      </c>
      <c r="E79" s="379">
        <f t="shared" si="41"/>
        <v>43.741532455801234</v>
      </c>
      <c r="F79" s="379">
        <f t="shared" si="41"/>
        <v>70.809678198583271</v>
      </c>
      <c r="G79" s="379">
        <f t="shared" si="41"/>
        <v>77.156926320517783</v>
      </c>
      <c r="H79" s="379">
        <f t="shared" si="41"/>
        <v>103.3026615133916</v>
      </c>
      <c r="I79" s="379">
        <f t="shared" si="41"/>
        <v>63.230073140804649</v>
      </c>
      <c r="J79" s="379">
        <f t="shared" si="41"/>
        <v>45.609420203084213</v>
      </c>
      <c r="K79" s="379">
        <f t="shared" si="41"/>
        <v>32.605106533177704</v>
      </c>
      <c r="L79" s="379"/>
      <c r="M79" s="379">
        <f>K79</f>
        <v>32.605106533177704</v>
      </c>
      <c r="N79" s="409">
        <f>M80</f>
        <v>20.338927601687942</v>
      </c>
      <c r="O79" s="409">
        <f>N80</f>
        <v>29.634335859187956</v>
      </c>
      <c r="P79" s="409">
        <f>O80</f>
        <v>84.312214032902304</v>
      </c>
      <c r="Q79" s="409">
        <f>P80</f>
        <v>70.090593358712027</v>
      </c>
      <c r="R79" s="409">
        <f>Q80</f>
        <v>72.883541891279421</v>
      </c>
    </row>
    <row r="80" spans="1:20" x14ac:dyDescent="0.45">
      <c r="A80" s="368" t="s">
        <v>208</v>
      </c>
      <c r="B80" s="379">
        <f>B31</f>
        <v>50.5</v>
      </c>
      <c r="C80" s="379">
        <f t="shared" ref="C80:K80" si="42">C79+C78</f>
        <v>44.22042142979798</v>
      </c>
      <c r="D80" s="379">
        <f t="shared" si="42"/>
        <v>43.741532455801234</v>
      </c>
      <c r="E80" s="379">
        <f t="shared" si="42"/>
        <v>70.809678198583271</v>
      </c>
      <c r="F80" s="379">
        <f t="shared" si="42"/>
        <v>77.156926320517783</v>
      </c>
      <c r="G80" s="379">
        <f t="shared" si="42"/>
        <v>103.3026615133916</v>
      </c>
      <c r="H80" s="379">
        <f t="shared" si="42"/>
        <v>63.230073140804649</v>
      </c>
      <c r="I80" s="379">
        <f t="shared" si="42"/>
        <v>45.609420203084213</v>
      </c>
      <c r="J80" s="379">
        <f t="shared" si="42"/>
        <v>32.605106533177704</v>
      </c>
      <c r="K80" s="379">
        <f t="shared" si="42"/>
        <v>20.338927601687914</v>
      </c>
      <c r="L80" s="379"/>
      <c r="M80" s="379">
        <f>M79+M78</f>
        <v>20.338927601687942</v>
      </c>
      <c r="N80" s="409">
        <f>N78+N79</f>
        <v>29.634335859187956</v>
      </c>
      <c r="O80" s="409">
        <f>O78+O79</f>
        <v>84.312214032902304</v>
      </c>
      <c r="P80" s="409">
        <f>P78+P79</f>
        <v>70.090593358712027</v>
      </c>
      <c r="Q80" s="409">
        <f>Q78+Q79</f>
        <v>72.883541891279421</v>
      </c>
      <c r="R80" s="409">
        <f>R78+R79</f>
        <v>43.155316401713215</v>
      </c>
    </row>
    <row r="81" spans="1:18" x14ac:dyDescent="0.45">
      <c r="A81" s="407" t="s">
        <v>186</v>
      </c>
      <c r="B81" s="415">
        <f t="shared" ref="B81" si="43">B31-B80</f>
        <v>0</v>
      </c>
      <c r="C81" s="415">
        <f>C31-C80</f>
        <v>7.815970093361102E-14</v>
      </c>
      <c r="D81" s="415">
        <f t="shared" ref="D81:R81" si="44">D31-D80</f>
        <v>1.3500311979441904E-13</v>
      </c>
      <c r="E81" s="415">
        <f t="shared" si="44"/>
        <v>1.7053025658242404E-13</v>
      </c>
      <c r="F81" s="415">
        <f t="shared" si="44"/>
        <v>2.2737367544323206E-13</v>
      </c>
      <c r="G81" s="415">
        <f t="shared" si="44"/>
        <v>3.836930773104541E-13</v>
      </c>
      <c r="H81" s="415">
        <f t="shared" si="44"/>
        <v>2.2737367544323206E-13</v>
      </c>
      <c r="I81" s="415">
        <f t="shared" si="44"/>
        <v>1.7053025658242404E-13</v>
      </c>
      <c r="J81" s="415">
        <f t="shared" si="44"/>
        <v>3.2684965844964609E-13</v>
      </c>
      <c r="K81" s="415">
        <f t="shared" si="44"/>
        <v>4.0145664570445661E-13</v>
      </c>
      <c r="L81" s="415"/>
      <c r="M81" s="415">
        <f t="shared" si="44"/>
        <v>3.730349362740526E-13</v>
      </c>
      <c r="N81" s="415">
        <f t="shared" si="44"/>
        <v>0</v>
      </c>
      <c r="O81" s="415">
        <f t="shared" si="44"/>
        <v>0</v>
      </c>
      <c r="P81" s="415">
        <f t="shared" si="44"/>
        <v>0</v>
      </c>
      <c r="Q81" s="415">
        <f t="shared" si="44"/>
        <v>0</v>
      </c>
      <c r="R81" s="415">
        <f t="shared" si="44"/>
        <v>0</v>
      </c>
    </row>
    <row r="82" spans="1:18" x14ac:dyDescent="0.45">
      <c r="A82" s="370"/>
      <c r="B82" s="379"/>
      <c r="C82" s="384"/>
      <c r="D82" s="416"/>
      <c r="E82" s="416"/>
      <c r="F82" s="416"/>
      <c r="G82" s="416"/>
      <c r="H82" s="416"/>
      <c r="I82" s="416"/>
      <c r="J82" s="416"/>
      <c r="K82" s="416"/>
      <c r="N82" s="409"/>
    </row>
    <row r="83" spans="1:18" x14ac:dyDescent="0.45">
      <c r="B83" s="371" t="s">
        <v>190</v>
      </c>
      <c r="C83" s="371"/>
      <c r="D83" s="371"/>
      <c r="E83" s="371"/>
      <c r="F83" s="371"/>
      <c r="G83" s="371"/>
      <c r="H83" s="371"/>
      <c r="I83" s="371"/>
      <c r="J83" s="371"/>
      <c r="K83" s="371"/>
      <c r="L83" s="372" t="s">
        <v>221</v>
      </c>
      <c r="M83" s="372"/>
      <c r="N83" s="373" t="s">
        <v>219</v>
      </c>
      <c r="O83" s="373"/>
      <c r="P83" s="373"/>
      <c r="Q83" s="373"/>
      <c r="R83" s="373"/>
    </row>
    <row r="84" spans="1:18" s="18" customFormat="1" ht="12.9" x14ac:dyDescent="0.5">
      <c r="A84" s="374"/>
      <c r="B84" s="375">
        <v>2001</v>
      </c>
      <c r="C84" s="375">
        <v>2002</v>
      </c>
      <c r="D84" s="375">
        <v>2003</v>
      </c>
      <c r="E84" s="375">
        <v>2004</v>
      </c>
      <c r="F84" s="375">
        <v>2005</v>
      </c>
      <c r="G84" s="375">
        <v>2006</v>
      </c>
      <c r="H84" s="375">
        <v>2007</v>
      </c>
      <c r="I84" s="375">
        <v>2008</v>
      </c>
      <c r="J84" s="375">
        <v>2009</v>
      </c>
      <c r="K84" s="375">
        <v>2010</v>
      </c>
      <c r="L84" s="375" t="s">
        <v>222</v>
      </c>
      <c r="M84" s="375" t="s">
        <v>220</v>
      </c>
      <c r="N84" s="375">
        <v>2011</v>
      </c>
      <c r="O84" s="375">
        <f>N84+1</f>
        <v>2012</v>
      </c>
      <c r="P84" s="375">
        <f>O84+1</f>
        <v>2013</v>
      </c>
      <c r="Q84" s="375">
        <f>P84+1</f>
        <v>2014</v>
      </c>
      <c r="R84" s="375">
        <f>Q84+1</f>
        <v>2015</v>
      </c>
    </row>
    <row r="85" spans="1:18" ht="12.9" x14ac:dyDescent="0.45">
      <c r="A85" s="417" t="s">
        <v>191</v>
      </c>
      <c r="B85" s="409"/>
      <c r="C85" s="409"/>
      <c r="D85" s="409"/>
      <c r="E85" s="409"/>
      <c r="F85" s="409"/>
      <c r="G85" s="409"/>
      <c r="H85" s="409"/>
      <c r="I85" s="409"/>
      <c r="J85" s="409"/>
      <c r="K85" s="409"/>
      <c r="N85" s="409"/>
    </row>
    <row r="86" spans="1:18" x14ac:dyDescent="0.45">
      <c r="A86" s="418" t="s">
        <v>192</v>
      </c>
      <c r="B86" s="409"/>
      <c r="C86" s="409"/>
      <c r="D86" s="409"/>
      <c r="E86" s="409"/>
      <c r="F86" s="409"/>
      <c r="G86" s="409"/>
      <c r="H86" s="409"/>
      <c r="I86" s="409"/>
      <c r="J86" s="409"/>
      <c r="K86" s="409"/>
      <c r="N86" s="409"/>
    </row>
    <row r="87" spans="1:18" x14ac:dyDescent="0.45">
      <c r="A87" s="368" t="s">
        <v>6</v>
      </c>
      <c r="B87" s="379">
        <f t="shared" ref="B87:K87" si="45">B32</f>
        <v>73.671273334601224</v>
      </c>
      <c r="C87" s="379">
        <f t="shared" si="45"/>
        <v>76.404241354803247</v>
      </c>
      <c r="D87" s="379">
        <f t="shared" si="45"/>
        <v>89.666659599999988</v>
      </c>
      <c r="E87" s="379">
        <f t="shared" si="45"/>
        <v>103.37542388096796</v>
      </c>
      <c r="F87" s="379">
        <f t="shared" si="45"/>
        <v>124.97967129063282</v>
      </c>
      <c r="G87" s="379">
        <f t="shared" si="45"/>
        <v>151.6125675477291</v>
      </c>
      <c r="H87" s="379">
        <f t="shared" si="45"/>
        <v>179.27360499527367</v>
      </c>
      <c r="I87" s="379">
        <f t="shared" si="45"/>
        <v>148.7131768416113</v>
      </c>
      <c r="J87" s="379">
        <f t="shared" si="45"/>
        <v>137.77500000000001</v>
      </c>
      <c r="K87" s="379">
        <f t="shared" si="45"/>
        <v>130.41969999999998</v>
      </c>
      <c r="L87" s="379"/>
      <c r="M87" s="379">
        <f>K87</f>
        <v>130.41969999999998</v>
      </c>
      <c r="N87" s="379">
        <f>(N6/365)*N97</f>
        <v>135.74104438356161</v>
      </c>
      <c r="O87" s="379">
        <f>(O6/365)*O97</f>
        <v>135.4948249682831</v>
      </c>
      <c r="P87" s="379">
        <f>(P6/365)*P97</f>
        <v>131.38473561876751</v>
      </c>
      <c r="Q87" s="379">
        <f>(Q6/365)*Q97</f>
        <v>134.30893134434854</v>
      </c>
      <c r="R87" s="379">
        <f>(R6/365)*R97</f>
        <v>139.96079232304706</v>
      </c>
    </row>
    <row r="88" spans="1:18" x14ac:dyDescent="0.45">
      <c r="A88" s="368" t="s">
        <v>193</v>
      </c>
      <c r="B88" s="379">
        <f t="shared" ref="B88:K88" si="46">B33</f>
        <v>130.16160000000002</v>
      </c>
      <c r="C88" s="379">
        <f t="shared" si="46"/>
        <v>143.31799999999998</v>
      </c>
      <c r="D88" s="379">
        <f t="shared" si="46"/>
        <v>155.56625279999997</v>
      </c>
      <c r="E88" s="379">
        <f t="shared" si="46"/>
        <v>171.48158549666445</v>
      </c>
      <c r="F88" s="379">
        <f t="shared" si="46"/>
        <v>188.82798162389091</v>
      </c>
      <c r="G88" s="379">
        <f t="shared" si="46"/>
        <v>210.156034224575</v>
      </c>
      <c r="H88" s="379">
        <f t="shared" si="46"/>
        <v>190.71660105880179</v>
      </c>
      <c r="I88" s="379">
        <f t="shared" si="46"/>
        <v>167.07282830353861</v>
      </c>
      <c r="J88" s="379">
        <f t="shared" si="46"/>
        <v>145.19999999999999</v>
      </c>
      <c r="K88" s="379">
        <f t="shared" si="46"/>
        <v>138.29739999999998</v>
      </c>
      <c r="L88" s="379"/>
      <c r="M88" s="379">
        <f>K88</f>
        <v>138.29739999999998</v>
      </c>
      <c r="N88" s="379">
        <f>(-N7/365)*N98</f>
        <v>143.42449972602739</v>
      </c>
      <c r="O88" s="379">
        <f>(-O7/365)*O98</f>
        <v>142.89459742257534</v>
      </c>
      <c r="P88" s="379">
        <f>(-P7/365)*P98</f>
        <v>149.8873991297778</v>
      </c>
      <c r="Q88" s="379">
        <f>(-Q7/365)*Q98</f>
        <v>156.63233209061781</v>
      </c>
      <c r="R88" s="379">
        <f>(-R7/365)*R98</f>
        <v>162.11446371378941</v>
      </c>
    </row>
    <row r="89" spans="1:18" x14ac:dyDescent="0.45">
      <c r="A89" s="368" t="s">
        <v>7</v>
      </c>
      <c r="B89" s="382">
        <f t="shared" ref="B89:K89" si="47">B42</f>
        <v>70.626815999999991</v>
      </c>
      <c r="C89" s="382">
        <f t="shared" si="47"/>
        <v>75.747022399999992</v>
      </c>
      <c r="D89" s="382">
        <f t="shared" si="47"/>
        <v>83.590933171199978</v>
      </c>
      <c r="E89" s="382">
        <f t="shared" si="47"/>
        <v>92.522220554923734</v>
      </c>
      <c r="F89" s="382">
        <f t="shared" si="47"/>
        <v>106.37128501520793</v>
      </c>
      <c r="G89" s="382">
        <f t="shared" si="47"/>
        <v>116.4211134817358</v>
      </c>
      <c r="H89" s="382">
        <f t="shared" si="47"/>
        <v>108.58767542284646</v>
      </c>
      <c r="I89" s="382">
        <f t="shared" si="47"/>
        <v>84.926239767437195</v>
      </c>
      <c r="J89" s="382">
        <f t="shared" si="47"/>
        <v>76.902374999999992</v>
      </c>
      <c r="K89" s="382">
        <f t="shared" si="47"/>
        <v>79.878127399999997</v>
      </c>
      <c r="L89" s="382"/>
      <c r="M89" s="382">
        <f>K89</f>
        <v>79.878127399999997</v>
      </c>
      <c r="N89" s="382">
        <f>(-N7/365)*N99</f>
        <v>85.521860667089044</v>
      </c>
      <c r="O89" s="382">
        <f>(-O7/365)*O99</f>
        <v>90.932925396358527</v>
      </c>
      <c r="P89" s="382">
        <f>(-P7/365)*P99</f>
        <v>95.382890107565373</v>
      </c>
      <c r="Q89" s="382">
        <f>(-Q7/365)*Q99</f>
        <v>99.675120162405818</v>
      </c>
      <c r="R89" s="382">
        <f>(-R7/365)*R99</f>
        <v>103.16374936809001</v>
      </c>
    </row>
    <row r="90" spans="1:18" x14ac:dyDescent="0.45">
      <c r="A90" s="370" t="s">
        <v>194</v>
      </c>
      <c r="B90" s="384">
        <f t="shared" ref="B90:K90" si="48">B87+B88-B89</f>
        <v>133.20605733460124</v>
      </c>
      <c r="C90" s="384">
        <f t="shared" si="48"/>
        <v>143.97521895480324</v>
      </c>
      <c r="D90" s="384">
        <f t="shared" si="48"/>
        <v>161.64197922879998</v>
      </c>
      <c r="E90" s="384">
        <f t="shared" si="48"/>
        <v>182.33478882270865</v>
      </c>
      <c r="F90" s="384">
        <f t="shared" si="48"/>
        <v>207.43636789931577</v>
      </c>
      <c r="G90" s="384">
        <f t="shared" si="48"/>
        <v>245.34748829056832</v>
      </c>
      <c r="H90" s="384">
        <f t="shared" si="48"/>
        <v>261.40253063122896</v>
      </c>
      <c r="I90" s="384">
        <f t="shared" si="48"/>
        <v>230.85976537771273</v>
      </c>
      <c r="J90" s="384">
        <f t="shared" si="48"/>
        <v>206.07262500000002</v>
      </c>
      <c r="K90" s="384">
        <f t="shared" si="48"/>
        <v>188.83897259999998</v>
      </c>
      <c r="L90" s="384"/>
      <c r="M90" s="384">
        <f t="shared" ref="M90:R90" si="49">M87+M88-M89</f>
        <v>188.83897259999998</v>
      </c>
      <c r="N90" s="384">
        <f t="shared" si="49"/>
        <v>193.64368344249996</v>
      </c>
      <c r="O90" s="384">
        <f t="shared" si="49"/>
        <v>187.4564969944999</v>
      </c>
      <c r="P90" s="384">
        <f t="shared" si="49"/>
        <v>185.88924464097997</v>
      </c>
      <c r="Q90" s="384">
        <f t="shared" si="49"/>
        <v>191.26614327256053</v>
      </c>
      <c r="R90" s="384">
        <f t="shared" si="49"/>
        <v>198.91150666874643</v>
      </c>
    </row>
    <row r="91" spans="1:18" x14ac:dyDescent="0.45">
      <c r="A91" s="370" t="s">
        <v>189</v>
      </c>
      <c r="B91" s="379"/>
      <c r="C91" s="419">
        <f t="shared" ref="C91:K91" si="50">B90-C90</f>
        <v>-10.769161620201999</v>
      </c>
      <c r="D91" s="419">
        <f t="shared" si="50"/>
        <v>-17.666760273996744</v>
      </c>
      <c r="E91" s="419">
        <f t="shared" si="50"/>
        <v>-20.692809593908663</v>
      </c>
      <c r="F91" s="419">
        <f t="shared" si="50"/>
        <v>-25.101579076607123</v>
      </c>
      <c r="G91" s="419">
        <f t="shared" si="50"/>
        <v>-37.911120391252553</v>
      </c>
      <c r="H91" s="419">
        <f t="shared" si="50"/>
        <v>-16.055042340660634</v>
      </c>
      <c r="I91" s="419">
        <f t="shared" si="50"/>
        <v>30.542765253516222</v>
      </c>
      <c r="J91" s="419">
        <f t="shared" si="50"/>
        <v>24.787140377712717</v>
      </c>
      <c r="K91" s="419">
        <f t="shared" si="50"/>
        <v>17.23365240000004</v>
      </c>
      <c r="L91" s="419"/>
      <c r="M91" s="419">
        <f>J90-M90</f>
        <v>17.23365240000004</v>
      </c>
      <c r="N91" s="419">
        <f>M90-N90</f>
        <v>-4.8047108424999863</v>
      </c>
      <c r="O91" s="419">
        <f>N90-O90</f>
        <v>6.1871864480000625</v>
      </c>
      <c r="P91" s="419">
        <f>O90-P90</f>
        <v>1.5672523535199332</v>
      </c>
      <c r="Q91" s="419">
        <f>P90-Q90</f>
        <v>-5.3768986315805591</v>
      </c>
      <c r="R91" s="419">
        <f>Q90-R90</f>
        <v>-7.6453633961858998</v>
      </c>
    </row>
    <row r="92" spans="1:18" x14ac:dyDescent="0.45">
      <c r="A92" s="368" t="s">
        <v>195</v>
      </c>
      <c r="B92" s="379"/>
      <c r="C92" s="379">
        <f t="shared" ref="C92:K92" si="51">B87-C87</f>
        <v>-2.7329680202020228</v>
      </c>
      <c r="D92" s="379">
        <f t="shared" si="51"/>
        <v>-13.262418245196741</v>
      </c>
      <c r="E92" s="379">
        <f t="shared" si="51"/>
        <v>-13.708764280967969</v>
      </c>
      <c r="F92" s="379">
        <f t="shared" si="51"/>
        <v>-21.604247409664865</v>
      </c>
      <c r="G92" s="379">
        <f t="shared" si="51"/>
        <v>-26.632896257096277</v>
      </c>
      <c r="H92" s="379">
        <f t="shared" si="51"/>
        <v>-27.661037447544572</v>
      </c>
      <c r="I92" s="379">
        <f t="shared" si="51"/>
        <v>30.560428153662372</v>
      </c>
      <c r="J92" s="379">
        <f t="shared" si="51"/>
        <v>10.938176841611295</v>
      </c>
      <c r="K92" s="379">
        <f t="shared" si="51"/>
        <v>7.3553000000000281</v>
      </c>
      <c r="L92" s="379"/>
      <c r="M92" s="379">
        <f>J87-M87</f>
        <v>7.3553000000000281</v>
      </c>
      <c r="N92" s="379">
        <f t="shared" ref="N92:R93" si="52">M87-N87</f>
        <v>-5.3213443835616374</v>
      </c>
      <c r="O92" s="379">
        <f t="shared" si="52"/>
        <v>0.24621941527851732</v>
      </c>
      <c r="P92" s="379">
        <f t="shared" si="52"/>
        <v>4.1100893495155901</v>
      </c>
      <c r="Q92" s="379">
        <f t="shared" si="52"/>
        <v>-2.9241957255810291</v>
      </c>
      <c r="R92" s="379">
        <f t="shared" si="52"/>
        <v>-5.6518609786985223</v>
      </c>
    </row>
    <row r="93" spans="1:18" x14ac:dyDescent="0.45">
      <c r="A93" s="368" t="s">
        <v>197</v>
      </c>
      <c r="B93" s="379"/>
      <c r="C93" s="379">
        <f t="shared" ref="C93:K93" si="53">B88-C88</f>
        <v>-13.156399999999962</v>
      </c>
      <c r="D93" s="379">
        <f t="shared" si="53"/>
        <v>-12.248252799999989</v>
      </c>
      <c r="E93" s="379">
        <f t="shared" si="53"/>
        <v>-15.915332696664478</v>
      </c>
      <c r="F93" s="379">
        <f t="shared" si="53"/>
        <v>-17.346396127226456</v>
      </c>
      <c r="G93" s="379">
        <f t="shared" si="53"/>
        <v>-21.328052600684089</v>
      </c>
      <c r="H93" s="379">
        <f t="shared" si="53"/>
        <v>19.43943316577321</v>
      </c>
      <c r="I93" s="379">
        <f t="shared" si="53"/>
        <v>23.643772755263171</v>
      </c>
      <c r="J93" s="379">
        <f t="shared" si="53"/>
        <v>21.872828303538626</v>
      </c>
      <c r="K93" s="379">
        <f t="shared" si="53"/>
        <v>6.9026000000000067</v>
      </c>
      <c r="L93" s="379"/>
      <c r="M93" s="379">
        <f>J88-M88</f>
        <v>6.9026000000000067</v>
      </c>
      <c r="N93" s="379">
        <f t="shared" si="52"/>
        <v>-5.12709972602741</v>
      </c>
      <c r="O93" s="379">
        <f t="shared" si="52"/>
        <v>0.52990230345204736</v>
      </c>
      <c r="P93" s="379">
        <f t="shared" si="52"/>
        <v>-6.9928017072024602</v>
      </c>
      <c r="Q93" s="379">
        <f t="shared" si="52"/>
        <v>-6.7449329608400035</v>
      </c>
      <c r="R93" s="379">
        <f t="shared" si="52"/>
        <v>-5.4821316231715969</v>
      </c>
    </row>
    <row r="94" spans="1:18" x14ac:dyDescent="0.45">
      <c r="A94" s="368" t="s">
        <v>196</v>
      </c>
      <c r="B94" s="379"/>
      <c r="C94" s="379">
        <f t="shared" ref="C94:K94" si="54">C89-B89</f>
        <v>5.1202064000000007</v>
      </c>
      <c r="D94" s="379">
        <f t="shared" si="54"/>
        <v>7.8439107711999867</v>
      </c>
      <c r="E94" s="379">
        <f t="shared" si="54"/>
        <v>8.9312873837237561</v>
      </c>
      <c r="F94" s="379">
        <f t="shared" si="54"/>
        <v>13.849064460284197</v>
      </c>
      <c r="G94" s="379">
        <f t="shared" si="54"/>
        <v>10.04982846652787</v>
      </c>
      <c r="H94" s="379">
        <f t="shared" si="54"/>
        <v>-7.8334380588893424</v>
      </c>
      <c r="I94" s="379">
        <f t="shared" si="54"/>
        <v>-23.661435655409264</v>
      </c>
      <c r="J94" s="379">
        <f t="shared" si="54"/>
        <v>-8.0238647674372032</v>
      </c>
      <c r="K94" s="379">
        <f t="shared" si="54"/>
        <v>2.9757524000000046</v>
      </c>
      <c r="L94" s="379"/>
      <c r="M94" s="379">
        <f>M89-J89</f>
        <v>2.9757524000000046</v>
      </c>
      <c r="N94" s="379">
        <f>N89-M89</f>
        <v>5.643733267089047</v>
      </c>
      <c r="O94" s="379">
        <f>O89-N89</f>
        <v>5.4110647292694836</v>
      </c>
      <c r="P94" s="379">
        <f>P89-O89</f>
        <v>4.4499647112068459</v>
      </c>
      <c r="Q94" s="379">
        <f>Q89-P89</f>
        <v>4.2922300548404451</v>
      </c>
      <c r="R94" s="379">
        <f>R89-Q89</f>
        <v>3.488629205684191</v>
      </c>
    </row>
    <row r="95" spans="1:18" x14ac:dyDescent="0.45">
      <c r="A95" s="407" t="s">
        <v>186</v>
      </c>
      <c r="B95" s="420"/>
      <c r="C95" s="415">
        <f t="shared" ref="C95:K95" si="55">C91-C92-C93-C94</f>
        <v>-1.4210854715202004E-14</v>
      </c>
      <c r="D95" s="415">
        <f t="shared" si="55"/>
        <v>0</v>
      </c>
      <c r="E95" s="415">
        <f t="shared" si="55"/>
        <v>2.8421709430404007E-14</v>
      </c>
      <c r="F95" s="415">
        <f t="shared" si="55"/>
        <v>0</v>
      </c>
      <c r="G95" s="415">
        <f t="shared" si="55"/>
        <v>-5.6843418860808015E-14</v>
      </c>
      <c r="H95" s="415">
        <f t="shared" si="55"/>
        <v>7.1054273576010019E-14</v>
      </c>
      <c r="I95" s="415">
        <f t="shared" si="55"/>
        <v>-5.6843418860808015E-14</v>
      </c>
      <c r="J95" s="415">
        <f t="shared" si="55"/>
        <v>0</v>
      </c>
      <c r="K95" s="415">
        <f t="shared" si="55"/>
        <v>0</v>
      </c>
      <c r="M95" s="415">
        <f t="shared" ref="M95:R95" si="56">M91-M92-M93-M94</f>
        <v>0</v>
      </c>
      <c r="N95" s="415">
        <f t="shared" si="56"/>
        <v>1.4210854715202004E-14</v>
      </c>
      <c r="O95" s="415">
        <f t="shared" si="56"/>
        <v>1.4210854715202004E-14</v>
      </c>
      <c r="P95" s="415">
        <f t="shared" si="56"/>
        <v>-4.2632564145606011E-14</v>
      </c>
      <c r="Q95" s="415">
        <f t="shared" si="56"/>
        <v>2.8421709430404007E-14</v>
      </c>
      <c r="R95" s="415">
        <f t="shared" si="56"/>
        <v>2.8421709430404007E-14</v>
      </c>
    </row>
    <row r="96" spans="1:18" ht="6.9" customHeight="1" x14ac:dyDescent="0.45">
      <c r="A96" s="407"/>
      <c r="B96" s="420"/>
      <c r="C96" s="415"/>
      <c r="D96" s="415"/>
      <c r="E96" s="415"/>
      <c r="F96" s="415"/>
      <c r="G96" s="415"/>
      <c r="H96" s="415"/>
      <c r="I96" s="415"/>
      <c r="J96" s="415"/>
      <c r="K96" s="415"/>
      <c r="N96" s="421"/>
    </row>
    <row r="97" spans="1:18" s="18" customFormat="1" ht="12.9" x14ac:dyDescent="0.5">
      <c r="A97" s="363" t="s">
        <v>255</v>
      </c>
      <c r="B97" s="422">
        <f t="shared" ref="B97:K97" si="57">B87/(B6/365)</f>
        <v>28.509345597041396</v>
      </c>
      <c r="C97" s="422">
        <f t="shared" si="57"/>
        <v>28.214840241302291</v>
      </c>
      <c r="D97" s="422">
        <f t="shared" si="57"/>
        <v>30.294999999999998</v>
      </c>
      <c r="E97" s="422">
        <f t="shared" si="57"/>
        <v>31.025000000000002</v>
      </c>
      <c r="F97" s="422">
        <f t="shared" si="57"/>
        <v>33.58</v>
      </c>
      <c r="G97" s="422">
        <f t="shared" si="57"/>
        <v>36.865000000000009</v>
      </c>
      <c r="H97" s="422">
        <f t="shared" si="57"/>
        <v>51.464999999999996</v>
      </c>
      <c r="I97" s="422">
        <f t="shared" si="57"/>
        <v>59.13</v>
      </c>
      <c r="J97" s="422">
        <f t="shared" si="57"/>
        <v>60.954999999999998</v>
      </c>
      <c r="K97" s="422">
        <f t="shared" si="57"/>
        <v>54.384999999999991</v>
      </c>
      <c r="N97" s="421">
        <v>53</v>
      </c>
      <c r="O97" s="421">
        <v>49.909305466008199</v>
      </c>
      <c r="P97" s="421">
        <v>45.872379644241704</v>
      </c>
      <c r="Q97" s="421">
        <v>44.874018382818527</v>
      </c>
      <c r="R97" s="421">
        <v>45.181028246666187</v>
      </c>
    </row>
    <row r="98" spans="1:18" s="18" customFormat="1" ht="12.9" x14ac:dyDescent="0.5">
      <c r="A98" s="363" t="s">
        <v>256</v>
      </c>
      <c r="B98" s="422">
        <f t="shared" ref="B98:K98" si="58">-B88/(B7/365)</f>
        <v>60.540865384615394</v>
      </c>
      <c r="C98" s="422">
        <f t="shared" si="58"/>
        <v>63.535414165666253</v>
      </c>
      <c r="D98" s="422">
        <f t="shared" si="58"/>
        <v>63.173076923076906</v>
      </c>
      <c r="E98" s="422">
        <f t="shared" si="58"/>
        <v>61.561004784688713</v>
      </c>
      <c r="F98" s="422">
        <f t="shared" si="58"/>
        <v>60.906362545018212</v>
      </c>
      <c r="G98" s="422">
        <f t="shared" si="58"/>
        <v>60.616493161855452</v>
      </c>
      <c r="H98" s="422">
        <f t="shared" si="58"/>
        <v>60.90100111234716</v>
      </c>
      <c r="I98" s="422">
        <f t="shared" si="58"/>
        <v>73.241455347298782</v>
      </c>
      <c r="J98" s="422">
        <f t="shared" si="58"/>
        <v>70.983425414364632</v>
      </c>
      <c r="K98" s="422">
        <f t="shared" si="58"/>
        <v>65.090293453724598</v>
      </c>
      <c r="N98" s="421">
        <v>64</v>
      </c>
      <c r="O98" s="421">
        <v>60.5</v>
      </c>
      <c r="P98" s="421">
        <f t="shared" ref="P98:R99" si="59">O98</f>
        <v>60.5</v>
      </c>
      <c r="Q98" s="421">
        <f t="shared" si="59"/>
        <v>60.5</v>
      </c>
      <c r="R98" s="421">
        <f t="shared" si="59"/>
        <v>60.5</v>
      </c>
    </row>
    <row r="99" spans="1:18" s="18" customFormat="1" ht="12.9" x14ac:dyDescent="0.5">
      <c r="A99" s="366" t="s">
        <v>257</v>
      </c>
      <c r="B99" s="423">
        <f t="shared" ref="B99:K99" si="60">-B89/(B7/365)</f>
        <v>32.849999999999994</v>
      </c>
      <c r="C99" s="423">
        <f t="shared" si="60"/>
        <v>33.58</v>
      </c>
      <c r="D99" s="423">
        <f t="shared" si="60"/>
        <v>33.944999999999986</v>
      </c>
      <c r="E99" s="423">
        <f t="shared" si="60"/>
        <v>33.214999999999854</v>
      </c>
      <c r="F99" s="423">
        <f t="shared" si="60"/>
        <v>34.310000000000109</v>
      </c>
      <c r="G99" s="423">
        <f t="shared" si="60"/>
        <v>33.580000000000034</v>
      </c>
      <c r="H99" s="423">
        <f t="shared" si="60"/>
        <v>34.675000000000068</v>
      </c>
      <c r="I99" s="423">
        <f t="shared" si="60"/>
        <v>37.22999999999999</v>
      </c>
      <c r="J99" s="423">
        <f t="shared" si="60"/>
        <v>37.594999999999992</v>
      </c>
      <c r="K99" s="423">
        <f t="shared" si="60"/>
        <v>37.594999999999999</v>
      </c>
      <c r="N99" s="424">
        <v>38.162232346280483</v>
      </c>
      <c r="O99" s="424">
        <v>38.499999899999999</v>
      </c>
      <c r="P99" s="424">
        <f t="shared" si="59"/>
        <v>38.499999899999999</v>
      </c>
      <c r="Q99" s="424">
        <f t="shared" si="59"/>
        <v>38.499999899999999</v>
      </c>
      <c r="R99" s="424">
        <f t="shared" si="59"/>
        <v>38.499999899999999</v>
      </c>
    </row>
    <row r="100" spans="1:18" s="18" customFormat="1" ht="12.9" x14ac:dyDescent="0.5">
      <c r="A100" s="363" t="s">
        <v>36</v>
      </c>
      <c r="B100" s="422">
        <f t="shared" ref="B100:K100" si="61">B97+B98-B99</f>
        <v>56.200210981656795</v>
      </c>
      <c r="C100" s="422">
        <f t="shared" si="61"/>
        <v>58.170254406968539</v>
      </c>
      <c r="D100" s="422">
        <f t="shared" si="61"/>
        <v>59.523076923076921</v>
      </c>
      <c r="E100" s="422">
        <f t="shared" si="61"/>
        <v>59.371004784688857</v>
      </c>
      <c r="F100" s="422">
        <f t="shared" si="61"/>
        <v>60.176362545018101</v>
      </c>
      <c r="G100" s="422">
        <f t="shared" si="61"/>
        <v>63.901493161855434</v>
      </c>
      <c r="H100" s="422">
        <f t="shared" si="61"/>
        <v>77.691001112347095</v>
      </c>
      <c r="I100" s="422">
        <f t="shared" si="61"/>
        <v>95.141455347298802</v>
      </c>
      <c r="J100" s="422">
        <f t="shared" si="61"/>
        <v>94.343425414364646</v>
      </c>
      <c r="K100" s="422">
        <f t="shared" si="61"/>
        <v>81.88029345372459</v>
      </c>
      <c r="N100" s="422">
        <f>N97+N98-N99</f>
        <v>78.83776765371951</v>
      </c>
      <c r="O100" s="422">
        <f>O97+O98-O99</f>
        <v>71.909305566008186</v>
      </c>
      <c r="P100" s="422">
        <f>P97+P98-P99</f>
        <v>67.872379744241698</v>
      </c>
      <c r="Q100" s="422">
        <f>Q97+Q98-Q99</f>
        <v>66.874018482818514</v>
      </c>
      <c r="R100" s="422">
        <f>R97+R98-R99</f>
        <v>67.181028346666182</v>
      </c>
    </row>
    <row r="101" spans="1:18" s="18" customFormat="1" ht="8.4" customHeight="1" x14ac:dyDescent="0.5">
      <c r="A101" s="362"/>
      <c r="B101" s="425"/>
      <c r="C101" s="425"/>
      <c r="D101" s="425"/>
      <c r="E101" s="425"/>
      <c r="F101" s="425"/>
      <c r="G101" s="425"/>
      <c r="H101" s="425"/>
      <c r="I101" s="425"/>
      <c r="J101" s="425"/>
      <c r="K101" s="425"/>
    </row>
    <row r="102" spans="1:18" hidden="1" outlineLevel="1" x14ac:dyDescent="0.45">
      <c r="A102" s="426" t="s">
        <v>258</v>
      </c>
      <c r="B102" s="420"/>
      <c r="C102" s="415"/>
      <c r="D102" s="415"/>
      <c r="E102" s="415"/>
      <c r="F102" s="415"/>
      <c r="G102" s="415"/>
      <c r="H102" s="415"/>
      <c r="I102" s="415"/>
      <c r="J102" s="415"/>
      <c r="K102" s="415"/>
      <c r="L102" s="426"/>
      <c r="M102" s="426"/>
      <c r="N102" s="397">
        <f>-'Projections (Ex. 4)'!C13</f>
        <v>-4.9000000000000004</v>
      </c>
      <c r="O102" s="397">
        <f>-'Projections (Ex. 4)'!D13</f>
        <v>9.6999999999999993</v>
      </c>
      <c r="P102" s="397">
        <f>-'Projections (Ex. 4)'!E13</f>
        <v>9.6</v>
      </c>
      <c r="Q102" s="397">
        <f>-'Projections (Ex. 4)'!F13</f>
        <v>5.9</v>
      </c>
      <c r="R102" s="397">
        <f>-'Projections (Ex. 4)'!G13</f>
        <v>5.0999999999999996</v>
      </c>
    </row>
    <row r="103" spans="1:18" hidden="1" outlineLevel="1" x14ac:dyDescent="0.45">
      <c r="A103" s="427" t="s">
        <v>259</v>
      </c>
      <c r="B103" s="420"/>
      <c r="C103" s="415"/>
      <c r="D103" s="415"/>
      <c r="E103" s="415"/>
      <c r="F103" s="415"/>
      <c r="G103" s="415"/>
      <c r="H103" s="415"/>
      <c r="I103" s="415"/>
      <c r="J103" s="415"/>
      <c r="K103" s="415"/>
      <c r="N103" s="379">
        <f>N91+N114</f>
        <v>-1.5834012924999854</v>
      </c>
      <c r="O103" s="379">
        <f>O91+O114</f>
        <v>22.875032310857208</v>
      </c>
      <c r="P103" s="379">
        <f>P91+P114</f>
        <v>31.760435642775931</v>
      </c>
      <c r="Q103" s="379">
        <f>Q91+Q114</f>
        <v>23.7207626663063</v>
      </c>
      <c r="R103" s="379">
        <f>R91+R114</f>
        <v>-7.6453633961858998</v>
      </c>
    </row>
    <row r="104" spans="1:18" hidden="1" outlineLevel="1" x14ac:dyDescent="0.45">
      <c r="A104" s="407" t="s">
        <v>186</v>
      </c>
      <c r="B104" s="420"/>
      <c r="C104" s="415"/>
      <c r="D104" s="415"/>
      <c r="E104" s="415"/>
      <c r="F104" s="415"/>
      <c r="G104" s="415"/>
      <c r="H104" s="415"/>
      <c r="I104" s="415"/>
      <c r="J104" s="415"/>
      <c r="K104" s="415"/>
      <c r="M104" s="407" t="s">
        <v>186</v>
      </c>
      <c r="N104" s="415">
        <f>N102-N103</f>
        <v>-3.316598707500015</v>
      </c>
      <c r="O104" s="415">
        <f>O102-O103</f>
        <v>-13.175032310857208</v>
      </c>
      <c r="P104" s="415">
        <f>P102-P103</f>
        <v>-22.16043564277593</v>
      </c>
      <c r="Q104" s="415">
        <f>Q102-Q103</f>
        <v>-17.820762666306301</v>
      </c>
      <c r="R104" s="415">
        <f>R102-R103</f>
        <v>12.745363396185899</v>
      </c>
    </row>
    <row r="105" spans="1:18" collapsed="1" x14ac:dyDescent="0.45">
      <c r="A105" s="407"/>
      <c r="B105" s="420"/>
      <c r="C105" s="415"/>
      <c r="D105" s="415"/>
      <c r="E105" s="415"/>
      <c r="F105" s="415"/>
      <c r="G105" s="415"/>
      <c r="H105" s="415"/>
      <c r="I105" s="415"/>
      <c r="J105" s="415"/>
      <c r="K105" s="415"/>
      <c r="N105" s="409"/>
    </row>
    <row r="106" spans="1:18" x14ac:dyDescent="0.45">
      <c r="A106" s="418" t="s">
        <v>54</v>
      </c>
      <c r="B106" s="420"/>
      <c r="C106" s="415"/>
      <c r="D106" s="415"/>
      <c r="E106" s="415"/>
      <c r="F106" s="415"/>
      <c r="G106" s="415"/>
      <c r="H106" s="415"/>
      <c r="I106" s="415"/>
      <c r="J106" s="415"/>
      <c r="K106" s="415"/>
      <c r="N106" s="409"/>
    </row>
    <row r="107" spans="1:18" x14ac:dyDescent="0.45">
      <c r="A107" s="368" t="s">
        <v>252</v>
      </c>
      <c r="B107" s="428">
        <f t="shared" ref="B107:K107" si="62">-B15/(B11+B14+B13)</f>
        <v>0.34999999999999942</v>
      </c>
      <c r="C107" s="428">
        <f t="shared" si="62"/>
        <v>0.35000000000000075</v>
      </c>
      <c r="D107" s="428">
        <f t="shared" si="62"/>
        <v>0.35000000000000148</v>
      </c>
      <c r="E107" s="428">
        <f t="shared" si="62"/>
        <v>0.35000000000003945</v>
      </c>
      <c r="F107" s="428">
        <f t="shared" si="62"/>
        <v>0.34999999999995168</v>
      </c>
      <c r="G107" s="428">
        <f t="shared" si="62"/>
        <v>0.34999999999996012</v>
      </c>
      <c r="H107" s="428">
        <f t="shared" si="62"/>
        <v>0.34600000000000586</v>
      </c>
      <c r="I107" s="428">
        <f t="shared" si="62"/>
        <v>0.34500000000000031</v>
      </c>
      <c r="J107" s="428">
        <f t="shared" si="62"/>
        <v>0.34000000000000008</v>
      </c>
      <c r="K107" s="428">
        <f t="shared" si="62"/>
        <v>0.31999999999999984</v>
      </c>
      <c r="N107" s="641">
        <v>0.35</v>
      </c>
      <c r="O107" s="428">
        <f>N107</f>
        <v>0.35</v>
      </c>
      <c r="P107" s="428">
        <f t="shared" ref="P107:R107" si="63">O107</f>
        <v>0.35</v>
      </c>
      <c r="Q107" s="428">
        <f t="shared" si="63"/>
        <v>0.35</v>
      </c>
      <c r="R107" s="428">
        <f t="shared" si="63"/>
        <v>0.35</v>
      </c>
    </row>
    <row r="108" spans="1:18" ht="2.7" customHeight="1" x14ac:dyDescent="0.45">
      <c r="A108" s="407"/>
      <c r="B108" s="420"/>
      <c r="C108" s="415"/>
      <c r="D108" s="415"/>
      <c r="E108" s="415"/>
      <c r="F108" s="415"/>
      <c r="G108" s="415"/>
      <c r="H108" s="415"/>
      <c r="I108" s="415"/>
      <c r="J108" s="415"/>
      <c r="K108" s="415"/>
      <c r="N108" s="409"/>
    </row>
    <row r="109" spans="1:18" hidden="1" outlineLevel="2" x14ac:dyDescent="0.45">
      <c r="A109" s="368" t="s">
        <v>253</v>
      </c>
      <c r="B109" s="379">
        <f t="shared" ref="B109:K109" si="64">-B107*B11</f>
        <v>-15.221359999999999</v>
      </c>
      <c r="C109" s="379">
        <f t="shared" si="64"/>
        <v>-13.487950000000001</v>
      </c>
      <c r="D109" s="379">
        <f t="shared" si="64"/>
        <v>-15.910154190000002</v>
      </c>
      <c r="E109" s="379">
        <f t="shared" si="64"/>
        <v>-15.668619056449593</v>
      </c>
      <c r="F109" s="379">
        <f t="shared" si="64"/>
        <v>-14.536440684010442</v>
      </c>
      <c r="G109" s="379">
        <f t="shared" si="64"/>
        <v>-10.826198671145244</v>
      </c>
      <c r="H109" s="379">
        <f t="shared" si="64"/>
        <v>25.259762515103468</v>
      </c>
      <c r="I109" s="379">
        <f t="shared" si="64"/>
        <v>25.213327227239287</v>
      </c>
      <c r="J109" s="379">
        <f t="shared" si="64"/>
        <v>20.314617021608274</v>
      </c>
      <c r="K109" s="379">
        <f t="shared" si="64"/>
        <v>7.8151705835178085</v>
      </c>
      <c r="M109" s="379">
        <f>K109</f>
        <v>7.8151705835178085</v>
      </c>
      <c r="N109" s="379">
        <f>-N107*N11</f>
        <v>-6.5437427999999986</v>
      </c>
      <c r="O109" s="379">
        <f>-O107*O11</f>
        <v>-10.404551052</v>
      </c>
      <c r="P109" s="379">
        <f>-P107*P11</f>
        <v>-14.635735146479998</v>
      </c>
      <c r="Q109" s="379">
        <f>-Q107*Q11</f>
        <v>-17.206136131580546</v>
      </c>
      <c r="R109" s="379">
        <f>-R107*R11</f>
        <v>-17.808350896185864</v>
      </c>
    </row>
    <row r="110" spans="1:18" hidden="1" outlineLevel="2" x14ac:dyDescent="0.45">
      <c r="A110" s="368" t="s">
        <v>254</v>
      </c>
      <c r="B110" s="382">
        <f t="shared" ref="B110:K110" si="65">-B107*(B14+B13)</f>
        <v>0.83750435999999862</v>
      </c>
      <c r="C110" s="382">
        <f t="shared" si="65"/>
        <v>0.49854593250000107</v>
      </c>
      <c r="D110" s="382">
        <f t="shared" si="65"/>
        <v>0.34915618500000145</v>
      </c>
      <c r="E110" s="382">
        <f t="shared" si="65"/>
        <v>0.80606841000009088</v>
      </c>
      <c r="F110" s="382">
        <f t="shared" si="65"/>
        <v>4.0365639999994425</v>
      </c>
      <c r="G110" s="382">
        <f t="shared" si="65"/>
        <v>5.053291319999424</v>
      </c>
      <c r="H110" s="382">
        <f t="shared" si="65"/>
        <v>7.8224648800001324</v>
      </c>
      <c r="I110" s="382">
        <f t="shared" si="65"/>
        <v>15.984487208100012</v>
      </c>
      <c r="J110" s="382">
        <f t="shared" si="65"/>
        <v>15.669637233333326</v>
      </c>
      <c r="K110" s="382">
        <f t="shared" si="65"/>
        <v>13.134927007999993</v>
      </c>
      <c r="M110" s="382">
        <f>K110</f>
        <v>13.134927007999993</v>
      </c>
      <c r="N110" s="382">
        <f>-N107*(N14+N13)</f>
        <v>5.4162844574999998</v>
      </c>
      <c r="O110" s="382">
        <f>-O107*(O14+O13)</f>
        <v>4.5638049999999994</v>
      </c>
      <c r="P110" s="382">
        <f>-P107*(P14+P13)</f>
        <v>4.0681209952403998</v>
      </c>
      <c r="Q110" s="382">
        <f>-Q107*(Q14+Q13)</f>
        <v>3.3713185213588046</v>
      </c>
      <c r="R110" s="382">
        <f>-R107*(R14+R13)</f>
        <v>2.8662381772368097</v>
      </c>
    </row>
    <row r="111" spans="1:18" hidden="1" outlineLevel="2" x14ac:dyDescent="0.45">
      <c r="A111" s="368" t="s">
        <v>262</v>
      </c>
      <c r="B111" s="379">
        <f t="shared" ref="B111:K111" si="66">B109+B110</f>
        <v>-14.38385564</v>
      </c>
      <c r="C111" s="379">
        <f t="shared" si="66"/>
        <v>-12.989404067500001</v>
      </c>
      <c r="D111" s="379">
        <f t="shared" si="66"/>
        <v>-15.560998005</v>
      </c>
      <c r="E111" s="379">
        <f t="shared" si="66"/>
        <v>-14.862550646449503</v>
      </c>
      <c r="F111" s="379">
        <f t="shared" si="66"/>
        <v>-10.499876684010999</v>
      </c>
      <c r="G111" s="379">
        <f t="shared" si="66"/>
        <v>-5.77290735114582</v>
      </c>
      <c r="H111" s="379">
        <f t="shared" si="66"/>
        <v>33.082227395103601</v>
      </c>
      <c r="I111" s="379">
        <f t="shared" si="66"/>
        <v>41.197814435339296</v>
      </c>
      <c r="J111" s="379">
        <f t="shared" si="66"/>
        <v>35.984254254941604</v>
      </c>
      <c r="K111" s="379">
        <f t="shared" si="66"/>
        <v>20.950097591517803</v>
      </c>
      <c r="M111" s="379">
        <f t="shared" ref="M111:R111" si="67">M109+M110</f>
        <v>20.950097591517803</v>
      </c>
      <c r="N111" s="379">
        <f t="shared" si="67"/>
        <v>-1.1274583424999989</v>
      </c>
      <c r="O111" s="379">
        <f t="shared" si="67"/>
        <v>-5.840746052000001</v>
      </c>
      <c r="P111" s="379">
        <f t="shared" si="67"/>
        <v>-10.567614151239599</v>
      </c>
      <c r="Q111" s="379">
        <f t="shared" si="67"/>
        <v>-13.834817610221741</v>
      </c>
      <c r="R111" s="379">
        <f t="shared" si="67"/>
        <v>-14.942112718949055</v>
      </c>
    </row>
    <row r="112" spans="1:18" hidden="1" outlineLevel="2" x14ac:dyDescent="0.45">
      <c r="A112" s="407"/>
      <c r="B112" s="415">
        <f t="shared" ref="B112:K112" si="68">B15-B111</f>
        <v>0</v>
      </c>
      <c r="C112" s="415">
        <f t="shared" si="68"/>
        <v>0</v>
      </c>
      <c r="D112" s="415">
        <f t="shared" si="68"/>
        <v>0</v>
      </c>
      <c r="E112" s="415">
        <f t="shared" si="68"/>
        <v>0</v>
      </c>
      <c r="F112" s="415">
        <f t="shared" si="68"/>
        <v>0</v>
      </c>
      <c r="G112" s="415">
        <f t="shared" si="68"/>
        <v>0</v>
      </c>
      <c r="H112" s="415">
        <f t="shared" si="68"/>
        <v>0</v>
      </c>
      <c r="I112" s="415">
        <f t="shared" si="68"/>
        <v>0</v>
      </c>
      <c r="J112" s="415">
        <f t="shared" si="68"/>
        <v>0</v>
      </c>
      <c r="K112" s="415">
        <f t="shared" si="68"/>
        <v>0</v>
      </c>
      <c r="M112" s="415">
        <f t="shared" ref="M112:R112" si="69">M15-M111</f>
        <v>0</v>
      </c>
      <c r="N112" s="415">
        <f t="shared" si="69"/>
        <v>1.1274583424999989</v>
      </c>
      <c r="O112" s="415">
        <f t="shared" si="69"/>
        <v>5.840746052000001</v>
      </c>
      <c r="P112" s="415">
        <f t="shared" si="69"/>
        <v>10.567614151239599</v>
      </c>
      <c r="Q112" s="415">
        <f t="shared" si="69"/>
        <v>10.184181454260397</v>
      </c>
      <c r="R112" s="415">
        <f t="shared" si="69"/>
        <v>0</v>
      </c>
    </row>
    <row r="113" spans="1:21" collapsed="1" x14ac:dyDescent="0.45">
      <c r="A113" s="368" t="s">
        <v>463</v>
      </c>
      <c r="B113" s="379">
        <f t="shared" ref="B113:K113" si="70">B43</f>
        <v>16.383855640000021</v>
      </c>
      <c r="C113" s="379">
        <f t="shared" si="70"/>
        <v>17.37325970750004</v>
      </c>
      <c r="D113" s="379">
        <f t="shared" si="70"/>
        <v>19.434257712500056</v>
      </c>
      <c r="E113" s="379">
        <f t="shared" si="70"/>
        <v>21.096808358949556</v>
      </c>
      <c r="F113" s="379">
        <f t="shared" si="70"/>
        <v>18.996685042960586</v>
      </c>
      <c r="G113" s="379">
        <f t="shared" si="70"/>
        <v>15.569592394106404</v>
      </c>
      <c r="H113" s="379">
        <f t="shared" si="70"/>
        <v>-21.112635000997233</v>
      </c>
      <c r="I113" s="379">
        <f t="shared" si="70"/>
        <v>-41.510449436336572</v>
      </c>
      <c r="J113" s="379">
        <f t="shared" si="70"/>
        <v>-67.294703691278187</v>
      </c>
      <c r="K113" s="379">
        <f t="shared" si="70"/>
        <v>-79.2</v>
      </c>
      <c r="M113" s="379">
        <f>M43</f>
        <v>-79.2</v>
      </c>
      <c r="N113" s="379">
        <f>N116</f>
        <v>-75.978690450000002</v>
      </c>
      <c r="O113" s="379">
        <f>O116</f>
        <v>-59.290844587142857</v>
      </c>
      <c r="P113" s="379">
        <f>P116</f>
        <v>-29.097661297886859</v>
      </c>
      <c r="Q113" s="379">
        <f>Q116</f>
        <v>0</v>
      </c>
      <c r="R113" s="379">
        <f>R116</f>
        <v>0</v>
      </c>
    </row>
    <row r="114" spans="1:21" x14ac:dyDescent="0.45">
      <c r="A114" s="368" t="s">
        <v>231</v>
      </c>
      <c r="B114" s="379"/>
      <c r="C114" s="379">
        <f t="shared" ref="C114:K114" si="71">C113-B113</f>
        <v>0.98940406750001841</v>
      </c>
      <c r="D114" s="379">
        <f t="shared" si="71"/>
        <v>2.0609980050000161</v>
      </c>
      <c r="E114" s="379">
        <f t="shared" si="71"/>
        <v>1.6625506464494997</v>
      </c>
      <c r="F114" s="379">
        <f t="shared" si="71"/>
        <v>-2.1001233159889701</v>
      </c>
      <c r="G114" s="379">
        <f t="shared" si="71"/>
        <v>-3.4270926488541811</v>
      </c>
      <c r="H114" s="379">
        <f t="shared" si="71"/>
        <v>-36.682227395103638</v>
      </c>
      <c r="I114" s="379">
        <f t="shared" si="71"/>
        <v>-20.397814435339338</v>
      </c>
      <c r="J114" s="379">
        <f t="shared" si="71"/>
        <v>-25.784254254941615</v>
      </c>
      <c r="K114" s="379">
        <f t="shared" si="71"/>
        <v>-11.905296308721816</v>
      </c>
      <c r="M114" s="379">
        <f>M113-J113</f>
        <v>-11.905296308721816</v>
      </c>
      <c r="N114" s="379">
        <f>N113-M113</f>
        <v>3.2213095500000009</v>
      </c>
      <c r="O114" s="379">
        <f>O113-N113</f>
        <v>16.687845862857145</v>
      </c>
      <c r="P114" s="379">
        <f>P113-O113</f>
        <v>30.193183289255998</v>
      </c>
      <c r="Q114" s="379">
        <f>Q113-P113</f>
        <v>29.097661297886859</v>
      </c>
      <c r="R114" s="379">
        <f>R113-Q113</f>
        <v>0</v>
      </c>
    </row>
    <row r="115" spans="1:21" x14ac:dyDescent="0.45">
      <c r="A115" s="368" t="s">
        <v>468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M115" s="379"/>
      <c r="N115" s="379">
        <f>N11+N14</f>
        <v>3.2213095499999973</v>
      </c>
      <c r="O115" s="379">
        <f>O11+O14</f>
        <v>16.687845862857145</v>
      </c>
      <c r="P115" s="379">
        <f>P11+P14</f>
        <v>30.193183289255998</v>
      </c>
      <c r="Q115" s="379">
        <f>Q11+Q14</f>
        <v>39.52805031491927</v>
      </c>
      <c r="R115" s="379">
        <f>R11+R14</f>
        <v>42.69175062556873</v>
      </c>
    </row>
    <row r="116" spans="1:21" x14ac:dyDescent="0.45">
      <c r="A116" s="368" t="s">
        <v>464</v>
      </c>
      <c r="B116" s="379"/>
      <c r="C116" s="379"/>
      <c r="D116" s="379"/>
      <c r="E116" s="379"/>
      <c r="F116" s="379"/>
      <c r="G116" s="379"/>
      <c r="H116" s="379"/>
      <c r="I116" s="379"/>
      <c r="J116" s="379"/>
      <c r="K116" s="379"/>
      <c r="M116" s="379">
        <f>M113</f>
        <v>-79.2</v>
      </c>
      <c r="N116" s="379">
        <f>M116+N115</f>
        <v>-75.978690450000002</v>
      </c>
      <c r="O116" s="379">
        <f>N116+O115</f>
        <v>-59.290844587142857</v>
      </c>
      <c r="P116" s="379">
        <f>O116+P115</f>
        <v>-29.097661297886859</v>
      </c>
      <c r="Q116" s="379">
        <v>0</v>
      </c>
      <c r="R116" s="379">
        <v>0</v>
      </c>
    </row>
    <row r="117" spans="1:21" x14ac:dyDescent="0.45">
      <c r="A117" s="368" t="s">
        <v>466</v>
      </c>
      <c r="L117" s="369"/>
      <c r="M117" s="369"/>
      <c r="N117" s="379">
        <v>0</v>
      </c>
      <c r="O117" s="379">
        <v>0</v>
      </c>
      <c r="P117" s="379">
        <v>0</v>
      </c>
      <c r="Q117" s="412">
        <f>Q115+P116</f>
        <v>10.430389017032411</v>
      </c>
      <c r="R117" s="412">
        <f>R115</f>
        <v>42.69175062556873</v>
      </c>
    </row>
    <row r="118" spans="1:21" x14ac:dyDescent="0.45">
      <c r="A118" s="369" t="s">
        <v>467</v>
      </c>
      <c r="L118" s="369"/>
      <c r="M118" s="369"/>
      <c r="N118" s="412">
        <f>N107*N117</f>
        <v>0</v>
      </c>
      <c r="O118" s="412">
        <f>O107*O117</f>
        <v>0</v>
      </c>
      <c r="P118" s="412">
        <f>P107*P117</f>
        <v>0</v>
      </c>
      <c r="Q118" s="412">
        <f>Q107*Q117</f>
        <v>3.6506361559613434</v>
      </c>
      <c r="R118" s="412">
        <f>R107*R117</f>
        <v>14.942112718949055</v>
      </c>
    </row>
    <row r="119" spans="1:21" x14ac:dyDescent="0.45">
      <c r="A119" s="407"/>
      <c r="B119" s="420"/>
      <c r="C119" s="415"/>
      <c r="D119" s="415"/>
      <c r="E119" s="415"/>
      <c r="F119" s="415"/>
      <c r="G119" s="415"/>
      <c r="H119" s="415"/>
      <c r="I119" s="415"/>
      <c r="J119" s="415"/>
      <c r="K119" s="415"/>
      <c r="N119" s="409"/>
    </row>
    <row r="120" spans="1:21" s="383" customFormat="1" x14ac:dyDescent="0.45">
      <c r="A120" s="368"/>
      <c r="B120" s="371" t="s">
        <v>190</v>
      </c>
      <c r="C120" s="371"/>
      <c r="D120" s="371"/>
      <c r="E120" s="371"/>
      <c r="F120" s="371"/>
      <c r="G120" s="371"/>
      <c r="H120" s="371"/>
      <c r="I120" s="371"/>
      <c r="J120" s="371"/>
      <c r="K120" s="371"/>
      <c r="L120" s="372" t="s">
        <v>221</v>
      </c>
      <c r="M120" s="372"/>
      <c r="N120" s="373" t="s">
        <v>219</v>
      </c>
      <c r="O120" s="373"/>
      <c r="P120" s="373"/>
      <c r="Q120" s="373"/>
      <c r="R120" s="373"/>
    </row>
    <row r="121" spans="1:21" s="383" customFormat="1" x14ac:dyDescent="0.45">
      <c r="A121" s="418" t="s">
        <v>247</v>
      </c>
      <c r="B121" s="375">
        <v>2001</v>
      </c>
      <c r="C121" s="375">
        <v>2002</v>
      </c>
      <c r="D121" s="375">
        <v>2003</v>
      </c>
      <c r="E121" s="375">
        <v>2004</v>
      </c>
      <c r="F121" s="375">
        <v>2005</v>
      </c>
      <c r="G121" s="375">
        <v>2006</v>
      </c>
      <c r="H121" s="375">
        <v>2007</v>
      </c>
      <c r="I121" s="375">
        <v>2008</v>
      </c>
      <c r="J121" s="375">
        <v>2009</v>
      </c>
      <c r="K121" s="375">
        <v>2010</v>
      </c>
      <c r="L121" s="375" t="s">
        <v>222</v>
      </c>
      <c r="M121" s="375" t="s">
        <v>220</v>
      </c>
      <c r="N121" s="375">
        <v>2011</v>
      </c>
      <c r="O121" s="375">
        <f>N121+1</f>
        <v>2012</v>
      </c>
      <c r="P121" s="375">
        <f>O121+1</f>
        <v>2013</v>
      </c>
      <c r="Q121" s="375">
        <f>P121+1</f>
        <v>2014</v>
      </c>
      <c r="R121" s="375">
        <f>Q121+1</f>
        <v>2015</v>
      </c>
    </row>
    <row r="122" spans="1:21" s="383" customFormat="1" x14ac:dyDescent="0.45">
      <c r="A122" s="362" t="s">
        <v>96</v>
      </c>
    </row>
    <row r="123" spans="1:21" s="383" customFormat="1" x14ac:dyDescent="0.45">
      <c r="A123" s="429" t="s">
        <v>58</v>
      </c>
      <c r="B123" s="367">
        <f t="shared" ref="B123:M123" si="72">B44</f>
        <v>49.5</v>
      </c>
      <c r="C123" s="367">
        <f t="shared" si="72"/>
        <v>47</v>
      </c>
      <c r="D123" s="367">
        <f t="shared" si="72"/>
        <v>92.1</v>
      </c>
      <c r="E123" s="367">
        <f t="shared" si="72"/>
        <v>35.200000000000003</v>
      </c>
      <c r="F123" s="367">
        <f t="shared" si="72"/>
        <v>69.900000000000006</v>
      </c>
      <c r="G123" s="367">
        <f t="shared" si="72"/>
        <v>47.3</v>
      </c>
      <c r="H123" s="367">
        <f t="shared" si="72"/>
        <v>158.19999999999999</v>
      </c>
      <c r="I123" s="367">
        <f t="shared" si="72"/>
        <v>162.5</v>
      </c>
      <c r="J123" s="367">
        <f t="shared" si="72"/>
        <v>190.1</v>
      </c>
      <c r="K123" s="367">
        <f t="shared" si="72"/>
        <v>215</v>
      </c>
      <c r="L123" s="367">
        <f t="shared" si="72"/>
        <v>-215</v>
      </c>
      <c r="M123" s="367">
        <f t="shared" si="72"/>
        <v>0</v>
      </c>
      <c r="N123" s="367">
        <f t="shared" ref="N123:R124" si="73">M123</f>
        <v>0</v>
      </c>
      <c r="O123" s="367">
        <f t="shared" si="73"/>
        <v>0</v>
      </c>
      <c r="P123" s="367">
        <f t="shared" si="73"/>
        <v>0</v>
      </c>
      <c r="Q123" s="367">
        <f t="shared" si="73"/>
        <v>0</v>
      </c>
      <c r="R123" s="367">
        <f t="shared" si="73"/>
        <v>0</v>
      </c>
    </row>
    <row r="124" spans="1:21" s="383" customFormat="1" ht="13.2" x14ac:dyDescent="0.45">
      <c r="A124" s="429" t="s">
        <v>369</v>
      </c>
      <c r="B124" s="367">
        <f t="shared" ref="B124:M124" si="74">B45</f>
        <v>0</v>
      </c>
      <c r="C124" s="367">
        <f t="shared" si="74"/>
        <v>0</v>
      </c>
      <c r="D124" s="367">
        <f t="shared" si="74"/>
        <v>0</v>
      </c>
      <c r="E124" s="367">
        <f t="shared" si="74"/>
        <v>0</v>
      </c>
      <c r="F124" s="367">
        <f t="shared" si="74"/>
        <v>0</v>
      </c>
      <c r="G124" s="367">
        <f t="shared" si="74"/>
        <v>40.714285714285715</v>
      </c>
      <c r="H124" s="367">
        <f t="shared" si="74"/>
        <v>40.714285714285715</v>
      </c>
      <c r="I124" s="367">
        <f t="shared" si="74"/>
        <v>40.714285714285715</v>
      </c>
      <c r="J124" s="367">
        <f t="shared" si="74"/>
        <v>40.714285714285715</v>
      </c>
      <c r="K124" s="367">
        <f t="shared" si="74"/>
        <v>40.714285714285715</v>
      </c>
      <c r="L124" s="367">
        <f t="shared" si="74"/>
        <v>-34.607142857142861</v>
      </c>
      <c r="M124" s="367">
        <f t="shared" si="74"/>
        <v>6.1071428571428568</v>
      </c>
      <c r="N124" s="367">
        <f t="shared" si="73"/>
        <v>6.1071428571428568</v>
      </c>
      <c r="O124" s="367">
        <f t="shared" si="73"/>
        <v>6.1071428571428568</v>
      </c>
      <c r="P124" s="367">
        <f t="shared" si="73"/>
        <v>6.1071428571428568</v>
      </c>
      <c r="Q124" s="367">
        <f t="shared" si="73"/>
        <v>6.1071428571428568</v>
      </c>
      <c r="R124" s="367">
        <f t="shared" si="73"/>
        <v>6.1071428571428568</v>
      </c>
    </row>
    <row r="125" spans="1:21" s="383" customFormat="1" ht="5.7" customHeight="1" x14ac:dyDescent="0.45">
      <c r="A125" s="362"/>
      <c r="B125" s="369"/>
      <c r="C125" s="369"/>
      <c r="D125" s="369"/>
      <c r="E125" s="369"/>
      <c r="F125" s="369"/>
      <c r="G125" s="369"/>
      <c r="H125" s="369"/>
      <c r="I125" s="369"/>
      <c r="J125" s="369"/>
      <c r="K125" s="369"/>
      <c r="L125" s="369"/>
      <c r="M125" s="369"/>
      <c r="N125" s="369"/>
      <c r="O125" s="369"/>
      <c r="P125" s="369"/>
      <c r="Q125" s="369"/>
      <c r="R125" s="369"/>
    </row>
    <row r="126" spans="1:21" s="383" customFormat="1" x14ac:dyDescent="0.45">
      <c r="A126" s="362" t="s">
        <v>95</v>
      </c>
      <c r="B126" s="369"/>
      <c r="C126" s="369"/>
      <c r="D126" s="369"/>
      <c r="E126" s="369"/>
      <c r="F126" s="369"/>
      <c r="G126" s="369"/>
      <c r="H126" s="369"/>
      <c r="I126" s="369"/>
      <c r="J126" s="369"/>
      <c r="K126" s="369"/>
      <c r="L126" s="369"/>
      <c r="M126" s="369"/>
      <c r="N126" s="369"/>
      <c r="O126" s="369"/>
      <c r="P126" s="369"/>
      <c r="Q126" s="369"/>
      <c r="R126" s="369"/>
      <c r="T126" s="638" t="s">
        <v>457</v>
      </c>
    </row>
    <row r="127" spans="1:21" s="383" customFormat="1" x14ac:dyDescent="0.45">
      <c r="A127" s="429" t="s">
        <v>170</v>
      </c>
      <c r="B127" s="367">
        <v>0</v>
      </c>
      <c r="C127" s="367">
        <v>0</v>
      </c>
      <c r="D127" s="367">
        <v>0</v>
      </c>
      <c r="E127" s="367">
        <v>0</v>
      </c>
      <c r="F127" s="367">
        <v>0</v>
      </c>
      <c r="G127" s="367">
        <v>0</v>
      </c>
      <c r="H127" s="367">
        <v>0</v>
      </c>
      <c r="I127" s="367">
        <v>0</v>
      </c>
      <c r="J127" s="367">
        <v>0</v>
      </c>
      <c r="K127" s="367">
        <v>0</v>
      </c>
      <c r="L127" s="367">
        <f t="shared" ref="L127:M129" si="75">L48</f>
        <v>225.75</v>
      </c>
      <c r="M127" s="367">
        <f t="shared" si="75"/>
        <v>225.75</v>
      </c>
      <c r="N127" s="367">
        <f t="shared" ref="N127:O129" si="76">M127</f>
        <v>225.75</v>
      </c>
      <c r="O127" s="367">
        <f t="shared" si="76"/>
        <v>225.75</v>
      </c>
      <c r="P127" s="430">
        <f>O127+P137-T127</f>
        <v>145.7697603937778</v>
      </c>
      <c r="Q127" s="430">
        <f>P127+Q137-T127</f>
        <v>84.659532101080941</v>
      </c>
      <c r="R127" s="430">
        <f>Q127+R137-T127</f>
        <v>28.222032101080941</v>
      </c>
      <c r="T127" s="430">
        <f>'Pro Forma (Ex. 8)'!G10/4</f>
        <v>56.4375</v>
      </c>
      <c r="U127" s="637" t="s">
        <v>459</v>
      </c>
    </row>
    <row r="128" spans="1:21" s="383" customFormat="1" x14ac:dyDescent="0.45">
      <c r="A128" s="429" t="s">
        <v>120</v>
      </c>
      <c r="B128" s="367">
        <f t="shared" ref="B128:K128" si="77">B49</f>
        <v>0</v>
      </c>
      <c r="C128" s="367">
        <f t="shared" si="77"/>
        <v>0</v>
      </c>
      <c r="D128" s="367">
        <f t="shared" si="77"/>
        <v>0</v>
      </c>
      <c r="E128" s="367">
        <f t="shared" si="77"/>
        <v>285</v>
      </c>
      <c r="F128" s="367">
        <f t="shared" si="77"/>
        <v>285</v>
      </c>
      <c r="G128" s="367">
        <f t="shared" si="77"/>
        <v>244.28571428571428</v>
      </c>
      <c r="H128" s="367">
        <f t="shared" si="77"/>
        <v>203.57142857142856</v>
      </c>
      <c r="I128" s="367">
        <f t="shared" si="77"/>
        <v>162.85714285714286</v>
      </c>
      <c r="J128" s="367">
        <f t="shared" si="77"/>
        <v>122.14285714285714</v>
      </c>
      <c r="K128" s="367">
        <f t="shared" si="77"/>
        <v>81.428571428571416</v>
      </c>
      <c r="L128" s="367">
        <f t="shared" si="75"/>
        <v>-2.768571428571434</v>
      </c>
      <c r="M128" s="367">
        <f t="shared" si="75"/>
        <v>78.659999999999982</v>
      </c>
      <c r="N128" s="367">
        <f t="shared" si="76"/>
        <v>78.659999999999982</v>
      </c>
      <c r="O128" s="367">
        <f t="shared" si="76"/>
        <v>78.659999999999982</v>
      </c>
      <c r="P128" s="430">
        <f>O128-T128</f>
        <v>65.549999999999983</v>
      </c>
      <c r="Q128" s="430">
        <f>P128-T128</f>
        <v>52.439999999999984</v>
      </c>
      <c r="R128" s="430">
        <f>Q128-T128</f>
        <v>39.329999999999984</v>
      </c>
      <c r="T128" s="430">
        <f>'Pro Forma (Ex. 8)'!G11/6</f>
        <v>13.109999999999998</v>
      </c>
      <c r="U128" s="637" t="s">
        <v>458</v>
      </c>
    </row>
    <row r="129" spans="1:19" s="383" customFormat="1" x14ac:dyDescent="0.45">
      <c r="A129" s="429" t="s">
        <v>154</v>
      </c>
      <c r="B129" s="367">
        <f t="shared" ref="B129:K129" si="78">B50</f>
        <v>0</v>
      </c>
      <c r="C129" s="367">
        <f t="shared" si="78"/>
        <v>0</v>
      </c>
      <c r="D129" s="367">
        <f t="shared" si="78"/>
        <v>0</v>
      </c>
      <c r="E129" s="367">
        <f t="shared" si="78"/>
        <v>0</v>
      </c>
      <c r="F129" s="367">
        <f t="shared" si="78"/>
        <v>0</v>
      </c>
      <c r="G129" s="367">
        <f t="shared" si="78"/>
        <v>170</v>
      </c>
      <c r="H129" s="367">
        <f t="shared" si="78"/>
        <v>170</v>
      </c>
      <c r="I129" s="367">
        <f t="shared" si="78"/>
        <v>170</v>
      </c>
      <c r="J129" s="367">
        <f t="shared" si="78"/>
        <v>170</v>
      </c>
      <c r="K129" s="367">
        <f t="shared" si="78"/>
        <v>170</v>
      </c>
      <c r="L129" s="367">
        <f t="shared" si="75"/>
        <v>-108.375</v>
      </c>
      <c r="M129" s="367">
        <f t="shared" si="75"/>
        <v>61.625</v>
      </c>
      <c r="N129" s="367">
        <f t="shared" si="76"/>
        <v>61.625</v>
      </c>
      <c r="O129" s="367">
        <f t="shared" si="76"/>
        <v>61.625</v>
      </c>
      <c r="P129" s="367">
        <f t="shared" ref="P129:R129" si="79">O129</f>
        <v>61.625</v>
      </c>
      <c r="Q129" s="367">
        <f t="shared" si="79"/>
        <v>61.625</v>
      </c>
      <c r="R129" s="367">
        <f t="shared" si="79"/>
        <v>61.625</v>
      </c>
    </row>
    <row r="130" spans="1:19" s="383" customFormat="1" ht="5.7" customHeight="1" x14ac:dyDescent="0.45">
      <c r="A130" s="429"/>
      <c r="B130" s="381"/>
      <c r="C130" s="381"/>
      <c r="D130" s="381"/>
      <c r="E130" s="381"/>
      <c r="F130" s="381"/>
      <c r="G130" s="381"/>
      <c r="H130" s="381"/>
      <c r="I130" s="381"/>
      <c r="J130" s="381"/>
      <c r="K130" s="381"/>
      <c r="L130" s="381"/>
      <c r="M130" s="381"/>
      <c r="N130" s="381"/>
      <c r="O130" s="381"/>
      <c r="P130" s="381"/>
      <c r="Q130" s="381"/>
      <c r="R130" s="381"/>
    </row>
    <row r="131" spans="1:19" s="383" customFormat="1" x14ac:dyDescent="0.45">
      <c r="A131" s="431" t="s">
        <v>100</v>
      </c>
      <c r="B131" s="419">
        <f t="shared" ref="B131:R131" si="80">B123+B124+B127+B128+B129</f>
        <v>49.5</v>
      </c>
      <c r="C131" s="419">
        <f t="shared" si="80"/>
        <v>47</v>
      </c>
      <c r="D131" s="419">
        <f t="shared" si="80"/>
        <v>92.1</v>
      </c>
      <c r="E131" s="419">
        <f t="shared" si="80"/>
        <v>320.2</v>
      </c>
      <c r="F131" s="419">
        <f t="shared" si="80"/>
        <v>354.9</v>
      </c>
      <c r="G131" s="419">
        <f t="shared" si="80"/>
        <v>502.29999999999995</v>
      </c>
      <c r="H131" s="419">
        <f t="shared" si="80"/>
        <v>572.48571428571427</v>
      </c>
      <c r="I131" s="419">
        <f t="shared" si="80"/>
        <v>536.07142857142856</v>
      </c>
      <c r="J131" s="419">
        <f t="shared" si="80"/>
        <v>522.9571428571428</v>
      </c>
      <c r="K131" s="419">
        <f t="shared" si="80"/>
        <v>507.14285714285711</v>
      </c>
      <c r="L131" s="419">
        <f t="shared" si="80"/>
        <v>-135.00071428571431</v>
      </c>
      <c r="M131" s="419">
        <f t="shared" si="80"/>
        <v>372.14214285714286</v>
      </c>
      <c r="N131" s="419">
        <f t="shared" si="80"/>
        <v>372.14214285714286</v>
      </c>
      <c r="O131" s="419">
        <f t="shared" si="80"/>
        <v>372.14214285714286</v>
      </c>
      <c r="P131" s="419">
        <f t="shared" si="80"/>
        <v>279.05190325092065</v>
      </c>
      <c r="Q131" s="419">
        <f t="shared" si="80"/>
        <v>204.8316749582238</v>
      </c>
      <c r="R131" s="419">
        <f t="shared" si="80"/>
        <v>135.28417495822379</v>
      </c>
    </row>
    <row r="132" spans="1:19" s="383" customFormat="1" x14ac:dyDescent="0.45">
      <c r="A132" s="429"/>
      <c r="C132" s="369"/>
      <c r="D132" s="369"/>
      <c r="E132" s="369"/>
      <c r="F132" s="369"/>
      <c r="G132" s="369"/>
      <c r="H132" s="369"/>
      <c r="I132" s="369"/>
      <c r="J132" s="369"/>
      <c r="K132" s="369"/>
      <c r="L132" s="372"/>
      <c r="M132" s="372"/>
      <c r="N132" s="370"/>
      <c r="O132" s="370"/>
      <c r="P132" s="370"/>
    </row>
    <row r="133" spans="1:19" s="383" customFormat="1" x14ac:dyDescent="0.45">
      <c r="A133" s="383" t="s">
        <v>314</v>
      </c>
      <c r="B133" s="432">
        <f t="shared" ref="B133:K133" si="81">B31</f>
        <v>50.5</v>
      </c>
      <c r="C133" s="432">
        <f t="shared" si="81"/>
        <v>44.220421429798058</v>
      </c>
      <c r="D133" s="432">
        <f t="shared" si="81"/>
        <v>43.741532455801369</v>
      </c>
      <c r="E133" s="432">
        <f t="shared" si="81"/>
        <v>70.809678198583441</v>
      </c>
      <c r="F133" s="432">
        <f t="shared" si="81"/>
        <v>77.156926320518011</v>
      </c>
      <c r="G133" s="432">
        <f t="shared" si="81"/>
        <v>103.30266151339198</v>
      </c>
      <c r="H133" s="432">
        <f t="shared" si="81"/>
        <v>63.230073140804876</v>
      </c>
      <c r="I133" s="432">
        <f t="shared" si="81"/>
        <v>45.609420203084383</v>
      </c>
      <c r="J133" s="432">
        <f t="shared" si="81"/>
        <v>32.605106533178031</v>
      </c>
      <c r="K133" s="432">
        <f t="shared" si="81"/>
        <v>20.338927601688315</v>
      </c>
      <c r="L133" s="372"/>
      <c r="M133" s="432">
        <f t="shared" ref="M133:R133" si="82">M31</f>
        <v>20.338927601688315</v>
      </c>
      <c r="N133" s="432">
        <f t="shared" si="82"/>
        <v>29.634335859187956</v>
      </c>
      <c r="O133" s="432">
        <f t="shared" si="82"/>
        <v>84.312214032902304</v>
      </c>
      <c r="P133" s="432">
        <f t="shared" si="82"/>
        <v>70.090593358712027</v>
      </c>
      <c r="Q133" s="432">
        <f t="shared" si="82"/>
        <v>72.883541891279421</v>
      </c>
      <c r="R133" s="432">
        <f t="shared" si="82"/>
        <v>43.155316401713215</v>
      </c>
    </row>
    <row r="134" spans="1:19" s="383" customFormat="1" x14ac:dyDescent="0.45">
      <c r="A134" s="369" t="s">
        <v>315</v>
      </c>
      <c r="B134" s="367">
        <f t="shared" ref="B134:K134" si="83">-(B7+B9)/12</f>
        <v>74.43419999999999</v>
      </c>
      <c r="C134" s="367">
        <f t="shared" si="83"/>
        <v>77.836500000000001</v>
      </c>
      <c r="D134" s="367">
        <f t="shared" si="83"/>
        <v>84.895240966666663</v>
      </c>
      <c r="E134" s="367">
        <f t="shared" si="83"/>
        <v>95.976986681644163</v>
      </c>
      <c r="F134" s="367">
        <f t="shared" si="83"/>
        <v>106.86667545141033</v>
      </c>
      <c r="G134" s="367">
        <f t="shared" si="83"/>
        <v>119.58940229840626</v>
      </c>
      <c r="H134" s="367">
        <f t="shared" si="83"/>
        <v>108.602508936262</v>
      </c>
      <c r="I134" s="367">
        <f t="shared" si="83"/>
        <v>79.252495477319584</v>
      </c>
      <c r="J134" s="367">
        <f t="shared" si="83"/>
        <v>71.018749999999997</v>
      </c>
      <c r="K134" s="367">
        <f t="shared" si="83"/>
        <v>72.868724999999998</v>
      </c>
      <c r="L134" s="372"/>
      <c r="M134" s="367">
        <f t="shared" ref="M134:R134" si="84">-(M7+M9)/12</f>
        <v>72.868724999999998</v>
      </c>
      <c r="N134" s="367">
        <f t="shared" si="84"/>
        <v>74.12699933333333</v>
      </c>
      <c r="O134" s="367">
        <f t="shared" si="84"/>
        <v>77.781861273333334</v>
      </c>
      <c r="P134" s="367">
        <f t="shared" si="84"/>
        <v>81.141105598933336</v>
      </c>
      <c r="Q134" s="367">
        <f t="shared" si="84"/>
        <v>84.374391564335568</v>
      </c>
      <c r="R134" s="367">
        <f t="shared" si="84"/>
        <v>87.392328602420648</v>
      </c>
    </row>
    <row r="135" spans="1:19" s="383" customFormat="1" x14ac:dyDescent="0.45">
      <c r="A135" s="369" t="s">
        <v>316</v>
      </c>
      <c r="B135" s="433">
        <f t="shared" ref="B135:K135" si="85">B133/B134</f>
        <v>0.67845157199244444</v>
      </c>
      <c r="C135" s="433">
        <f t="shared" si="85"/>
        <v>0.56811934542018283</v>
      </c>
      <c r="D135" s="433">
        <f t="shared" si="85"/>
        <v>0.51524127804732989</v>
      </c>
      <c r="E135" s="433">
        <f t="shared" si="85"/>
        <v>0.73777767615750711</v>
      </c>
      <c r="F135" s="433">
        <f t="shared" si="85"/>
        <v>0.721992389064254</v>
      </c>
      <c r="G135" s="546">
        <f t="shared" si="85"/>
        <v>0.86381116995321483</v>
      </c>
      <c r="H135" s="433">
        <f t="shared" si="85"/>
        <v>0.5822155837846632</v>
      </c>
      <c r="I135" s="433">
        <f t="shared" si="85"/>
        <v>0.57549506710658527</v>
      </c>
      <c r="J135" s="433">
        <f t="shared" si="85"/>
        <v>0.45910560990130117</v>
      </c>
      <c r="K135" s="433">
        <f t="shared" si="85"/>
        <v>0.27911737994164598</v>
      </c>
      <c r="L135" s="434"/>
      <c r="M135" s="433">
        <f t="shared" ref="M135:R135" si="86">M133/M134</f>
        <v>0.27911737994164598</v>
      </c>
      <c r="N135" s="433">
        <f t="shared" si="86"/>
        <v>0.39977789639006778</v>
      </c>
      <c r="O135" s="433">
        <f t="shared" si="86"/>
        <v>1.0839572704055083</v>
      </c>
      <c r="P135" s="433">
        <f t="shared" si="86"/>
        <v>0.86381116995321572</v>
      </c>
      <c r="Q135" s="433">
        <f t="shared" si="86"/>
        <v>0.8638111699532155</v>
      </c>
      <c r="R135" s="433">
        <f t="shared" si="86"/>
        <v>0.49381126572381862</v>
      </c>
    </row>
    <row r="136" spans="1:19" s="383" customFormat="1" x14ac:dyDescent="0.45">
      <c r="A136" s="435" t="s">
        <v>318</v>
      </c>
      <c r="C136" s="436"/>
      <c r="D136" s="436"/>
      <c r="E136" s="436"/>
      <c r="F136" s="436"/>
      <c r="G136" s="436"/>
      <c r="H136" s="436"/>
      <c r="I136" s="436"/>
      <c r="J136" s="436"/>
      <c r="K136" s="436"/>
      <c r="L136" s="372"/>
      <c r="M136" s="436"/>
      <c r="N136" s="436"/>
      <c r="O136" s="436"/>
      <c r="P136" s="437">
        <f>G135</f>
        <v>0.86381116995321483</v>
      </c>
      <c r="Q136" s="437">
        <f>P136</f>
        <v>0.86381116995321483</v>
      </c>
      <c r="R136" s="437">
        <f>Q136</f>
        <v>0.86381116995321483</v>
      </c>
    </row>
    <row r="137" spans="1:19" s="383" customFormat="1" x14ac:dyDescent="0.45">
      <c r="A137" s="383" t="s">
        <v>317</v>
      </c>
      <c r="B137" s="367"/>
      <c r="C137" s="367"/>
      <c r="D137" s="367"/>
      <c r="E137" s="367"/>
      <c r="F137" s="367"/>
      <c r="G137" s="367"/>
      <c r="H137" s="367"/>
      <c r="I137" s="367"/>
      <c r="J137" s="367"/>
      <c r="K137" s="367"/>
      <c r="L137" s="372"/>
      <c r="M137" s="367"/>
      <c r="N137" s="367"/>
      <c r="O137" s="367"/>
      <c r="P137" s="438">
        <v>-23.542739606222185</v>
      </c>
      <c r="Q137" s="438">
        <v>-4.6727282926968705</v>
      </c>
      <c r="R137" s="438">
        <v>0</v>
      </c>
      <c r="S137" s="637" t="s">
        <v>460</v>
      </c>
    </row>
    <row r="138" spans="1:19" s="383" customFormat="1" x14ac:dyDescent="0.45">
      <c r="C138" s="436"/>
      <c r="D138" s="436"/>
      <c r="E138" s="436"/>
      <c r="F138" s="436"/>
      <c r="G138" s="436"/>
      <c r="H138" s="436"/>
      <c r="I138" s="436"/>
      <c r="J138" s="436"/>
      <c r="K138" s="440"/>
      <c r="L138" s="439"/>
      <c r="M138" s="440"/>
      <c r="N138" s="440"/>
      <c r="O138" s="441" t="s">
        <v>319</v>
      </c>
      <c r="P138" s="442">
        <f>P135-P136</f>
        <v>8.8817841970012523E-16</v>
      </c>
      <c r="Q138" s="442">
        <f>Q135-Q136</f>
        <v>0</v>
      </c>
      <c r="R138" s="442">
        <f>R135-R136</f>
        <v>-0.36999990422939621</v>
      </c>
    </row>
    <row r="139" spans="1:19" s="383" customFormat="1" x14ac:dyDescent="0.45">
      <c r="C139" s="436"/>
      <c r="D139" s="436"/>
      <c r="E139" s="436"/>
      <c r="F139" s="436"/>
      <c r="G139" s="436"/>
      <c r="H139" s="436"/>
      <c r="I139" s="436"/>
      <c r="J139" s="436"/>
      <c r="K139" s="436"/>
      <c r="L139" s="372"/>
      <c r="M139" s="436"/>
      <c r="N139" s="436"/>
      <c r="O139" s="436"/>
      <c r="P139" s="436"/>
      <c r="Q139" s="436"/>
      <c r="R139" s="436"/>
    </row>
    <row r="140" spans="1:19" s="383" customFormat="1" x14ac:dyDescent="0.45">
      <c r="A140" s="418" t="s">
        <v>246</v>
      </c>
      <c r="C140" s="369"/>
      <c r="D140" s="369"/>
      <c r="E140" s="369"/>
      <c r="F140" s="369"/>
      <c r="G140" s="369"/>
      <c r="H140" s="369"/>
      <c r="I140" s="369"/>
      <c r="J140" s="369"/>
      <c r="K140" s="369"/>
      <c r="L140" s="372"/>
      <c r="M140" s="372"/>
      <c r="N140" s="443" t="s">
        <v>251</v>
      </c>
      <c r="O140" s="370"/>
      <c r="P140" s="370"/>
    </row>
    <row r="141" spans="1:19" s="383" customFormat="1" x14ac:dyDescent="0.45">
      <c r="A141" s="362" t="s">
        <v>96</v>
      </c>
      <c r="C141" s="369"/>
      <c r="D141" s="369"/>
      <c r="E141" s="369"/>
      <c r="F141" s="369"/>
      <c r="G141" s="369"/>
      <c r="H141" s="369"/>
      <c r="I141" s="369"/>
      <c r="J141" s="369"/>
      <c r="K141" s="369"/>
      <c r="L141" s="372"/>
      <c r="M141" s="372"/>
      <c r="N141" s="444" t="s">
        <v>284</v>
      </c>
      <c r="O141" s="370"/>
      <c r="P141" s="370"/>
    </row>
    <row r="142" spans="1:19" s="383" customFormat="1" x14ac:dyDescent="0.45">
      <c r="A142" s="429" t="s">
        <v>58</v>
      </c>
      <c r="C142" s="367"/>
      <c r="D142" s="367"/>
      <c r="E142" s="367"/>
      <c r="F142" s="367"/>
      <c r="G142" s="367"/>
      <c r="H142" s="367"/>
      <c r="I142" s="367"/>
      <c r="J142" s="367">
        <f>((I123+J123)/2)*J143-0.8134716666667</f>
        <v>2.3246683333333005</v>
      </c>
      <c r="K142" s="367">
        <f>((J123+K123)/2)*K143-1.3962431</f>
        <v>2.2091469000000004</v>
      </c>
      <c r="L142" s="367"/>
      <c r="M142" s="367">
        <f>K142</f>
        <v>2.2091469000000004</v>
      </c>
      <c r="N142" s="445">
        <f>M142/2</f>
        <v>1.1045734500000002</v>
      </c>
      <c r="O142" s="367">
        <f>((N123+O123)/2)*O143</f>
        <v>0</v>
      </c>
      <c r="P142" s="367">
        <f>((O123+P123)/2)*P143</f>
        <v>0</v>
      </c>
      <c r="Q142" s="367">
        <f>((P123+Q123)/2)*Q143</f>
        <v>0</v>
      </c>
      <c r="R142" s="367">
        <f>((Q123+R123)/2)*R143</f>
        <v>0</v>
      </c>
    </row>
    <row r="143" spans="1:19" s="383" customFormat="1" x14ac:dyDescent="0.45">
      <c r="A143" s="446" t="s">
        <v>249</v>
      </c>
      <c r="C143" s="367"/>
      <c r="D143" s="367"/>
      <c r="E143" s="367"/>
      <c r="F143" s="367"/>
      <c r="G143" s="367"/>
      <c r="H143" s="367"/>
      <c r="I143" s="367"/>
      <c r="J143" s="447">
        <f>K143</f>
        <v>1.78E-2</v>
      </c>
      <c r="K143" s="447">
        <f>'Pro Forma (Ex. 8)'!R6</f>
        <v>1.78E-2</v>
      </c>
      <c r="L143" s="367"/>
      <c r="M143" s="447">
        <f>K143</f>
        <v>1.78E-2</v>
      </c>
      <c r="N143" s="447">
        <f>M143</f>
        <v>1.78E-2</v>
      </c>
      <c r="O143" s="447">
        <f>'Pro Forma (Ex. 8)'!U6</f>
        <v>1.7999999999999999E-2</v>
      </c>
      <c r="P143" s="447">
        <f>'Pro Forma (Ex. 8)'!V6</f>
        <v>0</v>
      </c>
      <c r="Q143" s="447">
        <f>'Pro Forma (Ex. 8)'!W6</f>
        <v>0</v>
      </c>
      <c r="R143" s="447">
        <f>'Pro Forma (Ex. 8)'!X6</f>
        <v>1.7999999999999999E-2</v>
      </c>
    </row>
    <row r="144" spans="1:19" s="383" customFormat="1" ht="13.2" x14ac:dyDescent="0.45">
      <c r="A144" s="429" t="s">
        <v>369</v>
      </c>
      <c r="C144" s="367"/>
      <c r="D144" s="367"/>
      <c r="E144" s="367"/>
      <c r="F144" s="367"/>
      <c r="G144" s="367"/>
      <c r="H144" s="367"/>
      <c r="I144" s="367"/>
      <c r="J144" s="367">
        <f>((I124+J124)/2)*J145</f>
        <v>1.4250000000000003</v>
      </c>
      <c r="K144" s="367">
        <f>((J124+K124)/2)*K145</f>
        <v>1.4250000000000003</v>
      </c>
      <c r="L144" s="367"/>
      <c r="M144" s="367">
        <f>K144</f>
        <v>1.4250000000000003</v>
      </c>
      <c r="N144" s="445">
        <f>M144/2</f>
        <v>0.71250000000000013</v>
      </c>
      <c r="O144" s="367">
        <f>((N124+O124)/2)*O145</f>
        <v>0.3358928571428571</v>
      </c>
      <c r="P144" s="367">
        <f>((O124+P124)/2)*P145</f>
        <v>0</v>
      </c>
      <c r="Q144" s="367">
        <f>((P124+Q124)/2)*Q145</f>
        <v>0</v>
      </c>
      <c r="R144" s="367">
        <f>((Q124+R124)/2)*R145</f>
        <v>0.3358928571428571</v>
      </c>
    </row>
    <row r="145" spans="1:18" s="383" customFormat="1" x14ac:dyDescent="0.45">
      <c r="A145" s="446" t="s">
        <v>249</v>
      </c>
      <c r="C145" s="367"/>
      <c r="D145" s="367"/>
      <c r="E145" s="367"/>
      <c r="F145" s="367"/>
      <c r="G145" s="367"/>
      <c r="H145" s="367"/>
      <c r="I145" s="367"/>
      <c r="J145" s="447">
        <f>K145</f>
        <v>3.5000000000000003E-2</v>
      </c>
      <c r="K145" s="447">
        <f>'Pro Forma (Ex. 8)'!R7</f>
        <v>3.5000000000000003E-2</v>
      </c>
      <c r="L145" s="367"/>
      <c r="M145" s="447">
        <f>K145</f>
        <v>3.5000000000000003E-2</v>
      </c>
      <c r="N145" s="447">
        <f>M145</f>
        <v>3.5000000000000003E-2</v>
      </c>
      <c r="O145" s="447">
        <f>'Pro Forma (Ex. 8)'!U7</f>
        <v>5.5E-2</v>
      </c>
      <c r="P145" s="447">
        <f>'Pro Forma (Ex. 8)'!V7</f>
        <v>0</v>
      </c>
      <c r="Q145" s="447">
        <f>'Pro Forma (Ex. 8)'!W7</f>
        <v>0</v>
      </c>
      <c r="R145" s="447">
        <f>'Pro Forma (Ex. 8)'!X7</f>
        <v>5.5E-2</v>
      </c>
    </row>
    <row r="146" spans="1:18" s="383" customFormat="1" ht="5.7" customHeight="1" x14ac:dyDescent="0.45">
      <c r="A146" s="362"/>
      <c r="C146" s="369"/>
      <c r="D146" s="369"/>
      <c r="E146" s="369"/>
      <c r="F146" s="369"/>
      <c r="G146" s="369"/>
      <c r="H146" s="369"/>
      <c r="I146" s="369"/>
      <c r="J146" s="369"/>
      <c r="K146" s="369"/>
      <c r="L146" s="369"/>
      <c r="M146" s="369"/>
      <c r="N146" s="369"/>
      <c r="O146" s="369"/>
      <c r="P146" s="369"/>
      <c r="Q146" s="369"/>
      <c r="R146" s="369"/>
    </row>
    <row r="147" spans="1:18" s="383" customFormat="1" x14ac:dyDescent="0.45">
      <c r="A147" s="362" t="s">
        <v>95</v>
      </c>
      <c r="C147" s="369"/>
      <c r="D147" s="369"/>
      <c r="E147" s="369"/>
      <c r="F147" s="369"/>
      <c r="G147" s="369"/>
      <c r="H147" s="369"/>
      <c r="I147" s="369"/>
      <c r="J147" s="369"/>
      <c r="K147" s="369"/>
      <c r="L147" s="369"/>
      <c r="M147" s="369"/>
      <c r="N147" s="369"/>
      <c r="O147" s="369"/>
      <c r="P147" s="369"/>
      <c r="Q147" s="369"/>
      <c r="R147" s="369"/>
    </row>
    <row r="148" spans="1:18" s="383" customFormat="1" x14ac:dyDescent="0.45">
      <c r="A148" s="429" t="s">
        <v>170</v>
      </c>
      <c r="C148" s="367"/>
      <c r="D148" s="367"/>
      <c r="E148" s="367"/>
      <c r="F148" s="367"/>
      <c r="G148" s="367"/>
      <c r="H148" s="367"/>
      <c r="I148" s="367"/>
      <c r="J148" s="448" t="s">
        <v>212</v>
      </c>
      <c r="K148" s="448" t="s">
        <v>212</v>
      </c>
      <c r="L148" s="367"/>
      <c r="M148" s="448" t="s">
        <v>212</v>
      </c>
      <c r="N148" s="445">
        <f>((M127+N127)/2)*N149*0.5</f>
        <v>2.0317499999999997</v>
      </c>
      <c r="O148" s="367">
        <f>((N127+O127)/2)*O149</f>
        <v>4.0634999999999994</v>
      </c>
      <c r="P148" s="367">
        <f>((O127+P127)/2)*P149</f>
        <v>3.343677843544</v>
      </c>
      <c r="Q148" s="367">
        <f>((P127+Q127)/2)*Q149</f>
        <v>2.0738636324537287</v>
      </c>
      <c r="R148" s="367">
        <f>((Q127+R127)/2)*R149</f>
        <v>1.0159340778194568</v>
      </c>
    </row>
    <row r="149" spans="1:18" s="383" customFormat="1" x14ac:dyDescent="0.45">
      <c r="A149" s="446" t="s">
        <v>249</v>
      </c>
      <c r="C149" s="367"/>
      <c r="D149" s="367"/>
      <c r="E149" s="367"/>
      <c r="F149" s="367"/>
      <c r="G149" s="367"/>
      <c r="H149" s="367"/>
      <c r="I149" s="367"/>
      <c r="N149" s="447">
        <f>'Pro Forma (Ex. 8)'!$U$10</f>
        <v>1.7999999999999999E-2</v>
      </c>
      <c r="O149" s="447">
        <f>'Pro Forma (Ex. 8)'!$U$10</f>
        <v>1.7999999999999999E-2</v>
      </c>
      <c r="P149" s="447">
        <f>'Pro Forma (Ex. 8)'!$U$10</f>
        <v>1.7999999999999999E-2</v>
      </c>
      <c r="Q149" s="447">
        <f>'Pro Forma (Ex. 8)'!$U$10</f>
        <v>1.7999999999999999E-2</v>
      </c>
      <c r="R149" s="447">
        <f>'Pro Forma (Ex. 8)'!$U$10</f>
        <v>1.7999999999999999E-2</v>
      </c>
    </row>
    <row r="150" spans="1:18" s="383" customFormat="1" x14ac:dyDescent="0.45">
      <c r="A150" s="429" t="s">
        <v>120</v>
      </c>
      <c r="C150" s="367"/>
      <c r="D150" s="367"/>
      <c r="E150" s="367"/>
      <c r="F150" s="367"/>
      <c r="G150" s="367"/>
      <c r="H150" s="367"/>
      <c r="I150" s="367"/>
      <c r="J150" s="367">
        <f>((I128+J128)/2)*J151</f>
        <v>4.9875000000000007</v>
      </c>
      <c r="K150" s="367">
        <f>((J128+K128)/2)*K151</f>
        <v>3.5625</v>
      </c>
      <c r="L150" s="367"/>
      <c r="M150" s="367">
        <f>K150</f>
        <v>3.5625</v>
      </c>
      <c r="N150" s="445">
        <f>M150*0.5+(((M128+N128)/2)*N151)*0.5</f>
        <v>3.9443999999999995</v>
      </c>
      <c r="O150" s="367">
        <f>((N128+O128)/2)*O151</f>
        <v>4.3262999999999989</v>
      </c>
      <c r="P150" s="367">
        <f>((O128+P128)/2)*P151</f>
        <v>3.9657749999999994</v>
      </c>
      <c r="Q150" s="367">
        <f>((P128+Q128)/2)*Q151</f>
        <v>3.244724999999999</v>
      </c>
      <c r="R150" s="367">
        <f>((Q128+R128)/2)*R151</f>
        <v>2.523674999999999</v>
      </c>
    </row>
    <row r="151" spans="1:18" s="383" customFormat="1" x14ac:dyDescent="0.45">
      <c r="A151" s="446" t="s">
        <v>249</v>
      </c>
      <c r="C151" s="367"/>
      <c r="D151" s="367"/>
      <c r="E151" s="367"/>
      <c r="F151" s="367"/>
      <c r="G151" s="367"/>
      <c r="H151" s="367"/>
      <c r="I151" s="367"/>
      <c r="J151" s="447">
        <f>K151</f>
        <v>3.5000000000000003E-2</v>
      </c>
      <c r="K151" s="447">
        <f>'Pro Forma (Ex. 8)'!R11</f>
        <v>3.5000000000000003E-2</v>
      </c>
      <c r="L151" s="367"/>
      <c r="M151" s="447">
        <f>K151</f>
        <v>3.5000000000000003E-2</v>
      </c>
      <c r="N151" s="447">
        <f>'Pro Forma (Ex. 8)'!$U$11</f>
        <v>5.5E-2</v>
      </c>
      <c r="O151" s="447">
        <f>'Pro Forma (Ex. 8)'!$U$11</f>
        <v>5.5E-2</v>
      </c>
      <c r="P151" s="447">
        <f>'Pro Forma (Ex. 8)'!$U$11</f>
        <v>5.5E-2</v>
      </c>
      <c r="Q151" s="447">
        <f>'Pro Forma (Ex. 8)'!$U$11</f>
        <v>5.5E-2</v>
      </c>
      <c r="R151" s="447">
        <f>'Pro Forma (Ex. 8)'!$U$11</f>
        <v>5.5E-2</v>
      </c>
    </row>
    <row r="152" spans="1:18" s="383" customFormat="1" x14ac:dyDescent="0.45">
      <c r="A152" s="429" t="s">
        <v>154</v>
      </c>
      <c r="C152" s="367"/>
      <c r="D152" s="367"/>
      <c r="E152" s="367"/>
      <c r="F152" s="367"/>
      <c r="G152" s="367"/>
      <c r="H152" s="367"/>
      <c r="I152" s="367"/>
      <c r="J152" s="367">
        <f>((I129+J129)/2)*J153</f>
        <v>11.05</v>
      </c>
      <c r="K152" s="367">
        <f>((J129+K129)/2)*K153</f>
        <v>11.05</v>
      </c>
      <c r="L152" s="367"/>
      <c r="M152" s="367">
        <f>K152</f>
        <v>11.05</v>
      </c>
      <c r="N152" s="445">
        <f>M152*0.5+(((M129+N129)/2)*N153)*0.5</f>
        <v>7.6818750000000007</v>
      </c>
      <c r="O152" s="367">
        <f>((N129+O129)/2)*O153</f>
        <v>4.3137500000000006</v>
      </c>
      <c r="P152" s="367">
        <f>((O129+P129)/2)*P153</f>
        <v>4.3137500000000006</v>
      </c>
      <c r="Q152" s="367">
        <f>((P129+Q129)/2)*Q153</f>
        <v>4.3137500000000006</v>
      </c>
      <c r="R152" s="367">
        <f>((Q129+R129)/2)*R153</f>
        <v>4.3137500000000006</v>
      </c>
    </row>
    <row r="153" spans="1:18" s="383" customFormat="1" x14ac:dyDescent="0.45">
      <c r="A153" s="446" t="s">
        <v>249</v>
      </c>
      <c r="C153" s="367"/>
      <c r="D153" s="367"/>
      <c r="E153" s="367"/>
      <c r="F153" s="367"/>
      <c r="G153" s="367"/>
      <c r="H153" s="367"/>
      <c r="I153" s="367"/>
      <c r="J153" s="447">
        <f>K153</f>
        <v>6.5000000000000002E-2</v>
      </c>
      <c r="K153" s="447">
        <f>'Pro Forma (Ex. 8)'!R12</f>
        <v>6.5000000000000002E-2</v>
      </c>
      <c r="L153" s="367"/>
      <c r="M153" s="447">
        <f>K153</f>
        <v>6.5000000000000002E-2</v>
      </c>
      <c r="N153" s="447">
        <f>'Pro Forma (Ex. 8)'!$U$12</f>
        <v>7.0000000000000007E-2</v>
      </c>
      <c r="O153" s="447">
        <f>'Pro Forma (Ex. 8)'!$U$12</f>
        <v>7.0000000000000007E-2</v>
      </c>
      <c r="P153" s="447">
        <f>'Pro Forma (Ex. 8)'!$U$12</f>
        <v>7.0000000000000007E-2</v>
      </c>
      <c r="Q153" s="447">
        <f>'Pro Forma (Ex. 8)'!$U$12</f>
        <v>7.0000000000000007E-2</v>
      </c>
      <c r="R153" s="447">
        <f>'Pro Forma (Ex. 8)'!$U$12</f>
        <v>7.0000000000000007E-2</v>
      </c>
    </row>
    <row r="154" spans="1:18" s="383" customFormat="1" ht="5.7" customHeight="1" x14ac:dyDescent="0.45">
      <c r="A154" s="429"/>
      <c r="C154" s="381"/>
      <c r="D154" s="381"/>
      <c r="E154" s="381"/>
      <c r="F154" s="381"/>
      <c r="G154" s="381"/>
      <c r="H154" s="381"/>
      <c r="I154" s="381"/>
      <c r="J154" s="381"/>
      <c r="K154" s="381"/>
      <c r="L154" s="381"/>
      <c r="M154" s="381"/>
      <c r="N154" s="381"/>
      <c r="O154" s="381"/>
      <c r="P154" s="381"/>
      <c r="Q154" s="381"/>
      <c r="R154" s="381"/>
    </row>
    <row r="155" spans="1:18" s="383" customFormat="1" x14ac:dyDescent="0.45">
      <c r="A155" s="431" t="s">
        <v>248</v>
      </c>
      <c r="C155" s="419">
        <f t="shared" ref="C155:I155" si="87">-C14</f>
        <v>1.4244169499999999</v>
      </c>
      <c r="D155" s="419">
        <f t="shared" si="87"/>
        <v>0.99758910000000001</v>
      </c>
      <c r="E155" s="419">
        <f t="shared" si="87"/>
        <v>2.3030526</v>
      </c>
      <c r="F155" s="419">
        <f t="shared" si="87"/>
        <v>11.53304</v>
      </c>
      <c r="G155" s="419">
        <f t="shared" si="87"/>
        <v>14.4379752</v>
      </c>
      <c r="H155" s="419">
        <f t="shared" si="87"/>
        <v>22.608280000000001</v>
      </c>
      <c r="I155" s="419">
        <f t="shared" si="87"/>
        <v>24.131846979999999</v>
      </c>
      <c r="J155" s="419">
        <f>J142+J144+J150+J152</f>
        <v>19.787168333333302</v>
      </c>
      <c r="K155" s="419">
        <f>K142+K144+K150+K152</f>
        <v>18.246646900000002</v>
      </c>
      <c r="L155" s="419"/>
      <c r="M155" s="419">
        <f>M142+M144+M150+M152</f>
        <v>18.246646900000002</v>
      </c>
      <c r="N155" s="419">
        <f t="shared" ref="N155:R155" si="88">N142+N144+N148+N150+N152</f>
        <v>15.475098450000001</v>
      </c>
      <c r="O155" s="419">
        <f t="shared" si="88"/>
        <v>13.039442857142857</v>
      </c>
      <c r="P155" s="419">
        <f t="shared" si="88"/>
        <v>11.623202843544</v>
      </c>
      <c r="Q155" s="419">
        <f t="shared" si="88"/>
        <v>9.6323386324537275</v>
      </c>
      <c r="R155" s="419">
        <f t="shared" si="88"/>
        <v>8.1892519349623143</v>
      </c>
    </row>
    <row r="156" spans="1:18" s="383" customFormat="1" x14ac:dyDescent="0.45">
      <c r="A156" s="431" t="s">
        <v>250</v>
      </c>
      <c r="C156" s="449">
        <f t="shared" ref="C156:K156" si="89">C155/((C131+B131)/2)</f>
        <v>2.9521594818652849E-2</v>
      </c>
      <c r="D156" s="449">
        <f t="shared" si="89"/>
        <v>1.4343480948957585E-2</v>
      </c>
      <c r="E156" s="449">
        <f t="shared" si="89"/>
        <v>1.1171732233810334E-2</v>
      </c>
      <c r="F156" s="449">
        <f t="shared" si="89"/>
        <v>3.4166908606132432E-2</v>
      </c>
      <c r="G156" s="449">
        <f t="shared" si="89"/>
        <v>3.3686363042463842E-2</v>
      </c>
      <c r="H156" s="449">
        <f t="shared" si="89"/>
        <v>4.2070302385857648E-2</v>
      </c>
      <c r="I156" s="449">
        <f t="shared" si="89"/>
        <v>4.3537398383999788E-2</v>
      </c>
      <c r="J156" s="449">
        <f t="shared" si="89"/>
        <v>3.7368525962697109E-2</v>
      </c>
      <c r="K156" s="449">
        <f t="shared" si="89"/>
        <v>3.5426942821085342E-2</v>
      </c>
      <c r="L156" s="416"/>
      <c r="M156" s="449">
        <f>M155/((M131+K131)/2)</f>
        <v>4.150337353645292E-2</v>
      </c>
      <c r="N156" s="449">
        <f>N155/((N131+M131)/2)</f>
        <v>4.1583837646521397E-2</v>
      </c>
      <c r="O156" s="449">
        <f>O155/((O131+N131)/2)</f>
        <v>3.5038877233929434E-2</v>
      </c>
      <c r="P156" s="449">
        <f>P155/((P131+O131)/2)</f>
        <v>3.5698123817351879E-2</v>
      </c>
      <c r="Q156" s="449">
        <f>Q155/((Q131+P131)/2)</f>
        <v>3.981262876538634E-2</v>
      </c>
      <c r="R156" s="449">
        <f>R155/((R131+Q131)/2)</f>
        <v>4.8155661883879125E-2</v>
      </c>
    </row>
    <row r="157" spans="1:18" s="383" customFormat="1" x14ac:dyDescent="0.45">
      <c r="C157" s="436">
        <f t="shared" ref="C157:K157" si="90">C14+C155</f>
        <v>0</v>
      </c>
      <c r="D157" s="436">
        <f t="shared" si="90"/>
        <v>0</v>
      </c>
      <c r="E157" s="436">
        <f t="shared" si="90"/>
        <v>0</v>
      </c>
      <c r="F157" s="436">
        <f t="shared" si="90"/>
        <v>0</v>
      </c>
      <c r="G157" s="436">
        <f t="shared" si="90"/>
        <v>0</v>
      </c>
      <c r="H157" s="436">
        <f t="shared" si="90"/>
        <v>0</v>
      </c>
      <c r="I157" s="436">
        <f t="shared" si="90"/>
        <v>0</v>
      </c>
      <c r="J157" s="436">
        <f t="shared" si="90"/>
        <v>0</v>
      </c>
      <c r="K157" s="436">
        <f t="shared" si="90"/>
        <v>0</v>
      </c>
      <c r="L157" s="372"/>
      <c r="M157" s="436">
        <f t="shared" ref="M157:R157" si="91">M14+M155</f>
        <v>0</v>
      </c>
      <c r="N157" s="436">
        <f t="shared" si="91"/>
        <v>0</v>
      </c>
      <c r="O157" s="436">
        <f t="shared" si="91"/>
        <v>0</v>
      </c>
      <c r="P157" s="436">
        <f t="shared" si="91"/>
        <v>0</v>
      </c>
      <c r="Q157" s="436">
        <f t="shared" si="91"/>
        <v>0</v>
      </c>
      <c r="R157" s="436">
        <f t="shared" si="91"/>
        <v>0</v>
      </c>
    </row>
    <row r="158" spans="1:18" s="383" customFormat="1" x14ac:dyDescent="0.45">
      <c r="C158" s="436"/>
      <c r="D158" s="436"/>
      <c r="E158" s="436"/>
      <c r="F158" s="436"/>
      <c r="G158" s="436"/>
      <c r="H158" s="436"/>
      <c r="I158" s="436"/>
      <c r="J158" s="436"/>
      <c r="K158" s="436"/>
      <c r="L158" s="372"/>
      <c r="M158" s="436"/>
      <c r="N158" s="436"/>
      <c r="O158" s="436"/>
      <c r="P158" s="436"/>
      <c r="Q158" s="436"/>
      <c r="R158" s="436"/>
    </row>
    <row r="159" spans="1:18" s="383" customFormat="1" ht="14.4" x14ac:dyDescent="0.55000000000000004">
      <c r="A159" s="671" t="s">
        <v>489</v>
      </c>
      <c r="B159" s="371" t="s">
        <v>190</v>
      </c>
      <c r="C159" s="371"/>
      <c r="D159" s="371"/>
      <c r="E159" s="371"/>
      <c r="F159" s="371"/>
      <c r="G159" s="371"/>
      <c r="H159" s="371"/>
      <c r="I159" s="371"/>
      <c r="J159" s="371"/>
      <c r="K159" s="371"/>
      <c r="L159" s="372" t="s">
        <v>221</v>
      </c>
      <c r="M159" s="372"/>
      <c r="N159" s="373" t="s">
        <v>219</v>
      </c>
      <c r="O159" s="373"/>
      <c r="P159" s="373"/>
      <c r="Q159" s="373"/>
      <c r="R159" s="373"/>
    </row>
    <row r="160" spans="1:18" s="18" customFormat="1" ht="12.9" x14ac:dyDescent="0.5">
      <c r="A160" s="639" t="s">
        <v>462</v>
      </c>
      <c r="B160" s="375">
        <v>2001</v>
      </c>
      <c r="C160" s="375">
        <v>2002</v>
      </c>
      <c r="D160" s="375">
        <v>2003</v>
      </c>
      <c r="E160" s="375">
        <v>2004</v>
      </c>
      <c r="F160" s="375">
        <v>2005</v>
      </c>
      <c r="G160" s="375">
        <v>2006</v>
      </c>
      <c r="H160" s="375">
        <v>2007</v>
      </c>
      <c r="I160" s="375">
        <v>2008</v>
      </c>
      <c r="J160" s="375">
        <v>2009</v>
      </c>
      <c r="K160" s="375">
        <v>2010</v>
      </c>
      <c r="L160" s="375" t="s">
        <v>222</v>
      </c>
      <c r="M160" s="375" t="s">
        <v>220</v>
      </c>
      <c r="N160" s="375">
        <v>2011</v>
      </c>
      <c r="O160" s="375">
        <f>N160+1</f>
        <v>2012</v>
      </c>
      <c r="P160" s="375">
        <f>O160+1</f>
        <v>2013</v>
      </c>
      <c r="Q160" s="375">
        <f>P160+1</f>
        <v>2014</v>
      </c>
      <c r="R160" s="375">
        <f>Q160+1</f>
        <v>2015</v>
      </c>
    </row>
    <row r="161" spans="1:18" s="18" customFormat="1" ht="12.9" x14ac:dyDescent="0.5">
      <c r="A161" s="417" t="s">
        <v>461</v>
      </c>
      <c r="B161" s="450"/>
      <c r="C161" s="451"/>
      <c r="D161" s="451"/>
      <c r="E161" s="451"/>
      <c r="F161" s="451"/>
      <c r="G161" s="451"/>
      <c r="H161" s="451"/>
      <c r="I161" s="451"/>
      <c r="J161" s="451"/>
      <c r="K161" s="451"/>
    </row>
    <row r="162" spans="1:18" s="18" customFormat="1" ht="12.9" x14ac:dyDescent="0.5">
      <c r="A162" s="452" t="s">
        <v>41</v>
      </c>
      <c r="B162" s="453" t="s">
        <v>68</v>
      </c>
      <c r="C162" s="453">
        <f t="shared" ref="C162:K162" si="92">C6/B6-1</f>
        <v>4.7921967769295915E-2</v>
      </c>
      <c r="D162" s="453">
        <f t="shared" si="92"/>
        <v>9.2999999999999972E-2</v>
      </c>
      <c r="E162" s="453">
        <f t="shared" si="92"/>
        <v>0.12575913295337759</v>
      </c>
      <c r="F162" s="453">
        <f t="shared" si="92"/>
        <v>0.11699999999999999</v>
      </c>
      <c r="G162" s="453">
        <f t="shared" si="92"/>
        <v>0.10499999999999998</v>
      </c>
      <c r="H162" s="547">
        <f t="shared" si="92"/>
        <v>-0.15300000000000002</v>
      </c>
      <c r="I162" s="547">
        <f t="shared" si="92"/>
        <v>-0.27800000000000002</v>
      </c>
      <c r="J162" s="547">
        <f t="shared" si="92"/>
        <v>-0.10129012883407429</v>
      </c>
      <c r="K162" s="453">
        <f t="shared" si="92"/>
        <v>6.0969696969696896E-2</v>
      </c>
      <c r="N162" s="458">
        <f>'Projections (Ex. 4)'!C3</f>
        <v>6.8000000000000005E-2</v>
      </c>
      <c r="O162" s="458">
        <f>'Projections (Ex. 4)'!D3</f>
        <v>0.06</v>
      </c>
      <c r="P162" s="458">
        <f>'Projections (Ex. 4)'!E3</f>
        <v>5.5E-2</v>
      </c>
      <c r="Q162" s="458">
        <f>'Projections (Ex. 4)'!F3</f>
        <v>4.4999999999999998E-2</v>
      </c>
      <c r="R162" s="458">
        <f>'Projections (Ex. 4)'!G3</f>
        <v>3.5000000000000003E-2</v>
      </c>
    </row>
    <row r="163" spans="1:18" s="18" customFormat="1" ht="12.9" x14ac:dyDescent="0.5">
      <c r="A163" s="452" t="s">
        <v>31</v>
      </c>
      <c r="B163" s="455">
        <f t="shared" ref="B163:K163" si="93">B8/B6</f>
        <v>0.16800000000000007</v>
      </c>
      <c r="C163" s="455">
        <f t="shared" si="93"/>
        <v>0.16699999999999993</v>
      </c>
      <c r="D163" s="455">
        <f t="shared" si="93"/>
        <v>0.16799999999999984</v>
      </c>
      <c r="E163" s="455">
        <f t="shared" si="93"/>
        <v>0.1639999999999962</v>
      </c>
      <c r="F163" s="455">
        <f t="shared" si="93"/>
        <v>0.16700000000000279</v>
      </c>
      <c r="G163" s="455">
        <f t="shared" si="93"/>
        <v>0.1569951124761528</v>
      </c>
      <c r="H163" s="455">
        <f t="shared" si="93"/>
        <v>0.10100000000000169</v>
      </c>
      <c r="I163" s="455">
        <f t="shared" si="93"/>
        <v>9.299999999999993E-2</v>
      </c>
      <c r="J163" s="455">
        <f t="shared" si="93"/>
        <v>9.5000000000000001E-2</v>
      </c>
      <c r="K163" s="455">
        <f t="shared" si="93"/>
        <v>0.11399999999999993</v>
      </c>
      <c r="N163" s="458">
        <f>'Projections (Ex. 4)'!C4</f>
        <v>0.125</v>
      </c>
      <c r="O163" s="458">
        <f>'Projections (Ex. 4)'!D4</f>
        <v>0.13</v>
      </c>
      <c r="P163" s="458">
        <f>'Projections (Ex. 4)'!E4</f>
        <v>0.13500000000000001</v>
      </c>
      <c r="Q163" s="458">
        <f>'Projections (Ex. 4)'!F4</f>
        <v>0.13500000000000001</v>
      </c>
      <c r="R163" s="458">
        <f>'Projections (Ex. 4)'!G4</f>
        <v>0.13500000000000001</v>
      </c>
    </row>
    <row r="164" spans="1:18" s="18" customFormat="1" ht="12.9" x14ac:dyDescent="0.5">
      <c r="A164" s="363" t="s">
        <v>37</v>
      </c>
      <c r="B164" s="456">
        <f t="shared" ref="B164:K164" si="94">-B9/B6</f>
        <v>0.115</v>
      </c>
      <c r="C164" s="456">
        <f t="shared" si="94"/>
        <v>0.112</v>
      </c>
      <c r="D164" s="456">
        <f t="shared" si="94"/>
        <v>0.11100000000000002</v>
      </c>
      <c r="E164" s="456">
        <f t="shared" si="94"/>
        <v>0.11100000000000008</v>
      </c>
      <c r="F164" s="456">
        <f t="shared" si="94"/>
        <v>0.11099999999999972</v>
      </c>
      <c r="G164" s="456">
        <f t="shared" si="94"/>
        <v>0.11299999999999967</v>
      </c>
      <c r="H164" s="456">
        <f t="shared" si="94"/>
        <v>0.12600000000000039</v>
      </c>
      <c r="I164" s="456">
        <f t="shared" si="94"/>
        <v>0.12899999999999978</v>
      </c>
      <c r="J164" s="456">
        <f t="shared" si="94"/>
        <v>0.128</v>
      </c>
      <c r="K164" s="456">
        <f t="shared" si="94"/>
        <v>0.113</v>
      </c>
      <c r="L164" s="457"/>
      <c r="M164" s="457"/>
      <c r="N164" s="456">
        <f>-N9/N6</f>
        <v>7.6545336409004336E-2</v>
      </c>
      <c r="O164" s="456">
        <f>-O9/O6</f>
        <v>7.1944969221532165E-2</v>
      </c>
      <c r="P164" s="456">
        <f>-P9/P6</f>
        <v>6.6398771854608463E-2</v>
      </c>
      <c r="Q164" s="456">
        <f>-Q9/Q6</f>
        <v>6.1806569685936875E-2</v>
      </c>
      <c r="R164" s="456">
        <f>-R9/R6</f>
        <v>6.249464575044348E-2</v>
      </c>
    </row>
    <row r="165" spans="1:18" s="18" customFormat="1" ht="12.9" x14ac:dyDescent="0.5">
      <c r="A165" s="452" t="s">
        <v>210</v>
      </c>
      <c r="B165" s="455">
        <f t="shared" ref="B165:K165" si="95">B11/B6</f>
        <v>4.6108566581849093E-2</v>
      </c>
      <c r="C165" s="455">
        <f t="shared" si="95"/>
        <v>3.8989275596924243E-2</v>
      </c>
      <c r="D165" s="455">
        <f t="shared" si="95"/>
        <v>4.20778407384765E-2</v>
      </c>
      <c r="E165" s="455">
        <f t="shared" si="95"/>
        <v>3.680987137665772E-2</v>
      </c>
      <c r="F165" s="455">
        <f t="shared" si="95"/>
        <v>3.0573030206059011E-2</v>
      </c>
      <c r="G165" s="455">
        <f t="shared" si="95"/>
        <v>2.0606020114706747E-2</v>
      </c>
      <c r="H165" s="459">
        <f t="shared" si="95"/>
        <v>-5.7419039744561057E-2</v>
      </c>
      <c r="I165" s="459">
        <f t="shared" si="95"/>
        <v>-7.9611650642271492E-2</v>
      </c>
      <c r="J165" s="459">
        <f t="shared" si="95"/>
        <v>-7.2422877082382417E-2</v>
      </c>
      <c r="K165" s="459">
        <f t="shared" si="95"/>
        <v>-2.7901757195810766E-2</v>
      </c>
      <c r="N165" s="458">
        <f>'Projections (Ex. 4)'!C5</f>
        <v>0.02</v>
      </c>
      <c r="O165" s="458">
        <f>'Projections (Ex. 4)'!D5</f>
        <v>0.03</v>
      </c>
      <c r="P165" s="458">
        <f>'Projections (Ex. 4)'!E5</f>
        <v>0.04</v>
      </c>
      <c r="Q165" s="458">
        <f>'Projections (Ex. 4)'!F5</f>
        <v>4.4999999999999998E-2</v>
      </c>
      <c r="R165" s="458">
        <f>'Projections (Ex. 4)'!G5</f>
        <v>4.4999999999999998E-2</v>
      </c>
    </row>
    <row r="166" spans="1:18" s="18" customFormat="1" ht="12.9" x14ac:dyDescent="0.5">
      <c r="A166" s="452" t="s">
        <v>211</v>
      </c>
      <c r="B166" s="455">
        <f t="shared" ref="B166:K166" si="96">B18/B6</f>
        <v>5.3000000000000068E-2</v>
      </c>
      <c r="C166" s="455">
        <f t="shared" si="96"/>
        <v>5.4999999999999924E-2</v>
      </c>
      <c r="D166" s="455">
        <f t="shared" si="96"/>
        <v>5.6999999999999836E-2</v>
      </c>
      <c r="E166" s="455">
        <f t="shared" si="96"/>
        <v>5.2999999999996127E-2</v>
      </c>
      <c r="F166" s="455">
        <f t="shared" si="96"/>
        <v>5.6000000000003068E-2</v>
      </c>
      <c r="G166" s="455">
        <f t="shared" si="96"/>
        <v>4.3995112476153134E-2</v>
      </c>
      <c r="H166" s="459">
        <f t="shared" si="96"/>
        <v>-2.4999999999998721E-2</v>
      </c>
      <c r="I166" s="459">
        <f t="shared" si="96"/>
        <v>-3.5999999999999852E-2</v>
      </c>
      <c r="J166" s="459">
        <f t="shared" si="96"/>
        <v>-3.2999999999999995E-2</v>
      </c>
      <c r="K166" s="455">
        <f t="shared" si="96"/>
        <v>9.999999999999302E-4</v>
      </c>
      <c r="N166" s="455">
        <f t="shared" ref="N166:R166" si="97">N18/N6</f>
        <v>4.8454663590995664E-2</v>
      </c>
      <c r="O166" s="455">
        <f t="shared" si="97"/>
        <v>5.8055030778467846E-2</v>
      </c>
      <c r="P166" s="455">
        <f t="shared" si="97"/>
        <v>6.8601228145391546E-2</v>
      </c>
      <c r="Q166" s="455">
        <f t="shared" si="97"/>
        <v>7.3193430314063126E-2</v>
      </c>
      <c r="R166" s="455">
        <f t="shared" si="97"/>
        <v>7.2505354249556536E-2</v>
      </c>
    </row>
    <row r="167" spans="1:18" s="18" customFormat="1" ht="12.9" x14ac:dyDescent="0.5">
      <c r="A167" s="452" t="s">
        <v>38</v>
      </c>
      <c r="B167" s="455">
        <f t="shared" ref="B167:K167" si="98">B16/B6</f>
        <v>2.8321538125530184E-2</v>
      </c>
      <c r="C167" s="455">
        <f t="shared" si="98"/>
        <v>2.4406291969344313E-2</v>
      </c>
      <c r="D167" s="455">
        <f t="shared" si="98"/>
        <v>2.6750374143356452E-2</v>
      </c>
      <c r="E167" s="455">
        <f t="shared" si="98"/>
        <v>2.2695527549364037E-2</v>
      </c>
      <c r="F167" s="455">
        <f t="shared" si="98"/>
        <v>1.4354165857990136E-2</v>
      </c>
      <c r="G167" s="455">
        <f t="shared" si="98"/>
        <v>7.1421023756769175E-3</v>
      </c>
      <c r="H167" s="459">
        <f t="shared" si="98"/>
        <v>-4.9181203601596557E-2</v>
      </c>
      <c r="I167" s="459">
        <f t="shared" si="98"/>
        <v>-8.5204384856542623E-2</v>
      </c>
      <c r="J167" s="459">
        <f t="shared" si="98"/>
        <v>-0.10988095475316025</v>
      </c>
      <c r="K167" s="459">
        <f t="shared" si="98"/>
        <v>-7.6452596117874291E-2</v>
      </c>
      <c r="N167" s="459">
        <f>N16/N6</f>
        <v>3.4459127657034414E-3</v>
      </c>
      <c r="O167" s="455">
        <f>O16/O6</f>
        <v>1.6840936306071384E-2</v>
      </c>
      <c r="P167" s="455">
        <f>P16/P6</f>
        <v>2.8881676377646631E-2</v>
      </c>
      <c r="Q167" s="455">
        <f>Q16/Q6</f>
        <v>3.2841148569459813E-2</v>
      </c>
      <c r="R167" s="455">
        <f>R16/R6</f>
        <v>2.4542238614742664E-2</v>
      </c>
    </row>
    <row r="168" spans="1:18" s="18" customFormat="1" ht="12.9" x14ac:dyDescent="0.5">
      <c r="A168" s="452" t="s">
        <v>39</v>
      </c>
      <c r="B168" s="460">
        <f>B11/B40</f>
        <v>9.1898941198978304E-2</v>
      </c>
      <c r="C168" s="460">
        <f t="shared" ref="C168:K168" si="99">C11/((B40+C40)/2)</f>
        <v>8.0017147832858557E-2</v>
      </c>
      <c r="D168" s="460">
        <f t="shared" si="99"/>
        <v>8.6347781008279695E-2</v>
      </c>
      <c r="E168" s="460">
        <f t="shared" si="99"/>
        <v>6.4827099112775469E-2</v>
      </c>
      <c r="F168" s="460">
        <f t="shared" si="99"/>
        <v>4.9109866577872238E-2</v>
      </c>
      <c r="G168" s="459">
        <f t="shared" si="99"/>
        <v>3.255739406717556E-2</v>
      </c>
      <c r="H168" s="459">
        <f t="shared" si="99"/>
        <v>-7.2784027166272483E-2</v>
      </c>
      <c r="I168" s="459">
        <f t="shared" si="99"/>
        <v>-8.1721554439268151E-2</v>
      </c>
      <c r="J168" s="459">
        <f t="shared" si="99"/>
        <v>-8.0969861638791676E-2</v>
      </c>
      <c r="K168" s="459">
        <f t="shared" si="99"/>
        <v>-3.9355973793609701E-2</v>
      </c>
      <c r="N168" s="459">
        <f>N11/((M40+N40)/2)</f>
        <v>3.2213413270560251E-2</v>
      </c>
      <c r="O168" s="646">
        <f>O11/((N40+O40)/2)</f>
        <v>4.9159186311870107E-2</v>
      </c>
      <c r="P168" s="455">
        <f>P11/((O40+P40)/2)</f>
        <v>6.8720861033276667E-2</v>
      </c>
      <c r="Q168" s="455">
        <f>Q11/((P40+Q40)/2)</f>
        <v>8.3265136746576693E-2</v>
      </c>
      <c r="R168" s="455">
        <f>R11/((Q40+R40)/2)</f>
        <v>8.9691066547539749E-2</v>
      </c>
    </row>
    <row r="169" spans="1:18" s="18" customFormat="1" ht="12.9" hidden="1" outlineLevel="1" x14ac:dyDescent="0.5">
      <c r="A169" s="452" t="s">
        <v>40</v>
      </c>
      <c r="B169" s="460">
        <f>B16/(B52+B53)</f>
        <v>7.9332086288233489E-2</v>
      </c>
      <c r="C169" s="460">
        <f t="shared" ref="C169:K169" si="100">C16/((B52+B53+C52+C53)/2)</f>
        <v>7.0269779418877382E-2</v>
      </c>
      <c r="D169" s="460">
        <f t="shared" si="100"/>
        <v>8.0537883520406778E-2</v>
      </c>
      <c r="E169" s="460">
        <f t="shared" si="100"/>
        <v>7.3390650015426065E-2</v>
      </c>
      <c r="F169" s="460">
        <f t="shared" si="100"/>
        <v>5.0171005049204506E-2</v>
      </c>
      <c r="G169" s="455">
        <f t="shared" si="100"/>
        <v>2.72943148532797E-2</v>
      </c>
      <c r="H169" s="455">
        <f t="shared" si="100"/>
        <v>-0.17569293101245392</v>
      </c>
      <c r="I169" s="455">
        <f t="shared" si="100"/>
        <v>-0.2848802873574815</v>
      </c>
      <c r="J169" s="455">
        <f t="shared" si="100"/>
        <v>-0.49839081720007178</v>
      </c>
      <c r="K169" s="455">
        <f t="shared" si="100"/>
        <v>-0.66679851443238669</v>
      </c>
      <c r="L169" s="455"/>
      <c r="M169" s="455"/>
      <c r="N169" s="455">
        <f>N16/((M52+M53+N52+N53)/2)</f>
        <v>1.5857643922435521E-2</v>
      </c>
      <c r="O169" s="646">
        <f>O16/((N52+N53+O52+O53)/2)</f>
        <v>7.8723660011125005E-2</v>
      </c>
      <c r="P169" s="455">
        <f>P16/((O52+O53+P52+P53)/2)</f>
        <v>0.12906623480312979</v>
      </c>
      <c r="Q169" s="455">
        <f>Q16/((P52+P53+Q52+Q53)/2)</f>
        <v>0.13513869587353658</v>
      </c>
      <c r="R169" s="455">
        <f>R16/((Q52+Q53+R52+R53)/2)</f>
        <v>9.3807598069123574E-2</v>
      </c>
    </row>
    <row r="170" spans="1:18" s="461" customFormat="1" ht="12.9" collapsed="1" x14ac:dyDescent="0.5">
      <c r="A170" s="452" t="s">
        <v>182</v>
      </c>
      <c r="B170" s="460">
        <f>-B14/(B44+B45+B47)</f>
        <v>4.8340800000000003E-2</v>
      </c>
      <c r="C170" s="460">
        <f t="shared" ref="C170:K170" si="101">-C14/((C44+B44+C45+B45+C47+B47)/2)</f>
        <v>2.9521594818652849E-2</v>
      </c>
      <c r="D170" s="460">
        <f t="shared" si="101"/>
        <v>1.4343480948957585E-2</v>
      </c>
      <c r="E170" s="460">
        <f t="shared" si="101"/>
        <v>1.1171732233810332E-2</v>
      </c>
      <c r="F170" s="460">
        <f t="shared" si="101"/>
        <v>3.4166908606132425E-2</v>
      </c>
      <c r="G170" s="460">
        <f t="shared" si="101"/>
        <v>3.3686363042463835E-2</v>
      </c>
      <c r="H170" s="460">
        <f t="shared" si="101"/>
        <v>4.2070302385857648E-2</v>
      </c>
      <c r="I170" s="460">
        <f t="shared" si="101"/>
        <v>4.3537398383999788E-2</v>
      </c>
      <c r="J170" s="460">
        <f t="shared" si="101"/>
        <v>3.7368525962697109E-2</v>
      </c>
      <c r="K170" s="460">
        <f t="shared" si="101"/>
        <v>3.5426942821085335E-2</v>
      </c>
      <c r="N170" s="462">
        <f>-N14/((N44+M44+N45+M45+N47+M47)/2)</f>
        <v>4.1583837646521397E-2</v>
      </c>
      <c r="O170" s="550">
        <f>-O14/((O44+N44+O45+N45+O47+N47)/2)</f>
        <v>3.5038877233929434E-2</v>
      </c>
      <c r="P170" s="460">
        <f>-P14/((P44+O44+P45+O45+P47+O47)/2)</f>
        <v>3.5698123817351879E-2</v>
      </c>
      <c r="Q170" s="460">
        <f>-Q14/((Q44+P44+Q45+P45+Q47+P47)/2)</f>
        <v>3.9812628765386347E-2</v>
      </c>
      <c r="R170" s="460">
        <f>-R14/((R44+Q44+R45+Q45+R47+Q47)/2)</f>
        <v>4.8155661883879125E-2</v>
      </c>
    </row>
    <row r="171" spans="1:18" s="18" customFormat="1" ht="12.9" x14ac:dyDescent="0.5">
      <c r="A171" s="452"/>
      <c r="B171" s="548"/>
      <c r="C171" s="548"/>
      <c r="D171" s="548"/>
      <c r="E171" s="548"/>
      <c r="F171" s="548"/>
      <c r="G171" s="425"/>
      <c r="H171" s="425"/>
      <c r="I171" s="425"/>
      <c r="J171" s="425"/>
      <c r="K171" s="425"/>
    </row>
    <row r="172" spans="1:18" s="18" customFormat="1" ht="12.9" x14ac:dyDescent="0.5">
      <c r="A172" s="417" t="s">
        <v>42</v>
      </c>
      <c r="B172" s="548"/>
      <c r="C172" s="548"/>
      <c r="D172" s="548"/>
      <c r="E172" s="548"/>
      <c r="F172" s="548"/>
      <c r="G172" s="425"/>
      <c r="H172" s="425"/>
      <c r="I172" s="425"/>
      <c r="J172" s="425"/>
      <c r="K172" s="425"/>
      <c r="L172" s="463"/>
      <c r="M172" s="463"/>
      <c r="N172" s="463"/>
    </row>
    <row r="173" spans="1:18" s="18" customFormat="1" ht="12.9" x14ac:dyDescent="0.5">
      <c r="A173" s="452" t="s">
        <v>43</v>
      </c>
      <c r="B173" s="460">
        <f t="shared" ref="B173:K173" si="102">(B44+B45+B47)/(B52+B53)</f>
        <v>0.14700545360800199</v>
      </c>
      <c r="C173" s="460">
        <f t="shared" si="102"/>
        <v>0.13433738402193435</v>
      </c>
      <c r="D173" s="460">
        <f t="shared" si="102"/>
        <v>0.25041846735916778</v>
      </c>
      <c r="E173" s="460">
        <f t="shared" si="102"/>
        <v>0.83297291441636279</v>
      </c>
      <c r="F173" s="460">
        <f t="shared" si="102"/>
        <v>0.9032234439940714</v>
      </c>
      <c r="G173" s="460">
        <f t="shared" si="102"/>
        <v>1.2792004908627741</v>
      </c>
      <c r="H173" s="460">
        <f t="shared" si="102"/>
        <v>1.7937488990033486</v>
      </c>
      <c r="I173" s="460">
        <f t="shared" si="102"/>
        <v>2.3311522356031236</v>
      </c>
      <c r="J173" s="460">
        <f t="shared" si="102"/>
        <v>3.9079711419350063</v>
      </c>
      <c r="K173" s="460">
        <f t="shared" si="102"/>
        <v>7.5807116486321515</v>
      </c>
      <c r="L173" s="463"/>
      <c r="M173" s="460">
        <f t="shared" ref="M173:R173" si="103">(M44+M45+M47)/(M52+M53)</f>
        <v>1.8432019218767286</v>
      </c>
      <c r="N173" s="460">
        <f t="shared" si="103"/>
        <v>1.8208466176237434</v>
      </c>
      <c r="O173" s="460">
        <f t="shared" si="103"/>
        <v>1.6947792890217819</v>
      </c>
      <c r="P173" s="460">
        <f t="shared" si="103"/>
        <v>1.1238965838578845</v>
      </c>
      <c r="Q173" s="460">
        <f t="shared" si="103"/>
        <v>0.72460085737983615</v>
      </c>
      <c r="R173" s="460">
        <f t="shared" si="103"/>
        <v>0.43788837580610696</v>
      </c>
    </row>
    <row r="174" spans="1:18" s="18" customFormat="1" ht="12.9" x14ac:dyDescent="0.5">
      <c r="A174" s="452" t="s">
        <v>35</v>
      </c>
      <c r="B174" s="460">
        <f t="shared" ref="B174:K174" si="104">(B44+B45+B47)/(B44+B45+B47+B52+B53)</f>
        <v>0.12816456377394198</v>
      </c>
      <c r="C174" s="460">
        <f t="shared" si="104"/>
        <v>0.11842806727009599</v>
      </c>
      <c r="D174" s="460">
        <f t="shared" si="104"/>
        <v>0.20026772948102828</v>
      </c>
      <c r="E174" s="460">
        <f t="shared" si="104"/>
        <v>0.45443820138585622</v>
      </c>
      <c r="F174" s="460">
        <f t="shared" si="104"/>
        <v>0.47457561898175366</v>
      </c>
      <c r="G174" s="455">
        <f t="shared" si="104"/>
        <v>0.56124965574158081</v>
      </c>
      <c r="H174" s="455">
        <f t="shared" si="104"/>
        <v>0.642058024485757</v>
      </c>
      <c r="I174" s="455">
        <f t="shared" si="104"/>
        <v>0.69980357267612403</v>
      </c>
      <c r="J174" s="459">
        <f t="shared" si="104"/>
        <v>0.79624982073432837</v>
      </c>
      <c r="K174" s="459">
        <f t="shared" si="104"/>
        <v>0.88345954963311113</v>
      </c>
      <c r="M174" s="455">
        <f t="shared" ref="M174:R174" si="105">(M44+M45+M47)/(M44+M45+M47+M52+M53)</f>
        <v>0.64828386183000175</v>
      </c>
      <c r="N174" s="455">
        <f t="shared" si="105"/>
        <v>0.64549649961386724</v>
      </c>
      <c r="O174" s="455">
        <f t="shared" si="105"/>
        <v>0.62891209529704939</v>
      </c>
      <c r="P174" s="455">
        <f t="shared" si="105"/>
        <v>0.52916728262560608</v>
      </c>
      <c r="Q174" s="455">
        <f t="shared" si="105"/>
        <v>0.4201556866211425</v>
      </c>
      <c r="R174" s="455">
        <f t="shared" si="105"/>
        <v>0.30453572278211</v>
      </c>
    </row>
    <row r="175" spans="1:18" s="18" customFormat="1" ht="12.9" hidden="1" outlineLevel="1" x14ac:dyDescent="0.5">
      <c r="A175" s="452" t="s">
        <v>215</v>
      </c>
      <c r="B175" s="549">
        <f t="shared" ref="B175:K175" si="106">B11/-B14</f>
        <v>18.174663592199117</v>
      </c>
      <c r="C175" s="549">
        <f t="shared" si="106"/>
        <v>27.0545783662571</v>
      </c>
      <c r="D175" s="549">
        <f t="shared" si="106"/>
        <v>45.567441945786911</v>
      </c>
      <c r="E175" s="549">
        <f t="shared" si="106"/>
        <v>19.438324169592288</v>
      </c>
      <c r="F175" s="549">
        <f t="shared" si="106"/>
        <v>3.6011916778756508</v>
      </c>
      <c r="G175" s="464">
        <f t="shared" si="106"/>
        <v>2.142405411755774</v>
      </c>
      <c r="H175" s="465">
        <f t="shared" si="106"/>
        <v>-3.2291308305756226</v>
      </c>
      <c r="I175" s="465">
        <f t="shared" si="106"/>
        <v>-3.0284506596453373</v>
      </c>
      <c r="J175" s="465">
        <f t="shared" si="106"/>
        <v>-3.0195767573429411</v>
      </c>
      <c r="K175" s="465">
        <f t="shared" si="106"/>
        <v>-1.3384600582966926</v>
      </c>
      <c r="M175" s="465">
        <f t="shared" ref="M175:R175" si="107">M11/-M14</f>
        <v>-1.3384600582966926</v>
      </c>
      <c r="N175" s="465">
        <f t="shared" si="107"/>
        <v>1.2081608437198663</v>
      </c>
      <c r="O175" s="465">
        <f t="shared" si="107"/>
        <v>2.2797974611097538</v>
      </c>
      <c r="P175" s="464">
        <f t="shared" si="107"/>
        <v>3.5976646622859656</v>
      </c>
      <c r="Q175" s="464">
        <f t="shared" si="107"/>
        <v>5.1036815485015765</v>
      </c>
      <c r="R175" s="464">
        <f t="shared" si="107"/>
        <v>6.2131441265477676</v>
      </c>
    </row>
    <row r="176" spans="1:18" s="18" customFormat="1" ht="12.9" collapsed="1" x14ac:dyDescent="0.5">
      <c r="A176" s="452" t="s">
        <v>214</v>
      </c>
      <c r="B176" s="464">
        <f t="shared" ref="B176:K176" si="108">B18/-B14</f>
        <v>20.891067361129945</v>
      </c>
      <c r="C176" s="464">
        <f t="shared" si="108"/>
        <v>38.164387190141149</v>
      </c>
      <c r="D176" s="464">
        <f t="shared" si="108"/>
        <v>61.727126328866078</v>
      </c>
      <c r="E176" s="464">
        <f t="shared" si="108"/>
        <v>27.987904941216872</v>
      </c>
      <c r="F176" s="464">
        <f t="shared" si="108"/>
        <v>6.5962298340018934</v>
      </c>
      <c r="G176" s="464">
        <f t="shared" si="108"/>
        <v>4.5741665074102942</v>
      </c>
      <c r="H176" s="465">
        <f t="shared" si="108"/>
        <v>-1.4059495094923338</v>
      </c>
      <c r="I176" s="465">
        <f t="shared" si="108"/>
        <v>-1.3694506126637573</v>
      </c>
      <c r="J176" s="465">
        <f t="shared" si="108"/>
        <v>-1.3758916658194584</v>
      </c>
      <c r="K176" s="465">
        <f t="shared" si="108"/>
        <v>4.7970457520057505E-2</v>
      </c>
      <c r="M176" s="465">
        <f t="shared" ref="M176:R176" si="109">M18/-M14</f>
        <v>4.7970457520057505E-2</v>
      </c>
      <c r="N176" s="464">
        <f t="shared" si="109"/>
        <v>2.9270513623129806</v>
      </c>
      <c r="O176" s="464">
        <f t="shared" si="109"/>
        <v>4.4117903924466537</v>
      </c>
      <c r="P176" s="464">
        <f t="shared" si="109"/>
        <v>6.1701053572023135</v>
      </c>
      <c r="Q176" s="464">
        <f t="shared" si="109"/>
        <v>8.3012435503426651</v>
      </c>
      <c r="R176" s="464">
        <f t="shared" si="109"/>
        <v>10.010804797753277</v>
      </c>
    </row>
    <row r="177" spans="1:18" s="18" customFormat="1" ht="12.9" hidden="1" outlineLevel="1" x14ac:dyDescent="0.5">
      <c r="A177" s="452" t="s">
        <v>213</v>
      </c>
      <c r="B177" s="464" t="s">
        <v>212</v>
      </c>
      <c r="C177" s="464">
        <f t="shared" ref="C177:K177" si="110">(C67-C63)/-C14</f>
        <v>19.932954588751517</v>
      </c>
      <c r="D177" s="464">
        <f t="shared" si="110"/>
        <v>30.184319501890194</v>
      </c>
      <c r="E177" s="464">
        <f t="shared" si="110"/>
        <v>13.010908934304709</v>
      </c>
      <c r="F177" s="464">
        <f t="shared" si="110"/>
        <v>3.14513809439056</v>
      </c>
      <c r="G177" s="464">
        <f t="shared" si="110"/>
        <v>1.4358372220647586</v>
      </c>
      <c r="H177" s="465">
        <f t="shared" si="110"/>
        <v>-2.266476818100537</v>
      </c>
      <c r="I177" s="465">
        <f t="shared" si="110"/>
        <v>-0.25711282617924403</v>
      </c>
      <c r="J177" s="465">
        <f t="shared" si="110"/>
        <v>-1.9425649478877272</v>
      </c>
      <c r="K177" s="465">
        <f t="shared" si="110"/>
        <v>-0.99997804622415543</v>
      </c>
      <c r="M177" s="465">
        <f t="shared" ref="M177:R177" si="111">(M67-M63)/-M14</f>
        <v>-0.99997804622415543</v>
      </c>
      <c r="N177" s="464">
        <f t="shared" si="111"/>
        <v>2.8247320589743978</v>
      </c>
      <c r="O177" s="464">
        <f t="shared" si="111"/>
        <v>6.166085615139127</v>
      </c>
      <c r="P177" s="464">
        <f t="shared" si="111"/>
        <v>8.9026082714413928</v>
      </c>
      <c r="Q177" s="464">
        <f t="shared" si="111"/>
        <v>10.384862832862879</v>
      </c>
      <c r="R177" s="464">
        <f t="shared" si="111"/>
        <v>7.2526192767165627</v>
      </c>
    </row>
    <row r="178" spans="1:18" s="18" customFormat="1" ht="12.9" collapsed="1" x14ac:dyDescent="0.5">
      <c r="A178" s="452" t="s">
        <v>286</v>
      </c>
      <c r="B178" s="464" t="s">
        <v>212</v>
      </c>
      <c r="C178" s="464">
        <f>C67/-C14</f>
        <v>6.0549956105183318</v>
      </c>
      <c r="D178" s="465">
        <f t="shared" ref="D178:R178" si="112">D67/-D14</f>
        <v>-33.682505025362566</v>
      </c>
      <c r="E178" s="465">
        <f t="shared" si="112"/>
        <v>-81.521716723805071</v>
      </c>
      <c r="F178" s="465">
        <f t="shared" si="112"/>
        <v>-0.5063462780031458</v>
      </c>
      <c r="G178" s="465">
        <f t="shared" si="112"/>
        <v>-6.6377929231464705</v>
      </c>
      <c r="H178" s="465">
        <f t="shared" si="112"/>
        <v>-3.3912364256944594</v>
      </c>
      <c r="I178" s="464">
        <f t="shared" si="112"/>
        <v>2.2337900535023785</v>
      </c>
      <c r="J178" s="465">
        <f t="shared" si="112"/>
        <v>1.2830102796945264</v>
      </c>
      <c r="K178" s="465">
        <f t="shared" si="112"/>
        <v>1.194452537073861</v>
      </c>
      <c r="M178" s="465">
        <f t="shared" si="112"/>
        <v>1.194452537073861</v>
      </c>
      <c r="N178" s="465">
        <f t="shared" si="112"/>
        <v>1.6486490725685827</v>
      </c>
      <c r="O178" s="464">
        <f t="shared" si="112"/>
        <v>5.3071532111472823</v>
      </c>
      <c r="P178" s="464">
        <f t="shared" si="112"/>
        <v>7.9132080041658739</v>
      </c>
      <c r="Q178" s="464">
        <f t="shared" si="112"/>
        <v>9.1494411503333666</v>
      </c>
      <c r="R178" s="464">
        <f t="shared" si="112"/>
        <v>6.043717648262076</v>
      </c>
    </row>
    <row r="179" spans="1:18" s="18" customFormat="1" ht="12.9" x14ac:dyDescent="0.5">
      <c r="A179" s="452" t="s">
        <v>287</v>
      </c>
      <c r="B179" s="464">
        <f t="shared" ref="B179:K179" si="113">(B44+B45+B47)/B18</f>
        <v>0.9902059628402694</v>
      </c>
      <c r="C179" s="464">
        <f t="shared" si="113"/>
        <v>0.86457451896545501</v>
      </c>
      <c r="D179" s="464">
        <f t="shared" si="113"/>
        <v>1.4956565451869457</v>
      </c>
      <c r="E179" s="465">
        <f t="shared" si="113"/>
        <v>4.9676052838064706</v>
      </c>
      <c r="F179" s="465">
        <f t="shared" si="113"/>
        <v>4.6651586932415574</v>
      </c>
      <c r="G179" s="465">
        <f t="shared" si="113"/>
        <v>7.6058002786955932</v>
      </c>
      <c r="H179" s="465">
        <f t="shared" si="113"/>
        <v>-18.010567861658817</v>
      </c>
      <c r="I179" s="465">
        <f t="shared" si="113"/>
        <v>-16.221302508658734</v>
      </c>
      <c r="J179" s="465">
        <f t="shared" si="113"/>
        <v>-19.208710481437755</v>
      </c>
      <c r="K179" s="465">
        <f t="shared" si="113"/>
        <v>579.39318764182849</v>
      </c>
      <c r="M179" s="465">
        <f t="shared" ref="M179:R179" si="114">(M44+M45+M47)/M18</f>
        <v>425.15953713831692</v>
      </c>
      <c r="N179" s="465">
        <f t="shared" si="114"/>
        <v>8.2157097944089248</v>
      </c>
      <c r="O179" s="465">
        <f t="shared" si="114"/>
        <v>6.4689671830086342</v>
      </c>
      <c r="P179" s="465">
        <f t="shared" si="114"/>
        <v>3.8910480337671984</v>
      </c>
      <c r="Q179" s="464">
        <f t="shared" si="114"/>
        <v>2.5616643147275897</v>
      </c>
      <c r="R179" s="466">
        <f t="shared" si="114"/>
        <v>1.6501893210971177</v>
      </c>
    </row>
    <row r="180" spans="1:18" s="18" customFormat="1" ht="12.9" x14ac:dyDescent="0.5">
      <c r="A180" s="362"/>
      <c r="B180" s="425"/>
      <c r="C180" s="425"/>
      <c r="D180" s="425"/>
      <c r="E180" s="425"/>
      <c r="F180" s="425"/>
      <c r="G180" s="425"/>
      <c r="H180" s="425"/>
      <c r="I180" s="425"/>
      <c r="J180" s="425"/>
      <c r="K180" s="425"/>
    </row>
    <row r="181" spans="1:18" s="18" customFormat="1" ht="12.9" x14ac:dyDescent="0.5">
      <c r="A181" s="417" t="s">
        <v>285</v>
      </c>
      <c r="B181" s="467"/>
      <c r="C181" s="467"/>
      <c r="D181" s="467"/>
      <c r="E181" s="467"/>
      <c r="F181" s="467"/>
      <c r="G181" s="467"/>
      <c r="H181" s="467"/>
      <c r="I181" s="467"/>
      <c r="J181" s="467"/>
      <c r="K181" s="467"/>
    </row>
    <row r="182" spans="1:18" s="18" customFormat="1" ht="12.9" x14ac:dyDescent="0.5">
      <c r="A182" s="468" t="s">
        <v>32</v>
      </c>
      <c r="B182" s="464">
        <f t="shared" ref="B182:C182" si="115">B35/B46</f>
        <v>1.8799473348968812</v>
      </c>
      <c r="C182" s="464">
        <f t="shared" si="115"/>
        <v>1.9200836505466943</v>
      </c>
      <c r="D182" s="464">
        <f>D35/D46</f>
        <v>1.5060815239942982</v>
      </c>
      <c r="E182" s="464">
        <f t="shared" ref="E182:K182" si="116">E35/E46</f>
        <v>2.3563296316034879</v>
      </c>
      <c r="F182" s="464">
        <f t="shared" si="116"/>
        <v>2.0375311891475163</v>
      </c>
      <c r="G182" s="464">
        <f t="shared" si="116"/>
        <v>2.1361845469454548</v>
      </c>
      <c r="H182" s="466">
        <f t="shared" si="116"/>
        <v>1.5312032927736634</v>
      </c>
      <c r="I182" s="466">
        <f t="shared" si="116"/>
        <v>1.4973657360437838</v>
      </c>
      <c r="J182" s="466">
        <f t="shared" si="116"/>
        <v>1.3421407534017316</v>
      </c>
      <c r="K182" s="466">
        <f t="shared" si="116"/>
        <v>1.1578190789497584</v>
      </c>
      <c r="M182" s="464">
        <f t="shared" ref="M182:R182" si="117">M35/M46</f>
        <v>43.750066887783589</v>
      </c>
      <c r="N182" s="464">
        <f t="shared" si="117"/>
        <v>20.229619590809072</v>
      </c>
      <c r="O182" s="464">
        <f t="shared" si="117"/>
        <v>9.8148147283342837</v>
      </c>
      <c r="P182" s="464">
        <f t="shared" si="117"/>
        <v>4.9613339062887425</v>
      </c>
      <c r="Q182" s="464">
        <f t="shared" si="117"/>
        <v>3.5131107495551417</v>
      </c>
      <c r="R182" s="464">
        <f t="shared" si="117"/>
        <v>3.2307832877475828</v>
      </c>
    </row>
    <row r="183" spans="1:18" s="18" customFormat="1" ht="12.9" x14ac:dyDescent="0.5">
      <c r="A183" s="468" t="s">
        <v>44</v>
      </c>
      <c r="B183" s="464">
        <f t="shared" ref="B183:K183" si="118">(B35-B33)/B46</f>
        <v>0.92645704409195029</v>
      </c>
      <c r="C183" s="464">
        <f t="shared" si="118"/>
        <v>0.89726241550202979</v>
      </c>
      <c r="D183" s="464">
        <f t="shared" si="118"/>
        <v>0.70881771558771622</v>
      </c>
      <c r="E183" s="464">
        <f t="shared" si="118"/>
        <v>1.2040469783151992</v>
      </c>
      <c r="F183" s="464">
        <f t="shared" si="118"/>
        <v>1.0705114492094157</v>
      </c>
      <c r="G183" s="464">
        <f t="shared" si="118"/>
        <v>1.1809515192508</v>
      </c>
      <c r="H183" s="465">
        <f t="shared" si="118"/>
        <v>0.86526855410206627</v>
      </c>
      <c r="I183" s="465">
        <f t="shared" si="118"/>
        <v>0.81994297000290206</v>
      </c>
      <c r="J183" s="465">
        <f t="shared" si="118"/>
        <v>0.7382025698933723</v>
      </c>
      <c r="K183" s="465">
        <f t="shared" si="118"/>
        <v>0.61842168290296295</v>
      </c>
      <c r="M183" s="464">
        <f t="shared" ref="M183:R183" si="119">(M35-M33)/M46</f>
        <v>23.368063701629818</v>
      </c>
      <c r="N183" s="464">
        <f t="shared" si="119"/>
        <v>11.065298145880627</v>
      </c>
      <c r="O183" s="464">
        <f t="shared" si="119"/>
        <v>6.0294495328661553</v>
      </c>
      <c r="P183" s="464">
        <f t="shared" si="119"/>
        <v>2.8908478083940699</v>
      </c>
      <c r="Q183" s="464">
        <f t="shared" si="119"/>
        <v>2.0324056897506262</v>
      </c>
      <c r="R183" s="464">
        <f t="shared" si="119"/>
        <v>1.7471817502069764</v>
      </c>
    </row>
    <row r="184" spans="1:18" s="18" customFormat="1" ht="12.9" x14ac:dyDescent="0.5">
      <c r="A184" s="366"/>
      <c r="B184" s="467"/>
      <c r="C184" s="467"/>
      <c r="D184" s="467"/>
      <c r="E184" s="467"/>
      <c r="F184" s="467"/>
      <c r="G184" s="467"/>
      <c r="H184" s="467"/>
      <c r="I184" s="467"/>
      <c r="J184" s="467"/>
      <c r="K184" s="467"/>
    </row>
    <row r="185" spans="1:18" s="18" customFormat="1" ht="12.9" x14ac:dyDescent="0.5">
      <c r="A185" s="417" t="s">
        <v>70</v>
      </c>
      <c r="B185" s="467"/>
      <c r="C185" s="467"/>
      <c r="D185" s="467"/>
      <c r="E185" s="467"/>
      <c r="F185" s="467"/>
      <c r="G185" s="467"/>
      <c r="H185" s="467"/>
      <c r="I185" s="467"/>
      <c r="J185" s="467"/>
      <c r="K185" s="467"/>
    </row>
    <row r="186" spans="1:18" s="18" customFormat="1" ht="12.9" x14ac:dyDescent="0.5">
      <c r="A186" s="468" t="s">
        <v>217</v>
      </c>
      <c r="B186" s="469">
        <f>+B22*B25</f>
        <v>680.4</v>
      </c>
      <c r="C186" s="469">
        <f t="shared" ref="C186:K186" si="120">+C22*C25</f>
        <v>816.4799999999999</v>
      </c>
      <c r="D186" s="469">
        <f t="shared" si="120"/>
        <v>868.96799999999996</v>
      </c>
      <c r="E186" s="469">
        <f t="shared" si="120"/>
        <v>861.84</v>
      </c>
      <c r="F186" s="469">
        <f t="shared" si="120"/>
        <v>822.95999999999992</v>
      </c>
      <c r="G186" s="469">
        <f t="shared" si="120"/>
        <v>695.952</v>
      </c>
      <c r="H186" s="469">
        <f t="shared" si="120"/>
        <v>544.32000000000005</v>
      </c>
      <c r="I186" s="469">
        <f t="shared" si="120"/>
        <v>265.67999999999995</v>
      </c>
      <c r="J186" s="469">
        <f t="shared" si="120"/>
        <v>99.792000000000002</v>
      </c>
      <c r="K186" s="469">
        <f t="shared" si="120"/>
        <v>66.096000000000004</v>
      </c>
      <c r="M186" s="469">
        <f t="shared" ref="M186" si="121">+M22*M25</f>
        <v>66.096000000000004</v>
      </c>
    </row>
    <row r="187" spans="1:18" s="18" customFormat="1" ht="12.9" x14ac:dyDescent="0.5">
      <c r="A187" s="468" t="s">
        <v>75</v>
      </c>
      <c r="B187" s="469">
        <f>B52</f>
        <v>75</v>
      </c>
      <c r="C187" s="469">
        <f t="shared" ref="C187:K187" si="122">C52</f>
        <v>75</v>
      </c>
      <c r="D187" s="469">
        <f t="shared" si="122"/>
        <v>75</v>
      </c>
      <c r="E187" s="469">
        <f t="shared" si="122"/>
        <v>75</v>
      </c>
      <c r="F187" s="469">
        <f t="shared" si="122"/>
        <v>75</v>
      </c>
      <c r="G187" s="469">
        <f t="shared" si="122"/>
        <v>75</v>
      </c>
      <c r="H187" s="469">
        <f t="shared" si="122"/>
        <v>75</v>
      </c>
      <c r="I187" s="469">
        <f t="shared" si="122"/>
        <v>75</v>
      </c>
      <c r="J187" s="469">
        <f t="shared" si="122"/>
        <v>75</v>
      </c>
      <c r="K187" s="469">
        <f t="shared" si="122"/>
        <v>75</v>
      </c>
      <c r="M187" s="469">
        <f t="shared" ref="M187" si="123">M52</f>
        <v>24.749999999999996</v>
      </c>
    </row>
    <row r="188" spans="1:18" s="18" customFormat="1" ht="12.9" x14ac:dyDescent="0.5">
      <c r="A188" s="468" t="s">
        <v>218</v>
      </c>
      <c r="B188" s="470">
        <f t="shared" ref="B188:K188" si="124">B44+B45+B47-B31</f>
        <v>-1</v>
      </c>
      <c r="C188" s="470">
        <f t="shared" si="124"/>
        <v>2.7795785702019415</v>
      </c>
      <c r="D188" s="470">
        <f t="shared" si="124"/>
        <v>48.358467544198625</v>
      </c>
      <c r="E188" s="470">
        <f t="shared" si="124"/>
        <v>249.39032180141655</v>
      </c>
      <c r="F188" s="470">
        <f t="shared" si="124"/>
        <v>277.74307367948199</v>
      </c>
      <c r="G188" s="470">
        <f t="shared" si="124"/>
        <v>398.99733848660799</v>
      </c>
      <c r="H188" s="470">
        <f t="shared" si="124"/>
        <v>509.25564114490942</v>
      </c>
      <c r="I188" s="470">
        <f t="shared" si="124"/>
        <v>490.4620083683443</v>
      </c>
      <c r="J188" s="470">
        <f t="shared" si="124"/>
        <v>490.35203632396474</v>
      </c>
      <c r="K188" s="470">
        <f t="shared" si="124"/>
        <v>486.80392954116877</v>
      </c>
      <c r="M188" s="470">
        <f>M44+M45+M47-M31</f>
        <v>351.80321525545446</v>
      </c>
    </row>
    <row r="189" spans="1:18" s="18" customFormat="1" ht="12.9" x14ac:dyDescent="0.5">
      <c r="A189" s="468" t="s">
        <v>91</v>
      </c>
      <c r="B189" s="469">
        <f>B186+B187+B188</f>
        <v>754.4</v>
      </c>
      <c r="C189" s="469">
        <f t="shared" ref="C189:M189" si="125">C186+C187+C188</f>
        <v>894.25957857020182</v>
      </c>
      <c r="D189" s="469">
        <f t="shared" si="125"/>
        <v>992.32646754419864</v>
      </c>
      <c r="E189" s="469">
        <f t="shared" si="125"/>
        <v>1186.2303218014165</v>
      </c>
      <c r="F189" s="469">
        <f t="shared" si="125"/>
        <v>1175.7030736794818</v>
      </c>
      <c r="G189" s="469">
        <f t="shared" si="125"/>
        <v>1169.949338486608</v>
      </c>
      <c r="H189" s="469">
        <f t="shared" si="125"/>
        <v>1128.5756411449095</v>
      </c>
      <c r="I189" s="469">
        <f t="shared" si="125"/>
        <v>831.14200836834425</v>
      </c>
      <c r="J189" s="469">
        <f t="shared" si="125"/>
        <v>665.14403632396477</v>
      </c>
      <c r="K189" s="469">
        <f t="shared" si="125"/>
        <v>627.89992954116883</v>
      </c>
      <c r="M189" s="469">
        <f t="shared" si="125"/>
        <v>442.64921525545446</v>
      </c>
    </row>
    <row r="190" spans="1:18" s="18" customFormat="1" ht="12.9" x14ac:dyDescent="0.5">
      <c r="A190" s="471"/>
      <c r="B190" s="467"/>
      <c r="C190" s="467"/>
      <c r="D190" s="467"/>
      <c r="E190" s="467"/>
      <c r="F190" s="467"/>
      <c r="G190" s="467"/>
      <c r="H190" s="467"/>
      <c r="I190" s="467"/>
      <c r="J190" s="467"/>
      <c r="K190" s="467"/>
    </row>
    <row r="191" spans="1:18" s="18" customFormat="1" ht="12.9" x14ac:dyDescent="0.5">
      <c r="A191" s="468" t="s">
        <v>216</v>
      </c>
      <c r="B191" s="464">
        <f t="shared" ref="B191:K191" si="126">B189/B18</f>
        <v>15.091138956903015</v>
      </c>
      <c r="C191" s="464">
        <f t="shared" si="126"/>
        <v>16.450086063246442</v>
      </c>
      <c r="D191" s="464">
        <f t="shared" si="126"/>
        <v>16.11487053360176</v>
      </c>
      <c r="E191" s="464">
        <f t="shared" si="126"/>
        <v>18.403260507158546</v>
      </c>
      <c r="F191" s="464">
        <f t="shared" si="126"/>
        <v>15.454610918136529</v>
      </c>
      <c r="G191" s="464">
        <f t="shared" si="126"/>
        <v>17.715311576191855</v>
      </c>
      <c r="H191" s="464">
        <f t="shared" si="126"/>
        <v>-35.505319459746595</v>
      </c>
      <c r="I191" s="464">
        <f t="shared" si="126"/>
        <v>-25.150017752905942</v>
      </c>
      <c r="J191" s="464">
        <f t="shared" si="126"/>
        <v>-24.431369561945452</v>
      </c>
      <c r="K191" s="464">
        <f t="shared" si="126"/>
        <v>717.35396954325677</v>
      </c>
      <c r="M191" s="464">
        <f>M189/M18</f>
        <v>505.71143065861457</v>
      </c>
    </row>
    <row r="192" spans="1:18" s="18" customFormat="1" ht="12.9" x14ac:dyDescent="0.5">
      <c r="A192" s="468" t="s">
        <v>71</v>
      </c>
      <c r="B192" s="464">
        <f t="shared" ref="B192:K192" si="127">B25/B23</f>
        <v>30.630884446583831</v>
      </c>
      <c r="C192" s="464">
        <f t="shared" si="127"/>
        <v>41.607937262771628</v>
      </c>
      <c r="D192" s="464">
        <f t="shared" si="127"/>
        <v>35.614907658233193</v>
      </c>
      <c r="E192" s="464">
        <f t="shared" si="127"/>
        <v>37.306055113549839</v>
      </c>
      <c r="F192" s="464">
        <f t="shared" si="127"/>
        <v>54.864837659545721</v>
      </c>
      <c r="G192" s="464">
        <f t="shared" si="127"/>
        <v>111.86935955782567</v>
      </c>
      <c r="H192" s="464">
        <f t="shared" si="127"/>
        <v>-8.1204041371572124</v>
      </c>
      <c r="I192" s="464">
        <f t="shared" si="127"/>
        <v>-3.2119487025818594</v>
      </c>
      <c r="J192" s="464">
        <f t="shared" si="127"/>
        <v>-1.0741666280203033</v>
      </c>
      <c r="K192" s="464">
        <f t="shared" si="127"/>
        <v>-0.98770217866249921</v>
      </c>
      <c r="M192" s="464">
        <f>M25/M23</f>
        <v>-0.98770217866249932</v>
      </c>
    </row>
    <row r="193" spans="1:13" x14ac:dyDescent="0.45">
      <c r="A193" s="472" t="s">
        <v>72</v>
      </c>
      <c r="B193" s="473">
        <f t="shared" ref="B193:K193" si="128">B25/(B53/B22)</f>
        <v>2.599703027081921</v>
      </c>
      <c r="C193" s="473">
        <f t="shared" si="128"/>
        <v>2.9704723017088925</v>
      </c>
      <c r="D193" s="473">
        <f t="shared" si="128"/>
        <v>2.9679452468968379</v>
      </c>
      <c r="E193" s="473">
        <f t="shared" si="128"/>
        <v>2.7854640338215884</v>
      </c>
      <c r="F193" s="473">
        <f t="shared" si="128"/>
        <v>2.5885266641407005</v>
      </c>
      <c r="G193" s="473">
        <f t="shared" si="128"/>
        <v>2.1908214899876537</v>
      </c>
      <c r="H193" s="473">
        <f t="shared" si="128"/>
        <v>2.2293943691297846</v>
      </c>
      <c r="I193" s="473">
        <f t="shared" si="128"/>
        <v>1.7145085810202403</v>
      </c>
      <c r="J193" s="473">
        <f t="shared" si="128"/>
        <v>1.696621559188225</v>
      </c>
      <c r="K193" s="473">
        <f t="shared" si="128"/>
        <v>-8.1591027994501975</v>
      </c>
      <c r="M193" s="473">
        <f>M25/(M53/M22)</f>
        <v>0.37310790754781259</v>
      </c>
    </row>
    <row r="194" spans="1:13" x14ac:dyDescent="0.45">
      <c r="B194" s="474"/>
      <c r="C194" s="474"/>
      <c r="D194" s="474"/>
      <c r="E194" s="474"/>
      <c r="F194" s="474"/>
      <c r="G194" s="474"/>
      <c r="H194" s="474"/>
      <c r="I194" s="474"/>
      <c r="J194" s="474"/>
      <c r="K194" s="4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"/>
  <sheetViews>
    <sheetView showGridLines="0" tabSelected="1" workbookViewId="0">
      <selection activeCell="A10" sqref="A10"/>
    </sheetView>
  </sheetViews>
  <sheetFormatPr baseColWidth="10" defaultColWidth="9.15625" defaultRowHeight="11.7" x14ac:dyDescent="0.45"/>
  <cols>
    <col min="1" max="1" width="48.83984375" style="362" customWidth="1"/>
    <col min="2" max="2" width="8.3125" style="362" customWidth="1"/>
    <col min="3" max="3" width="1.68359375" style="362" customWidth="1"/>
    <col min="4" max="4" width="8.26171875" style="362" customWidth="1"/>
    <col min="5" max="5" width="1.68359375" style="362" customWidth="1"/>
    <col min="6" max="6" width="9.1015625" style="362" customWidth="1"/>
    <col min="7" max="7" width="1.1015625" style="362" customWidth="1"/>
    <col min="8" max="8" width="22.89453125" style="362" customWidth="1"/>
    <col min="9" max="16384" width="9.15625" style="362"/>
  </cols>
  <sheetData>
    <row r="1" spans="1:8" ht="15.9" thickBot="1" x14ac:dyDescent="0.5">
      <c r="A1" s="511" t="s">
        <v>588</v>
      </c>
      <c r="B1" s="511"/>
      <c r="C1" s="511"/>
      <c r="D1" s="511"/>
      <c r="E1" s="511"/>
      <c r="F1" s="512"/>
      <c r="G1" s="512"/>
      <c r="H1" s="512"/>
    </row>
    <row r="2" spans="1:8" ht="12.9" x14ac:dyDescent="0.5">
      <c r="A2" s="18" t="s">
        <v>366</v>
      </c>
      <c r="B2" s="18"/>
      <c r="C2" s="18"/>
      <c r="D2" s="18"/>
      <c r="E2" s="18"/>
      <c r="F2" s="366"/>
    </row>
    <row r="3" spans="1:8" ht="4.8" customHeight="1" x14ac:dyDescent="0.5">
      <c r="A3" s="186"/>
      <c r="B3" s="186"/>
      <c r="C3" s="186"/>
      <c r="D3" s="186"/>
      <c r="E3" s="186"/>
      <c r="F3" s="186"/>
    </row>
    <row r="4" spans="1:8" ht="14.7" thickBot="1" x14ac:dyDescent="0.6">
      <c r="A4" s="519" t="s">
        <v>90</v>
      </c>
      <c r="B4" s="745" t="s">
        <v>371</v>
      </c>
      <c r="D4" s="745" t="s">
        <v>372</v>
      </c>
      <c r="F4" s="745" t="s">
        <v>567</v>
      </c>
      <c r="G4" s="475"/>
      <c r="H4" s="497" t="s">
        <v>263</v>
      </c>
    </row>
    <row r="5" spans="1:8" ht="13.2" thickTop="1" x14ac:dyDescent="0.5">
      <c r="A5" s="18" t="s">
        <v>14</v>
      </c>
      <c r="B5" s="481">
        <f>'Exhibit 1'!K26</f>
        <v>20.338927601688315</v>
      </c>
      <c r="C5" s="18"/>
      <c r="D5" s="765">
        <v>1</v>
      </c>
      <c r="E5" s="18"/>
      <c r="F5" s="481">
        <f>B5*D5</f>
        <v>20.338927601688315</v>
      </c>
      <c r="G5" s="476"/>
    </row>
    <row r="6" spans="1:8" ht="12.9" x14ac:dyDescent="0.5">
      <c r="A6" s="18" t="s">
        <v>6</v>
      </c>
      <c r="B6" s="481">
        <f>'Exhibit 1'!K27</f>
        <v>130.41969999999998</v>
      </c>
      <c r="C6" s="18"/>
      <c r="D6" s="765">
        <v>0.8</v>
      </c>
      <c r="E6" s="18"/>
      <c r="F6" s="481">
        <f>B6*D6</f>
        <v>104.33575999999999</v>
      </c>
      <c r="G6" s="476"/>
      <c r="H6" s="362" t="s">
        <v>374</v>
      </c>
    </row>
    <row r="7" spans="1:8" ht="12.9" x14ac:dyDescent="0.5">
      <c r="A7" s="18" t="s">
        <v>193</v>
      </c>
      <c r="B7" s="481">
        <f>'Exhibit 1'!K28</f>
        <v>138.29739999999998</v>
      </c>
      <c r="C7" s="18"/>
      <c r="D7" s="765">
        <v>0.8</v>
      </c>
      <c r="E7" s="18"/>
      <c r="F7" s="481">
        <f>B7*D7</f>
        <v>110.63791999999999</v>
      </c>
      <c r="G7" s="476"/>
      <c r="H7" s="362" t="s">
        <v>374</v>
      </c>
    </row>
    <row r="8" spans="1:8" ht="12.9" x14ac:dyDescent="0.5">
      <c r="A8" s="18" t="s">
        <v>125</v>
      </c>
      <c r="B8" s="481">
        <f>'Exhibit 1'!K33</f>
        <v>271.96406623974855</v>
      </c>
      <c r="C8" s="18"/>
      <c r="D8" s="765">
        <v>0.8</v>
      </c>
      <c r="E8" s="18"/>
      <c r="F8" s="481">
        <f>B8*D8</f>
        <v>217.57125299179884</v>
      </c>
      <c r="G8" s="476"/>
      <c r="H8" s="362" t="s">
        <v>374</v>
      </c>
    </row>
    <row r="9" spans="1:8" ht="13.2" thickBot="1" x14ac:dyDescent="0.55000000000000004">
      <c r="A9" s="18" t="s">
        <v>375</v>
      </c>
      <c r="B9" s="533">
        <f>'Exhibit 1'!K29+'Exhibit 1'!K34</f>
        <v>13.700000000000001</v>
      </c>
      <c r="C9" s="18"/>
      <c r="D9" s="774">
        <v>0.8</v>
      </c>
      <c r="E9" s="18"/>
      <c r="F9" s="533">
        <f>B9*D9</f>
        <v>10.96</v>
      </c>
      <c r="G9" s="477"/>
      <c r="H9" s="362" t="s">
        <v>374</v>
      </c>
    </row>
    <row r="10" spans="1:8" ht="12" customHeight="1" thickTop="1" x14ac:dyDescent="0.5">
      <c r="A10" s="768" t="s">
        <v>379</v>
      </c>
      <c r="B10" s="769">
        <f>SUM(B5:B9)</f>
        <v>574.72009384143689</v>
      </c>
      <c r="C10" s="770"/>
      <c r="D10" s="771">
        <f>F10/B10</f>
        <v>0.80707785505314156</v>
      </c>
      <c r="E10" s="770"/>
      <c r="F10" s="772">
        <f>SUM(F5:F9)</f>
        <v>463.84386059348714</v>
      </c>
    </row>
    <row r="11" spans="1:8" ht="5.0999999999999996" customHeight="1" x14ac:dyDescent="0.5">
      <c r="A11" s="492"/>
      <c r="B11" s="492"/>
      <c r="C11" s="492"/>
      <c r="D11" s="492"/>
      <c r="E11" s="492"/>
      <c r="F11" s="481"/>
    </row>
    <row r="12" spans="1:8" ht="14.7" thickBot="1" x14ac:dyDescent="0.6">
      <c r="A12" s="519" t="s">
        <v>92</v>
      </c>
      <c r="B12" s="745" t="s">
        <v>371</v>
      </c>
      <c r="D12" s="745" t="s">
        <v>372</v>
      </c>
      <c r="F12" s="745" t="s">
        <v>116</v>
      </c>
      <c r="G12" s="475"/>
    </row>
    <row r="13" spans="1:8" ht="13.2" thickTop="1" x14ac:dyDescent="0.5">
      <c r="A13" s="18" t="s">
        <v>373</v>
      </c>
      <c r="B13" s="481">
        <f>'Pro Forma (Ex. 8)'!C6</f>
        <v>215</v>
      </c>
      <c r="C13" s="18"/>
      <c r="D13" s="767">
        <v>1</v>
      </c>
      <c r="E13" s="18"/>
      <c r="F13" s="481">
        <f>B13*D13</f>
        <v>215</v>
      </c>
      <c r="G13" s="476"/>
      <c r="H13" s="362" t="s">
        <v>377</v>
      </c>
    </row>
    <row r="14" spans="1:8" ht="12.9" x14ac:dyDescent="0.5">
      <c r="A14" s="18" t="s">
        <v>562</v>
      </c>
      <c r="B14" s="481">
        <f>'Pro Forma (Ex. 8)'!C7+'Pro Forma (Ex. 8)'!C11</f>
        <v>122.14285714285714</v>
      </c>
      <c r="C14" s="18"/>
      <c r="D14" s="495">
        <f>'Plan (Ex. 7)'!F5/100</f>
        <v>0.65500000000000003</v>
      </c>
      <c r="E14" s="18"/>
      <c r="F14" s="481">
        <f>B14*D14</f>
        <v>80.003571428571433</v>
      </c>
      <c r="G14" s="476"/>
      <c r="H14" s="362" t="s">
        <v>376</v>
      </c>
    </row>
    <row r="15" spans="1:8" ht="13.2" thickBot="1" x14ac:dyDescent="0.55000000000000004">
      <c r="A15" s="18" t="s">
        <v>563</v>
      </c>
      <c r="B15" s="533">
        <f>'Pro Forma (Ex. 8)'!C12</f>
        <v>170</v>
      </c>
      <c r="C15" s="18"/>
      <c r="D15" s="775">
        <f>'Plan (Ex. 7)'!F6/100</f>
        <v>0.24249999999999999</v>
      </c>
      <c r="E15" s="18"/>
      <c r="F15" s="533">
        <f>B15*D15</f>
        <v>41.225000000000001</v>
      </c>
      <c r="G15" s="476"/>
      <c r="H15" s="362" t="s">
        <v>376</v>
      </c>
    </row>
    <row r="16" spans="1:8" ht="13.2" thickTop="1" x14ac:dyDescent="0.5">
      <c r="A16" s="491" t="s">
        <v>100</v>
      </c>
      <c r="B16" s="481">
        <f>SUM(B13:B15)</f>
        <v>507.14285714285711</v>
      </c>
      <c r="C16" s="18"/>
      <c r="D16" s="766">
        <f>F16/B16</f>
        <v>0.66298591549295782</v>
      </c>
      <c r="E16" s="18"/>
      <c r="F16" s="481">
        <f>SUM(F13:F15)</f>
        <v>336.22857142857146</v>
      </c>
      <c r="G16" s="476"/>
    </row>
    <row r="17" spans="1:10" ht="3.6" customHeight="1" x14ac:dyDescent="0.5">
      <c r="A17" s="482"/>
      <c r="B17" s="480"/>
      <c r="C17" s="18"/>
      <c r="D17" s="498"/>
      <c r="E17" s="18"/>
      <c r="F17" s="480"/>
      <c r="G17" s="476"/>
    </row>
    <row r="18" spans="1:10" ht="12.9" x14ac:dyDescent="0.5">
      <c r="A18" s="461" t="s">
        <v>564</v>
      </c>
      <c r="B18" s="481">
        <f>'Exhibit 1'!K37</f>
        <v>79.878127399999997</v>
      </c>
      <c r="C18" s="461"/>
      <c r="D18" s="767">
        <v>0.29085921166594231</v>
      </c>
      <c r="E18" s="461"/>
      <c r="F18" s="542">
        <f>B18*D18</f>
        <v>23.233289164915703</v>
      </c>
      <c r="H18" s="362" t="s">
        <v>583</v>
      </c>
      <c r="J18" s="500" t="s">
        <v>529</v>
      </c>
    </row>
    <row r="19" spans="1:10" ht="5.0999999999999996" customHeight="1" x14ac:dyDescent="0.5">
      <c r="A19" s="461"/>
      <c r="B19" s="481"/>
      <c r="C19" s="461"/>
      <c r="D19" s="496"/>
      <c r="E19" s="461"/>
      <c r="F19" s="481"/>
    </row>
    <row r="20" spans="1:10" ht="13.2" thickBot="1" x14ac:dyDescent="0.55000000000000004">
      <c r="A20" s="461"/>
      <c r="B20" s="745" t="s">
        <v>223</v>
      </c>
      <c r="D20" s="745" t="s">
        <v>378</v>
      </c>
      <c r="F20" s="745" t="s">
        <v>116</v>
      </c>
      <c r="J20" s="500" t="s">
        <v>530</v>
      </c>
    </row>
    <row r="21" spans="1:10" ht="13.2" thickTop="1" x14ac:dyDescent="0.5">
      <c r="A21" s="18" t="s">
        <v>565</v>
      </c>
      <c r="B21" s="267">
        <f>'Exhibit 1'!K16</f>
        <v>25</v>
      </c>
      <c r="C21" s="18"/>
      <c r="D21" s="499">
        <v>1.35</v>
      </c>
      <c r="E21" s="18"/>
      <c r="F21" s="481">
        <f>B21*D21</f>
        <v>33.75</v>
      </c>
      <c r="H21" s="362" t="s">
        <v>582</v>
      </c>
      <c r="I21" s="791">
        <f>F21/'Plan Summary (Ex. 7)'!B12</f>
        <v>0.45</v>
      </c>
      <c r="J21" s="800" t="s">
        <v>586</v>
      </c>
    </row>
    <row r="22" spans="1:10" ht="13.2" thickBot="1" x14ac:dyDescent="0.55000000000000004">
      <c r="A22" s="18" t="s">
        <v>566</v>
      </c>
      <c r="B22" s="267">
        <f>'Exhibit 1'!K18</f>
        <v>64.8</v>
      </c>
      <c r="C22" s="18"/>
      <c r="D22" s="499">
        <v>1.0900000000000001</v>
      </c>
      <c r="E22" s="18"/>
      <c r="F22" s="533">
        <f>B22*D22</f>
        <v>70.632000000000005</v>
      </c>
      <c r="H22" s="362" t="s">
        <v>376</v>
      </c>
      <c r="I22" s="500"/>
    </row>
    <row r="23" spans="1:10" ht="13.2" thickTop="1" x14ac:dyDescent="0.5">
      <c r="A23" s="768" t="s">
        <v>380</v>
      </c>
      <c r="B23" s="630"/>
      <c r="C23" s="773"/>
      <c r="D23" s="773"/>
      <c r="E23" s="773"/>
      <c r="F23" s="772">
        <f>F16+F18+F21+F22</f>
        <v>463.84386059348714</v>
      </c>
      <c r="J23" s="500" t="s">
        <v>531</v>
      </c>
    </row>
    <row r="25" spans="1:10" x14ac:dyDescent="0.45">
      <c r="F25" s="764">
        <f>F10-F23</f>
        <v>0</v>
      </c>
      <c r="G25" s="365" t="s">
        <v>224</v>
      </c>
    </row>
    <row r="28" spans="1:10" ht="15.9" thickBot="1" x14ac:dyDescent="0.5">
      <c r="A28" s="511" t="s">
        <v>589</v>
      </c>
      <c r="B28" s="511"/>
      <c r="C28" s="511"/>
      <c r="D28" s="511"/>
      <c r="E28" s="511"/>
      <c r="F28" s="512"/>
      <c r="G28" s="512"/>
      <c r="H28" s="512"/>
    </row>
    <row r="29" spans="1:10" ht="12.9" x14ac:dyDescent="0.5">
      <c r="A29" s="18" t="s">
        <v>366</v>
      </c>
      <c r="B29" s="18"/>
      <c r="C29" s="18"/>
      <c r="D29" s="18"/>
      <c r="E29" s="18"/>
      <c r="F29" s="366"/>
    </row>
    <row r="30" spans="1:10" ht="4.8" customHeight="1" x14ac:dyDescent="0.5">
      <c r="A30" s="186"/>
      <c r="B30" s="186"/>
      <c r="C30" s="186"/>
      <c r="D30" s="186"/>
      <c r="E30" s="186"/>
      <c r="F30" s="186"/>
    </row>
    <row r="31" spans="1:10" ht="14.7" thickBot="1" x14ac:dyDescent="0.6">
      <c r="A31" s="519" t="s">
        <v>90</v>
      </c>
      <c r="B31" s="745" t="s">
        <v>371</v>
      </c>
      <c r="D31" s="745" t="s">
        <v>372</v>
      </c>
      <c r="F31" s="745" t="s">
        <v>567</v>
      </c>
      <c r="G31" s="475"/>
      <c r="H31" s="497" t="s">
        <v>263</v>
      </c>
    </row>
    <row r="32" spans="1:10" ht="13.2" thickTop="1" x14ac:dyDescent="0.5">
      <c r="A32" s="18" t="s">
        <v>14</v>
      </c>
      <c r="B32" s="481">
        <f>'Exhibit 1'!K26</f>
        <v>20.338927601688315</v>
      </c>
      <c r="C32" s="18"/>
      <c r="D32" s="765">
        <v>1</v>
      </c>
      <c r="E32" s="18"/>
      <c r="F32" s="481">
        <f>B32*D32</f>
        <v>20.338927601688315</v>
      </c>
      <c r="G32" s="476"/>
    </row>
    <row r="33" spans="1:10" ht="12.9" x14ac:dyDescent="0.5">
      <c r="A33" s="18" t="s">
        <v>6</v>
      </c>
      <c r="B33" s="481">
        <f>'Exhibit 1'!K27</f>
        <v>130.41969999999998</v>
      </c>
      <c r="C33" s="18"/>
      <c r="D33" s="765">
        <v>0.8</v>
      </c>
      <c r="E33" s="18"/>
      <c r="F33" s="481">
        <f>B33*D33</f>
        <v>104.33575999999999</v>
      </c>
      <c r="G33" s="476"/>
      <c r="H33" s="362" t="s">
        <v>374</v>
      </c>
    </row>
    <row r="34" spans="1:10" ht="12.9" x14ac:dyDescent="0.5">
      <c r="A34" s="18" t="s">
        <v>193</v>
      </c>
      <c r="B34" s="481">
        <f>'Exhibit 1'!K28</f>
        <v>138.29739999999998</v>
      </c>
      <c r="C34" s="18"/>
      <c r="D34" s="765">
        <v>0.8</v>
      </c>
      <c r="E34" s="18"/>
      <c r="F34" s="481">
        <f>B34*D34</f>
        <v>110.63791999999999</v>
      </c>
      <c r="G34" s="476"/>
      <c r="H34" s="362" t="s">
        <v>374</v>
      </c>
    </row>
    <row r="35" spans="1:10" ht="12.9" x14ac:dyDescent="0.5">
      <c r="A35" s="18" t="s">
        <v>125</v>
      </c>
      <c r="B35" s="481">
        <f>'Exhibit 1'!K33</f>
        <v>271.96406623974855</v>
      </c>
      <c r="C35" s="18"/>
      <c r="D35" s="765">
        <v>0.8</v>
      </c>
      <c r="E35" s="18"/>
      <c r="F35" s="481">
        <f>B35*D35</f>
        <v>217.57125299179884</v>
      </c>
      <c r="G35" s="476"/>
      <c r="H35" s="362" t="s">
        <v>374</v>
      </c>
    </row>
    <row r="36" spans="1:10" ht="13.2" thickBot="1" x14ac:dyDescent="0.55000000000000004">
      <c r="A36" s="18" t="s">
        <v>375</v>
      </c>
      <c r="B36" s="533">
        <f>'Exhibit 1'!K29+'Exhibit 1'!K34</f>
        <v>13.700000000000001</v>
      </c>
      <c r="C36" s="18"/>
      <c r="D36" s="774">
        <v>0.8</v>
      </c>
      <c r="E36" s="18"/>
      <c r="F36" s="533">
        <f>B36*D36</f>
        <v>10.96</v>
      </c>
      <c r="G36" s="477"/>
      <c r="H36" s="362" t="s">
        <v>374</v>
      </c>
    </row>
    <row r="37" spans="1:10" ht="12" customHeight="1" thickTop="1" x14ac:dyDescent="0.5">
      <c r="A37" s="768" t="s">
        <v>379</v>
      </c>
      <c r="B37" s="769">
        <f>SUM(B32:B36)</f>
        <v>574.72009384143689</v>
      </c>
      <c r="C37" s="770"/>
      <c r="D37" s="771">
        <f>F37/B37</f>
        <v>0.80707785505314156</v>
      </c>
      <c r="E37" s="770"/>
      <c r="F37" s="772">
        <f>SUM(F32:F36)</f>
        <v>463.84386059348714</v>
      </c>
    </row>
    <row r="38" spans="1:10" ht="5.0999999999999996" customHeight="1" x14ac:dyDescent="0.5">
      <c r="A38" s="492"/>
      <c r="B38" s="492"/>
      <c r="C38" s="492"/>
      <c r="D38" s="492"/>
      <c r="E38" s="492"/>
      <c r="F38" s="481"/>
    </row>
    <row r="39" spans="1:10" ht="14.7" thickBot="1" x14ac:dyDescent="0.6">
      <c r="A39" s="519" t="s">
        <v>92</v>
      </c>
      <c r="B39" s="745" t="s">
        <v>371</v>
      </c>
      <c r="D39" s="745" t="s">
        <v>372</v>
      </c>
      <c r="F39" s="745" t="s">
        <v>116</v>
      </c>
      <c r="G39" s="475"/>
    </row>
    <row r="40" spans="1:10" ht="13.2" thickTop="1" x14ac:dyDescent="0.5">
      <c r="A40" s="18" t="s">
        <v>373</v>
      </c>
      <c r="B40" s="481">
        <f>'Pro Forma (Ex. 8)'!C6</f>
        <v>215</v>
      </c>
      <c r="C40" s="18"/>
      <c r="D40" s="767">
        <v>1</v>
      </c>
      <c r="E40" s="18"/>
      <c r="F40" s="481">
        <f>B40*D40</f>
        <v>215</v>
      </c>
      <c r="G40" s="476"/>
      <c r="H40" s="362" t="s">
        <v>377</v>
      </c>
    </row>
    <row r="41" spans="1:10" ht="12.9" x14ac:dyDescent="0.5">
      <c r="A41" s="18" t="s">
        <v>562</v>
      </c>
      <c r="B41" s="481">
        <f>'Pro Forma (Ex. 8)'!C7+'Pro Forma (Ex. 8)'!C11</f>
        <v>122.14285714285714</v>
      </c>
      <c r="C41" s="18"/>
      <c r="D41" s="495">
        <f>'Plan (Ex. 7)'!F5/100</f>
        <v>0.65500000000000003</v>
      </c>
      <c r="E41" s="18"/>
      <c r="F41" s="481">
        <f>B41*D41</f>
        <v>80.003571428571433</v>
      </c>
      <c r="G41" s="476"/>
      <c r="H41" s="362" t="s">
        <v>376</v>
      </c>
    </row>
    <row r="42" spans="1:10" ht="13.2" thickBot="1" x14ac:dyDescent="0.55000000000000004">
      <c r="A42" s="18" t="s">
        <v>563</v>
      </c>
      <c r="B42" s="533">
        <f>'Pro Forma (Ex. 8)'!C12</f>
        <v>170</v>
      </c>
      <c r="C42" s="18"/>
      <c r="D42" s="775">
        <f>'Plan (Ex. 7)'!F6/100</f>
        <v>0.24249999999999999</v>
      </c>
      <c r="E42" s="18"/>
      <c r="F42" s="533">
        <f>B42*D42</f>
        <v>41.225000000000001</v>
      </c>
      <c r="G42" s="476"/>
      <c r="H42" s="362" t="s">
        <v>376</v>
      </c>
    </row>
    <row r="43" spans="1:10" ht="13.2" thickTop="1" x14ac:dyDescent="0.5">
      <c r="A43" s="491" t="s">
        <v>100</v>
      </c>
      <c r="B43" s="481">
        <f>SUM(B40:B42)</f>
        <v>507.14285714285711</v>
      </c>
      <c r="C43" s="18"/>
      <c r="D43" s="766">
        <f>F43/B43</f>
        <v>0.66298591549295782</v>
      </c>
      <c r="E43" s="18"/>
      <c r="F43" s="481">
        <f>SUM(F40:F42)</f>
        <v>336.22857142857146</v>
      </c>
      <c r="G43" s="476"/>
    </row>
    <row r="44" spans="1:10" ht="3.6" customHeight="1" x14ac:dyDescent="0.5">
      <c r="A44" s="482"/>
      <c r="B44" s="480"/>
      <c r="C44" s="18"/>
      <c r="D44" s="498"/>
      <c r="E44" s="18"/>
      <c r="F44" s="480"/>
      <c r="G44" s="476"/>
    </row>
    <row r="45" spans="1:10" ht="12.9" x14ac:dyDescent="0.5">
      <c r="A45" s="793" t="s">
        <v>564</v>
      </c>
      <c r="B45" s="797">
        <f>'Exhibit 1'!K37</f>
        <v>79.878127399999997</v>
      </c>
      <c r="C45" s="793"/>
      <c r="D45" s="799">
        <f>D41</f>
        <v>0.65500000000000003</v>
      </c>
      <c r="E45" s="793"/>
      <c r="F45" s="796">
        <f>B45*D45</f>
        <v>52.320173447000002</v>
      </c>
      <c r="G45" s="795"/>
      <c r="H45" s="795" t="s">
        <v>585</v>
      </c>
      <c r="J45" s="500" t="s">
        <v>529</v>
      </c>
    </row>
    <row r="46" spans="1:10" ht="5.0999999999999996" customHeight="1" x14ac:dyDescent="0.5">
      <c r="A46" s="461"/>
      <c r="B46" s="481"/>
      <c r="C46" s="461"/>
      <c r="D46" s="496"/>
      <c r="E46" s="461"/>
      <c r="F46" s="481"/>
    </row>
    <row r="47" spans="1:10" ht="13.2" thickBot="1" x14ac:dyDescent="0.55000000000000004">
      <c r="A47" s="461"/>
      <c r="B47" s="745" t="s">
        <v>223</v>
      </c>
      <c r="D47" s="745" t="s">
        <v>378</v>
      </c>
      <c r="F47" s="745" t="s">
        <v>116</v>
      </c>
      <c r="J47" s="500" t="s">
        <v>530</v>
      </c>
    </row>
    <row r="48" spans="1:10" ht="13.2" thickTop="1" x14ac:dyDescent="0.5">
      <c r="A48" s="18" t="s">
        <v>565</v>
      </c>
      <c r="B48" s="267">
        <f>'Exhibit 1'!K16</f>
        <v>25</v>
      </c>
      <c r="C48" s="18"/>
      <c r="D48" s="499">
        <v>1.35</v>
      </c>
      <c r="E48" s="18"/>
      <c r="F48" s="481">
        <f>B48*D48</f>
        <v>33.75</v>
      </c>
      <c r="H48" s="362" t="s">
        <v>582</v>
      </c>
      <c r="J48" s="500" t="s">
        <v>531</v>
      </c>
    </row>
    <row r="49" spans="1:10" ht="13.2" thickBot="1" x14ac:dyDescent="0.55000000000000004">
      <c r="A49" s="793" t="s">
        <v>584</v>
      </c>
      <c r="B49" s="798">
        <f>'Exhibit 1'!K18</f>
        <v>64.8</v>
      </c>
      <c r="C49" s="793"/>
      <c r="D49" s="792">
        <f>1.09*(1-I49)</f>
        <v>0.64112832898018135</v>
      </c>
      <c r="E49" s="793"/>
      <c r="F49" s="794">
        <f>B49*D49</f>
        <v>41.545115717915749</v>
      </c>
      <c r="G49" s="795"/>
      <c r="H49" s="795" t="s">
        <v>587</v>
      </c>
      <c r="I49" s="802">
        <v>0.41180887249524656</v>
      </c>
      <c r="J49" s="801" t="s">
        <v>586</v>
      </c>
    </row>
    <row r="50" spans="1:10" ht="13.2" thickTop="1" x14ac:dyDescent="0.5">
      <c r="A50" s="768" t="s">
        <v>380</v>
      </c>
      <c r="B50" s="630"/>
      <c r="C50" s="773"/>
      <c r="D50" s="773"/>
      <c r="E50" s="773"/>
      <c r="F50" s="772">
        <f>F43+F45+F48+F49</f>
        <v>463.84386059348719</v>
      </c>
    </row>
    <row r="52" spans="1:10" x14ac:dyDescent="0.45">
      <c r="F52" s="764">
        <f>F37-F50</f>
        <v>0</v>
      </c>
      <c r="G52" s="365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1"/>
  <sheetViews>
    <sheetView showGridLines="0" topLeftCell="A11" zoomScale="93" zoomScaleNormal="93" workbookViewId="0">
      <selection activeCell="J44" sqref="J44"/>
    </sheetView>
  </sheetViews>
  <sheetFormatPr baseColWidth="10" defaultColWidth="9.15625" defaultRowHeight="11.4" outlineLevelCol="1" x14ac:dyDescent="0.4"/>
  <cols>
    <col min="1" max="1" width="36.9453125" style="39" customWidth="1"/>
    <col min="2" max="2" width="10.9453125" style="39" customWidth="1"/>
    <col min="3" max="3" width="1" style="39" customWidth="1"/>
    <col min="4" max="4" width="9.3671875" style="39" customWidth="1"/>
    <col min="5" max="5" width="1" style="39" customWidth="1"/>
    <col min="6" max="6" width="10.68359375" style="39" customWidth="1"/>
    <col min="7" max="7" width="1" style="39" customWidth="1"/>
    <col min="8" max="8" width="10.578125" style="39" customWidth="1"/>
    <col min="9" max="10" width="9.15625" style="39"/>
    <col min="11" max="12" width="0" style="39" hidden="1" customWidth="1" outlineLevel="1"/>
    <col min="13" max="13" width="9.15625" style="39" collapsed="1"/>
    <col min="14" max="16384" width="9.15625" style="39"/>
  </cols>
  <sheetData>
    <row r="1" spans="1:16" ht="12.75" customHeight="1" thickBot="1" x14ac:dyDescent="0.45">
      <c r="A1" s="511" t="s">
        <v>575</v>
      </c>
      <c r="B1" s="511"/>
      <c r="C1" s="511"/>
      <c r="D1" s="511"/>
      <c r="E1" s="511"/>
      <c r="F1" s="511"/>
      <c r="G1" s="511"/>
      <c r="H1" s="511"/>
    </row>
    <row r="2" spans="1:16" ht="12.75" customHeight="1" x14ac:dyDescent="0.5">
      <c r="A2" s="18" t="s">
        <v>366</v>
      </c>
      <c r="B2" s="47"/>
      <c r="C2" s="47"/>
      <c r="D2" s="47"/>
      <c r="E2" s="47"/>
      <c r="F2" s="47"/>
      <c r="G2" s="47"/>
      <c r="H2" s="47"/>
    </row>
    <row r="3" spans="1:16" ht="5.4" customHeight="1" x14ac:dyDescent="0.5">
      <c r="A3" s="18"/>
      <c r="B3" s="47"/>
      <c r="C3" s="47"/>
      <c r="D3" s="47"/>
      <c r="E3" s="47"/>
      <c r="F3" s="47"/>
      <c r="G3" s="47"/>
      <c r="H3" s="47"/>
    </row>
    <row r="4" spans="1:16" ht="12" customHeight="1" x14ac:dyDescent="0.55000000000000004">
      <c r="A4" s="733" t="s">
        <v>526</v>
      </c>
      <c r="B4" s="734"/>
      <c r="C4" s="734"/>
      <c r="D4" s="734"/>
      <c r="E4" s="734"/>
      <c r="F4" s="734"/>
      <c r="G4" s="734"/>
      <c r="H4" s="728">
        <v>545</v>
      </c>
    </row>
    <row r="5" spans="1:16" s="362" customFormat="1" ht="2.1" customHeight="1" x14ac:dyDescent="0.5">
      <c r="A5" s="479"/>
      <c r="B5" s="479"/>
      <c r="C5" s="479"/>
      <c r="D5" s="479"/>
      <c r="E5" s="479"/>
      <c r="F5" s="479"/>
      <c r="G5" s="479"/>
      <c r="H5" s="479"/>
      <c r="I5" s="186"/>
      <c r="J5" s="479"/>
      <c r="K5" s="186"/>
      <c r="L5" s="479"/>
      <c r="M5" s="480"/>
    </row>
    <row r="6" spans="1:16" s="362" customFormat="1" ht="12" customHeight="1" x14ac:dyDescent="0.5">
      <c r="A6" s="493" t="s">
        <v>574</v>
      </c>
      <c r="B6" s="493"/>
      <c r="C6" s="493"/>
      <c r="D6" s="493"/>
      <c r="E6" s="493"/>
      <c r="F6" s="493"/>
      <c r="G6" s="493"/>
      <c r="H6" s="493"/>
      <c r="I6" s="18"/>
      <c r="J6" s="493"/>
      <c r="K6" s="18"/>
      <c r="L6" s="493"/>
      <c r="M6" s="481"/>
    </row>
    <row r="7" spans="1:16" ht="12" customHeight="1" x14ac:dyDescent="0.5">
      <c r="A7" s="18" t="s">
        <v>373</v>
      </c>
      <c r="B7" s="18"/>
      <c r="C7" s="18"/>
      <c r="D7" s="18"/>
      <c r="E7" s="18"/>
      <c r="F7" s="18"/>
      <c r="G7" s="18"/>
      <c r="H7" s="481">
        <f>'Pro Forma (Ex. 8)'!C6</f>
        <v>215</v>
      </c>
      <c r="K7" s="18"/>
    </row>
    <row r="8" spans="1:16" ht="12" customHeight="1" x14ac:dyDescent="0.5">
      <c r="A8" s="18" t="s">
        <v>568</v>
      </c>
      <c r="B8" s="18"/>
      <c r="C8" s="18"/>
      <c r="D8" s="18"/>
      <c r="E8" s="18"/>
      <c r="F8" s="18"/>
      <c r="G8" s="18"/>
      <c r="H8" s="481">
        <f>'Pro Forma (Ex. 8)'!C7+'Pro Forma (Ex. 8)'!C11</f>
        <v>122.14285714285714</v>
      </c>
      <c r="I8" s="66"/>
      <c r="K8" s="18"/>
    </row>
    <row r="9" spans="1:16" ht="12" customHeight="1" x14ac:dyDescent="0.5">
      <c r="A9" s="18" t="s">
        <v>569</v>
      </c>
      <c r="B9" s="18"/>
      <c r="C9" s="18"/>
      <c r="D9" s="18"/>
      <c r="E9" s="18"/>
      <c r="F9" s="18"/>
      <c r="G9" s="18"/>
      <c r="H9" s="481">
        <f>'Pro Forma (Ex. 8)'!C12</f>
        <v>170</v>
      </c>
      <c r="K9" s="481">
        <f>'Subordination (alternative)'!H21</f>
        <v>137.00151068254621</v>
      </c>
      <c r="L9" s="39" t="s">
        <v>571</v>
      </c>
    </row>
    <row r="10" spans="1:16" ht="12" customHeight="1" x14ac:dyDescent="0.5">
      <c r="A10" s="461" t="s">
        <v>564</v>
      </c>
      <c r="B10" s="461"/>
      <c r="C10" s="461"/>
      <c r="D10" s="461"/>
      <c r="E10" s="461"/>
      <c r="F10" s="461"/>
      <c r="G10" s="461"/>
      <c r="H10" s="542">
        <f>H4-H7-H8-H9</f>
        <v>37.857142857142861</v>
      </c>
    </row>
    <row r="11" spans="1:16" ht="12" customHeight="1" thickBot="1" x14ac:dyDescent="0.55000000000000004">
      <c r="A11" s="18" t="s">
        <v>570</v>
      </c>
      <c r="B11" s="18"/>
      <c r="C11" s="18"/>
      <c r="D11" s="18"/>
      <c r="E11" s="18"/>
      <c r="F11" s="18"/>
      <c r="G11" s="18"/>
      <c r="H11" s="533">
        <v>0</v>
      </c>
    </row>
    <row r="12" spans="1:16" s="362" customFormat="1" ht="13.2" customHeight="1" thickTop="1" thickBot="1" x14ac:dyDescent="0.55000000000000004">
      <c r="A12" s="718" t="s">
        <v>386</v>
      </c>
      <c r="B12" s="491"/>
      <c r="C12" s="491"/>
      <c r="D12" s="491"/>
      <c r="E12" s="491"/>
      <c r="F12" s="491"/>
      <c r="G12" s="491"/>
      <c r="H12" s="776">
        <f>SUM(H7:H11)</f>
        <v>545</v>
      </c>
      <c r="I12" s="18"/>
      <c r="J12" s="491"/>
      <c r="K12" s="18"/>
      <c r="L12" s="491"/>
      <c r="M12" s="39"/>
      <c r="O12" s="39"/>
      <c r="P12" s="39"/>
    </row>
    <row r="13" spans="1:16" s="362" customFormat="1" ht="3" customHeight="1" thickTop="1" x14ac:dyDescent="0.5">
      <c r="A13" s="484"/>
      <c r="B13" s="484"/>
      <c r="C13" s="484"/>
      <c r="D13" s="484"/>
      <c r="E13" s="484"/>
      <c r="F13" s="484"/>
      <c r="G13" s="484"/>
      <c r="H13" s="484"/>
      <c r="I13" s="18"/>
      <c r="J13" s="484"/>
      <c r="K13" s="18"/>
      <c r="L13" s="484"/>
      <c r="M13" s="483"/>
      <c r="O13" s="364"/>
      <c r="P13" s="365"/>
    </row>
    <row r="14" spans="1:16" ht="12" customHeight="1" x14ac:dyDescent="0.5">
      <c r="A14" s="479" t="s">
        <v>538</v>
      </c>
      <c r="B14" s="18"/>
      <c r="C14" s="18"/>
      <c r="D14" s="18"/>
      <c r="E14" s="18"/>
      <c r="F14" s="18"/>
      <c r="G14" s="18"/>
      <c r="H14" s="480">
        <f>H4-H12</f>
        <v>0</v>
      </c>
    </row>
    <row r="15" spans="1:16" ht="3.3" customHeight="1" x14ac:dyDescent="0.5">
      <c r="A15" s="479"/>
      <c r="B15" s="18"/>
      <c r="C15" s="18"/>
      <c r="D15" s="18"/>
      <c r="E15" s="18"/>
      <c r="F15" s="18"/>
      <c r="G15" s="18"/>
      <c r="H15" s="515"/>
    </row>
    <row r="16" spans="1:16" ht="12" customHeight="1" thickBot="1" x14ac:dyDescent="0.55000000000000004">
      <c r="A16" s="18"/>
      <c r="B16" s="508" t="s">
        <v>557</v>
      </c>
      <c r="C16" s="509"/>
      <c r="D16" s="509"/>
      <c r="E16" s="18"/>
      <c r="F16" s="706" t="s">
        <v>385</v>
      </c>
      <c r="G16" s="509"/>
      <c r="H16" s="509"/>
    </row>
    <row r="17" spans="1:13" ht="12" customHeight="1" thickTop="1" thickBot="1" x14ac:dyDescent="0.55000000000000004">
      <c r="A17" s="783" t="s">
        <v>152</v>
      </c>
      <c r="B17" s="750" t="s">
        <v>504</v>
      </c>
      <c r="C17" s="485"/>
      <c r="D17" s="750" t="s">
        <v>436</v>
      </c>
      <c r="E17" s="486"/>
      <c r="F17" s="756" t="s">
        <v>551</v>
      </c>
      <c r="G17" s="485"/>
      <c r="H17" s="756" t="s">
        <v>552</v>
      </c>
    </row>
    <row r="18" spans="1:13" ht="12" customHeight="1" thickTop="1" x14ac:dyDescent="0.5">
      <c r="A18" s="18" t="s">
        <v>180</v>
      </c>
      <c r="B18" s="481">
        <f>'Pro Forma (Ex. 8)'!C6</f>
        <v>215</v>
      </c>
      <c r="C18" s="487"/>
      <c r="D18" s="481">
        <f>'Distribution @ Liquid'!$F13</f>
        <v>215</v>
      </c>
      <c r="E18" s="487"/>
      <c r="F18" s="780">
        <f>($H7)/B18</f>
        <v>1</v>
      </c>
      <c r="G18" s="487"/>
      <c r="H18" s="722">
        <f>$H7/D18</f>
        <v>1</v>
      </c>
    </row>
    <row r="19" spans="1:13" ht="12" customHeight="1" x14ac:dyDescent="0.5">
      <c r="A19" s="18" t="s">
        <v>120</v>
      </c>
      <c r="B19" s="481">
        <f>'Pro Forma (Ex. 8)'!C7+'Pro Forma (Ex. 8)'!C11</f>
        <v>122.14285714285714</v>
      </c>
      <c r="C19" s="487"/>
      <c r="D19" s="481">
        <f>'Distribution @ Liquid'!$F14</f>
        <v>80.003571428571433</v>
      </c>
      <c r="E19" s="487"/>
      <c r="F19" s="780">
        <f>($H8)/B19</f>
        <v>1</v>
      </c>
      <c r="G19" s="487"/>
      <c r="H19" s="722">
        <f>$H8/D19</f>
        <v>1.5267175572519083</v>
      </c>
    </row>
    <row r="20" spans="1:13" ht="12" customHeight="1" x14ac:dyDescent="0.5">
      <c r="A20" s="18" t="s">
        <v>181</v>
      </c>
      <c r="B20" s="481">
        <f>'Pro Forma (Ex. 8)'!C12</f>
        <v>170</v>
      </c>
      <c r="C20" s="487"/>
      <c r="D20" s="481">
        <f>'Distribution @ Liquid'!$F15</f>
        <v>41.225000000000001</v>
      </c>
      <c r="E20" s="487"/>
      <c r="F20" s="780">
        <f>($H9)/B20</f>
        <v>1</v>
      </c>
      <c r="G20" s="487"/>
      <c r="H20" s="722">
        <f>$H9/D20</f>
        <v>4.1237113402061851</v>
      </c>
    </row>
    <row r="21" spans="1:13" ht="12" customHeight="1" x14ac:dyDescent="0.5">
      <c r="A21" s="461" t="s">
        <v>179</v>
      </c>
      <c r="B21" s="481">
        <f>'Exhibit 1'!K37</f>
        <v>79.878127399999997</v>
      </c>
      <c r="C21" s="487"/>
      <c r="D21" s="481">
        <f>'Distribution @ Liquid'!F18</f>
        <v>23.233289164915703</v>
      </c>
      <c r="E21" s="487"/>
      <c r="F21" s="780">
        <f>H10/B21</f>
        <v>0.47393628380355424</v>
      </c>
      <c r="G21" s="487"/>
      <c r="H21" s="722">
        <f>$H10/D21</f>
        <v>1.6294353583955927</v>
      </c>
    </row>
    <row r="22" spans="1:13" ht="12" customHeight="1" x14ac:dyDescent="0.5">
      <c r="A22" s="18" t="s">
        <v>75</v>
      </c>
      <c r="B22" s="481">
        <f>'Pro Forma (Ex. 8)'!C17</f>
        <v>75</v>
      </c>
      <c r="C22" s="487"/>
      <c r="D22" s="481">
        <f>'Distribution @ Liquid'!$F21</f>
        <v>33.75</v>
      </c>
      <c r="E22" s="487"/>
      <c r="F22" s="780">
        <f>($H11)/B22</f>
        <v>0</v>
      </c>
      <c r="G22" s="487"/>
      <c r="H22" s="780">
        <f>$H11/D22</f>
        <v>0</v>
      </c>
    </row>
    <row r="23" spans="1:13" ht="12" customHeight="1" x14ac:dyDescent="0.5">
      <c r="A23" s="488" t="s">
        <v>124</v>
      </c>
      <c r="B23" s="541">
        <f>'Pro Forma (Ex. 8)'!C18</f>
        <v>-8.1008907014204894</v>
      </c>
      <c r="C23" s="489"/>
      <c r="D23" s="494">
        <f>'Distribution @ Liquid'!$F22</f>
        <v>70.632000000000005</v>
      </c>
      <c r="E23" s="489"/>
      <c r="F23" s="781" t="s">
        <v>229</v>
      </c>
      <c r="G23" s="489"/>
      <c r="H23" s="781">
        <f>$H14/D23</f>
        <v>0</v>
      </c>
    </row>
    <row r="24" spans="1:13" ht="12" customHeight="1" x14ac:dyDescent="0.5">
      <c r="A24" s="490"/>
      <c r="B24" s="782">
        <f>SUM(B18:B23)</f>
        <v>653.92009384143671</v>
      </c>
      <c r="C24" s="461"/>
      <c r="D24" s="782">
        <f>SUM(D18:D23)</f>
        <v>463.84386059348714</v>
      </c>
      <c r="E24" s="461"/>
      <c r="F24" s="461"/>
      <c r="G24" s="461"/>
      <c r="H24" s="461"/>
    </row>
    <row r="25" spans="1:13" ht="5.0999999999999996" customHeight="1" x14ac:dyDescent="0.5">
      <c r="A25" s="490"/>
      <c r="B25" s="461"/>
      <c r="C25" s="461"/>
      <c r="D25" s="461"/>
      <c r="E25" s="461"/>
      <c r="F25" s="461"/>
      <c r="G25" s="461"/>
      <c r="H25" s="461"/>
    </row>
    <row r="26" spans="1:13" ht="12.75" customHeight="1" thickBot="1" x14ac:dyDescent="0.45">
      <c r="A26" s="511" t="s">
        <v>576</v>
      </c>
      <c r="B26" s="511"/>
      <c r="C26" s="511"/>
      <c r="D26" s="511"/>
      <c r="E26" s="511"/>
      <c r="F26" s="511"/>
      <c r="G26" s="511"/>
      <c r="H26" s="511"/>
    </row>
    <row r="27" spans="1:13" ht="12.75" customHeight="1" x14ac:dyDescent="0.5">
      <c r="A27" s="18" t="s">
        <v>366</v>
      </c>
      <c r="B27" s="47"/>
      <c r="C27" s="47"/>
      <c r="D27" s="47"/>
      <c r="E27" s="47"/>
      <c r="F27" s="47"/>
      <c r="G27" s="47"/>
      <c r="H27" s="47"/>
    </row>
    <row r="28" spans="1:13" ht="12" customHeight="1" x14ac:dyDescent="0.55000000000000004">
      <c r="A28" s="735" t="s">
        <v>532</v>
      </c>
      <c r="B28" s="731"/>
      <c r="C28" s="731"/>
      <c r="D28" s="731"/>
      <c r="E28" s="731"/>
      <c r="F28" s="731"/>
      <c r="G28" s="731"/>
      <c r="H28" s="732">
        <f>SUM(H29:H30)</f>
        <v>555</v>
      </c>
    </row>
    <row r="29" spans="1:13" ht="12" customHeight="1" x14ac:dyDescent="0.5">
      <c r="A29" s="491" t="s">
        <v>572</v>
      </c>
      <c r="B29" s="461"/>
      <c r="C29" s="461"/>
      <c r="D29" s="461"/>
      <c r="E29" s="461"/>
      <c r="F29" s="461"/>
      <c r="G29" s="461"/>
      <c r="H29" s="481">
        <v>365</v>
      </c>
    </row>
    <row r="30" spans="1:13" ht="12" customHeight="1" x14ac:dyDescent="0.5">
      <c r="A30" s="491" t="s">
        <v>573</v>
      </c>
      <c r="B30" s="461"/>
      <c r="C30" s="461"/>
      <c r="D30" s="461"/>
      <c r="E30" s="461"/>
      <c r="F30" s="461"/>
      <c r="G30" s="461"/>
      <c r="H30" s="481">
        <f>(180+200)/2</f>
        <v>190</v>
      </c>
    </row>
    <row r="31" spans="1:13" s="362" customFormat="1" ht="3" customHeight="1" x14ac:dyDescent="0.5">
      <c r="A31" s="479"/>
      <c r="B31" s="479"/>
      <c r="C31" s="479"/>
      <c r="D31" s="479"/>
      <c r="E31" s="479"/>
      <c r="F31" s="479"/>
      <c r="G31" s="479"/>
      <c r="H31" s="479"/>
      <c r="I31" s="186"/>
      <c r="J31" s="479"/>
      <c r="K31" s="186"/>
      <c r="L31" s="479"/>
      <c r="M31" s="480"/>
    </row>
    <row r="32" spans="1:13" ht="12" customHeight="1" x14ac:dyDescent="0.5">
      <c r="A32" s="493" t="s">
        <v>574</v>
      </c>
      <c r="B32" s="461"/>
      <c r="C32" s="461"/>
      <c r="D32" s="461"/>
      <c r="E32" s="461"/>
      <c r="F32" s="461"/>
      <c r="G32" s="461"/>
      <c r="H32" s="516"/>
    </row>
    <row r="33" spans="1:16" ht="12" customHeight="1" x14ac:dyDescent="0.5">
      <c r="A33" s="18" t="s">
        <v>373</v>
      </c>
      <c r="B33" s="461"/>
      <c r="C33" s="461"/>
      <c r="D33" s="461"/>
      <c r="E33" s="461"/>
      <c r="F33" s="461"/>
      <c r="G33" s="461"/>
      <c r="H33" s="481">
        <f>'Pro Forma (Ex. 8)'!C6*1</f>
        <v>215</v>
      </c>
    </row>
    <row r="34" spans="1:16" ht="12" customHeight="1" x14ac:dyDescent="0.5">
      <c r="A34" s="18" t="s">
        <v>568</v>
      </c>
      <c r="B34" s="461"/>
      <c r="C34" s="461"/>
      <c r="D34" s="461"/>
      <c r="E34" s="461"/>
      <c r="F34" s="461"/>
      <c r="G34" s="461"/>
      <c r="H34" s="481">
        <v>122.1</v>
      </c>
    </row>
    <row r="35" spans="1:16" ht="12" customHeight="1" x14ac:dyDescent="0.5">
      <c r="A35" s="18" t="s">
        <v>569</v>
      </c>
      <c r="B35" s="461"/>
      <c r="C35" s="461"/>
      <c r="D35" s="461"/>
      <c r="E35" s="461"/>
      <c r="F35" s="461"/>
      <c r="G35" s="461"/>
      <c r="H35" s="481">
        <f>'Pro Forma (Ex. 8)'!C12</f>
        <v>170</v>
      </c>
    </row>
    <row r="36" spans="1:16" ht="12" customHeight="1" x14ac:dyDescent="0.5">
      <c r="A36" s="461" t="s">
        <v>564</v>
      </c>
      <c r="B36" s="461"/>
      <c r="C36" s="461"/>
      <c r="D36" s="461"/>
      <c r="E36" s="461"/>
      <c r="F36" s="461"/>
      <c r="G36" s="461"/>
      <c r="H36" s="542">
        <f>H28-H33-H34-H35</f>
        <v>47.900000000000006</v>
      </c>
    </row>
    <row r="37" spans="1:16" ht="12" customHeight="1" x14ac:dyDescent="0.5">
      <c r="A37" s="18" t="s">
        <v>570</v>
      </c>
      <c r="B37" s="461"/>
      <c r="C37" s="461"/>
      <c r="D37" s="461"/>
      <c r="E37" s="461"/>
      <c r="F37" s="461"/>
      <c r="G37" s="461"/>
      <c r="H37" s="494">
        <v>0</v>
      </c>
    </row>
    <row r="38" spans="1:16" s="362" customFormat="1" ht="13.2" customHeight="1" thickBot="1" x14ac:dyDescent="0.55000000000000004">
      <c r="A38" s="718" t="s">
        <v>386</v>
      </c>
      <c r="B38" s="491"/>
      <c r="C38" s="491"/>
      <c r="D38" s="491"/>
      <c r="E38" s="491"/>
      <c r="F38" s="491"/>
      <c r="G38" s="491"/>
      <c r="H38" s="777">
        <f>SUM(H33:H37)</f>
        <v>555</v>
      </c>
      <c r="I38" s="18"/>
      <c r="J38" s="491"/>
      <c r="K38" s="18"/>
      <c r="L38" s="491"/>
      <c r="M38" s="39"/>
      <c r="O38" s="39"/>
      <c r="P38" s="39"/>
    </row>
    <row r="39" spans="1:16" s="362" customFormat="1" ht="3" customHeight="1" thickTop="1" x14ac:dyDescent="0.5">
      <c r="A39" s="484"/>
      <c r="B39" s="484"/>
      <c r="C39" s="484"/>
      <c r="D39" s="484"/>
      <c r="E39" s="484"/>
      <c r="F39" s="484"/>
      <c r="G39" s="484"/>
      <c r="H39" s="778"/>
      <c r="I39" s="18"/>
      <c r="J39" s="484"/>
      <c r="K39" s="18"/>
      <c r="L39" s="484"/>
      <c r="M39" s="483"/>
      <c r="O39" s="364"/>
      <c r="P39" s="365"/>
    </row>
    <row r="40" spans="1:16" ht="12" customHeight="1" x14ac:dyDescent="0.5">
      <c r="A40" s="479" t="s">
        <v>538</v>
      </c>
      <c r="B40" s="461"/>
      <c r="C40" s="461"/>
      <c r="D40" s="461"/>
      <c r="E40" s="461"/>
      <c r="F40" s="461"/>
      <c r="G40" s="461"/>
      <c r="H40" s="779">
        <f>H28-H38</f>
        <v>0</v>
      </c>
      <c r="I40" s="108"/>
    </row>
    <row r="41" spans="1:16" ht="3.6" customHeight="1" x14ac:dyDescent="0.5">
      <c r="A41" s="479"/>
      <c r="B41" s="18"/>
      <c r="C41" s="18"/>
      <c r="D41" s="18"/>
      <c r="E41" s="18"/>
      <c r="F41" s="18"/>
      <c r="G41" s="18"/>
      <c r="H41" s="515"/>
    </row>
    <row r="42" spans="1:16" ht="12" customHeight="1" thickBot="1" x14ac:dyDescent="0.55000000000000004">
      <c r="A42" s="461"/>
      <c r="B42" s="508" t="s">
        <v>557</v>
      </c>
      <c r="C42" s="509"/>
      <c r="D42" s="509"/>
      <c r="E42" s="18"/>
      <c r="F42" s="706" t="s">
        <v>385</v>
      </c>
      <c r="G42" s="509"/>
      <c r="H42" s="509"/>
    </row>
    <row r="43" spans="1:16" ht="12" customHeight="1" thickTop="1" thickBot="1" x14ac:dyDescent="0.55000000000000004">
      <c r="A43" s="783" t="s">
        <v>152</v>
      </c>
      <c r="B43" s="750" t="s">
        <v>504</v>
      </c>
      <c r="C43" s="485"/>
      <c r="D43" s="750" t="s">
        <v>436</v>
      </c>
      <c r="E43" s="486"/>
      <c r="F43" s="756" t="s">
        <v>551</v>
      </c>
      <c r="G43" s="485"/>
      <c r="H43" s="756" t="s">
        <v>552</v>
      </c>
    </row>
    <row r="44" spans="1:16" ht="12" customHeight="1" thickTop="1" x14ac:dyDescent="0.5">
      <c r="A44" s="18" t="s">
        <v>180</v>
      </c>
      <c r="B44" s="481">
        <f>'Pro Forma (Ex. 8)'!C6</f>
        <v>215</v>
      </c>
      <c r="D44" s="481">
        <f>'Distribution @ Liquid'!$F13</f>
        <v>215</v>
      </c>
      <c r="E44" s="487"/>
      <c r="F44" s="780">
        <f>($H33)/B44</f>
        <v>1</v>
      </c>
      <c r="G44" s="487"/>
      <c r="H44" s="722">
        <f>$H33/D44</f>
        <v>1</v>
      </c>
    </row>
    <row r="45" spans="1:16" ht="12" customHeight="1" x14ac:dyDescent="0.5">
      <c r="A45" s="18" t="s">
        <v>120</v>
      </c>
      <c r="B45" s="481">
        <f>'Pro Forma (Ex. 8)'!C7+'Pro Forma (Ex. 8)'!C11</f>
        <v>122.14285714285714</v>
      </c>
      <c r="D45" s="481">
        <f>'Distribution @ Liquid'!$F14</f>
        <v>80.003571428571433</v>
      </c>
      <c r="E45" s="487"/>
      <c r="F45" s="780">
        <f>($H34)/B45</f>
        <v>0.99964912280701756</v>
      </c>
      <c r="G45" s="487"/>
      <c r="H45" s="722">
        <f>$H34/D45</f>
        <v>1.5261818668809426</v>
      </c>
    </row>
    <row r="46" spans="1:16" ht="12" customHeight="1" x14ac:dyDescent="0.5">
      <c r="A46" s="18" t="s">
        <v>181</v>
      </c>
      <c r="B46" s="481">
        <f>'Pro Forma (Ex. 8)'!C12</f>
        <v>170</v>
      </c>
      <c r="D46" s="481">
        <f>'Distribution @ Liquid'!$F15</f>
        <v>41.225000000000001</v>
      </c>
      <c r="E46" s="487"/>
      <c r="F46" s="780">
        <f>($H35)/B46</f>
        <v>1</v>
      </c>
      <c r="G46" s="487"/>
      <c r="H46" s="722">
        <f>$H35/D46</f>
        <v>4.1237113402061851</v>
      </c>
    </row>
    <row r="47" spans="1:16" ht="12" customHeight="1" x14ac:dyDescent="0.5">
      <c r="A47" s="461" t="s">
        <v>179</v>
      </c>
      <c r="B47" s="481">
        <f>'Exhibit 1'!K37</f>
        <v>79.878127399999997</v>
      </c>
      <c r="D47" s="481">
        <f>'Distribution @ Liquid'!F18</f>
        <v>23.233289164915703</v>
      </c>
      <c r="E47" s="487"/>
      <c r="F47" s="780">
        <f>H36/B47</f>
        <v>0.59966353192200661</v>
      </c>
      <c r="G47" s="487"/>
      <c r="H47" s="722">
        <f>$H36/D47</f>
        <v>2.0616968893209142</v>
      </c>
    </row>
    <row r="48" spans="1:16" ht="12" customHeight="1" x14ac:dyDescent="0.5">
      <c r="A48" s="461" t="s">
        <v>75</v>
      </c>
      <c r="B48" s="481">
        <f>'Pro Forma (Ex. 8)'!C17</f>
        <v>75</v>
      </c>
      <c r="D48" s="481">
        <f>'Distribution @ Liquid'!$F21</f>
        <v>33.75</v>
      </c>
      <c r="E48" s="487"/>
      <c r="F48" s="780">
        <f>($H37)/B48</f>
        <v>0</v>
      </c>
      <c r="G48" s="487"/>
      <c r="H48" s="780">
        <f>$H37/D48</f>
        <v>0</v>
      </c>
    </row>
    <row r="49" spans="1:8" ht="12" customHeight="1" x14ac:dyDescent="0.5">
      <c r="A49" s="488" t="s">
        <v>124</v>
      </c>
      <c r="B49" s="541">
        <f>'Pro Forma (Ex. 8)'!C18</f>
        <v>-8.1008907014204894</v>
      </c>
      <c r="C49" s="489"/>
      <c r="D49" s="494">
        <f>'Distribution @ Liquid'!$F22</f>
        <v>70.632000000000005</v>
      </c>
      <c r="E49" s="489"/>
      <c r="F49" s="781" t="s">
        <v>229</v>
      </c>
      <c r="G49" s="489"/>
      <c r="H49" s="781">
        <f>H40/D49</f>
        <v>0</v>
      </c>
    </row>
    <row r="50" spans="1:8" ht="12.9" x14ac:dyDescent="0.5">
      <c r="B50" s="782">
        <f>SUM(B44:B49)</f>
        <v>653.92009384143671</v>
      </c>
      <c r="C50" s="363"/>
      <c r="D50" s="782">
        <f>SUM(D44:D49)</f>
        <v>463.84386059348714</v>
      </c>
      <c r="E50" s="363"/>
      <c r="F50" s="363"/>
      <c r="G50" s="363"/>
      <c r="H50" s="363"/>
    </row>
    <row r="51" spans="1:8" ht="13.2" x14ac:dyDescent="0.45">
      <c r="A51" s="363" t="s">
        <v>533</v>
      </c>
      <c r="B51" s="62"/>
      <c r="C51" s="62"/>
      <c r="D51" s="62"/>
      <c r="E51" s="62"/>
      <c r="F51" s="62"/>
      <c r="G51" s="62"/>
      <c r="H51" s="6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DA0-3C4D-443A-89C1-3057280FC17B}">
  <dimension ref="A1:S59"/>
  <sheetViews>
    <sheetView showGridLines="0" topLeftCell="A25" zoomScale="116" zoomScaleNormal="100" workbookViewId="0">
      <selection activeCell="A30" sqref="A30:N57"/>
    </sheetView>
  </sheetViews>
  <sheetFormatPr baseColWidth="10" defaultColWidth="9.15625" defaultRowHeight="11.7" x14ac:dyDescent="0.45"/>
  <cols>
    <col min="1" max="1" width="37.9453125" style="362" customWidth="1"/>
    <col min="2" max="2" width="0.68359375" style="362" customWidth="1"/>
    <col min="3" max="3" width="5.1015625" style="362" customWidth="1"/>
    <col min="4" max="4" width="7.20703125" style="362" customWidth="1"/>
    <col min="5" max="5" width="1.3671875" style="362" customWidth="1"/>
    <col min="6" max="6" width="9.05078125" style="362" customWidth="1"/>
    <col min="7" max="7" width="4.9453125" style="362" customWidth="1"/>
    <col min="8" max="8" width="9.05078125" style="362" customWidth="1"/>
    <col min="9" max="9" width="3.3125" style="362" customWidth="1"/>
    <col min="10" max="10" width="0.9453125" style="362" customWidth="1"/>
    <col min="11" max="11" width="5.3125" style="362" customWidth="1"/>
    <col min="12" max="12" width="7.20703125" style="362" customWidth="1"/>
    <col min="13" max="13" width="1.5234375" style="362" customWidth="1"/>
    <col min="14" max="14" width="10.47265625" style="362" customWidth="1"/>
    <col min="15" max="15" width="2.83984375" style="362" customWidth="1"/>
    <col min="16" max="16" width="11.41796875" style="362" customWidth="1"/>
    <col min="17" max="16384" width="9.15625" style="362"/>
  </cols>
  <sheetData>
    <row r="1" spans="1:19" ht="15.6" customHeight="1" thickBot="1" x14ac:dyDescent="0.65">
      <c r="A1" s="478" t="s">
        <v>560</v>
      </c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216"/>
      <c r="M1" s="478"/>
      <c r="N1" s="216"/>
    </row>
    <row r="2" spans="1:19" ht="12" customHeight="1" x14ac:dyDescent="0.5">
      <c r="A2" s="18" t="s">
        <v>366</v>
      </c>
      <c r="B2" s="18"/>
      <c r="C2" s="18"/>
      <c r="D2" s="18"/>
      <c r="E2" s="18"/>
      <c r="F2" s="18"/>
      <c r="G2" s="18"/>
      <c r="H2" s="18"/>
      <c r="I2" s="18"/>
      <c r="J2" s="18"/>
      <c r="K2" s="18"/>
      <c r="M2" s="18"/>
      <c r="O2" s="18"/>
    </row>
    <row r="3" spans="1:19" ht="5.4" customHeight="1" x14ac:dyDescent="0.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9" ht="12.75" customHeight="1" x14ac:dyDescent="0.55000000000000004">
      <c r="A4" s="725" t="str">
        <f>"1) Estimated Enterprise Value Pinewood (WACC @ "&amp;TEXT(DCF!D36,"#0.00%")&amp;", perpetual growth 'g' @ "&amp;TEXT(DCF!D37,"#0.00%"&amp;") …...........................................................")</f>
        <v>1) Estimated Enterprise Value Pinewood (WACC @ 10.00%, perpetual growth 'g' @ 2.50%) …...........................................................</v>
      </c>
      <c r="B4" s="725"/>
      <c r="C4" s="725"/>
      <c r="D4" s="726"/>
      <c r="E4" s="726"/>
      <c r="F4" s="726"/>
      <c r="G4" s="726"/>
      <c r="H4" s="726"/>
      <c r="I4" s="726"/>
      <c r="J4" s="726"/>
      <c r="K4" s="726"/>
      <c r="L4" s="727"/>
      <c r="M4" s="726"/>
      <c r="N4" s="728">
        <f>DCF!D31</f>
        <v>600.00737164616351</v>
      </c>
      <c r="O4" s="18"/>
    </row>
    <row r="5" spans="1:19" ht="4.8" customHeight="1" thickBot="1" x14ac:dyDescent="0.55000000000000004">
      <c r="A5" s="479"/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186"/>
      <c r="M5" s="479"/>
      <c r="N5" s="186"/>
      <c r="O5" s="479"/>
      <c r="P5" s="480"/>
    </row>
    <row r="6" spans="1:19" ht="12.6" customHeight="1" thickBot="1" x14ac:dyDescent="0.55000000000000004">
      <c r="A6" s="741" t="s">
        <v>553</v>
      </c>
      <c r="B6" s="757"/>
      <c r="C6" s="757"/>
      <c r="D6" s="759"/>
      <c r="E6" s="479"/>
      <c r="F6" s="741" t="s">
        <v>554</v>
      </c>
      <c r="G6" s="757"/>
      <c r="H6" s="757"/>
      <c r="I6" s="757"/>
      <c r="J6" s="757"/>
      <c r="K6" s="758"/>
      <c r="L6" s="742"/>
      <c r="M6" s="479"/>
      <c r="N6" s="740" t="s">
        <v>48</v>
      </c>
      <c r="O6" s="479"/>
      <c r="P6" s="480"/>
    </row>
    <row r="7" spans="1:19" ht="5.0999999999999996" customHeight="1" x14ac:dyDescent="0.5">
      <c r="A7" s="479"/>
      <c r="B7" s="479"/>
      <c r="C7" s="479"/>
      <c r="D7" s="705"/>
      <c r="E7" s="479"/>
      <c r="F7" s="479"/>
      <c r="G7" s="479"/>
      <c r="H7" s="479"/>
      <c r="I7" s="479"/>
      <c r="J7" s="479"/>
      <c r="K7" s="743"/>
      <c r="L7" s="743"/>
      <c r="M7" s="479"/>
      <c r="N7" s="705"/>
      <c r="O7" s="479"/>
      <c r="P7" s="480"/>
    </row>
    <row r="8" spans="1:19" ht="12" customHeight="1" x14ac:dyDescent="0.5">
      <c r="A8" s="482" t="s">
        <v>555</v>
      </c>
      <c r="B8" s="482"/>
      <c r="C8" s="482"/>
      <c r="D8" s="539">
        <f>N4</f>
        <v>600.00737164616351</v>
      </c>
      <c r="E8" s="744"/>
      <c r="F8" s="482" t="s">
        <v>556</v>
      </c>
      <c r="G8" s="482"/>
      <c r="H8" s="482"/>
      <c r="I8" s="482"/>
      <c r="J8" s="482"/>
      <c r="K8" s="744"/>
      <c r="L8" s="539">
        <f>D15</f>
        <v>253.58594307473493</v>
      </c>
      <c r="N8" s="480">
        <f>N14+N19</f>
        <v>600.00737164616351</v>
      </c>
      <c r="O8" s="493"/>
      <c r="P8" s="481"/>
    </row>
    <row r="9" spans="1:19" ht="5.4" customHeight="1" x14ac:dyDescent="0.5">
      <c r="A9" s="482"/>
      <c r="B9" s="482"/>
      <c r="C9" s="482"/>
      <c r="D9" s="539"/>
      <c r="E9" s="744"/>
      <c r="F9" s="744"/>
      <c r="G9" s="744"/>
      <c r="H9" s="744"/>
      <c r="I9" s="744"/>
      <c r="J9" s="744"/>
      <c r="K9" s="744"/>
      <c r="L9" s="539"/>
      <c r="N9" s="705"/>
      <c r="O9" s="493"/>
      <c r="P9" s="481"/>
    </row>
    <row r="10" spans="1:19" ht="12" customHeight="1" thickBot="1" x14ac:dyDescent="0.55000000000000004">
      <c r="A10" s="748" t="s">
        <v>548</v>
      </c>
      <c r="B10" s="493"/>
      <c r="C10" s="702" t="s">
        <v>539</v>
      </c>
      <c r="D10" s="690"/>
      <c r="E10" s="493"/>
      <c r="F10" s="748" t="s">
        <v>548</v>
      </c>
      <c r="G10" s="748"/>
      <c r="H10" s="748"/>
      <c r="I10" s="748"/>
      <c r="J10" s="479"/>
      <c r="K10" s="702" t="s">
        <v>539</v>
      </c>
      <c r="L10" s="690"/>
      <c r="O10" s="493"/>
      <c r="P10" s="481"/>
    </row>
    <row r="11" spans="1:19" ht="12" customHeight="1" thickTop="1" x14ac:dyDescent="0.5">
      <c r="A11" s="714" t="s">
        <v>545</v>
      </c>
      <c r="B11" s="714"/>
      <c r="C11" s="746">
        <v>1.05</v>
      </c>
      <c r="D11" s="481">
        <f>'Pro Forma (Ex. 8)'!C6*C11</f>
        <v>225.75</v>
      </c>
      <c r="E11" s="491"/>
      <c r="F11" s="714" t="s">
        <v>540</v>
      </c>
      <c r="G11" s="714"/>
      <c r="H11" s="714"/>
      <c r="I11" s="714"/>
      <c r="J11" s="714"/>
      <c r="K11" s="723">
        <v>0</v>
      </c>
      <c r="L11" s="690">
        <f>L$8*K11</f>
        <v>0</v>
      </c>
      <c r="N11" s="703">
        <f>D11+L11</f>
        <v>225.75</v>
      </c>
      <c r="O11" s="491"/>
    </row>
    <row r="12" spans="1:19" ht="12" customHeight="1" x14ac:dyDescent="0.5">
      <c r="A12" s="714" t="s">
        <v>558</v>
      </c>
      <c r="B12" s="714"/>
      <c r="C12" s="746">
        <v>0.64</v>
      </c>
      <c r="D12" s="481">
        <f>('Pro Forma (Ex. 8)'!C7+'Pro Forma (Ex. 8)'!C11)*C12</f>
        <v>78.171428571428564</v>
      </c>
      <c r="E12" s="491"/>
      <c r="F12" s="714" t="s">
        <v>542</v>
      </c>
      <c r="G12" s="714"/>
      <c r="H12" s="714"/>
      <c r="I12" s="714"/>
      <c r="J12" s="714"/>
      <c r="K12" s="723">
        <f>'Pro Forma (Ex. 8)'!M7+'Pro Forma (Ex. 8)'!M11</f>
        <v>0.2132092444453019</v>
      </c>
      <c r="L12" s="690">
        <f>L$8*K12</f>
        <v>54.066867324913574</v>
      </c>
      <c r="N12" s="703">
        <f>D12+L12</f>
        <v>132.23829589634215</v>
      </c>
      <c r="O12" s="491"/>
    </row>
    <row r="13" spans="1:19" ht="12" customHeight="1" x14ac:dyDescent="0.5">
      <c r="A13" s="714" t="s">
        <v>559</v>
      </c>
      <c r="B13" s="714"/>
      <c r="C13" s="747">
        <v>0.25</v>
      </c>
      <c r="D13" s="494">
        <f>'Pro Forma (Ex. 8)'!C12*C13</f>
        <v>42.5</v>
      </c>
      <c r="E13" s="491"/>
      <c r="F13" s="714" t="s">
        <v>543</v>
      </c>
      <c r="G13" s="714"/>
      <c r="H13" s="714"/>
      <c r="I13" s="714"/>
      <c r="J13" s="714"/>
      <c r="K13" s="739">
        <f>'Pro Forma (Ex. 8)'!M12</f>
        <v>0.36964275809178365</v>
      </c>
      <c r="L13" s="690">
        <f>L$8*K13</f>
        <v>93.736207411451062</v>
      </c>
      <c r="N13" s="703">
        <f>D13+L13</f>
        <v>136.23620741145106</v>
      </c>
      <c r="O13" s="491"/>
    </row>
    <row r="14" spans="1:19" ht="12" customHeight="1" x14ac:dyDescent="0.5">
      <c r="A14" s="718" t="s">
        <v>367</v>
      </c>
      <c r="B14" s="718"/>
      <c r="C14" s="723"/>
      <c r="D14" s="518">
        <f>SUM(D11:D13)</f>
        <v>346.42142857142858</v>
      </c>
      <c r="E14" s="491"/>
      <c r="F14" s="491"/>
      <c r="G14" s="491"/>
      <c r="H14" s="491"/>
      <c r="I14" s="491"/>
      <c r="J14" s="491"/>
      <c r="K14" s="723">
        <f>SUM(K11:K13)</f>
        <v>0.58285200253708558</v>
      </c>
      <c r="L14" s="749">
        <f>SUM(L11:L13)</f>
        <v>147.80307473636464</v>
      </c>
      <c r="N14" s="749">
        <f>SUM(N11:N13)</f>
        <v>494.22450330779321</v>
      </c>
      <c r="O14" s="491"/>
      <c r="R14" s="364">
        <f>-'Pro Forma (Ex. 8)'!E14+SUM(D11:D13)</f>
        <v>0</v>
      </c>
      <c r="S14" s="365" t="s">
        <v>224</v>
      </c>
    </row>
    <row r="15" spans="1:19" ht="12" customHeight="1" x14ac:dyDescent="0.5">
      <c r="A15" s="479" t="s">
        <v>538</v>
      </c>
      <c r="B15" s="479"/>
      <c r="C15" s="479"/>
      <c r="D15" s="480">
        <f>D8-D14</f>
        <v>253.58594307473493</v>
      </c>
      <c r="E15" s="479"/>
      <c r="F15" s="479"/>
      <c r="G15" s="479"/>
      <c r="H15" s="479"/>
      <c r="I15" s="479"/>
      <c r="J15" s="479"/>
      <c r="K15" s="479"/>
      <c r="L15" s="480"/>
      <c r="O15" s="479"/>
    </row>
    <row r="16" spans="1:19" ht="5.4" customHeight="1" x14ac:dyDescent="0.5">
      <c r="A16" s="479"/>
      <c r="B16" s="479"/>
      <c r="C16" s="479"/>
      <c r="D16" s="479"/>
      <c r="E16" s="479"/>
      <c r="F16" s="479"/>
      <c r="G16" s="479"/>
      <c r="H16" s="479"/>
      <c r="I16" s="479"/>
      <c r="J16" s="479"/>
      <c r="K16" s="479"/>
      <c r="L16" s="18"/>
      <c r="M16" s="479"/>
      <c r="N16" s="18"/>
      <c r="O16" s="479"/>
      <c r="P16" s="480"/>
    </row>
    <row r="17" spans="1:19" ht="12" customHeight="1" x14ac:dyDescent="0.5">
      <c r="A17" s="714" t="s">
        <v>546</v>
      </c>
      <c r="B17" s="714"/>
      <c r="C17" s="714"/>
      <c r="D17" s="481"/>
      <c r="E17" s="479"/>
      <c r="F17" s="714" t="s">
        <v>541</v>
      </c>
      <c r="G17" s="714"/>
      <c r="H17" s="714"/>
      <c r="I17" s="714"/>
      <c r="J17" s="714"/>
      <c r="K17" s="723">
        <f>'Pro Forma (Ex. 8)'!M17</f>
        <v>0.19836054108414589</v>
      </c>
      <c r="L17" s="690">
        <f>L$8*K17</f>
        <v>50.301444879637835</v>
      </c>
      <c r="M17" s="479"/>
      <c r="N17" s="703">
        <f>D17+L17</f>
        <v>50.301444879637835</v>
      </c>
      <c r="O17" s="479"/>
      <c r="P17" s="480"/>
    </row>
    <row r="18" spans="1:19" ht="12" customHeight="1" x14ac:dyDescent="0.5">
      <c r="A18" s="714" t="s">
        <v>547</v>
      </c>
      <c r="B18" s="714"/>
      <c r="C18" s="714"/>
      <c r="D18" s="481"/>
      <c r="E18" s="479"/>
      <c r="F18" s="714" t="s">
        <v>544</v>
      </c>
      <c r="G18" s="714"/>
      <c r="H18" s="714"/>
      <c r="I18" s="714"/>
      <c r="J18" s="714"/>
      <c r="K18" s="739">
        <f>'Pro Forma (Ex. 8)'!M18</f>
        <v>0.21878745637876854</v>
      </c>
      <c r="L18" s="690">
        <f>L$8*K18</f>
        <v>55.481423458732451</v>
      </c>
      <c r="M18" s="479"/>
      <c r="N18" s="703">
        <f>D18+L18</f>
        <v>55.481423458732451</v>
      </c>
      <c r="O18" s="479"/>
      <c r="P18" s="480"/>
    </row>
    <row r="19" spans="1:19" ht="12" customHeight="1" x14ac:dyDescent="0.5">
      <c r="A19" s="479"/>
      <c r="B19" s="479"/>
      <c r="C19" s="479"/>
      <c r="D19" s="479"/>
      <c r="E19" s="479"/>
      <c r="F19" s="479"/>
      <c r="G19" s="479"/>
      <c r="H19" s="479"/>
      <c r="I19" s="479"/>
      <c r="J19" s="479"/>
      <c r="K19" s="738">
        <f>SUM(K11:K13,K17:K18)</f>
        <v>1</v>
      </c>
      <c r="L19" s="749">
        <f>SUM(L17:L18)</f>
        <v>105.78286833837029</v>
      </c>
      <c r="M19" s="479"/>
      <c r="N19" s="749">
        <f>SUM(N17:N18)</f>
        <v>105.78286833837029</v>
      </c>
      <c r="O19" s="479"/>
      <c r="P19" s="480"/>
    </row>
    <row r="20" spans="1:19" ht="5.4" customHeight="1" x14ac:dyDescent="0.5">
      <c r="A20" s="479"/>
      <c r="B20" s="479"/>
      <c r="C20" s="479"/>
      <c r="D20" s="479"/>
      <c r="E20" s="479"/>
      <c r="F20" s="479"/>
      <c r="G20" s="479"/>
      <c r="H20" s="479"/>
      <c r="I20" s="479"/>
      <c r="J20" s="479"/>
      <c r="K20" s="723"/>
      <c r="L20" s="186"/>
      <c r="M20" s="479"/>
      <c r="N20" s="18"/>
      <c r="O20" s="479"/>
      <c r="P20" s="480"/>
    </row>
    <row r="21" spans="1:19" ht="12" customHeight="1" thickBot="1" x14ac:dyDescent="0.55000000000000004">
      <c r="A21" s="18"/>
      <c r="B21" s="18"/>
      <c r="C21" s="18"/>
      <c r="D21" s="508" t="s">
        <v>557</v>
      </c>
      <c r="E21" s="509"/>
      <c r="F21" s="509"/>
      <c r="G21" s="479"/>
      <c r="H21" s="737" t="s">
        <v>550</v>
      </c>
      <c r="I21" s="481"/>
      <c r="J21" s="481"/>
      <c r="K21" s="723"/>
      <c r="L21" s="706" t="s">
        <v>385</v>
      </c>
      <c r="M21" s="707"/>
      <c r="N21" s="755"/>
      <c r="O21" s="479"/>
      <c r="P21" s="479"/>
      <c r="Q21" s="479"/>
    </row>
    <row r="22" spans="1:19" ht="12" customHeight="1" thickTop="1" thickBot="1" x14ac:dyDescent="0.55000000000000004">
      <c r="A22" s="748" t="s">
        <v>133</v>
      </c>
      <c r="B22" s="485"/>
      <c r="C22" s="485"/>
      <c r="D22" s="750" t="s">
        <v>504</v>
      </c>
      <c r="E22" s="485"/>
      <c r="F22" s="750" t="s">
        <v>436</v>
      </c>
      <c r="G22" s="485"/>
      <c r="H22" s="508" t="s">
        <v>549</v>
      </c>
      <c r="I22" s="481"/>
      <c r="J22" s="481"/>
      <c r="K22" s="485"/>
      <c r="L22" s="756" t="s">
        <v>551</v>
      </c>
      <c r="M22" s="485"/>
      <c r="N22" s="756" t="s">
        <v>552</v>
      </c>
      <c r="O22" s="479"/>
      <c r="P22" s="479"/>
      <c r="Q22" s="479"/>
      <c r="S22" s="724"/>
    </row>
    <row r="23" spans="1:19" ht="12" customHeight="1" thickTop="1" x14ac:dyDescent="0.5">
      <c r="A23" s="18" t="s">
        <v>180</v>
      </c>
      <c r="B23" s="18"/>
      <c r="C23" s="18"/>
      <c r="D23" s="481">
        <f>'Pro Forma (Ex. 8)'!C6</f>
        <v>215</v>
      </c>
      <c r="E23" s="481"/>
      <c r="F23" s="481">
        <f>'Distribution @ Liquid'!$F$13</f>
        <v>215</v>
      </c>
      <c r="G23" s="481"/>
      <c r="H23" s="481">
        <f>N11</f>
        <v>225.75</v>
      </c>
      <c r="I23" s="481"/>
      <c r="J23" s="481"/>
      <c r="K23" s="481"/>
      <c r="L23" s="722">
        <f>H23/D23</f>
        <v>1.05</v>
      </c>
      <c r="M23" s="481"/>
      <c r="N23" s="722">
        <f>H23/F23</f>
        <v>1.05</v>
      </c>
      <c r="O23" s="479"/>
      <c r="P23" s="479"/>
      <c r="Q23" s="479"/>
    </row>
    <row r="24" spans="1:19" ht="12" customHeight="1" x14ac:dyDescent="0.5">
      <c r="A24" s="18" t="s">
        <v>120</v>
      </c>
      <c r="B24" s="18"/>
      <c r="C24" s="18"/>
      <c r="D24" s="481">
        <f>'Pro Forma (Ex. 8)'!C7+'Pro Forma (Ex. 8)'!C11</f>
        <v>122.14285714285714</v>
      </c>
      <c r="E24" s="481"/>
      <c r="F24" s="481">
        <f>'Distribution @ Liquid'!$F$14</f>
        <v>80.003571428571433</v>
      </c>
      <c r="G24" s="481"/>
      <c r="H24" s="481">
        <f>N12</f>
        <v>132.23829589634215</v>
      </c>
      <c r="I24" s="481"/>
      <c r="J24" s="481"/>
      <c r="K24" s="481"/>
      <c r="L24" s="722">
        <f>H24/D24</f>
        <v>1.0826527149408129</v>
      </c>
      <c r="M24" s="481"/>
      <c r="N24" s="722">
        <f>H24/F24</f>
        <v>1.6529049083065845</v>
      </c>
      <c r="O24" s="479"/>
      <c r="P24" s="479"/>
      <c r="Q24" s="479"/>
    </row>
    <row r="25" spans="1:19" ht="12" customHeight="1" x14ac:dyDescent="0.5">
      <c r="A25" s="18" t="s">
        <v>181</v>
      </c>
      <c r="B25" s="18"/>
      <c r="C25" s="18"/>
      <c r="D25" s="481">
        <f>'Pro Forma (Ex. 8)'!C12</f>
        <v>170</v>
      </c>
      <c r="E25" s="481"/>
      <c r="F25" s="481">
        <f>'Distribution @ Liquid'!$F$15</f>
        <v>41.225000000000001</v>
      </c>
      <c r="G25" s="481"/>
      <c r="H25" s="481">
        <f>N13</f>
        <v>136.23620741145106</v>
      </c>
      <c r="I25" s="481"/>
      <c r="J25" s="481"/>
      <c r="K25" s="481"/>
      <c r="L25" s="722">
        <f>H25/D25</f>
        <v>0.80138945536147688</v>
      </c>
      <c r="M25" s="481"/>
      <c r="N25" s="722">
        <f>H25/F25</f>
        <v>3.3046987849957805</v>
      </c>
      <c r="O25" s="479"/>
      <c r="P25" s="479"/>
      <c r="Q25" s="479"/>
    </row>
    <row r="26" spans="1:19" ht="12" customHeight="1" x14ac:dyDescent="0.5">
      <c r="A26" s="18" t="s">
        <v>370</v>
      </c>
      <c r="B26" s="18"/>
      <c r="C26" s="18"/>
      <c r="D26" s="481">
        <f>'Pro Forma (Ex. 8)'!C17</f>
        <v>75</v>
      </c>
      <c r="E26" s="18"/>
      <c r="F26" s="481">
        <f>'Distribution @ Liquid'!$F$21</f>
        <v>33.75</v>
      </c>
      <c r="G26" s="18"/>
      <c r="H26" s="481">
        <f>N17</f>
        <v>50.301444879637835</v>
      </c>
      <c r="I26" s="481"/>
      <c r="J26" s="481"/>
      <c r="K26" s="18"/>
      <c r="L26" s="722">
        <f>H26/D26</f>
        <v>0.67068593172850444</v>
      </c>
      <c r="M26" s="18"/>
      <c r="N26" s="722">
        <f>H26/F26</f>
        <v>1.4904131816188988</v>
      </c>
      <c r="O26" s="479"/>
      <c r="P26" s="479"/>
      <c r="Q26" s="479"/>
    </row>
    <row r="27" spans="1:19" ht="12" customHeight="1" x14ac:dyDescent="0.5">
      <c r="A27" s="488" t="s">
        <v>124</v>
      </c>
      <c r="B27" s="488"/>
      <c r="C27" s="488"/>
      <c r="D27" s="541">
        <f>'Pro Forma (Ex. 8)'!C18</f>
        <v>-8.1008907014204894</v>
      </c>
      <c r="E27" s="488"/>
      <c r="F27" s="494">
        <f>'Distribution @ Liquid'!$F$22</f>
        <v>70.632000000000005</v>
      </c>
      <c r="G27" s="488"/>
      <c r="H27" s="494">
        <f>N18</f>
        <v>55.481423458732451</v>
      </c>
      <c r="I27" s="494"/>
      <c r="J27" s="494"/>
      <c r="K27" s="488"/>
      <c r="L27" s="510" t="s">
        <v>229</v>
      </c>
      <c r="M27" s="488"/>
      <c r="N27" s="762">
        <f>H27/F27</f>
        <v>0.7854998224421289</v>
      </c>
      <c r="O27" s="479"/>
      <c r="P27" s="479"/>
      <c r="Q27" s="479"/>
    </row>
    <row r="28" spans="1:19" ht="12" customHeight="1" x14ac:dyDescent="0.5">
      <c r="A28" s="751"/>
      <c r="B28" s="751"/>
      <c r="C28" s="751"/>
      <c r="D28" s="754">
        <f>SUM(D23:D27)</f>
        <v>574.04196644143667</v>
      </c>
      <c r="E28" s="751"/>
      <c r="F28" s="754">
        <f>SUM(F23:F27)</f>
        <v>440.61057142857146</v>
      </c>
      <c r="G28" s="751"/>
      <c r="H28" s="754">
        <f>SUM(H23:H27)</f>
        <v>600.00737164616351</v>
      </c>
      <c r="I28" s="754"/>
      <c r="J28" s="754"/>
      <c r="K28" s="751"/>
      <c r="L28" s="752"/>
      <c r="M28" s="751"/>
      <c r="O28" s="751"/>
      <c r="P28" s="753"/>
    </row>
    <row r="29" spans="1:19" ht="5.4" customHeight="1" x14ac:dyDescent="0.5">
      <c r="A29" s="490"/>
      <c r="B29" s="490"/>
      <c r="C29" s="490"/>
      <c r="D29" s="490"/>
      <c r="E29" s="490"/>
      <c r="F29" s="490"/>
      <c r="G29" s="490"/>
      <c r="H29" s="490"/>
      <c r="I29" s="490"/>
      <c r="J29" s="490"/>
      <c r="K29" s="490"/>
      <c r="L29" s="461"/>
      <c r="M29" s="490"/>
      <c r="N29" s="461"/>
      <c r="O29" s="490"/>
      <c r="P29" s="461"/>
    </row>
    <row r="30" spans="1:19" ht="15.6" customHeight="1" thickBot="1" x14ac:dyDescent="0.65">
      <c r="A30" s="478" t="s">
        <v>561</v>
      </c>
      <c r="B30" s="478"/>
      <c r="C30" s="478"/>
      <c r="D30" s="478"/>
      <c r="E30" s="478"/>
      <c r="F30" s="478"/>
      <c r="G30" s="478"/>
      <c r="H30" s="478"/>
      <c r="I30" s="478"/>
      <c r="J30" s="478"/>
      <c r="K30" s="478"/>
      <c r="L30" s="216"/>
      <c r="M30" s="478"/>
      <c r="N30" s="216"/>
    </row>
    <row r="31" spans="1:19" ht="12" customHeight="1" x14ac:dyDescent="0.5">
      <c r="A31" s="18" t="s">
        <v>366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M31" s="18"/>
      <c r="O31" s="18"/>
    </row>
    <row r="32" spans="1:19" ht="5.4" customHeight="1" x14ac:dyDescent="0.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9" ht="14.4" x14ac:dyDescent="0.55000000000000004">
      <c r="A33" s="729" t="str">
        <f>"2) Estimated Enterprise Value Pinewood (Sensitivity: WACC @ "&amp;TEXT(DCF!G36,"#0.00%")&amp;", perpetual growth 'g' @ "&amp;TEXT(DCF!I32,"#0.00%"&amp;") …...........................................................")</f>
        <v>2) Estimated Enterprise Value Pinewood (Sensitivity: WACC @ 11.00%, perpetual growth 'g' @ 1.00%) …...........................................................</v>
      </c>
      <c r="B33" s="729"/>
      <c r="C33" s="729"/>
      <c r="D33" s="730"/>
      <c r="E33" s="730"/>
      <c r="F33" s="730"/>
      <c r="G33" s="730"/>
      <c r="H33" s="730"/>
      <c r="I33" s="730"/>
      <c r="J33" s="730"/>
      <c r="K33" s="730"/>
      <c r="L33" s="731"/>
      <c r="M33" s="730"/>
      <c r="N33" s="732">
        <f>DCF!I36</f>
        <v>478.167206539657</v>
      </c>
      <c r="O33" s="490"/>
      <c r="R33" s="479"/>
    </row>
    <row r="34" spans="1:19" ht="4.8" customHeight="1" thickBot="1" x14ac:dyDescent="0.55000000000000004">
      <c r="A34" s="479"/>
      <c r="B34" s="479"/>
      <c r="C34" s="479"/>
      <c r="D34" s="479"/>
      <c r="E34" s="479"/>
      <c r="F34" s="479"/>
      <c r="G34" s="479"/>
      <c r="H34" s="479"/>
      <c r="I34" s="479"/>
      <c r="J34" s="479"/>
      <c r="K34" s="479"/>
      <c r="L34" s="186"/>
      <c r="M34" s="479"/>
      <c r="N34" s="186"/>
      <c r="O34" s="479"/>
      <c r="P34" s="480"/>
    </row>
    <row r="35" spans="1:19" ht="12.6" customHeight="1" thickBot="1" x14ac:dyDescent="0.55000000000000004">
      <c r="A35" s="741" t="s">
        <v>553</v>
      </c>
      <c r="B35" s="757"/>
      <c r="C35" s="757"/>
      <c r="D35" s="759"/>
      <c r="E35" s="479"/>
      <c r="F35" s="741" t="s">
        <v>554</v>
      </c>
      <c r="G35" s="757"/>
      <c r="H35" s="757"/>
      <c r="I35" s="757"/>
      <c r="J35" s="757"/>
      <c r="K35" s="758"/>
      <c r="L35" s="742"/>
      <c r="M35" s="479"/>
      <c r="N35" s="740" t="s">
        <v>48</v>
      </c>
      <c r="O35" s="479"/>
      <c r="P35" s="480"/>
    </row>
    <row r="36" spans="1:19" ht="5.0999999999999996" customHeight="1" x14ac:dyDescent="0.5">
      <c r="A36" s="479"/>
      <c r="B36" s="479"/>
      <c r="C36" s="479"/>
      <c r="D36" s="705"/>
      <c r="E36" s="479"/>
      <c r="F36" s="479"/>
      <c r="G36" s="479"/>
      <c r="H36" s="479"/>
      <c r="I36" s="479"/>
      <c r="J36" s="479"/>
      <c r="K36" s="743"/>
      <c r="L36" s="743"/>
      <c r="M36" s="479"/>
      <c r="N36" s="705"/>
      <c r="O36" s="479"/>
      <c r="P36" s="480"/>
    </row>
    <row r="37" spans="1:19" ht="12" customHeight="1" x14ac:dyDescent="0.5">
      <c r="A37" s="482" t="s">
        <v>555</v>
      </c>
      <c r="B37" s="482"/>
      <c r="C37" s="482"/>
      <c r="D37" s="539">
        <f>N33</f>
        <v>478.167206539657</v>
      </c>
      <c r="E37" s="744"/>
      <c r="F37" s="482" t="s">
        <v>556</v>
      </c>
      <c r="G37" s="482"/>
      <c r="H37" s="482"/>
      <c r="I37" s="482"/>
      <c r="J37" s="482"/>
      <c r="K37" s="744"/>
      <c r="L37" s="539">
        <f>D44</f>
        <v>131.74577796822842</v>
      </c>
      <c r="N37" s="480">
        <f>N43+N48</f>
        <v>478.167206539657</v>
      </c>
      <c r="O37" s="493"/>
      <c r="P37" s="481"/>
    </row>
    <row r="38" spans="1:19" ht="5.4" customHeight="1" x14ac:dyDescent="0.5">
      <c r="A38" s="482"/>
      <c r="B38" s="482"/>
      <c r="C38" s="482"/>
      <c r="D38" s="539"/>
      <c r="E38" s="744"/>
      <c r="F38" s="744"/>
      <c r="G38" s="744"/>
      <c r="H38" s="744"/>
      <c r="I38" s="744"/>
      <c r="J38" s="744"/>
      <c r="K38" s="744"/>
      <c r="L38" s="539"/>
      <c r="N38" s="705"/>
      <c r="O38" s="493"/>
      <c r="P38" s="481"/>
    </row>
    <row r="39" spans="1:19" ht="12" customHeight="1" thickBot="1" x14ac:dyDescent="0.55000000000000004">
      <c r="A39" s="748" t="s">
        <v>548</v>
      </c>
      <c r="B39" s="493"/>
      <c r="C39" s="702" t="s">
        <v>539</v>
      </c>
      <c r="D39" s="690"/>
      <c r="E39" s="493"/>
      <c r="F39" s="748" t="s">
        <v>548</v>
      </c>
      <c r="G39" s="748"/>
      <c r="H39" s="748"/>
      <c r="I39" s="748"/>
      <c r="J39" s="479"/>
      <c r="K39" s="702" t="s">
        <v>539</v>
      </c>
      <c r="L39" s="690"/>
      <c r="O39" s="493"/>
      <c r="P39" s="481"/>
    </row>
    <row r="40" spans="1:19" ht="12" customHeight="1" thickTop="1" x14ac:dyDescent="0.5">
      <c r="A40" s="714" t="s">
        <v>545</v>
      </c>
      <c r="B40" s="714"/>
      <c r="C40" s="746">
        <v>1.05</v>
      </c>
      <c r="D40" s="481">
        <f>'Pro Forma (Ex. 8)'!C6*C11</f>
        <v>225.75</v>
      </c>
      <c r="E40" s="491"/>
      <c r="F40" s="714" t="s">
        <v>540</v>
      </c>
      <c r="G40" s="714"/>
      <c r="H40" s="714"/>
      <c r="I40" s="714"/>
      <c r="J40" s="714"/>
      <c r="K40" s="723">
        <v>0</v>
      </c>
      <c r="L40" s="690">
        <f>L$37*K40</f>
        <v>0</v>
      </c>
      <c r="N40" s="703">
        <f>D40+L40</f>
        <v>225.75</v>
      </c>
      <c r="O40" s="491"/>
    </row>
    <row r="41" spans="1:19" ht="12" customHeight="1" x14ac:dyDescent="0.5">
      <c r="A41" s="714" t="s">
        <v>558</v>
      </c>
      <c r="B41" s="714"/>
      <c r="C41" s="746">
        <v>0.64</v>
      </c>
      <c r="D41" s="481">
        <f>('Pro Forma (Ex. 8)'!C7+'Pro Forma (Ex. 8)'!C11)*C12</f>
        <v>78.171428571428564</v>
      </c>
      <c r="E41" s="491"/>
      <c r="F41" s="714" t="s">
        <v>542</v>
      </c>
      <c r="G41" s="714"/>
      <c r="H41" s="714"/>
      <c r="I41" s="714"/>
      <c r="J41" s="714"/>
      <c r="K41" s="723">
        <f>'Pro Forma (Ex. 8)'!M7+'Pro Forma (Ex. 8)'!M11</f>
        <v>0.2132092444453019</v>
      </c>
      <c r="L41" s="690">
        <f>L$37*K41</f>
        <v>28.089417779464483</v>
      </c>
      <c r="N41" s="703">
        <f>D41+L41</f>
        <v>106.26084635089305</v>
      </c>
      <c r="O41" s="491"/>
    </row>
    <row r="42" spans="1:19" ht="12" customHeight="1" x14ac:dyDescent="0.5">
      <c r="A42" s="714" t="s">
        <v>559</v>
      </c>
      <c r="B42" s="714"/>
      <c r="C42" s="747">
        <v>0.25</v>
      </c>
      <c r="D42" s="494">
        <f>'Pro Forma (Ex. 8)'!C12*C13</f>
        <v>42.5</v>
      </c>
      <c r="E42" s="491"/>
      <c r="F42" s="714" t="s">
        <v>543</v>
      </c>
      <c r="G42" s="714"/>
      <c r="H42" s="714"/>
      <c r="I42" s="714"/>
      <c r="J42" s="714"/>
      <c r="K42" s="739">
        <f>'Pro Forma (Ex. 8)'!M12</f>
        <v>0.36964275809178365</v>
      </c>
      <c r="L42" s="690">
        <f>L$37*K42</f>
        <v>48.6988727351237</v>
      </c>
      <c r="N42" s="703">
        <f>D42+L42</f>
        <v>91.1988727351237</v>
      </c>
      <c r="O42" s="491"/>
    </row>
    <row r="43" spans="1:19" ht="12" customHeight="1" x14ac:dyDescent="0.5">
      <c r="A43" s="718" t="s">
        <v>367</v>
      </c>
      <c r="B43" s="718"/>
      <c r="C43" s="723"/>
      <c r="D43" s="518">
        <f>SUM(D40:D42)</f>
        <v>346.42142857142858</v>
      </c>
      <c r="E43" s="491"/>
      <c r="F43" s="491"/>
      <c r="G43" s="491"/>
      <c r="H43" s="491"/>
      <c r="I43" s="491"/>
      <c r="J43" s="491"/>
      <c r="K43" s="723">
        <f>SUM(K40:K42)</f>
        <v>0.58285200253708558</v>
      </c>
      <c r="L43" s="749">
        <f>SUM(L40:L42)</f>
        <v>76.788290514588184</v>
      </c>
      <c r="N43" s="749">
        <f>SUM(N40:N42)</f>
        <v>423.20971908601678</v>
      </c>
      <c r="O43" s="491"/>
      <c r="R43" s="364"/>
      <c r="S43" s="365"/>
    </row>
    <row r="44" spans="1:19" ht="12" customHeight="1" x14ac:dyDescent="0.5">
      <c r="A44" s="479" t="s">
        <v>538</v>
      </c>
      <c r="B44" s="479"/>
      <c r="C44" s="479"/>
      <c r="D44" s="480">
        <f>D37-D43</f>
        <v>131.74577796822842</v>
      </c>
      <c r="E44" s="479"/>
      <c r="F44" s="479"/>
      <c r="G44" s="479"/>
      <c r="H44" s="479"/>
      <c r="I44" s="479"/>
      <c r="J44" s="479"/>
      <c r="K44" s="479"/>
      <c r="L44" s="480"/>
      <c r="O44" s="479"/>
    </row>
    <row r="45" spans="1:19" ht="3.3" customHeight="1" x14ac:dyDescent="0.5">
      <c r="A45" s="479"/>
      <c r="B45" s="479"/>
      <c r="C45" s="479"/>
      <c r="D45" s="479"/>
      <c r="E45" s="479"/>
      <c r="F45" s="479"/>
      <c r="G45" s="479"/>
      <c r="H45" s="479"/>
      <c r="I45" s="479"/>
      <c r="J45" s="479"/>
      <c r="K45" s="479"/>
      <c r="L45" s="18"/>
      <c r="M45" s="479"/>
      <c r="N45" s="18"/>
      <c r="O45" s="479"/>
      <c r="P45" s="480"/>
    </row>
    <row r="46" spans="1:19" ht="12" customHeight="1" x14ac:dyDescent="0.5">
      <c r="A46" s="714" t="s">
        <v>546</v>
      </c>
      <c r="B46" s="714"/>
      <c r="C46" s="714"/>
      <c r="D46" s="481"/>
      <c r="E46" s="479"/>
      <c r="F46" s="714" t="s">
        <v>541</v>
      </c>
      <c r="G46" s="714"/>
      <c r="H46" s="714"/>
      <c r="I46" s="714"/>
      <c r="J46" s="714"/>
      <c r="K46" s="723">
        <f>'Pro Forma (Ex. 8)'!M17</f>
        <v>0.19836054108414589</v>
      </c>
      <c r="L46" s="690">
        <f>L$37*K46</f>
        <v>26.133163803329538</v>
      </c>
      <c r="M46" s="479"/>
      <c r="N46" s="703">
        <f>D46+L46</f>
        <v>26.133163803329538</v>
      </c>
      <c r="O46" s="479"/>
      <c r="P46" s="480"/>
    </row>
    <row r="47" spans="1:19" ht="12" customHeight="1" x14ac:dyDescent="0.5">
      <c r="A47" s="714" t="s">
        <v>547</v>
      </c>
      <c r="B47" s="714"/>
      <c r="C47" s="714"/>
      <c r="D47" s="481"/>
      <c r="E47" s="479"/>
      <c r="F47" s="714" t="s">
        <v>544</v>
      </c>
      <c r="G47" s="714"/>
      <c r="H47" s="714"/>
      <c r="I47" s="714"/>
      <c r="J47" s="714"/>
      <c r="K47" s="739">
        <f>'Pro Forma (Ex. 8)'!M18</f>
        <v>0.21878745637876854</v>
      </c>
      <c r="L47" s="690">
        <f>L$37*K47</f>
        <v>28.824323650310703</v>
      </c>
      <c r="M47" s="479"/>
      <c r="N47" s="703">
        <f>D47+L47</f>
        <v>28.824323650310703</v>
      </c>
      <c r="O47" s="479"/>
      <c r="P47" s="480"/>
    </row>
    <row r="48" spans="1:19" ht="12" customHeight="1" x14ac:dyDescent="0.5">
      <c r="A48" s="479"/>
      <c r="B48" s="479"/>
      <c r="C48" s="479"/>
      <c r="D48" s="479"/>
      <c r="E48" s="479"/>
      <c r="F48" s="479"/>
      <c r="G48" s="479"/>
      <c r="H48" s="479"/>
      <c r="I48" s="479"/>
      <c r="J48" s="479"/>
      <c r="K48" s="738">
        <f>SUM(K40:K42,K46:K47)</f>
        <v>1</v>
      </c>
      <c r="L48" s="749">
        <f>SUM(L46:L47)</f>
        <v>54.95748745364024</v>
      </c>
      <c r="M48" s="479"/>
      <c r="N48" s="749">
        <f>SUM(N46:N47)</f>
        <v>54.95748745364024</v>
      </c>
      <c r="O48" s="479"/>
      <c r="P48" s="480"/>
    </row>
    <row r="49" spans="1:19" ht="5.4" customHeight="1" x14ac:dyDescent="0.5">
      <c r="A49" s="479"/>
      <c r="B49" s="479"/>
      <c r="C49" s="479"/>
      <c r="D49" s="479"/>
      <c r="E49" s="479"/>
      <c r="F49" s="479"/>
      <c r="G49" s="479"/>
      <c r="H49" s="479"/>
      <c r="I49" s="479"/>
      <c r="J49" s="479"/>
      <c r="K49" s="723"/>
      <c r="L49" s="186"/>
      <c r="M49" s="479"/>
      <c r="N49" s="18"/>
      <c r="O49" s="479"/>
      <c r="P49" s="480"/>
    </row>
    <row r="50" spans="1:19" ht="12" customHeight="1" thickBot="1" x14ac:dyDescent="0.55000000000000004">
      <c r="A50" s="18"/>
      <c r="B50" s="18"/>
      <c r="C50" s="18"/>
      <c r="D50" s="508" t="s">
        <v>557</v>
      </c>
      <c r="E50" s="509"/>
      <c r="F50" s="509"/>
      <c r="G50" s="479"/>
      <c r="H50" s="737" t="s">
        <v>550</v>
      </c>
      <c r="I50" s="481"/>
      <c r="J50" s="481"/>
      <c r="K50" s="723"/>
      <c r="L50" s="706" t="s">
        <v>385</v>
      </c>
      <c r="M50" s="707"/>
      <c r="N50" s="755"/>
      <c r="O50" s="479"/>
      <c r="P50" s="479"/>
      <c r="Q50" s="479"/>
    </row>
    <row r="51" spans="1:19" ht="12" customHeight="1" thickTop="1" thickBot="1" x14ac:dyDescent="0.55000000000000004">
      <c r="A51" s="748" t="s">
        <v>133</v>
      </c>
      <c r="B51" s="485"/>
      <c r="C51" s="485"/>
      <c r="D51" s="750" t="s">
        <v>504</v>
      </c>
      <c r="E51" s="485"/>
      <c r="F51" s="750" t="s">
        <v>436</v>
      </c>
      <c r="G51" s="485"/>
      <c r="H51" s="508" t="s">
        <v>549</v>
      </c>
      <c r="I51" s="481"/>
      <c r="J51" s="481"/>
      <c r="K51" s="485"/>
      <c r="L51" s="756" t="s">
        <v>551</v>
      </c>
      <c r="M51" s="485"/>
      <c r="N51" s="756" t="s">
        <v>552</v>
      </c>
      <c r="O51" s="479"/>
      <c r="P51" s="479"/>
      <c r="Q51" s="479"/>
      <c r="S51" s="724"/>
    </row>
    <row r="52" spans="1:19" ht="12" customHeight="1" thickTop="1" x14ac:dyDescent="0.5">
      <c r="A52" s="18" t="s">
        <v>180</v>
      </c>
      <c r="B52" s="18"/>
      <c r="C52" s="18"/>
      <c r="D52" s="481">
        <f>'Pro Forma (Ex. 8)'!C6</f>
        <v>215</v>
      </c>
      <c r="E52" s="481"/>
      <c r="F52" s="481">
        <f>'Distribution @ Liquid'!$F$13</f>
        <v>215</v>
      </c>
      <c r="G52" s="481"/>
      <c r="H52" s="481">
        <f>N40</f>
        <v>225.75</v>
      </c>
      <c r="I52" s="481"/>
      <c r="J52" s="481"/>
      <c r="K52" s="481"/>
      <c r="L52" s="722">
        <f>H52/D52</f>
        <v>1.05</v>
      </c>
      <c r="M52" s="760"/>
      <c r="N52" s="722">
        <f>H52/F52</f>
        <v>1.05</v>
      </c>
      <c r="O52" s="479"/>
      <c r="P52" s="479"/>
      <c r="Q52" s="479"/>
    </row>
    <row r="53" spans="1:19" ht="12" customHeight="1" x14ac:dyDescent="0.5">
      <c r="A53" s="18" t="s">
        <v>120</v>
      </c>
      <c r="B53" s="18"/>
      <c r="C53" s="18"/>
      <c r="D53" s="481">
        <f>'Pro Forma (Ex. 8)'!C7+'Pro Forma (Ex. 8)'!C11</f>
        <v>122.14285714285714</v>
      </c>
      <c r="E53" s="481"/>
      <c r="F53" s="481">
        <f>'Distribution @ Liquid'!$F$14</f>
        <v>80.003571428571433</v>
      </c>
      <c r="G53" s="481"/>
      <c r="H53" s="481">
        <f>N41</f>
        <v>106.26084635089305</v>
      </c>
      <c r="I53" s="481"/>
      <c r="J53" s="481"/>
      <c r="K53" s="481"/>
      <c r="L53" s="722">
        <f>H53/D53</f>
        <v>0.86997184146929984</v>
      </c>
      <c r="M53" s="760"/>
      <c r="N53" s="722">
        <f>H53/F53</f>
        <v>1.3282012846859539</v>
      </c>
      <c r="O53" s="479"/>
      <c r="P53" s="479"/>
      <c r="Q53" s="479"/>
    </row>
    <row r="54" spans="1:19" ht="12" customHeight="1" x14ac:dyDescent="0.5">
      <c r="A54" s="18" t="s">
        <v>181</v>
      </c>
      <c r="B54" s="18"/>
      <c r="C54" s="18"/>
      <c r="D54" s="481">
        <f>'Pro Forma (Ex. 8)'!C12</f>
        <v>170</v>
      </c>
      <c r="E54" s="481"/>
      <c r="F54" s="481">
        <f>'Distribution @ Liquid'!$F$15</f>
        <v>41.225000000000001</v>
      </c>
      <c r="G54" s="481"/>
      <c r="H54" s="481">
        <f>N42</f>
        <v>91.1988727351237</v>
      </c>
      <c r="I54" s="481"/>
      <c r="J54" s="481"/>
      <c r="K54" s="481"/>
      <c r="L54" s="722">
        <f>H54/D54</f>
        <v>0.5364639572654335</v>
      </c>
      <c r="M54" s="760"/>
      <c r="N54" s="722">
        <f>H54/F54</f>
        <v>2.2122225041873547</v>
      </c>
      <c r="O54" s="479"/>
      <c r="P54" s="479"/>
      <c r="Q54" s="479"/>
    </row>
    <row r="55" spans="1:19" ht="12" customHeight="1" x14ac:dyDescent="0.5">
      <c r="A55" s="18" t="s">
        <v>370</v>
      </c>
      <c r="B55" s="18"/>
      <c r="C55" s="18"/>
      <c r="D55" s="481">
        <f>'Pro Forma (Ex. 8)'!C17</f>
        <v>75</v>
      </c>
      <c r="E55" s="18"/>
      <c r="F55" s="481">
        <f>'Distribution @ Liquid'!$F$21</f>
        <v>33.75</v>
      </c>
      <c r="G55" s="18"/>
      <c r="H55" s="481">
        <f>N46</f>
        <v>26.133163803329538</v>
      </c>
      <c r="I55" s="481"/>
      <c r="J55" s="481"/>
      <c r="K55" s="18"/>
      <c r="L55" s="722">
        <f>H55/D55</f>
        <v>0.34844218404439381</v>
      </c>
      <c r="M55" s="761"/>
      <c r="N55" s="722">
        <f>H55/F55</f>
        <v>0.77431596454309737</v>
      </c>
      <c r="O55" s="479"/>
      <c r="P55" s="479"/>
      <c r="Q55" s="479"/>
    </row>
    <row r="56" spans="1:19" ht="12" customHeight="1" x14ac:dyDescent="0.5">
      <c r="A56" s="488" t="s">
        <v>124</v>
      </c>
      <c r="B56" s="488"/>
      <c r="C56" s="488"/>
      <c r="D56" s="541">
        <f>'Pro Forma (Ex. 8)'!C18</f>
        <v>-8.1008907014204894</v>
      </c>
      <c r="E56" s="488"/>
      <c r="F56" s="494">
        <f>'Distribution @ Liquid'!$F$22</f>
        <v>70.632000000000005</v>
      </c>
      <c r="G56" s="488"/>
      <c r="H56" s="494">
        <f>N47</f>
        <v>28.824323650310703</v>
      </c>
      <c r="I56" s="494"/>
      <c r="J56" s="494"/>
      <c r="K56" s="488"/>
      <c r="L56" s="762" t="s">
        <v>229</v>
      </c>
      <c r="M56" s="763"/>
      <c r="N56" s="762">
        <f>H56/F56</f>
        <v>0.40809156827373855</v>
      </c>
      <c r="O56" s="479"/>
      <c r="P56" s="479"/>
      <c r="Q56" s="479"/>
    </row>
    <row r="57" spans="1:19" ht="12" customHeight="1" x14ac:dyDescent="0.5">
      <c r="A57" s="751"/>
      <c r="B57" s="751"/>
      <c r="C57" s="751"/>
      <c r="D57" s="754">
        <f>SUM(D52:D56)</f>
        <v>574.04196644143667</v>
      </c>
      <c r="E57" s="751"/>
      <c r="F57" s="754">
        <f>SUM(F52:F56)</f>
        <v>440.61057142857146</v>
      </c>
      <c r="G57" s="751"/>
      <c r="H57" s="754">
        <f>SUM(H52:H56)</f>
        <v>478.167206539657</v>
      </c>
      <c r="I57" s="754"/>
      <c r="J57" s="754"/>
      <c r="K57" s="751"/>
      <c r="L57" s="752"/>
      <c r="M57" s="751"/>
      <c r="O57" s="751"/>
      <c r="P57" s="753"/>
    </row>
    <row r="58" spans="1:19" ht="9" customHeight="1" x14ac:dyDescent="0.45"/>
    <row r="59" spans="1:19" ht="13.2" x14ac:dyDescent="0.45">
      <c r="A59" s="362" t="s">
        <v>363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2CE0-1771-4B38-B227-556319C56014}">
  <dimension ref="A1:AL66"/>
  <sheetViews>
    <sheetView showGridLines="0" topLeftCell="A13" zoomScaleNormal="84" workbookViewId="0">
      <selection activeCell="C34" sqref="C34"/>
    </sheetView>
  </sheetViews>
  <sheetFormatPr baseColWidth="10" defaultColWidth="8.68359375" defaultRowHeight="12.9" x14ac:dyDescent="0.5"/>
  <cols>
    <col min="1" max="1" width="13.7890625" style="218" customWidth="1"/>
    <col min="2" max="2" width="0.41796875" style="218" customWidth="1"/>
    <col min="3" max="3" width="18.89453125" style="218" customWidth="1"/>
    <col min="4" max="4" width="0.7890625" style="218" customWidth="1"/>
    <col min="5" max="5" width="5.41796875" style="218" customWidth="1"/>
    <col min="6" max="6" width="5.68359375" style="218" customWidth="1"/>
    <col min="7" max="7" width="9.89453125" style="218" customWidth="1"/>
    <col min="8" max="8" width="0.734375" style="218" customWidth="1"/>
    <col min="9" max="9" width="9.89453125" style="218" customWidth="1"/>
    <col min="10" max="10" width="34.1015625" style="218" customWidth="1"/>
    <col min="11" max="11" width="1.47265625" style="218" customWidth="1"/>
    <col min="12" max="12" width="9.89453125" style="218" customWidth="1"/>
    <col min="13" max="13" width="0.734375" style="218" customWidth="1"/>
    <col min="14" max="14" width="9.89453125" style="218" customWidth="1"/>
    <col min="15" max="15" width="34.1015625" style="218" customWidth="1"/>
    <col min="16" max="16" width="3.05078125" style="218" customWidth="1"/>
    <col min="17" max="17" width="14.15625" style="218" customWidth="1"/>
    <col min="18" max="258" width="8.68359375" style="218"/>
    <col min="259" max="259" width="13.7890625" style="218" customWidth="1"/>
    <col min="260" max="260" width="0.41796875" style="218" customWidth="1"/>
    <col min="261" max="261" width="26.26171875" style="218" customWidth="1"/>
    <col min="262" max="262" width="1.47265625" style="218" customWidth="1"/>
    <col min="263" max="263" width="13.5234375" style="218" customWidth="1"/>
    <col min="264" max="264" width="1.47265625" style="218" customWidth="1"/>
    <col min="265" max="265" width="24.1015625" style="218" customWidth="1"/>
    <col min="266" max="266" width="1.47265625" style="218" customWidth="1"/>
    <col min="267" max="269" width="13.5234375" style="218" customWidth="1"/>
    <col min="270" max="270" width="1.47265625" style="218" customWidth="1"/>
    <col min="271" max="271" width="24.3671875" style="218" customWidth="1"/>
    <col min="272" max="514" width="8.68359375" style="218"/>
    <col min="515" max="515" width="13.7890625" style="218" customWidth="1"/>
    <col min="516" max="516" width="0.41796875" style="218" customWidth="1"/>
    <col min="517" max="517" width="26.26171875" style="218" customWidth="1"/>
    <col min="518" max="518" width="1.47265625" style="218" customWidth="1"/>
    <col min="519" max="519" width="13.5234375" style="218" customWidth="1"/>
    <col min="520" max="520" width="1.47265625" style="218" customWidth="1"/>
    <col min="521" max="521" width="24.1015625" style="218" customWidth="1"/>
    <col min="522" max="522" width="1.47265625" style="218" customWidth="1"/>
    <col min="523" max="525" width="13.5234375" style="218" customWidth="1"/>
    <col min="526" max="526" width="1.47265625" style="218" customWidth="1"/>
    <col min="527" max="527" width="24.3671875" style="218" customWidth="1"/>
    <col min="528" max="770" width="8.68359375" style="218"/>
    <col min="771" max="771" width="13.7890625" style="218" customWidth="1"/>
    <col min="772" max="772" width="0.41796875" style="218" customWidth="1"/>
    <col min="773" max="773" width="26.26171875" style="218" customWidth="1"/>
    <col min="774" max="774" width="1.47265625" style="218" customWidth="1"/>
    <col min="775" max="775" width="13.5234375" style="218" customWidth="1"/>
    <col min="776" max="776" width="1.47265625" style="218" customWidth="1"/>
    <col min="777" max="777" width="24.1015625" style="218" customWidth="1"/>
    <col min="778" max="778" width="1.47265625" style="218" customWidth="1"/>
    <col min="779" max="781" width="13.5234375" style="218" customWidth="1"/>
    <col min="782" max="782" width="1.47265625" style="218" customWidth="1"/>
    <col min="783" max="783" width="24.3671875" style="218" customWidth="1"/>
    <col min="784" max="1026" width="8.68359375" style="218"/>
    <col min="1027" max="1027" width="13.7890625" style="218" customWidth="1"/>
    <col min="1028" max="1028" width="0.41796875" style="218" customWidth="1"/>
    <col min="1029" max="1029" width="26.26171875" style="218" customWidth="1"/>
    <col min="1030" max="1030" width="1.47265625" style="218" customWidth="1"/>
    <col min="1031" max="1031" width="13.5234375" style="218" customWidth="1"/>
    <col min="1032" max="1032" width="1.47265625" style="218" customWidth="1"/>
    <col min="1033" max="1033" width="24.1015625" style="218" customWidth="1"/>
    <col min="1034" max="1034" width="1.47265625" style="218" customWidth="1"/>
    <col min="1035" max="1037" width="13.5234375" style="218" customWidth="1"/>
    <col min="1038" max="1038" width="1.47265625" style="218" customWidth="1"/>
    <col min="1039" max="1039" width="24.3671875" style="218" customWidth="1"/>
    <col min="1040" max="1282" width="8.68359375" style="218"/>
    <col min="1283" max="1283" width="13.7890625" style="218" customWidth="1"/>
    <col min="1284" max="1284" width="0.41796875" style="218" customWidth="1"/>
    <col min="1285" max="1285" width="26.26171875" style="218" customWidth="1"/>
    <col min="1286" max="1286" width="1.47265625" style="218" customWidth="1"/>
    <col min="1287" max="1287" width="13.5234375" style="218" customWidth="1"/>
    <col min="1288" max="1288" width="1.47265625" style="218" customWidth="1"/>
    <col min="1289" max="1289" width="24.1015625" style="218" customWidth="1"/>
    <col min="1290" max="1290" width="1.47265625" style="218" customWidth="1"/>
    <col min="1291" max="1293" width="13.5234375" style="218" customWidth="1"/>
    <col min="1294" max="1294" width="1.47265625" style="218" customWidth="1"/>
    <col min="1295" max="1295" width="24.3671875" style="218" customWidth="1"/>
    <col min="1296" max="1538" width="8.68359375" style="218"/>
    <col min="1539" max="1539" width="13.7890625" style="218" customWidth="1"/>
    <col min="1540" max="1540" width="0.41796875" style="218" customWidth="1"/>
    <col min="1541" max="1541" width="26.26171875" style="218" customWidth="1"/>
    <col min="1542" max="1542" width="1.47265625" style="218" customWidth="1"/>
    <col min="1543" max="1543" width="13.5234375" style="218" customWidth="1"/>
    <col min="1544" max="1544" width="1.47265625" style="218" customWidth="1"/>
    <col min="1545" max="1545" width="24.1015625" style="218" customWidth="1"/>
    <col min="1546" max="1546" width="1.47265625" style="218" customWidth="1"/>
    <col min="1547" max="1549" width="13.5234375" style="218" customWidth="1"/>
    <col min="1550" max="1550" width="1.47265625" style="218" customWidth="1"/>
    <col min="1551" max="1551" width="24.3671875" style="218" customWidth="1"/>
    <col min="1552" max="1794" width="8.68359375" style="218"/>
    <col min="1795" max="1795" width="13.7890625" style="218" customWidth="1"/>
    <col min="1796" max="1796" width="0.41796875" style="218" customWidth="1"/>
    <col min="1797" max="1797" width="26.26171875" style="218" customWidth="1"/>
    <col min="1798" max="1798" width="1.47265625" style="218" customWidth="1"/>
    <col min="1799" max="1799" width="13.5234375" style="218" customWidth="1"/>
    <col min="1800" max="1800" width="1.47265625" style="218" customWidth="1"/>
    <col min="1801" max="1801" width="24.1015625" style="218" customWidth="1"/>
    <col min="1802" max="1802" width="1.47265625" style="218" customWidth="1"/>
    <col min="1803" max="1805" width="13.5234375" style="218" customWidth="1"/>
    <col min="1806" max="1806" width="1.47265625" style="218" customWidth="1"/>
    <col min="1807" max="1807" width="24.3671875" style="218" customWidth="1"/>
    <col min="1808" max="2050" width="8.68359375" style="218"/>
    <col min="2051" max="2051" width="13.7890625" style="218" customWidth="1"/>
    <col min="2052" max="2052" width="0.41796875" style="218" customWidth="1"/>
    <col min="2053" max="2053" width="26.26171875" style="218" customWidth="1"/>
    <col min="2054" max="2054" width="1.47265625" style="218" customWidth="1"/>
    <col min="2055" max="2055" width="13.5234375" style="218" customWidth="1"/>
    <col min="2056" max="2056" width="1.47265625" style="218" customWidth="1"/>
    <col min="2057" max="2057" width="24.1015625" style="218" customWidth="1"/>
    <col min="2058" max="2058" width="1.47265625" style="218" customWidth="1"/>
    <col min="2059" max="2061" width="13.5234375" style="218" customWidth="1"/>
    <col min="2062" max="2062" width="1.47265625" style="218" customWidth="1"/>
    <col min="2063" max="2063" width="24.3671875" style="218" customWidth="1"/>
    <col min="2064" max="2306" width="8.68359375" style="218"/>
    <col min="2307" max="2307" width="13.7890625" style="218" customWidth="1"/>
    <col min="2308" max="2308" width="0.41796875" style="218" customWidth="1"/>
    <col min="2309" max="2309" width="26.26171875" style="218" customWidth="1"/>
    <col min="2310" max="2310" width="1.47265625" style="218" customWidth="1"/>
    <col min="2311" max="2311" width="13.5234375" style="218" customWidth="1"/>
    <col min="2312" max="2312" width="1.47265625" style="218" customWidth="1"/>
    <col min="2313" max="2313" width="24.1015625" style="218" customWidth="1"/>
    <col min="2314" max="2314" width="1.47265625" style="218" customWidth="1"/>
    <col min="2315" max="2317" width="13.5234375" style="218" customWidth="1"/>
    <col min="2318" max="2318" width="1.47265625" style="218" customWidth="1"/>
    <col min="2319" max="2319" width="24.3671875" style="218" customWidth="1"/>
    <col min="2320" max="2562" width="8.68359375" style="218"/>
    <col min="2563" max="2563" width="13.7890625" style="218" customWidth="1"/>
    <col min="2564" max="2564" width="0.41796875" style="218" customWidth="1"/>
    <col min="2565" max="2565" width="26.26171875" style="218" customWidth="1"/>
    <col min="2566" max="2566" width="1.47265625" style="218" customWidth="1"/>
    <col min="2567" max="2567" width="13.5234375" style="218" customWidth="1"/>
    <col min="2568" max="2568" width="1.47265625" style="218" customWidth="1"/>
    <col min="2569" max="2569" width="24.1015625" style="218" customWidth="1"/>
    <col min="2570" max="2570" width="1.47265625" style="218" customWidth="1"/>
    <col min="2571" max="2573" width="13.5234375" style="218" customWidth="1"/>
    <col min="2574" max="2574" width="1.47265625" style="218" customWidth="1"/>
    <col min="2575" max="2575" width="24.3671875" style="218" customWidth="1"/>
    <col min="2576" max="2818" width="8.68359375" style="218"/>
    <col min="2819" max="2819" width="13.7890625" style="218" customWidth="1"/>
    <col min="2820" max="2820" width="0.41796875" style="218" customWidth="1"/>
    <col min="2821" max="2821" width="26.26171875" style="218" customWidth="1"/>
    <col min="2822" max="2822" width="1.47265625" style="218" customWidth="1"/>
    <col min="2823" max="2823" width="13.5234375" style="218" customWidth="1"/>
    <col min="2824" max="2824" width="1.47265625" style="218" customWidth="1"/>
    <col min="2825" max="2825" width="24.1015625" style="218" customWidth="1"/>
    <col min="2826" max="2826" width="1.47265625" style="218" customWidth="1"/>
    <col min="2827" max="2829" width="13.5234375" style="218" customWidth="1"/>
    <col min="2830" max="2830" width="1.47265625" style="218" customWidth="1"/>
    <col min="2831" max="2831" width="24.3671875" style="218" customWidth="1"/>
    <col min="2832" max="3074" width="8.68359375" style="218"/>
    <col min="3075" max="3075" width="13.7890625" style="218" customWidth="1"/>
    <col min="3076" max="3076" width="0.41796875" style="218" customWidth="1"/>
    <col min="3077" max="3077" width="26.26171875" style="218" customWidth="1"/>
    <col min="3078" max="3078" width="1.47265625" style="218" customWidth="1"/>
    <col min="3079" max="3079" width="13.5234375" style="218" customWidth="1"/>
    <col min="3080" max="3080" width="1.47265625" style="218" customWidth="1"/>
    <col min="3081" max="3081" width="24.1015625" style="218" customWidth="1"/>
    <col min="3082" max="3082" width="1.47265625" style="218" customWidth="1"/>
    <col min="3083" max="3085" width="13.5234375" style="218" customWidth="1"/>
    <col min="3086" max="3086" width="1.47265625" style="218" customWidth="1"/>
    <col min="3087" max="3087" width="24.3671875" style="218" customWidth="1"/>
    <col min="3088" max="3330" width="8.68359375" style="218"/>
    <col min="3331" max="3331" width="13.7890625" style="218" customWidth="1"/>
    <col min="3332" max="3332" width="0.41796875" style="218" customWidth="1"/>
    <col min="3333" max="3333" width="26.26171875" style="218" customWidth="1"/>
    <col min="3334" max="3334" width="1.47265625" style="218" customWidth="1"/>
    <col min="3335" max="3335" width="13.5234375" style="218" customWidth="1"/>
    <col min="3336" max="3336" width="1.47265625" style="218" customWidth="1"/>
    <col min="3337" max="3337" width="24.1015625" style="218" customWidth="1"/>
    <col min="3338" max="3338" width="1.47265625" style="218" customWidth="1"/>
    <col min="3339" max="3341" width="13.5234375" style="218" customWidth="1"/>
    <col min="3342" max="3342" width="1.47265625" style="218" customWidth="1"/>
    <col min="3343" max="3343" width="24.3671875" style="218" customWidth="1"/>
    <col min="3344" max="3586" width="8.68359375" style="218"/>
    <col min="3587" max="3587" width="13.7890625" style="218" customWidth="1"/>
    <col min="3588" max="3588" width="0.41796875" style="218" customWidth="1"/>
    <col min="3589" max="3589" width="26.26171875" style="218" customWidth="1"/>
    <col min="3590" max="3590" width="1.47265625" style="218" customWidth="1"/>
    <col min="3591" max="3591" width="13.5234375" style="218" customWidth="1"/>
    <col min="3592" max="3592" width="1.47265625" style="218" customWidth="1"/>
    <col min="3593" max="3593" width="24.1015625" style="218" customWidth="1"/>
    <col min="3594" max="3594" width="1.47265625" style="218" customWidth="1"/>
    <col min="3595" max="3597" width="13.5234375" style="218" customWidth="1"/>
    <col min="3598" max="3598" width="1.47265625" style="218" customWidth="1"/>
    <col min="3599" max="3599" width="24.3671875" style="218" customWidth="1"/>
    <col min="3600" max="3842" width="8.68359375" style="218"/>
    <col min="3843" max="3843" width="13.7890625" style="218" customWidth="1"/>
    <col min="3844" max="3844" width="0.41796875" style="218" customWidth="1"/>
    <col min="3845" max="3845" width="26.26171875" style="218" customWidth="1"/>
    <col min="3846" max="3846" width="1.47265625" style="218" customWidth="1"/>
    <col min="3847" max="3847" width="13.5234375" style="218" customWidth="1"/>
    <col min="3848" max="3848" width="1.47265625" style="218" customWidth="1"/>
    <col min="3849" max="3849" width="24.1015625" style="218" customWidth="1"/>
    <col min="3850" max="3850" width="1.47265625" style="218" customWidth="1"/>
    <col min="3851" max="3853" width="13.5234375" style="218" customWidth="1"/>
    <col min="3854" max="3854" width="1.47265625" style="218" customWidth="1"/>
    <col min="3855" max="3855" width="24.3671875" style="218" customWidth="1"/>
    <col min="3856" max="4098" width="8.68359375" style="218"/>
    <col min="4099" max="4099" width="13.7890625" style="218" customWidth="1"/>
    <col min="4100" max="4100" width="0.41796875" style="218" customWidth="1"/>
    <col min="4101" max="4101" width="26.26171875" style="218" customWidth="1"/>
    <col min="4102" max="4102" width="1.47265625" style="218" customWidth="1"/>
    <col min="4103" max="4103" width="13.5234375" style="218" customWidth="1"/>
    <col min="4104" max="4104" width="1.47265625" style="218" customWidth="1"/>
    <col min="4105" max="4105" width="24.1015625" style="218" customWidth="1"/>
    <col min="4106" max="4106" width="1.47265625" style="218" customWidth="1"/>
    <col min="4107" max="4109" width="13.5234375" style="218" customWidth="1"/>
    <col min="4110" max="4110" width="1.47265625" style="218" customWidth="1"/>
    <col min="4111" max="4111" width="24.3671875" style="218" customWidth="1"/>
    <col min="4112" max="4354" width="8.68359375" style="218"/>
    <col min="4355" max="4355" width="13.7890625" style="218" customWidth="1"/>
    <col min="4356" max="4356" width="0.41796875" style="218" customWidth="1"/>
    <col min="4357" max="4357" width="26.26171875" style="218" customWidth="1"/>
    <col min="4358" max="4358" width="1.47265625" style="218" customWidth="1"/>
    <col min="4359" max="4359" width="13.5234375" style="218" customWidth="1"/>
    <col min="4360" max="4360" width="1.47265625" style="218" customWidth="1"/>
    <col min="4361" max="4361" width="24.1015625" style="218" customWidth="1"/>
    <col min="4362" max="4362" width="1.47265625" style="218" customWidth="1"/>
    <col min="4363" max="4365" width="13.5234375" style="218" customWidth="1"/>
    <col min="4366" max="4366" width="1.47265625" style="218" customWidth="1"/>
    <col min="4367" max="4367" width="24.3671875" style="218" customWidth="1"/>
    <col min="4368" max="4610" width="8.68359375" style="218"/>
    <col min="4611" max="4611" width="13.7890625" style="218" customWidth="1"/>
    <col min="4612" max="4612" width="0.41796875" style="218" customWidth="1"/>
    <col min="4613" max="4613" width="26.26171875" style="218" customWidth="1"/>
    <col min="4614" max="4614" width="1.47265625" style="218" customWidth="1"/>
    <col min="4615" max="4615" width="13.5234375" style="218" customWidth="1"/>
    <col min="4616" max="4616" width="1.47265625" style="218" customWidth="1"/>
    <col min="4617" max="4617" width="24.1015625" style="218" customWidth="1"/>
    <col min="4618" max="4618" width="1.47265625" style="218" customWidth="1"/>
    <col min="4619" max="4621" width="13.5234375" style="218" customWidth="1"/>
    <col min="4622" max="4622" width="1.47265625" style="218" customWidth="1"/>
    <col min="4623" max="4623" width="24.3671875" style="218" customWidth="1"/>
    <col min="4624" max="4866" width="8.68359375" style="218"/>
    <col min="4867" max="4867" width="13.7890625" style="218" customWidth="1"/>
    <col min="4868" max="4868" width="0.41796875" style="218" customWidth="1"/>
    <col min="4869" max="4869" width="26.26171875" style="218" customWidth="1"/>
    <col min="4870" max="4870" width="1.47265625" style="218" customWidth="1"/>
    <col min="4871" max="4871" width="13.5234375" style="218" customWidth="1"/>
    <col min="4872" max="4872" width="1.47265625" style="218" customWidth="1"/>
    <col min="4873" max="4873" width="24.1015625" style="218" customWidth="1"/>
    <col min="4874" max="4874" width="1.47265625" style="218" customWidth="1"/>
    <col min="4875" max="4877" width="13.5234375" style="218" customWidth="1"/>
    <col min="4878" max="4878" width="1.47265625" style="218" customWidth="1"/>
    <col min="4879" max="4879" width="24.3671875" style="218" customWidth="1"/>
    <col min="4880" max="5122" width="8.68359375" style="218"/>
    <col min="5123" max="5123" width="13.7890625" style="218" customWidth="1"/>
    <col min="5124" max="5124" width="0.41796875" style="218" customWidth="1"/>
    <col min="5125" max="5125" width="26.26171875" style="218" customWidth="1"/>
    <col min="5126" max="5126" width="1.47265625" style="218" customWidth="1"/>
    <col min="5127" max="5127" width="13.5234375" style="218" customWidth="1"/>
    <col min="5128" max="5128" width="1.47265625" style="218" customWidth="1"/>
    <col min="5129" max="5129" width="24.1015625" style="218" customWidth="1"/>
    <col min="5130" max="5130" width="1.47265625" style="218" customWidth="1"/>
    <col min="5131" max="5133" width="13.5234375" style="218" customWidth="1"/>
    <col min="5134" max="5134" width="1.47265625" style="218" customWidth="1"/>
    <col min="5135" max="5135" width="24.3671875" style="218" customWidth="1"/>
    <col min="5136" max="5378" width="8.68359375" style="218"/>
    <col min="5379" max="5379" width="13.7890625" style="218" customWidth="1"/>
    <col min="5380" max="5380" width="0.41796875" style="218" customWidth="1"/>
    <col min="5381" max="5381" width="26.26171875" style="218" customWidth="1"/>
    <col min="5382" max="5382" width="1.47265625" style="218" customWidth="1"/>
    <col min="5383" max="5383" width="13.5234375" style="218" customWidth="1"/>
    <col min="5384" max="5384" width="1.47265625" style="218" customWidth="1"/>
    <col min="5385" max="5385" width="24.1015625" style="218" customWidth="1"/>
    <col min="5386" max="5386" width="1.47265625" style="218" customWidth="1"/>
    <col min="5387" max="5389" width="13.5234375" style="218" customWidth="1"/>
    <col min="5390" max="5390" width="1.47265625" style="218" customWidth="1"/>
    <col min="5391" max="5391" width="24.3671875" style="218" customWidth="1"/>
    <col min="5392" max="5634" width="8.68359375" style="218"/>
    <col min="5635" max="5635" width="13.7890625" style="218" customWidth="1"/>
    <col min="5636" max="5636" width="0.41796875" style="218" customWidth="1"/>
    <col min="5637" max="5637" width="26.26171875" style="218" customWidth="1"/>
    <col min="5638" max="5638" width="1.47265625" style="218" customWidth="1"/>
    <col min="5639" max="5639" width="13.5234375" style="218" customWidth="1"/>
    <col min="5640" max="5640" width="1.47265625" style="218" customWidth="1"/>
    <col min="5641" max="5641" width="24.1015625" style="218" customWidth="1"/>
    <col min="5642" max="5642" width="1.47265625" style="218" customWidth="1"/>
    <col min="5643" max="5645" width="13.5234375" style="218" customWidth="1"/>
    <col min="5646" max="5646" width="1.47265625" style="218" customWidth="1"/>
    <col min="5647" max="5647" width="24.3671875" style="218" customWidth="1"/>
    <col min="5648" max="5890" width="8.68359375" style="218"/>
    <col min="5891" max="5891" width="13.7890625" style="218" customWidth="1"/>
    <col min="5892" max="5892" width="0.41796875" style="218" customWidth="1"/>
    <col min="5893" max="5893" width="26.26171875" style="218" customWidth="1"/>
    <col min="5894" max="5894" width="1.47265625" style="218" customWidth="1"/>
    <col min="5895" max="5895" width="13.5234375" style="218" customWidth="1"/>
    <col min="5896" max="5896" width="1.47265625" style="218" customWidth="1"/>
    <col min="5897" max="5897" width="24.1015625" style="218" customWidth="1"/>
    <col min="5898" max="5898" width="1.47265625" style="218" customWidth="1"/>
    <col min="5899" max="5901" width="13.5234375" style="218" customWidth="1"/>
    <col min="5902" max="5902" width="1.47265625" style="218" customWidth="1"/>
    <col min="5903" max="5903" width="24.3671875" style="218" customWidth="1"/>
    <col min="5904" max="6146" width="8.68359375" style="218"/>
    <col min="6147" max="6147" width="13.7890625" style="218" customWidth="1"/>
    <col min="6148" max="6148" width="0.41796875" style="218" customWidth="1"/>
    <col min="6149" max="6149" width="26.26171875" style="218" customWidth="1"/>
    <col min="6150" max="6150" width="1.47265625" style="218" customWidth="1"/>
    <col min="6151" max="6151" width="13.5234375" style="218" customWidth="1"/>
    <col min="6152" max="6152" width="1.47265625" style="218" customWidth="1"/>
    <col min="6153" max="6153" width="24.1015625" style="218" customWidth="1"/>
    <col min="6154" max="6154" width="1.47265625" style="218" customWidth="1"/>
    <col min="6155" max="6157" width="13.5234375" style="218" customWidth="1"/>
    <col min="6158" max="6158" width="1.47265625" style="218" customWidth="1"/>
    <col min="6159" max="6159" width="24.3671875" style="218" customWidth="1"/>
    <col min="6160" max="6402" width="8.68359375" style="218"/>
    <col min="6403" max="6403" width="13.7890625" style="218" customWidth="1"/>
    <col min="6404" max="6404" width="0.41796875" style="218" customWidth="1"/>
    <col min="6405" max="6405" width="26.26171875" style="218" customWidth="1"/>
    <col min="6406" max="6406" width="1.47265625" style="218" customWidth="1"/>
    <col min="6407" max="6407" width="13.5234375" style="218" customWidth="1"/>
    <col min="6408" max="6408" width="1.47265625" style="218" customWidth="1"/>
    <col min="6409" max="6409" width="24.1015625" style="218" customWidth="1"/>
    <col min="6410" max="6410" width="1.47265625" style="218" customWidth="1"/>
    <col min="6411" max="6413" width="13.5234375" style="218" customWidth="1"/>
    <col min="6414" max="6414" width="1.47265625" style="218" customWidth="1"/>
    <col min="6415" max="6415" width="24.3671875" style="218" customWidth="1"/>
    <col min="6416" max="6658" width="8.68359375" style="218"/>
    <col min="6659" max="6659" width="13.7890625" style="218" customWidth="1"/>
    <col min="6660" max="6660" width="0.41796875" style="218" customWidth="1"/>
    <col min="6661" max="6661" width="26.26171875" style="218" customWidth="1"/>
    <col min="6662" max="6662" width="1.47265625" style="218" customWidth="1"/>
    <col min="6663" max="6663" width="13.5234375" style="218" customWidth="1"/>
    <col min="6664" max="6664" width="1.47265625" style="218" customWidth="1"/>
    <col min="6665" max="6665" width="24.1015625" style="218" customWidth="1"/>
    <col min="6666" max="6666" width="1.47265625" style="218" customWidth="1"/>
    <col min="6667" max="6669" width="13.5234375" style="218" customWidth="1"/>
    <col min="6670" max="6670" width="1.47265625" style="218" customWidth="1"/>
    <col min="6671" max="6671" width="24.3671875" style="218" customWidth="1"/>
    <col min="6672" max="6914" width="8.68359375" style="218"/>
    <col min="6915" max="6915" width="13.7890625" style="218" customWidth="1"/>
    <col min="6916" max="6916" width="0.41796875" style="218" customWidth="1"/>
    <col min="6917" max="6917" width="26.26171875" style="218" customWidth="1"/>
    <col min="6918" max="6918" width="1.47265625" style="218" customWidth="1"/>
    <col min="6919" max="6919" width="13.5234375" style="218" customWidth="1"/>
    <col min="6920" max="6920" width="1.47265625" style="218" customWidth="1"/>
    <col min="6921" max="6921" width="24.1015625" style="218" customWidth="1"/>
    <col min="6922" max="6922" width="1.47265625" style="218" customWidth="1"/>
    <col min="6923" max="6925" width="13.5234375" style="218" customWidth="1"/>
    <col min="6926" max="6926" width="1.47265625" style="218" customWidth="1"/>
    <col min="6927" max="6927" width="24.3671875" style="218" customWidth="1"/>
    <col min="6928" max="7170" width="8.68359375" style="218"/>
    <col min="7171" max="7171" width="13.7890625" style="218" customWidth="1"/>
    <col min="7172" max="7172" width="0.41796875" style="218" customWidth="1"/>
    <col min="7173" max="7173" width="26.26171875" style="218" customWidth="1"/>
    <col min="7174" max="7174" width="1.47265625" style="218" customWidth="1"/>
    <col min="7175" max="7175" width="13.5234375" style="218" customWidth="1"/>
    <col min="7176" max="7176" width="1.47265625" style="218" customWidth="1"/>
    <col min="7177" max="7177" width="24.1015625" style="218" customWidth="1"/>
    <col min="7178" max="7178" width="1.47265625" style="218" customWidth="1"/>
    <col min="7179" max="7181" width="13.5234375" style="218" customWidth="1"/>
    <col min="7182" max="7182" width="1.47265625" style="218" customWidth="1"/>
    <col min="7183" max="7183" width="24.3671875" style="218" customWidth="1"/>
    <col min="7184" max="7426" width="8.68359375" style="218"/>
    <col min="7427" max="7427" width="13.7890625" style="218" customWidth="1"/>
    <col min="7428" max="7428" width="0.41796875" style="218" customWidth="1"/>
    <col min="7429" max="7429" width="26.26171875" style="218" customWidth="1"/>
    <col min="7430" max="7430" width="1.47265625" style="218" customWidth="1"/>
    <col min="7431" max="7431" width="13.5234375" style="218" customWidth="1"/>
    <col min="7432" max="7432" width="1.47265625" style="218" customWidth="1"/>
    <col min="7433" max="7433" width="24.1015625" style="218" customWidth="1"/>
    <col min="7434" max="7434" width="1.47265625" style="218" customWidth="1"/>
    <col min="7435" max="7437" width="13.5234375" style="218" customWidth="1"/>
    <col min="7438" max="7438" width="1.47265625" style="218" customWidth="1"/>
    <col min="7439" max="7439" width="24.3671875" style="218" customWidth="1"/>
    <col min="7440" max="7682" width="8.68359375" style="218"/>
    <col min="7683" max="7683" width="13.7890625" style="218" customWidth="1"/>
    <col min="7684" max="7684" width="0.41796875" style="218" customWidth="1"/>
    <col min="7685" max="7685" width="26.26171875" style="218" customWidth="1"/>
    <col min="7686" max="7686" width="1.47265625" style="218" customWidth="1"/>
    <col min="7687" max="7687" width="13.5234375" style="218" customWidth="1"/>
    <col min="7688" max="7688" width="1.47265625" style="218" customWidth="1"/>
    <col min="7689" max="7689" width="24.1015625" style="218" customWidth="1"/>
    <col min="7690" max="7690" width="1.47265625" style="218" customWidth="1"/>
    <col min="7691" max="7693" width="13.5234375" style="218" customWidth="1"/>
    <col min="7694" max="7694" width="1.47265625" style="218" customWidth="1"/>
    <col min="7695" max="7695" width="24.3671875" style="218" customWidth="1"/>
    <col min="7696" max="7938" width="8.68359375" style="218"/>
    <col min="7939" max="7939" width="13.7890625" style="218" customWidth="1"/>
    <col min="7940" max="7940" width="0.41796875" style="218" customWidth="1"/>
    <col min="7941" max="7941" width="26.26171875" style="218" customWidth="1"/>
    <col min="7942" max="7942" width="1.47265625" style="218" customWidth="1"/>
    <col min="7943" max="7943" width="13.5234375" style="218" customWidth="1"/>
    <col min="7944" max="7944" width="1.47265625" style="218" customWidth="1"/>
    <col min="7945" max="7945" width="24.1015625" style="218" customWidth="1"/>
    <col min="7946" max="7946" width="1.47265625" style="218" customWidth="1"/>
    <col min="7947" max="7949" width="13.5234375" style="218" customWidth="1"/>
    <col min="7950" max="7950" width="1.47265625" style="218" customWidth="1"/>
    <col min="7951" max="7951" width="24.3671875" style="218" customWidth="1"/>
    <col min="7952" max="8194" width="8.68359375" style="218"/>
    <col min="8195" max="8195" width="13.7890625" style="218" customWidth="1"/>
    <col min="8196" max="8196" width="0.41796875" style="218" customWidth="1"/>
    <col min="8197" max="8197" width="26.26171875" style="218" customWidth="1"/>
    <col min="8198" max="8198" width="1.47265625" style="218" customWidth="1"/>
    <col min="8199" max="8199" width="13.5234375" style="218" customWidth="1"/>
    <col min="8200" max="8200" width="1.47265625" style="218" customWidth="1"/>
    <col min="8201" max="8201" width="24.1015625" style="218" customWidth="1"/>
    <col min="8202" max="8202" width="1.47265625" style="218" customWidth="1"/>
    <col min="8203" max="8205" width="13.5234375" style="218" customWidth="1"/>
    <col min="8206" max="8206" width="1.47265625" style="218" customWidth="1"/>
    <col min="8207" max="8207" width="24.3671875" style="218" customWidth="1"/>
    <col min="8208" max="8450" width="8.68359375" style="218"/>
    <col min="8451" max="8451" width="13.7890625" style="218" customWidth="1"/>
    <col min="8452" max="8452" width="0.41796875" style="218" customWidth="1"/>
    <col min="8453" max="8453" width="26.26171875" style="218" customWidth="1"/>
    <col min="8454" max="8454" width="1.47265625" style="218" customWidth="1"/>
    <col min="8455" max="8455" width="13.5234375" style="218" customWidth="1"/>
    <col min="8456" max="8456" width="1.47265625" style="218" customWidth="1"/>
    <col min="8457" max="8457" width="24.1015625" style="218" customWidth="1"/>
    <col min="8458" max="8458" width="1.47265625" style="218" customWidth="1"/>
    <col min="8459" max="8461" width="13.5234375" style="218" customWidth="1"/>
    <col min="8462" max="8462" width="1.47265625" style="218" customWidth="1"/>
    <col min="8463" max="8463" width="24.3671875" style="218" customWidth="1"/>
    <col min="8464" max="8706" width="8.68359375" style="218"/>
    <col min="8707" max="8707" width="13.7890625" style="218" customWidth="1"/>
    <col min="8708" max="8708" width="0.41796875" style="218" customWidth="1"/>
    <col min="8709" max="8709" width="26.26171875" style="218" customWidth="1"/>
    <col min="8710" max="8710" width="1.47265625" style="218" customWidth="1"/>
    <col min="8711" max="8711" width="13.5234375" style="218" customWidth="1"/>
    <col min="8712" max="8712" width="1.47265625" style="218" customWidth="1"/>
    <col min="8713" max="8713" width="24.1015625" style="218" customWidth="1"/>
    <col min="8714" max="8714" width="1.47265625" style="218" customWidth="1"/>
    <col min="8715" max="8717" width="13.5234375" style="218" customWidth="1"/>
    <col min="8718" max="8718" width="1.47265625" style="218" customWidth="1"/>
    <col min="8719" max="8719" width="24.3671875" style="218" customWidth="1"/>
    <col min="8720" max="8962" width="8.68359375" style="218"/>
    <col min="8963" max="8963" width="13.7890625" style="218" customWidth="1"/>
    <col min="8964" max="8964" width="0.41796875" style="218" customWidth="1"/>
    <col min="8965" max="8965" width="26.26171875" style="218" customWidth="1"/>
    <col min="8966" max="8966" width="1.47265625" style="218" customWidth="1"/>
    <col min="8967" max="8967" width="13.5234375" style="218" customWidth="1"/>
    <col min="8968" max="8968" width="1.47265625" style="218" customWidth="1"/>
    <col min="8969" max="8969" width="24.1015625" style="218" customWidth="1"/>
    <col min="8970" max="8970" width="1.47265625" style="218" customWidth="1"/>
    <col min="8971" max="8973" width="13.5234375" style="218" customWidth="1"/>
    <col min="8974" max="8974" width="1.47265625" style="218" customWidth="1"/>
    <col min="8975" max="8975" width="24.3671875" style="218" customWidth="1"/>
    <col min="8976" max="9218" width="8.68359375" style="218"/>
    <col min="9219" max="9219" width="13.7890625" style="218" customWidth="1"/>
    <col min="9220" max="9220" width="0.41796875" style="218" customWidth="1"/>
    <col min="9221" max="9221" width="26.26171875" style="218" customWidth="1"/>
    <col min="9222" max="9222" width="1.47265625" style="218" customWidth="1"/>
    <col min="9223" max="9223" width="13.5234375" style="218" customWidth="1"/>
    <col min="9224" max="9224" width="1.47265625" style="218" customWidth="1"/>
    <col min="9225" max="9225" width="24.1015625" style="218" customWidth="1"/>
    <col min="9226" max="9226" width="1.47265625" style="218" customWidth="1"/>
    <col min="9227" max="9229" width="13.5234375" style="218" customWidth="1"/>
    <col min="9230" max="9230" width="1.47265625" style="218" customWidth="1"/>
    <col min="9231" max="9231" width="24.3671875" style="218" customWidth="1"/>
    <col min="9232" max="9474" width="8.68359375" style="218"/>
    <col min="9475" max="9475" width="13.7890625" style="218" customWidth="1"/>
    <col min="9476" max="9476" width="0.41796875" style="218" customWidth="1"/>
    <col min="9477" max="9477" width="26.26171875" style="218" customWidth="1"/>
    <col min="9478" max="9478" width="1.47265625" style="218" customWidth="1"/>
    <col min="9479" max="9479" width="13.5234375" style="218" customWidth="1"/>
    <col min="9480" max="9480" width="1.47265625" style="218" customWidth="1"/>
    <col min="9481" max="9481" width="24.1015625" style="218" customWidth="1"/>
    <col min="9482" max="9482" width="1.47265625" style="218" customWidth="1"/>
    <col min="9483" max="9485" width="13.5234375" style="218" customWidth="1"/>
    <col min="9486" max="9486" width="1.47265625" style="218" customWidth="1"/>
    <col min="9487" max="9487" width="24.3671875" style="218" customWidth="1"/>
    <col min="9488" max="9730" width="8.68359375" style="218"/>
    <col min="9731" max="9731" width="13.7890625" style="218" customWidth="1"/>
    <col min="9732" max="9732" width="0.41796875" style="218" customWidth="1"/>
    <col min="9733" max="9733" width="26.26171875" style="218" customWidth="1"/>
    <col min="9734" max="9734" width="1.47265625" style="218" customWidth="1"/>
    <col min="9735" max="9735" width="13.5234375" style="218" customWidth="1"/>
    <col min="9736" max="9736" width="1.47265625" style="218" customWidth="1"/>
    <col min="9737" max="9737" width="24.1015625" style="218" customWidth="1"/>
    <col min="9738" max="9738" width="1.47265625" style="218" customWidth="1"/>
    <col min="9739" max="9741" width="13.5234375" style="218" customWidth="1"/>
    <col min="9742" max="9742" width="1.47265625" style="218" customWidth="1"/>
    <col min="9743" max="9743" width="24.3671875" style="218" customWidth="1"/>
    <col min="9744" max="9986" width="8.68359375" style="218"/>
    <col min="9987" max="9987" width="13.7890625" style="218" customWidth="1"/>
    <col min="9988" max="9988" width="0.41796875" style="218" customWidth="1"/>
    <col min="9989" max="9989" width="26.26171875" style="218" customWidth="1"/>
    <col min="9990" max="9990" width="1.47265625" style="218" customWidth="1"/>
    <col min="9991" max="9991" width="13.5234375" style="218" customWidth="1"/>
    <col min="9992" max="9992" width="1.47265625" style="218" customWidth="1"/>
    <col min="9993" max="9993" width="24.1015625" style="218" customWidth="1"/>
    <col min="9994" max="9994" width="1.47265625" style="218" customWidth="1"/>
    <col min="9995" max="9997" width="13.5234375" style="218" customWidth="1"/>
    <col min="9998" max="9998" width="1.47265625" style="218" customWidth="1"/>
    <col min="9999" max="9999" width="24.3671875" style="218" customWidth="1"/>
    <col min="10000" max="10242" width="8.68359375" style="218"/>
    <col min="10243" max="10243" width="13.7890625" style="218" customWidth="1"/>
    <col min="10244" max="10244" width="0.41796875" style="218" customWidth="1"/>
    <col min="10245" max="10245" width="26.26171875" style="218" customWidth="1"/>
    <col min="10246" max="10246" width="1.47265625" style="218" customWidth="1"/>
    <col min="10247" max="10247" width="13.5234375" style="218" customWidth="1"/>
    <col min="10248" max="10248" width="1.47265625" style="218" customWidth="1"/>
    <col min="10249" max="10249" width="24.1015625" style="218" customWidth="1"/>
    <col min="10250" max="10250" width="1.47265625" style="218" customWidth="1"/>
    <col min="10251" max="10253" width="13.5234375" style="218" customWidth="1"/>
    <col min="10254" max="10254" width="1.47265625" style="218" customWidth="1"/>
    <col min="10255" max="10255" width="24.3671875" style="218" customWidth="1"/>
    <col min="10256" max="10498" width="8.68359375" style="218"/>
    <col min="10499" max="10499" width="13.7890625" style="218" customWidth="1"/>
    <col min="10500" max="10500" width="0.41796875" style="218" customWidth="1"/>
    <col min="10501" max="10501" width="26.26171875" style="218" customWidth="1"/>
    <col min="10502" max="10502" width="1.47265625" style="218" customWidth="1"/>
    <col min="10503" max="10503" width="13.5234375" style="218" customWidth="1"/>
    <col min="10504" max="10504" width="1.47265625" style="218" customWidth="1"/>
    <col min="10505" max="10505" width="24.1015625" style="218" customWidth="1"/>
    <col min="10506" max="10506" width="1.47265625" style="218" customWidth="1"/>
    <col min="10507" max="10509" width="13.5234375" style="218" customWidth="1"/>
    <col min="10510" max="10510" width="1.47265625" style="218" customWidth="1"/>
    <col min="10511" max="10511" width="24.3671875" style="218" customWidth="1"/>
    <col min="10512" max="10754" width="8.68359375" style="218"/>
    <col min="10755" max="10755" width="13.7890625" style="218" customWidth="1"/>
    <col min="10756" max="10756" width="0.41796875" style="218" customWidth="1"/>
    <col min="10757" max="10757" width="26.26171875" style="218" customWidth="1"/>
    <col min="10758" max="10758" width="1.47265625" style="218" customWidth="1"/>
    <col min="10759" max="10759" width="13.5234375" style="218" customWidth="1"/>
    <col min="10760" max="10760" width="1.47265625" style="218" customWidth="1"/>
    <col min="10761" max="10761" width="24.1015625" style="218" customWidth="1"/>
    <col min="10762" max="10762" width="1.47265625" style="218" customWidth="1"/>
    <col min="10763" max="10765" width="13.5234375" style="218" customWidth="1"/>
    <col min="10766" max="10766" width="1.47265625" style="218" customWidth="1"/>
    <col min="10767" max="10767" width="24.3671875" style="218" customWidth="1"/>
    <col min="10768" max="11010" width="8.68359375" style="218"/>
    <col min="11011" max="11011" width="13.7890625" style="218" customWidth="1"/>
    <col min="11012" max="11012" width="0.41796875" style="218" customWidth="1"/>
    <col min="11013" max="11013" width="26.26171875" style="218" customWidth="1"/>
    <col min="11014" max="11014" width="1.47265625" style="218" customWidth="1"/>
    <col min="11015" max="11015" width="13.5234375" style="218" customWidth="1"/>
    <col min="11016" max="11016" width="1.47265625" style="218" customWidth="1"/>
    <col min="11017" max="11017" width="24.1015625" style="218" customWidth="1"/>
    <col min="11018" max="11018" width="1.47265625" style="218" customWidth="1"/>
    <col min="11019" max="11021" width="13.5234375" style="218" customWidth="1"/>
    <col min="11022" max="11022" width="1.47265625" style="218" customWidth="1"/>
    <col min="11023" max="11023" width="24.3671875" style="218" customWidth="1"/>
    <col min="11024" max="11266" width="8.68359375" style="218"/>
    <col min="11267" max="11267" width="13.7890625" style="218" customWidth="1"/>
    <col min="11268" max="11268" width="0.41796875" style="218" customWidth="1"/>
    <col min="11269" max="11269" width="26.26171875" style="218" customWidth="1"/>
    <col min="11270" max="11270" width="1.47265625" style="218" customWidth="1"/>
    <col min="11271" max="11271" width="13.5234375" style="218" customWidth="1"/>
    <col min="11272" max="11272" width="1.47265625" style="218" customWidth="1"/>
    <col min="11273" max="11273" width="24.1015625" style="218" customWidth="1"/>
    <col min="11274" max="11274" width="1.47265625" style="218" customWidth="1"/>
    <col min="11275" max="11277" width="13.5234375" style="218" customWidth="1"/>
    <col min="11278" max="11278" width="1.47265625" style="218" customWidth="1"/>
    <col min="11279" max="11279" width="24.3671875" style="218" customWidth="1"/>
    <col min="11280" max="11522" width="8.68359375" style="218"/>
    <col min="11523" max="11523" width="13.7890625" style="218" customWidth="1"/>
    <col min="11524" max="11524" width="0.41796875" style="218" customWidth="1"/>
    <col min="11525" max="11525" width="26.26171875" style="218" customWidth="1"/>
    <col min="11526" max="11526" width="1.47265625" style="218" customWidth="1"/>
    <col min="11527" max="11527" width="13.5234375" style="218" customWidth="1"/>
    <col min="11528" max="11528" width="1.47265625" style="218" customWidth="1"/>
    <col min="11529" max="11529" width="24.1015625" style="218" customWidth="1"/>
    <col min="11530" max="11530" width="1.47265625" style="218" customWidth="1"/>
    <col min="11531" max="11533" width="13.5234375" style="218" customWidth="1"/>
    <col min="11534" max="11534" width="1.47265625" style="218" customWidth="1"/>
    <col min="11535" max="11535" width="24.3671875" style="218" customWidth="1"/>
    <col min="11536" max="11778" width="8.68359375" style="218"/>
    <col min="11779" max="11779" width="13.7890625" style="218" customWidth="1"/>
    <col min="11780" max="11780" width="0.41796875" style="218" customWidth="1"/>
    <col min="11781" max="11781" width="26.26171875" style="218" customWidth="1"/>
    <col min="11782" max="11782" width="1.47265625" style="218" customWidth="1"/>
    <col min="11783" max="11783" width="13.5234375" style="218" customWidth="1"/>
    <col min="11784" max="11784" width="1.47265625" style="218" customWidth="1"/>
    <col min="11785" max="11785" width="24.1015625" style="218" customWidth="1"/>
    <col min="11786" max="11786" width="1.47265625" style="218" customWidth="1"/>
    <col min="11787" max="11789" width="13.5234375" style="218" customWidth="1"/>
    <col min="11790" max="11790" width="1.47265625" style="218" customWidth="1"/>
    <col min="11791" max="11791" width="24.3671875" style="218" customWidth="1"/>
    <col min="11792" max="12034" width="8.68359375" style="218"/>
    <col min="12035" max="12035" width="13.7890625" style="218" customWidth="1"/>
    <col min="12036" max="12036" width="0.41796875" style="218" customWidth="1"/>
    <col min="12037" max="12037" width="26.26171875" style="218" customWidth="1"/>
    <col min="12038" max="12038" width="1.47265625" style="218" customWidth="1"/>
    <col min="12039" max="12039" width="13.5234375" style="218" customWidth="1"/>
    <col min="12040" max="12040" width="1.47265625" style="218" customWidth="1"/>
    <col min="12041" max="12041" width="24.1015625" style="218" customWidth="1"/>
    <col min="12042" max="12042" width="1.47265625" style="218" customWidth="1"/>
    <col min="12043" max="12045" width="13.5234375" style="218" customWidth="1"/>
    <col min="12046" max="12046" width="1.47265625" style="218" customWidth="1"/>
    <col min="12047" max="12047" width="24.3671875" style="218" customWidth="1"/>
    <col min="12048" max="12290" width="8.68359375" style="218"/>
    <col min="12291" max="12291" width="13.7890625" style="218" customWidth="1"/>
    <col min="12292" max="12292" width="0.41796875" style="218" customWidth="1"/>
    <col min="12293" max="12293" width="26.26171875" style="218" customWidth="1"/>
    <col min="12294" max="12294" width="1.47265625" style="218" customWidth="1"/>
    <col min="12295" max="12295" width="13.5234375" style="218" customWidth="1"/>
    <col min="12296" max="12296" width="1.47265625" style="218" customWidth="1"/>
    <col min="12297" max="12297" width="24.1015625" style="218" customWidth="1"/>
    <col min="12298" max="12298" width="1.47265625" style="218" customWidth="1"/>
    <col min="12299" max="12301" width="13.5234375" style="218" customWidth="1"/>
    <col min="12302" max="12302" width="1.47265625" style="218" customWidth="1"/>
    <col min="12303" max="12303" width="24.3671875" style="218" customWidth="1"/>
    <col min="12304" max="12546" width="8.68359375" style="218"/>
    <col min="12547" max="12547" width="13.7890625" style="218" customWidth="1"/>
    <col min="12548" max="12548" width="0.41796875" style="218" customWidth="1"/>
    <col min="12549" max="12549" width="26.26171875" style="218" customWidth="1"/>
    <col min="12550" max="12550" width="1.47265625" style="218" customWidth="1"/>
    <col min="12551" max="12551" width="13.5234375" style="218" customWidth="1"/>
    <col min="12552" max="12552" width="1.47265625" style="218" customWidth="1"/>
    <col min="12553" max="12553" width="24.1015625" style="218" customWidth="1"/>
    <col min="12554" max="12554" width="1.47265625" style="218" customWidth="1"/>
    <col min="12555" max="12557" width="13.5234375" style="218" customWidth="1"/>
    <col min="12558" max="12558" width="1.47265625" style="218" customWidth="1"/>
    <col min="12559" max="12559" width="24.3671875" style="218" customWidth="1"/>
    <col min="12560" max="12802" width="8.68359375" style="218"/>
    <col min="12803" max="12803" width="13.7890625" style="218" customWidth="1"/>
    <col min="12804" max="12804" width="0.41796875" style="218" customWidth="1"/>
    <col min="12805" max="12805" width="26.26171875" style="218" customWidth="1"/>
    <col min="12806" max="12806" width="1.47265625" style="218" customWidth="1"/>
    <col min="12807" max="12807" width="13.5234375" style="218" customWidth="1"/>
    <col min="12808" max="12808" width="1.47265625" style="218" customWidth="1"/>
    <col min="12809" max="12809" width="24.1015625" style="218" customWidth="1"/>
    <col min="12810" max="12810" width="1.47265625" style="218" customWidth="1"/>
    <col min="12811" max="12813" width="13.5234375" style="218" customWidth="1"/>
    <col min="12814" max="12814" width="1.47265625" style="218" customWidth="1"/>
    <col min="12815" max="12815" width="24.3671875" style="218" customWidth="1"/>
    <col min="12816" max="13058" width="8.68359375" style="218"/>
    <col min="13059" max="13059" width="13.7890625" style="218" customWidth="1"/>
    <col min="13060" max="13060" width="0.41796875" style="218" customWidth="1"/>
    <col min="13061" max="13061" width="26.26171875" style="218" customWidth="1"/>
    <col min="13062" max="13062" width="1.47265625" style="218" customWidth="1"/>
    <col min="13063" max="13063" width="13.5234375" style="218" customWidth="1"/>
    <col min="13064" max="13064" width="1.47265625" style="218" customWidth="1"/>
    <col min="13065" max="13065" width="24.1015625" style="218" customWidth="1"/>
    <col min="13066" max="13066" width="1.47265625" style="218" customWidth="1"/>
    <col min="13067" max="13069" width="13.5234375" style="218" customWidth="1"/>
    <col min="13070" max="13070" width="1.47265625" style="218" customWidth="1"/>
    <col min="13071" max="13071" width="24.3671875" style="218" customWidth="1"/>
    <col min="13072" max="13314" width="8.68359375" style="218"/>
    <col min="13315" max="13315" width="13.7890625" style="218" customWidth="1"/>
    <col min="13316" max="13316" width="0.41796875" style="218" customWidth="1"/>
    <col min="13317" max="13317" width="26.26171875" style="218" customWidth="1"/>
    <col min="13318" max="13318" width="1.47265625" style="218" customWidth="1"/>
    <col min="13319" max="13319" width="13.5234375" style="218" customWidth="1"/>
    <col min="13320" max="13320" width="1.47265625" style="218" customWidth="1"/>
    <col min="13321" max="13321" width="24.1015625" style="218" customWidth="1"/>
    <col min="13322" max="13322" width="1.47265625" style="218" customWidth="1"/>
    <col min="13323" max="13325" width="13.5234375" style="218" customWidth="1"/>
    <col min="13326" max="13326" width="1.47265625" style="218" customWidth="1"/>
    <col min="13327" max="13327" width="24.3671875" style="218" customWidth="1"/>
    <col min="13328" max="13570" width="8.68359375" style="218"/>
    <col min="13571" max="13571" width="13.7890625" style="218" customWidth="1"/>
    <col min="13572" max="13572" width="0.41796875" style="218" customWidth="1"/>
    <col min="13573" max="13573" width="26.26171875" style="218" customWidth="1"/>
    <col min="13574" max="13574" width="1.47265625" style="218" customWidth="1"/>
    <col min="13575" max="13575" width="13.5234375" style="218" customWidth="1"/>
    <col min="13576" max="13576" width="1.47265625" style="218" customWidth="1"/>
    <col min="13577" max="13577" width="24.1015625" style="218" customWidth="1"/>
    <col min="13578" max="13578" width="1.47265625" style="218" customWidth="1"/>
    <col min="13579" max="13581" width="13.5234375" style="218" customWidth="1"/>
    <col min="13582" max="13582" width="1.47265625" style="218" customWidth="1"/>
    <col min="13583" max="13583" width="24.3671875" style="218" customWidth="1"/>
    <col min="13584" max="13826" width="8.68359375" style="218"/>
    <col min="13827" max="13827" width="13.7890625" style="218" customWidth="1"/>
    <col min="13828" max="13828" width="0.41796875" style="218" customWidth="1"/>
    <col min="13829" max="13829" width="26.26171875" style="218" customWidth="1"/>
    <col min="13830" max="13830" width="1.47265625" style="218" customWidth="1"/>
    <col min="13831" max="13831" width="13.5234375" style="218" customWidth="1"/>
    <col min="13832" max="13832" width="1.47265625" style="218" customWidth="1"/>
    <col min="13833" max="13833" width="24.1015625" style="218" customWidth="1"/>
    <col min="13834" max="13834" width="1.47265625" style="218" customWidth="1"/>
    <col min="13835" max="13837" width="13.5234375" style="218" customWidth="1"/>
    <col min="13838" max="13838" width="1.47265625" style="218" customWidth="1"/>
    <col min="13839" max="13839" width="24.3671875" style="218" customWidth="1"/>
    <col min="13840" max="14082" width="8.68359375" style="218"/>
    <col min="14083" max="14083" width="13.7890625" style="218" customWidth="1"/>
    <col min="14084" max="14084" width="0.41796875" style="218" customWidth="1"/>
    <col min="14085" max="14085" width="26.26171875" style="218" customWidth="1"/>
    <col min="14086" max="14086" width="1.47265625" style="218" customWidth="1"/>
    <col min="14087" max="14087" width="13.5234375" style="218" customWidth="1"/>
    <col min="14088" max="14088" width="1.47265625" style="218" customWidth="1"/>
    <col min="14089" max="14089" width="24.1015625" style="218" customWidth="1"/>
    <col min="14090" max="14090" width="1.47265625" style="218" customWidth="1"/>
    <col min="14091" max="14093" width="13.5234375" style="218" customWidth="1"/>
    <col min="14094" max="14094" width="1.47265625" style="218" customWidth="1"/>
    <col min="14095" max="14095" width="24.3671875" style="218" customWidth="1"/>
    <col min="14096" max="14338" width="8.68359375" style="218"/>
    <col min="14339" max="14339" width="13.7890625" style="218" customWidth="1"/>
    <col min="14340" max="14340" width="0.41796875" style="218" customWidth="1"/>
    <col min="14341" max="14341" width="26.26171875" style="218" customWidth="1"/>
    <col min="14342" max="14342" width="1.47265625" style="218" customWidth="1"/>
    <col min="14343" max="14343" width="13.5234375" style="218" customWidth="1"/>
    <col min="14344" max="14344" width="1.47265625" style="218" customWidth="1"/>
    <col min="14345" max="14345" width="24.1015625" style="218" customWidth="1"/>
    <col min="14346" max="14346" width="1.47265625" style="218" customWidth="1"/>
    <col min="14347" max="14349" width="13.5234375" style="218" customWidth="1"/>
    <col min="14350" max="14350" width="1.47265625" style="218" customWidth="1"/>
    <col min="14351" max="14351" width="24.3671875" style="218" customWidth="1"/>
    <col min="14352" max="14594" width="8.68359375" style="218"/>
    <col min="14595" max="14595" width="13.7890625" style="218" customWidth="1"/>
    <col min="14596" max="14596" width="0.41796875" style="218" customWidth="1"/>
    <col min="14597" max="14597" width="26.26171875" style="218" customWidth="1"/>
    <col min="14598" max="14598" width="1.47265625" style="218" customWidth="1"/>
    <col min="14599" max="14599" width="13.5234375" style="218" customWidth="1"/>
    <col min="14600" max="14600" width="1.47265625" style="218" customWidth="1"/>
    <col min="14601" max="14601" width="24.1015625" style="218" customWidth="1"/>
    <col min="14602" max="14602" width="1.47265625" style="218" customWidth="1"/>
    <col min="14603" max="14605" width="13.5234375" style="218" customWidth="1"/>
    <col min="14606" max="14606" width="1.47265625" style="218" customWidth="1"/>
    <col min="14607" max="14607" width="24.3671875" style="218" customWidth="1"/>
    <col min="14608" max="14850" width="8.68359375" style="218"/>
    <col min="14851" max="14851" width="13.7890625" style="218" customWidth="1"/>
    <col min="14852" max="14852" width="0.41796875" style="218" customWidth="1"/>
    <col min="14853" max="14853" width="26.26171875" style="218" customWidth="1"/>
    <col min="14854" max="14854" width="1.47265625" style="218" customWidth="1"/>
    <col min="14855" max="14855" width="13.5234375" style="218" customWidth="1"/>
    <col min="14856" max="14856" width="1.47265625" style="218" customWidth="1"/>
    <col min="14857" max="14857" width="24.1015625" style="218" customWidth="1"/>
    <col min="14858" max="14858" width="1.47265625" style="218" customWidth="1"/>
    <col min="14859" max="14861" width="13.5234375" style="218" customWidth="1"/>
    <col min="14862" max="14862" width="1.47265625" style="218" customWidth="1"/>
    <col min="14863" max="14863" width="24.3671875" style="218" customWidth="1"/>
    <col min="14864" max="15106" width="8.68359375" style="218"/>
    <col min="15107" max="15107" width="13.7890625" style="218" customWidth="1"/>
    <col min="15108" max="15108" width="0.41796875" style="218" customWidth="1"/>
    <col min="15109" max="15109" width="26.26171875" style="218" customWidth="1"/>
    <col min="15110" max="15110" width="1.47265625" style="218" customWidth="1"/>
    <col min="15111" max="15111" width="13.5234375" style="218" customWidth="1"/>
    <col min="15112" max="15112" width="1.47265625" style="218" customWidth="1"/>
    <col min="15113" max="15113" width="24.1015625" style="218" customWidth="1"/>
    <col min="15114" max="15114" width="1.47265625" style="218" customWidth="1"/>
    <col min="15115" max="15117" width="13.5234375" style="218" customWidth="1"/>
    <col min="15118" max="15118" width="1.47265625" style="218" customWidth="1"/>
    <col min="15119" max="15119" width="24.3671875" style="218" customWidth="1"/>
    <col min="15120" max="15362" width="8.68359375" style="218"/>
    <col min="15363" max="15363" width="13.7890625" style="218" customWidth="1"/>
    <col min="15364" max="15364" width="0.41796875" style="218" customWidth="1"/>
    <col min="15365" max="15365" width="26.26171875" style="218" customWidth="1"/>
    <col min="15366" max="15366" width="1.47265625" style="218" customWidth="1"/>
    <col min="15367" max="15367" width="13.5234375" style="218" customWidth="1"/>
    <col min="15368" max="15368" width="1.47265625" style="218" customWidth="1"/>
    <col min="15369" max="15369" width="24.1015625" style="218" customWidth="1"/>
    <col min="15370" max="15370" width="1.47265625" style="218" customWidth="1"/>
    <col min="15371" max="15373" width="13.5234375" style="218" customWidth="1"/>
    <col min="15374" max="15374" width="1.47265625" style="218" customWidth="1"/>
    <col min="15375" max="15375" width="24.3671875" style="218" customWidth="1"/>
    <col min="15376" max="15618" width="8.68359375" style="218"/>
    <col min="15619" max="15619" width="13.7890625" style="218" customWidth="1"/>
    <col min="15620" max="15620" width="0.41796875" style="218" customWidth="1"/>
    <col min="15621" max="15621" width="26.26171875" style="218" customWidth="1"/>
    <col min="15622" max="15622" width="1.47265625" style="218" customWidth="1"/>
    <col min="15623" max="15623" width="13.5234375" style="218" customWidth="1"/>
    <col min="15624" max="15624" width="1.47265625" style="218" customWidth="1"/>
    <col min="15625" max="15625" width="24.1015625" style="218" customWidth="1"/>
    <col min="15626" max="15626" width="1.47265625" style="218" customWidth="1"/>
    <col min="15627" max="15629" width="13.5234375" style="218" customWidth="1"/>
    <col min="15630" max="15630" width="1.47265625" style="218" customWidth="1"/>
    <col min="15631" max="15631" width="24.3671875" style="218" customWidth="1"/>
    <col min="15632" max="15874" width="8.68359375" style="218"/>
    <col min="15875" max="15875" width="13.7890625" style="218" customWidth="1"/>
    <col min="15876" max="15876" width="0.41796875" style="218" customWidth="1"/>
    <col min="15877" max="15877" width="26.26171875" style="218" customWidth="1"/>
    <col min="15878" max="15878" width="1.47265625" style="218" customWidth="1"/>
    <col min="15879" max="15879" width="13.5234375" style="218" customWidth="1"/>
    <col min="15880" max="15880" width="1.47265625" style="218" customWidth="1"/>
    <col min="15881" max="15881" width="24.1015625" style="218" customWidth="1"/>
    <col min="15882" max="15882" width="1.47265625" style="218" customWidth="1"/>
    <col min="15883" max="15885" width="13.5234375" style="218" customWidth="1"/>
    <col min="15886" max="15886" width="1.47265625" style="218" customWidth="1"/>
    <col min="15887" max="15887" width="24.3671875" style="218" customWidth="1"/>
    <col min="15888" max="16130" width="8.68359375" style="218"/>
    <col min="16131" max="16131" width="13.7890625" style="218" customWidth="1"/>
    <col min="16132" max="16132" width="0.41796875" style="218" customWidth="1"/>
    <col min="16133" max="16133" width="26.26171875" style="218" customWidth="1"/>
    <col min="16134" max="16134" width="1.47265625" style="218" customWidth="1"/>
    <col min="16135" max="16135" width="13.5234375" style="218" customWidth="1"/>
    <col min="16136" max="16136" width="1.47265625" style="218" customWidth="1"/>
    <col min="16137" max="16137" width="24.1015625" style="218" customWidth="1"/>
    <col min="16138" max="16138" width="1.47265625" style="218" customWidth="1"/>
    <col min="16139" max="16141" width="13.5234375" style="218" customWidth="1"/>
    <col min="16142" max="16142" width="1.47265625" style="218" customWidth="1"/>
    <col min="16143" max="16143" width="24.3671875" style="218" customWidth="1"/>
    <col min="16144" max="16384" width="8.68359375" style="218"/>
  </cols>
  <sheetData>
    <row r="1" spans="1:15" s="217" customFormat="1" ht="20.7" thickBot="1" x14ac:dyDescent="0.8">
      <c r="A1" s="215" t="s">
        <v>283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</row>
    <row r="2" spans="1:15" ht="14.25" customHeight="1" x14ac:dyDescent="0.5"/>
    <row r="3" spans="1:15" ht="14.25" customHeight="1" x14ac:dyDescent="0.5"/>
    <row r="4" spans="1:15" ht="22.5" customHeight="1" x14ac:dyDescent="0.5">
      <c r="G4" s="219" t="str">
        <f>"DEBT "&amp;TEXT(G8,"#%")&amp;""</f>
        <v>DEBT 45%</v>
      </c>
      <c r="H4" s="220"/>
      <c r="I4" s="219"/>
      <c r="J4" s="220"/>
      <c r="L4" s="219" t="str">
        <f>"DEBT "&amp;TEXT(L8,"#%")&amp;""</f>
        <v>DEBT 30%</v>
      </c>
      <c r="M4" s="220"/>
      <c r="N4" s="219"/>
      <c r="O4" s="220"/>
    </row>
    <row r="5" spans="1:15" ht="32.4" customHeight="1" x14ac:dyDescent="0.6">
      <c r="G5" s="349" t="s">
        <v>349</v>
      </c>
      <c r="H5" s="221"/>
      <c r="I5" s="349" t="s">
        <v>450</v>
      </c>
      <c r="J5" s="255" t="s">
        <v>263</v>
      </c>
      <c r="L5" s="349" t="s">
        <v>349</v>
      </c>
      <c r="M5" s="221"/>
      <c r="N5" s="349" t="s">
        <v>450</v>
      </c>
      <c r="O5" s="255" t="s">
        <v>263</v>
      </c>
    </row>
    <row r="6" spans="1:15" ht="9" customHeight="1" x14ac:dyDescent="0.5"/>
    <row r="7" spans="1:15" ht="18" customHeight="1" x14ac:dyDescent="0.7">
      <c r="A7" s="786" t="s">
        <v>264</v>
      </c>
      <c r="C7" s="222" t="s">
        <v>265</v>
      </c>
      <c r="D7" s="223"/>
      <c r="E7" s="223"/>
      <c r="F7" s="223"/>
      <c r="G7" s="224">
        <f>G8/G9</f>
        <v>0.81818181818181812</v>
      </c>
      <c r="H7" s="225"/>
      <c r="I7" s="224">
        <f>I8/I9</f>
        <v>0.81818181818181812</v>
      </c>
      <c r="J7" s="226"/>
      <c r="K7" s="225"/>
      <c r="L7" s="224">
        <f>L8/L9</f>
        <v>0.4285714285714286</v>
      </c>
      <c r="M7" s="227"/>
      <c r="N7" s="224">
        <f>N8/N9</f>
        <v>0.4285714285714286</v>
      </c>
      <c r="O7" s="226"/>
    </row>
    <row r="8" spans="1:15" ht="18" customHeight="1" x14ac:dyDescent="0.7">
      <c r="A8" s="787"/>
      <c r="C8" s="222" t="s">
        <v>234</v>
      </c>
      <c r="D8" s="223"/>
      <c r="E8" s="223"/>
      <c r="F8" s="223"/>
      <c r="G8" s="228">
        <v>0.45</v>
      </c>
      <c r="H8" s="225"/>
      <c r="I8" s="224">
        <f>G8</f>
        <v>0.45</v>
      </c>
      <c r="J8" s="226" t="s">
        <v>361</v>
      </c>
      <c r="K8" s="225"/>
      <c r="L8" s="228">
        <v>0.3</v>
      </c>
      <c r="M8" s="227"/>
      <c r="N8" s="224">
        <f>L8</f>
        <v>0.3</v>
      </c>
      <c r="O8" s="226" t="s">
        <v>361</v>
      </c>
    </row>
    <row r="9" spans="1:15" ht="18" customHeight="1" x14ac:dyDescent="0.7">
      <c r="A9" s="787"/>
      <c r="C9" s="222" t="s">
        <v>232</v>
      </c>
      <c r="D9" s="223"/>
      <c r="E9" s="223"/>
      <c r="F9" s="223"/>
      <c r="G9" s="224">
        <f>1-G8</f>
        <v>0.55000000000000004</v>
      </c>
      <c r="H9" s="225"/>
      <c r="I9" s="224">
        <f>1-I8</f>
        <v>0.55000000000000004</v>
      </c>
      <c r="J9" s="226"/>
      <c r="K9" s="225"/>
      <c r="L9" s="224">
        <f>1-L8</f>
        <v>0.7</v>
      </c>
      <c r="M9" s="227"/>
      <c r="N9" s="224">
        <f>1-N8</f>
        <v>0.7</v>
      </c>
      <c r="O9" s="226"/>
    </row>
    <row r="10" spans="1:15" ht="7" customHeight="1" x14ac:dyDescent="0.55000000000000004">
      <c r="J10" s="227"/>
      <c r="O10" s="227"/>
    </row>
    <row r="11" spans="1:15" ht="18" customHeight="1" x14ac:dyDescent="0.65">
      <c r="A11" s="786" t="s">
        <v>267</v>
      </c>
      <c r="B11" s="227"/>
      <c r="C11" s="229" t="s">
        <v>268</v>
      </c>
      <c r="D11" s="227"/>
      <c r="E11" s="227"/>
      <c r="F11" s="227"/>
      <c r="G11" s="230">
        <v>7.0000000000000007E-2</v>
      </c>
      <c r="H11" s="227"/>
      <c r="I11" s="231">
        <f>G11</f>
        <v>7.0000000000000007E-2</v>
      </c>
      <c r="J11" s="226" t="s">
        <v>305</v>
      </c>
      <c r="K11" s="227"/>
      <c r="L11" s="231">
        <f>G11</f>
        <v>7.0000000000000007E-2</v>
      </c>
      <c r="M11" s="227"/>
      <c r="N11" s="231">
        <f>L11</f>
        <v>7.0000000000000007E-2</v>
      </c>
      <c r="O11" s="226" t="s">
        <v>305</v>
      </c>
    </row>
    <row r="12" spans="1:15" ht="18" customHeight="1" x14ac:dyDescent="0.65">
      <c r="A12" s="786"/>
      <c r="B12" s="227"/>
      <c r="C12" s="227" t="s">
        <v>269</v>
      </c>
      <c r="D12" s="227"/>
      <c r="E12" s="227"/>
      <c r="F12" s="227"/>
      <c r="G12" s="232">
        <v>0.35</v>
      </c>
      <c r="H12" s="227"/>
      <c r="I12" s="286">
        <f>G12</f>
        <v>0.35</v>
      </c>
      <c r="J12" s="226" t="s">
        <v>306</v>
      </c>
      <c r="K12" s="227"/>
      <c r="L12" s="286">
        <f>G12</f>
        <v>0.35</v>
      </c>
      <c r="M12" s="227"/>
      <c r="N12" s="286">
        <f>I12</f>
        <v>0.35</v>
      </c>
      <c r="O12" s="226" t="s">
        <v>306</v>
      </c>
    </row>
    <row r="13" spans="1:15" ht="18" customHeight="1" x14ac:dyDescent="0.7">
      <c r="A13" s="786"/>
      <c r="B13" s="227"/>
      <c r="C13" s="233" t="s">
        <v>270</v>
      </c>
      <c r="D13" s="234"/>
      <c r="E13" s="234"/>
      <c r="F13" s="234"/>
      <c r="G13" s="235">
        <f>G11*(1-G12)</f>
        <v>4.5500000000000006E-2</v>
      </c>
      <c r="H13" s="236"/>
      <c r="I13" s="235">
        <f>I11*(1-I12)</f>
        <v>4.5500000000000006E-2</v>
      </c>
      <c r="J13" s="227"/>
      <c r="K13" s="236"/>
      <c r="L13" s="235">
        <f>L11*(1-L12)</f>
        <v>4.5500000000000006E-2</v>
      </c>
      <c r="M13" s="227"/>
      <c r="N13" s="235">
        <f>N11*(1-N12)</f>
        <v>4.5500000000000006E-2</v>
      </c>
      <c r="O13" s="227"/>
    </row>
    <row r="14" spans="1:15" ht="7" customHeight="1" x14ac:dyDescent="0.6">
      <c r="A14" s="227"/>
      <c r="B14" s="227"/>
      <c r="C14" s="227"/>
      <c r="D14" s="227"/>
      <c r="E14" s="227"/>
      <c r="F14" s="227"/>
      <c r="G14" s="237"/>
      <c r="H14" s="227"/>
      <c r="I14" s="237"/>
      <c r="J14" s="227"/>
      <c r="K14" s="227"/>
      <c r="L14" s="237"/>
      <c r="M14" s="227"/>
      <c r="N14" s="237"/>
      <c r="O14" s="227"/>
    </row>
    <row r="15" spans="1:15" ht="18" customHeight="1" x14ac:dyDescent="0.65">
      <c r="A15" s="786" t="s">
        <v>271</v>
      </c>
      <c r="C15" s="227" t="s">
        <v>272</v>
      </c>
      <c r="D15" s="227"/>
      <c r="E15" s="227"/>
      <c r="F15" s="227"/>
      <c r="G15" s="230">
        <f>'Cap Mkts (Ex. 5)'!B5</f>
        <v>3.4099999999999998E-2</v>
      </c>
      <c r="H15" s="227"/>
      <c r="I15" s="231">
        <f>G15</f>
        <v>3.4099999999999998E-2</v>
      </c>
      <c r="J15" s="226" t="s">
        <v>313</v>
      </c>
      <c r="K15" s="227"/>
      <c r="L15" s="231">
        <f>G15</f>
        <v>3.4099999999999998E-2</v>
      </c>
      <c r="M15" s="227"/>
      <c r="N15" s="231">
        <f>I15</f>
        <v>3.4099999999999998E-2</v>
      </c>
      <c r="O15" s="226" t="s">
        <v>313</v>
      </c>
    </row>
    <row r="16" spans="1:15" ht="7.8" customHeight="1" x14ac:dyDescent="0.65">
      <c r="A16" s="786"/>
      <c r="C16" s="227"/>
      <c r="D16" s="227"/>
      <c r="E16" s="227"/>
      <c r="F16" s="227"/>
      <c r="G16" s="231"/>
      <c r="H16" s="227"/>
      <c r="I16" s="231"/>
      <c r="J16" s="226"/>
      <c r="K16" s="227"/>
      <c r="L16" s="231"/>
      <c r="M16" s="227"/>
      <c r="N16" s="231"/>
      <c r="O16" s="226"/>
    </row>
    <row r="17" spans="1:38" ht="18" customHeight="1" x14ac:dyDescent="0.65">
      <c r="A17" s="787"/>
      <c r="C17" s="227" t="s">
        <v>273</v>
      </c>
      <c r="D17" s="227"/>
      <c r="E17" s="227"/>
      <c r="F17" s="227"/>
      <c r="G17" s="259">
        <f>G27</f>
        <v>1.6866042040757678</v>
      </c>
      <c r="H17" s="227"/>
      <c r="I17" s="259">
        <f>I27</f>
        <v>1.7016186498388821</v>
      </c>
      <c r="J17" s="226" t="s">
        <v>311</v>
      </c>
      <c r="K17" s="227"/>
      <c r="L17" s="259">
        <f>L27</f>
        <v>1.4077675616045726</v>
      </c>
      <c r="M17" s="227"/>
      <c r="N17" s="543">
        <f>N27</f>
        <v>1.4202997547828566</v>
      </c>
      <c r="O17" s="226" t="s">
        <v>311</v>
      </c>
    </row>
    <row r="18" spans="1:38" ht="18" customHeight="1" x14ac:dyDescent="0.65">
      <c r="A18" s="787"/>
      <c r="C18" s="238" t="s">
        <v>274</v>
      </c>
      <c r="D18" s="238"/>
      <c r="E18" s="238"/>
      <c r="F18" s="238"/>
      <c r="G18" s="230">
        <f>'Cap Mkts (Ex. 5)'!B14</f>
        <v>6.0999999999999999E-2</v>
      </c>
      <c r="H18" s="238"/>
      <c r="I18" s="231">
        <f>G18</f>
        <v>6.0999999999999999E-2</v>
      </c>
      <c r="J18" s="226" t="s">
        <v>310</v>
      </c>
      <c r="K18" s="238"/>
      <c r="L18" s="231">
        <f>'Cap Mkts (Ex. 5)'!B14</f>
        <v>6.0999999999999999E-2</v>
      </c>
      <c r="M18" s="238"/>
      <c r="N18" s="231">
        <f>L18</f>
        <v>6.0999999999999999E-2</v>
      </c>
      <c r="O18" s="226" t="s">
        <v>310</v>
      </c>
    </row>
    <row r="19" spans="1:38" ht="4.5" customHeight="1" x14ac:dyDescent="0.65">
      <c r="A19" s="787"/>
      <c r="C19" s="238"/>
      <c r="D19" s="238"/>
      <c r="E19" s="238"/>
      <c r="F19" s="238"/>
      <c r="G19" s="230"/>
      <c r="H19" s="238"/>
      <c r="I19" s="230"/>
      <c r="J19" s="226"/>
      <c r="K19" s="238"/>
      <c r="L19" s="230"/>
      <c r="M19" s="238"/>
      <c r="N19" s="230"/>
      <c r="O19" s="226"/>
    </row>
    <row r="20" spans="1:38" s="239" customFormat="1" ht="18" customHeight="1" x14ac:dyDescent="0.7">
      <c r="A20" s="787"/>
      <c r="C20" s="240" t="s">
        <v>233</v>
      </c>
      <c r="D20" s="241"/>
      <c r="E20" s="241"/>
      <c r="F20" s="241"/>
      <c r="G20" s="242">
        <f>G15+(G17*G18)</f>
        <v>0.13698285644862182</v>
      </c>
      <c r="H20" s="236"/>
      <c r="I20" s="242">
        <f>I15+(I17*I18)</f>
        <v>0.1378987376401718</v>
      </c>
      <c r="J20" s="227"/>
      <c r="K20" s="243"/>
      <c r="L20" s="242">
        <f>L15+(L17*L18)</f>
        <v>0.11997382125787892</v>
      </c>
      <c r="M20" s="227"/>
      <c r="N20" s="242">
        <f>N15+(N17*N18)</f>
        <v>0.12073828504175424</v>
      </c>
      <c r="O20" s="227"/>
    </row>
    <row r="21" spans="1:38" s="239" customFormat="1" ht="9" customHeight="1" x14ac:dyDescent="0.55000000000000004">
      <c r="A21" s="787"/>
      <c r="C21" s="244"/>
      <c r="D21" s="238"/>
      <c r="E21" s="238"/>
      <c r="F21" s="238"/>
      <c r="G21" s="245"/>
      <c r="H21" s="238"/>
      <c r="I21" s="245"/>
      <c r="J21" s="245"/>
      <c r="K21" s="238"/>
      <c r="L21" s="245"/>
      <c r="M21" s="238"/>
      <c r="N21" s="245"/>
      <c r="O21" s="245"/>
    </row>
    <row r="22" spans="1:38" s="239" customFormat="1" ht="14.1" customHeight="1" x14ac:dyDescent="0.5">
      <c r="A22" s="787"/>
      <c r="C22" s="246" t="s">
        <v>275</v>
      </c>
      <c r="D22" s="238"/>
      <c r="E22" s="238"/>
      <c r="F22" s="238"/>
      <c r="G22" s="245"/>
      <c r="H22" s="238"/>
      <c r="I22" s="245"/>
      <c r="J22" s="245"/>
      <c r="K22" s="238"/>
      <c r="L22" s="245"/>
      <c r="M22" s="238"/>
      <c r="N22" s="245"/>
      <c r="O22" s="245"/>
    </row>
    <row r="23" spans="1:38" s="239" customFormat="1" ht="14.1" customHeight="1" x14ac:dyDescent="0.55000000000000004">
      <c r="A23" s="787"/>
      <c r="C23" s="239" t="s">
        <v>276</v>
      </c>
      <c r="D23" s="238"/>
      <c r="E23" s="238"/>
      <c r="F23" s="238"/>
      <c r="G23" s="253">
        <f>G39</f>
        <v>2.79</v>
      </c>
      <c r="H23" s="343"/>
      <c r="I23" s="253">
        <f>G37</f>
        <v>2.1897547268907562</v>
      </c>
      <c r="J23" s="226" t="s">
        <v>307</v>
      </c>
      <c r="K23" s="238"/>
      <c r="L23" s="260">
        <f>G23</f>
        <v>2.79</v>
      </c>
      <c r="M23" s="238"/>
      <c r="N23" s="260">
        <f>I23</f>
        <v>2.1897547268907562</v>
      </c>
      <c r="O23" s="226" t="s">
        <v>307</v>
      </c>
    </row>
    <row r="24" spans="1:38" s="239" customFormat="1" ht="14.1" customHeight="1" x14ac:dyDescent="0.55000000000000004">
      <c r="A24" s="787"/>
      <c r="C24" s="239" t="s">
        <v>277</v>
      </c>
      <c r="D24" s="238"/>
      <c r="E24" s="238"/>
      <c r="F24" s="238"/>
      <c r="G24" s="247">
        <f>E39</f>
        <v>2.3599249052257507</v>
      </c>
      <c r="H24" s="238"/>
      <c r="I24" s="247">
        <f>E37</f>
        <v>1.4942220362595702</v>
      </c>
      <c r="J24" s="226" t="s">
        <v>308</v>
      </c>
      <c r="K24" s="238"/>
      <c r="L24" s="247">
        <f>G24</f>
        <v>2.3599249052257507</v>
      </c>
      <c r="M24" s="247"/>
      <c r="N24" s="247">
        <f>I24</f>
        <v>1.4942220362595702</v>
      </c>
      <c r="O24" s="226" t="s">
        <v>308</v>
      </c>
    </row>
    <row r="25" spans="1:38" s="239" customFormat="1" ht="13.5" customHeight="1" x14ac:dyDescent="0.55000000000000004">
      <c r="A25" s="787"/>
      <c r="C25" s="239" t="s">
        <v>278</v>
      </c>
      <c r="G25" s="260">
        <f>G23/(1+((1-G12)*G24))</f>
        <v>1.101047254886258</v>
      </c>
      <c r="H25" s="238"/>
      <c r="I25" s="260">
        <f>I23/(1+((1-I12)*I24))</f>
        <v>1.1108489702212287</v>
      </c>
      <c r="J25" s="250" t="s">
        <v>345</v>
      </c>
      <c r="L25" s="260">
        <f>L23/(1+((1-L12)*L24))</f>
        <v>1.101047254886258</v>
      </c>
      <c r="M25" s="238"/>
      <c r="N25" s="260">
        <f>N23/(1+((1-N12)*N24))</f>
        <v>1.1108489702212287</v>
      </c>
      <c r="O25" s="250" t="s">
        <v>345</v>
      </c>
    </row>
    <row r="26" spans="1:38" s="239" customFormat="1" ht="13.5" customHeight="1" x14ac:dyDescent="0.55000000000000004">
      <c r="A26" s="787"/>
      <c r="C26" s="239" t="s">
        <v>279</v>
      </c>
      <c r="G26" s="248">
        <f>G7</f>
        <v>0.81818181818181812</v>
      </c>
      <c r="H26" s="238"/>
      <c r="I26" s="248">
        <f>I7</f>
        <v>0.81818181818181812</v>
      </c>
      <c r="J26" s="226" t="s">
        <v>309</v>
      </c>
      <c r="L26" s="248">
        <f>L7</f>
        <v>0.4285714285714286</v>
      </c>
      <c r="M26" s="238"/>
      <c r="N26" s="248">
        <f>N7</f>
        <v>0.4285714285714286</v>
      </c>
      <c r="O26" s="226" t="s">
        <v>266</v>
      </c>
    </row>
    <row r="27" spans="1:38" s="239" customFormat="1" ht="13.5" customHeight="1" x14ac:dyDescent="0.55000000000000004">
      <c r="A27" s="787"/>
      <c r="C27" s="239" t="s">
        <v>280</v>
      </c>
      <c r="G27" s="249">
        <f>G25*(1+((1-G12)*G26))</f>
        <v>1.6866042040757678</v>
      </c>
      <c r="I27" s="249">
        <f>I25*(1+((1-I12)*I26))</f>
        <v>1.7016186498388821</v>
      </c>
      <c r="J27" s="250" t="s">
        <v>288</v>
      </c>
      <c r="L27" s="249">
        <f>L25*(1+((1-L12)*L26))</f>
        <v>1.4077675616045726</v>
      </c>
      <c r="N27" s="249">
        <f>N25*(1+((1-N12)*N26))</f>
        <v>1.4202997547828566</v>
      </c>
      <c r="O27" s="250" t="s">
        <v>288</v>
      </c>
    </row>
    <row r="28" spans="1:38" ht="14.1" customHeight="1" x14ac:dyDescent="0.55000000000000004">
      <c r="J28" s="227"/>
    </row>
    <row r="29" spans="1:38" s="239" customFormat="1" ht="19.5" customHeight="1" x14ac:dyDescent="0.55000000000000004">
      <c r="A29" s="251" t="s">
        <v>114</v>
      </c>
      <c r="B29" s="243"/>
      <c r="C29" s="240" t="s">
        <v>281</v>
      </c>
      <c r="D29" s="240"/>
      <c r="E29" s="240"/>
      <c r="F29" s="240"/>
      <c r="G29" s="242">
        <f>G13*G8+G20*G9</f>
        <v>9.5815571046742015E-2</v>
      </c>
      <c r="H29" s="227"/>
      <c r="I29" s="242">
        <f>I13*I8+I20*I9</f>
        <v>9.6319305702094501E-2</v>
      </c>
      <c r="J29" s="227"/>
      <c r="K29" s="252"/>
      <c r="L29" s="242">
        <f>L13*L8+L20*L9</f>
        <v>9.7631674880515232E-2</v>
      </c>
      <c r="M29" s="227"/>
      <c r="N29" s="242">
        <f>N13*N8+N20*N9</f>
        <v>9.8166799529227952E-2</v>
      </c>
      <c r="O29" s="227"/>
    </row>
    <row r="30" spans="1:38" ht="14.4" x14ac:dyDescent="0.55000000000000004">
      <c r="J30" s="227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</row>
    <row r="31" spans="1:38" ht="14.4" x14ac:dyDescent="0.55000000000000004">
      <c r="E31" s="257" t="s">
        <v>312</v>
      </c>
      <c r="F31" s="257" t="s">
        <v>312</v>
      </c>
      <c r="G31" s="617" t="s">
        <v>294</v>
      </c>
      <c r="H31" s="618"/>
      <c r="I31" s="617" t="s">
        <v>294</v>
      </c>
      <c r="J31" s="227"/>
      <c r="Q31" s="239"/>
      <c r="R31" s="258" t="s">
        <v>265</v>
      </c>
      <c r="S31" s="258" t="s">
        <v>299</v>
      </c>
      <c r="T31" s="258" t="s">
        <v>297</v>
      </c>
      <c r="U31" s="258" t="s">
        <v>298</v>
      </c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</row>
    <row r="32" spans="1:38" ht="14.4" x14ac:dyDescent="0.55000000000000004">
      <c r="C32" s="246" t="s">
        <v>289</v>
      </c>
      <c r="E32" s="258" t="s">
        <v>53</v>
      </c>
      <c r="F32" s="258" t="s">
        <v>296</v>
      </c>
      <c r="G32" s="258" t="s">
        <v>293</v>
      </c>
      <c r="I32" s="258" t="s">
        <v>295</v>
      </c>
      <c r="J32" s="227"/>
      <c r="Q32" s="264" t="s">
        <v>290</v>
      </c>
      <c r="R32" s="270" t="s">
        <v>291</v>
      </c>
      <c r="S32" s="270" t="s">
        <v>291</v>
      </c>
      <c r="T32" s="270" t="s">
        <v>291</v>
      </c>
      <c r="U32" s="270" t="s">
        <v>291</v>
      </c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</row>
    <row r="33" spans="2:38" s="39" customFormat="1" ht="14.4" x14ac:dyDescent="0.55000000000000004">
      <c r="B33" s="262"/>
      <c r="C33" s="261" t="s">
        <v>64</v>
      </c>
      <c r="E33" s="263">
        <f>'Comps (Ex. 6)'!N6</f>
        <v>1.2779043280182236</v>
      </c>
      <c r="F33" s="263">
        <f>E33/(1+E33)</f>
        <v>0.56100000000000005</v>
      </c>
      <c r="G33" s="276">
        <f>'Comps (Ex. 6)'!R6</f>
        <v>2.02</v>
      </c>
      <c r="H33" s="262"/>
      <c r="I33" s="277">
        <f>G33/((1+((1-0.35)*E33)))</f>
        <v>1.1034405524793129</v>
      </c>
      <c r="J33" s="345" t="s">
        <v>300</v>
      </c>
      <c r="K33" s="262"/>
      <c r="L33" s="262"/>
      <c r="N33" s="262"/>
      <c r="Q33" s="265">
        <f>'Comps (Ex. 6)'!P6</f>
        <v>995.2</v>
      </c>
      <c r="R33" s="268">
        <f>E33*Q33</f>
        <v>1271.7703872437362</v>
      </c>
      <c r="S33" s="268">
        <f>F33*Q33</f>
        <v>558.30720000000008</v>
      </c>
      <c r="T33" s="271">
        <f>G33*Q33</f>
        <v>2010.3040000000001</v>
      </c>
      <c r="U33" s="271">
        <f>I33*Q33</f>
        <v>1098.1440378274124</v>
      </c>
    </row>
    <row r="34" spans="2:38" s="39" customFormat="1" ht="14.4" x14ac:dyDescent="0.55000000000000004">
      <c r="B34" s="262"/>
      <c r="C34" s="261" t="s">
        <v>66</v>
      </c>
      <c r="E34" s="263">
        <f>'Comps (Ex. 6)'!N7</f>
        <v>1.7472527472527473</v>
      </c>
      <c r="F34" s="263">
        <f>E34/(1+E34)</f>
        <v>0.63600000000000001</v>
      </c>
      <c r="G34" s="276">
        <f>'Comps (Ex. 6)'!R7</f>
        <v>2.42</v>
      </c>
      <c r="H34" s="262"/>
      <c r="I34" s="277">
        <f>G34/((1+((1-0.35)*E34)))</f>
        <v>1.1331103678929766</v>
      </c>
      <c r="J34" s="345" t="s">
        <v>301</v>
      </c>
      <c r="K34" s="262"/>
      <c r="L34" s="262"/>
      <c r="N34" s="262"/>
      <c r="Q34" s="265">
        <f>'Comps (Ex. 6)'!P7</f>
        <v>558.4</v>
      </c>
      <c r="R34" s="268">
        <f>E34*Q34</f>
        <v>975.66593406593404</v>
      </c>
      <c r="S34" s="268">
        <f>F34*Q34</f>
        <v>355.14240000000001</v>
      </c>
      <c r="T34" s="271">
        <f>G34*Q34</f>
        <v>1351.328</v>
      </c>
      <c r="U34" s="271">
        <f>I34*Q34</f>
        <v>632.72882943143816</v>
      </c>
    </row>
    <row r="35" spans="2:38" s="39" customFormat="1" ht="14.4" x14ac:dyDescent="0.55000000000000004">
      <c r="B35" s="262"/>
      <c r="C35" s="261" t="s">
        <v>347</v>
      </c>
      <c r="E35" s="263">
        <f>'Comps (Ex. 6)'!N8</f>
        <v>0.43061516452074389</v>
      </c>
      <c r="F35" s="263">
        <f>E35/(1+E35)</f>
        <v>0.30099999999999999</v>
      </c>
      <c r="G35" s="276">
        <f>'Comps (Ex. 6)'!R8</f>
        <v>1.48</v>
      </c>
      <c r="H35" s="262"/>
      <c r="I35" s="277">
        <f>G35/((1+((1-0.35)*E35)))</f>
        <v>1.1563404683395742</v>
      </c>
      <c r="J35" s="345" t="s">
        <v>302</v>
      </c>
      <c r="K35" s="262"/>
      <c r="L35" s="262"/>
      <c r="N35" s="262"/>
      <c r="Q35" s="265">
        <f>'Comps (Ex. 6)'!P8</f>
        <v>111.5</v>
      </c>
      <c r="R35" s="268">
        <f>E35*Q35</f>
        <v>48.013590844062946</v>
      </c>
      <c r="S35" s="268">
        <f>F35*Q35</f>
        <v>33.561500000000002</v>
      </c>
      <c r="T35" s="271">
        <f>G35*Q35</f>
        <v>165.02</v>
      </c>
      <c r="U35" s="271">
        <f>I35*Q35</f>
        <v>128.93196221986253</v>
      </c>
    </row>
    <row r="36" spans="2:38" s="39" customFormat="1" ht="15.9" x14ac:dyDescent="0.8">
      <c r="B36" s="262"/>
      <c r="C36" s="261" t="s">
        <v>346</v>
      </c>
      <c r="E36" s="263">
        <f>'Comps (Ex. 6)'!N9</f>
        <v>2.3003300330032999</v>
      </c>
      <c r="F36" s="263">
        <f>E36/(1+E36)</f>
        <v>0.69699999999999995</v>
      </c>
      <c r="G36" s="276">
        <f>'Comps (Ex. 6)'!R9</f>
        <v>2.69</v>
      </c>
      <c r="H36" s="262"/>
      <c r="I36" s="277">
        <f>G36/((1+((1-0.35)*E36)))</f>
        <v>1.0780636201309437</v>
      </c>
      <c r="J36" s="345" t="s">
        <v>303</v>
      </c>
      <c r="K36" s="262"/>
      <c r="L36" s="262"/>
      <c r="N36" s="262"/>
      <c r="Q36" s="266">
        <f>'Comps (Ex. 6)'!P9</f>
        <v>238.9</v>
      </c>
      <c r="R36" s="269">
        <f>E36*Q36</f>
        <v>549.5488448844884</v>
      </c>
      <c r="S36" s="269">
        <f>F36*Q36</f>
        <v>166.51329999999999</v>
      </c>
      <c r="T36" s="272">
        <f>G36*Q36</f>
        <v>642.64099999999996</v>
      </c>
      <c r="U36" s="272">
        <f>I36*Q36</f>
        <v>257.54939884928245</v>
      </c>
    </row>
    <row r="37" spans="2:38" s="39" customFormat="1" x14ac:dyDescent="0.5">
      <c r="B37" s="262"/>
      <c r="C37" s="274" t="s">
        <v>292</v>
      </c>
      <c r="E37" s="275">
        <f>R37/Q37</f>
        <v>1.4942220362595702</v>
      </c>
      <c r="F37" s="275">
        <f>S37/Q37</f>
        <v>0.58483424369747916</v>
      </c>
      <c r="G37" s="278">
        <f>T37/Q37</f>
        <v>2.1897547268907562</v>
      </c>
      <c r="H37" s="262"/>
      <c r="I37" s="278">
        <f>U37/Q37</f>
        <v>1.1120557921890732</v>
      </c>
      <c r="K37" s="262"/>
      <c r="L37" s="262"/>
      <c r="N37" s="262"/>
      <c r="Q37" s="265">
        <f>SUM(Q33:Q36)</f>
        <v>1904</v>
      </c>
      <c r="R37" s="273">
        <f>SUM(R33:R36)</f>
        <v>2844.9987570382218</v>
      </c>
      <c r="S37" s="273">
        <f>SUM(S33:S36)</f>
        <v>1113.5244000000002</v>
      </c>
      <c r="T37" s="273">
        <f>SUM(T33:T36)</f>
        <v>4169.2929999999997</v>
      </c>
      <c r="U37" s="273">
        <f>SUM(U33:U36)</f>
        <v>2117.3542283279953</v>
      </c>
    </row>
    <row r="38" spans="2:38" ht="6" customHeight="1" x14ac:dyDescent="0.5">
      <c r="F38" s="275"/>
      <c r="Q38" s="239"/>
      <c r="R38" s="239"/>
      <c r="S38" s="239"/>
      <c r="T38" s="239"/>
      <c r="U38" s="239"/>
      <c r="V38" s="239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</row>
    <row r="39" spans="2:38" ht="14.4" x14ac:dyDescent="0.55000000000000004">
      <c r="C39" s="346" t="s">
        <v>348</v>
      </c>
      <c r="E39" s="275">
        <f>E46</f>
        <v>2.3599249052257507</v>
      </c>
      <c r="F39" s="275">
        <f>AVERAGE('Model 100% Accept'!I174:K174)</f>
        <v>0.79317098101452121</v>
      </c>
      <c r="G39" s="278">
        <f>'Cap Mkts (Ex. 5)'!B16</f>
        <v>2.79</v>
      </c>
      <c r="I39" s="348">
        <f>G39/((1+((1-0.35)*E39)))</f>
        <v>1.101047254886258</v>
      </c>
      <c r="J39" s="345" t="s">
        <v>409</v>
      </c>
      <c r="Q39" s="239"/>
      <c r="R39" s="239"/>
      <c r="S39" s="239"/>
      <c r="T39" s="239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9"/>
      <c r="AI39" s="239"/>
      <c r="AJ39" s="239"/>
      <c r="AK39" s="239"/>
      <c r="AL39" s="239"/>
    </row>
    <row r="40" spans="2:38" x14ac:dyDescent="0.5">
      <c r="C40" s="551" t="s">
        <v>449</v>
      </c>
      <c r="E40" s="347"/>
      <c r="F40" s="347"/>
      <c r="I40" s="344">
        <f>I25-I37</f>
        <v>-1.2068219678444958E-3</v>
      </c>
      <c r="J40" s="285" t="s">
        <v>224</v>
      </c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39"/>
      <c r="AJ40" s="239"/>
      <c r="AK40" s="239"/>
      <c r="AL40" s="239"/>
    </row>
    <row r="41" spans="2:38" x14ac:dyDescent="0.5">
      <c r="C41" s="218" t="s">
        <v>403</v>
      </c>
      <c r="E41" s="263">
        <f>AVERAGE('Model 100% Accept'!I173:K173)</f>
        <v>4.6066116753900941</v>
      </c>
      <c r="F41" s="263">
        <f t="shared" ref="F41:F48" si="0">E41/(1+E41)</f>
        <v>0.82163915428824086</v>
      </c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</row>
    <row r="42" spans="2:38" x14ac:dyDescent="0.5">
      <c r="C42" s="218" t="s">
        <v>404</v>
      </c>
      <c r="E42" s="263">
        <f>AVERAGE('Model 100% Accept'!H173:K173)</f>
        <v>3.9033959812934076</v>
      </c>
      <c r="F42" s="263">
        <f t="shared" si="0"/>
        <v>0.79605970967569673</v>
      </c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</row>
    <row r="43" spans="2:38" x14ac:dyDescent="0.5">
      <c r="C43" s="218" t="s">
        <v>405</v>
      </c>
      <c r="E43" s="263">
        <f>AVERAGE('Model 100% Accept'!G173:K173)</f>
        <v>3.3785568832072812</v>
      </c>
      <c r="F43" s="263">
        <f t="shared" si="0"/>
        <v>0.77161424947219082</v>
      </c>
      <c r="Q43" s="239"/>
      <c r="R43" s="239"/>
      <c r="S43" s="239"/>
      <c r="T43" s="239"/>
      <c r="U43" s="239"/>
      <c r="V43" s="239"/>
      <c r="W43" s="239"/>
      <c r="X43" s="239"/>
      <c r="Y43" s="239"/>
      <c r="Z43" s="239"/>
      <c r="AA43" s="239"/>
      <c r="AB43" s="239"/>
      <c r="AC43" s="239"/>
      <c r="AD43" s="239"/>
      <c r="AE43" s="239"/>
      <c r="AF43" s="239"/>
      <c r="AG43" s="239"/>
      <c r="AH43" s="239"/>
      <c r="AI43" s="239"/>
      <c r="AJ43" s="239"/>
      <c r="AK43" s="239"/>
      <c r="AL43" s="239"/>
    </row>
    <row r="44" spans="2:38" x14ac:dyDescent="0.5">
      <c r="C44" s="218" t="s">
        <v>406</v>
      </c>
      <c r="E44" s="263">
        <f>AVERAGE('Model 100% Accept'!F173:K173)</f>
        <v>2.9660013100050793</v>
      </c>
      <c r="F44" s="263">
        <f t="shared" si="0"/>
        <v>0.74785686593766676</v>
      </c>
      <c r="Q44" s="239"/>
      <c r="R44" s="239"/>
      <c r="S44" s="239"/>
      <c r="T44" s="239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  <c r="AE44" s="239"/>
      <c r="AF44" s="239"/>
      <c r="AG44" s="239"/>
      <c r="AH44" s="239"/>
      <c r="AI44" s="239"/>
      <c r="AJ44" s="239"/>
      <c r="AK44" s="239"/>
      <c r="AL44" s="239"/>
    </row>
    <row r="45" spans="2:38" x14ac:dyDescent="0.5">
      <c r="C45" s="218" t="s">
        <v>407</v>
      </c>
      <c r="E45" s="263">
        <f>AVERAGE('Model 100% Accept'!E173:K173)</f>
        <v>2.6612829677781198</v>
      </c>
      <c r="F45" s="263">
        <f t="shared" si="0"/>
        <v>0.72687169803571383</v>
      </c>
      <c r="Q45" s="239"/>
      <c r="R45" s="239"/>
      <c r="S45" s="239"/>
      <c r="T45" s="239"/>
      <c r="U45" s="239"/>
      <c r="V45" s="239"/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239"/>
      <c r="AI45" s="239"/>
      <c r="AJ45" s="239"/>
      <c r="AK45" s="239"/>
      <c r="AL45" s="239"/>
    </row>
    <row r="46" spans="2:38" x14ac:dyDescent="0.5">
      <c r="C46" s="552" t="s">
        <v>408</v>
      </c>
      <c r="D46" s="552"/>
      <c r="E46" s="553">
        <f>AVERAGE('Model 100% Accept'!D173:K173)</f>
        <v>2.3599249052257507</v>
      </c>
      <c r="F46" s="553">
        <f t="shared" si="0"/>
        <v>0.7023743005551456</v>
      </c>
      <c r="G46" s="552" t="s">
        <v>412</v>
      </c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</row>
    <row r="47" spans="2:38" x14ac:dyDescent="0.5">
      <c r="C47" s="218" t="s">
        <v>410</v>
      </c>
      <c r="E47" s="263">
        <f>AVERAGE('Model 100% Accept'!C173:K173)</f>
        <v>2.1126374028697708</v>
      </c>
      <c r="F47" s="263">
        <f t="shared" si="0"/>
        <v>0.67872904210492813</v>
      </c>
      <c r="Q47" s="239"/>
      <c r="R47" s="239"/>
      <c r="S47" s="239"/>
      <c r="T47" s="239"/>
      <c r="U47" s="239"/>
      <c r="V47" s="239"/>
      <c r="W47" s="239"/>
      <c r="X47" s="239"/>
      <c r="Y47" s="239"/>
      <c r="Z47" s="239"/>
      <c r="AA47" s="239"/>
      <c r="AB47" s="239"/>
      <c r="AC47" s="239"/>
      <c r="AD47" s="239"/>
      <c r="AE47" s="239"/>
      <c r="AF47" s="239"/>
      <c r="AG47" s="239"/>
      <c r="AH47" s="239"/>
      <c r="AI47" s="239"/>
      <c r="AJ47" s="239"/>
      <c r="AK47" s="239"/>
      <c r="AL47" s="239"/>
    </row>
    <row r="48" spans="2:38" x14ac:dyDescent="0.5">
      <c r="C48" s="218" t="s">
        <v>411</v>
      </c>
      <c r="E48" s="263">
        <f>AVERAGE('Model 100% Accept'!B173:K173)</f>
        <v>1.9160742079435942</v>
      </c>
      <c r="F48" s="263">
        <f t="shared" si="0"/>
        <v>0.65707319886581472</v>
      </c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</row>
    <row r="49" spans="17:38" x14ac:dyDescent="0.5">
      <c r="Q49" s="239"/>
      <c r="R49" s="239"/>
      <c r="S49" s="239"/>
      <c r="T49" s="239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</row>
    <row r="50" spans="17:38" x14ac:dyDescent="0.5">
      <c r="Q50" s="239"/>
      <c r="R50" s="239"/>
      <c r="S50" s="239"/>
      <c r="T50" s="239"/>
      <c r="U50" s="239"/>
      <c r="V50" s="239"/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39"/>
      <c r="AJ50" s="239"/>
      <c r="AK50" s="239"/>
      <c r="AL50" s="239"/>
    </row>
    <row r="51" spans="17:38" x14ac:dyDescent="0.5"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</row>
    <row r="52" spans="17:38" x14ac:dyDescent="0.5"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39"/>
      <c r="AJ52" s="239"/>
      <c r="AK52" s="239"/>
      <c r="AL52" s="239"/>
    </row>
    <row r="53" spans="17:38" x14ac:dyDescent="0.5">
      <c r="Q53" s="239"/>
      <c r="R53" s="239"/>
      <c r="S53" s="239"/>
      <c r="T53" s="239"/>
      <c r="U53" s="239"/>
      <c r="V53" s="239"/>
      <c r="W53" s="239"/>
      <c r="X53" s="239"/>
      <c r="Y53" s="239"/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</row>
    <row r="54" spans="17:38" x14ac:dyDescent="0.5">
      <c r="Q54" s="239"/>
      <c r="R54" s="239"/>
      <c r="S54" s="239"/>
      <c r="T54" s="239"/>
      <c r="U54" s="239"/>
      <c r="V54" s="239"/>
      <c r="W54" s="239"/>
      <c r="X54" s="239"/>
      <c r="Y54" s="239"/>
      <c r="Z54" s="239"/>
      <c r="AA54" s="239"/>
      <c r="AB54" s="239"/>
      <c r="AC54" s="239"/>
      <c r="AD54" s="239"/>
      <c r="AE54" s="239"/>
      <c r="AF54" s="239"/>
      <c r="AG54" s="239"/>
      <c r="AH54" s="239"/>
      <c r="AI54" s="239"/>
      <c r="AJ54" s="239"/>
      <c r="AK54" s="239"/>
      <c r="AL54" s="239"/>
    </row>
    <row r="55" spans="17:38" x14ac:dyDescent="0.5"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  <c r="AH55" s="239"/>
      <c r="AI55" s="239"/>
      <c r="AJ55" s="239"/>
      <c r="AK55" s="239"/>
      <c r="AL55" s="239"/>
    </row>
    <row r="56" spans="17:38" x14ac:dyDescent="0.5"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</row>
    <row r="57" spans="17:38" x14ac:dyDescent="0.5"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</row>
    <row r="58" spans="17:38" x14ac:dyDescent="0.5"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</row>
    <row r="59" spans="17:38" x14ac:dyDescent="0.5"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</row>
    <row r="60" spans="17:38" x14ac:dyDescent="0.5"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239"/>
      <c r="AD60" s="239"/>
      <c r="AE60" s="239"/>
      <c r="AF60" s="239"/>
      <c r="AG60" s="239"/>
      <c r="AH60" s="239"/>
      <c r="AI60" s="239"/>
      <c r="AJ60" s="239"/>
      <c r="AK60" s="239"/>
      <c r="AL60" s="239"/>
    </row>
    <row r="61" spans="17:38" x14ac:dyDescent="0.5">
      <c r="Q61" s="239"/>
      <c r="R61" s="239"/>
      <c r="S61" s="239"/>
      <c r="T61" s="239"/>
      <c r="U61" s="239"/>
      <c r="V61" s="239"/>
      <c r="W61" s="239"/>
      <c r="X61" s="239"/>
      <c r="Y61" s="239"/>
      <c r="Z61" s="239"/>
      <c r="AA61" s="239"/>
      <c r="AB61" s="239"/>
      <c r="AC61" s="239"/>
      <c r="AD61" s="239"/>
      <c r="AE61" s="239"/>
      <c r="AF61" s="239"/>
      <c r="AG61" s="239"/>
      <c r="AH61" s="239"/>
      <c r="AI61" s="239"/>
      <c r="AJ61" s="239"/>
      <c r="AK61" s="239"/>
      <c r="AL61" s="239"/>
    </row>
    <row r="62" spans="17:38" x14ac:dyDescent="0.5">
      <c r="Q62" s="239"/>
      <c r="R62" s="239"/>
      <c r="S62" s="239"/>
      <c r="T62" s="239"/>
      <c r="U62" s="239"/>
      <c r="V62" s="239"/>
      <c r="W62" s="239"/>
      <c r="X62" s="239"/>
      <c r="Y62" s="239"/>
      <c r="Z62" s="239"/>
      <c r="AA62" s="239"/>
      <c r="AB62" s="239"/>
      <c r="AC62" s="239"/>
      <c r="AD62" s="239"/>
      <c r="AE62" s="239"/>
      <c r="AF62" s="239"/>
      <c r="AG62" s="239"/>
      <c r="AH62" s="239"/>
      <c r="AI62" s="239"/>
      <c r="AJ62" s="239"/>
      <c r="AK62" s="239"/>
      <c r="AL62" s="239"/>
    </row>
    <row r="63" spans="17:38" x14ac:dyDescent="0.5"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39"/>
      <c r="AF63" s="239"/>
      <c r="AG63" s="239"/>
      <c r="AH63" s="239"/>
      <c r="AI63" s="239"/>
      <c r="AJ63" s="239"/>
      <c r="AK63" s="239"/>
      <c r="AL63" s="239"/>
    </row>
    <row r="64" spans="17:38" x14ac:dyDescent="0.5">
      <c r="Q64" s="239"/>
      <c r="R64" s="239"/>
      <c r="S64" s="239"/>
      <c r="T64" s="239"/>
      <c r="U64" s="239"/>
      <c r="V64" s="239"/>
      <c r="W64" s="239"/>
      <c r="X64" s="239"/>
      <c r="Y64" s="239"/>
      <c r="Z64" s="239"/>
      <c r="AA64" s="239"/>
      <c r="AB64" s="239"/>
      <c r="AC64" s="239"/>
      <c r="AD64" s="239"/>
      <c r="AE64" s="239"/>
      <c r="AF64" s="239"/>
      <c r="AG64" s="239"/>
      <c r="AH64" s="239"/>
      <c r="AI64" s="239"/>
      <c r="AJ64" s="239"/>
      <c r="AK64" s="239"/>
      <c r="AL64" s="239"/>
    </row>
    <row r="65" spans="17:38" x14ac:dyDescent="0.5"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</row>
    <row r="66" spans="17:38" x14ac:dyDescent="0.5">
      <c r="Q66" s="254" t="s">
        <v>282</v>
      </c>
    </row>
  </sheetData>
  <mergeCells count="3">
    <mergeCell ref="A7:A9"/>
    <mergeCell ref="A11:A13"/>
    <mergeCell ref="A15:A27"/>
  </mergeCells>
  <pageMargins left="0.4" right="0.22" top="0.9" bottom="0.89" header="0.5" footer="0.5"/>
  <pageSetup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9E3-AE15-4B14-86A9-C65F31E64881}">
  <sheetPr>
    <pageSetUpPr fitToPage="1"/>
  </sheetPr>
  <dimension ref="A1:R103"/>
  <sheetViews>
    <sheetView showGridLines="0" zoomScale="92" zoomScaleNormal="90" workbookViewId="0">
      <selection activeCell="I36" sqref="I36"/>
    </sheetView>
  </sheetViews>
  <sheetFormatPr baseColWidth="10" defaultColWidth="10.83984375" defaultRowHeight="12.9" x14ac:dyDescent="0.5"/>
  <cols>
    <col min="1" max="1" width="2.734375" style="217" customWidth="1"/>
    <col min="2" max="2" width="13.68359375" style="217" customWidth="1"/>
    <col min="3" max="3" width="11.26171875" style="217" customWidth="1"/>
    <col min="4" max="4" width="7.47265625" style="217" customWidth="1"/>
    <col min="5" max="5" width="4.734375" style="217" customWidth="1"/>
    <col min="6" max="6" width="3.20703125" style="217" customWidth="1"/>
    <col min="7" max="7" width="7.734375" style="217" customWidth="1"/>
    <col min="8" max="8" width="7.68359375" style="217" customWidth="1"/>
    <col min="9" max="11" width="8.89453125" style="217" customWidth="1"/>
    <col min="12" max="13" width="8.62890625" style="217" customWidth="1"/>
    <col min="14" max="14" width="6.26171875" style="217" customWidth="1"/>
    <col min="15" max="15" width="1.05078125" style="217" customWidth="1"/>
    <col min="16" max="249" width="10.83984375" style="217"/>
    <col min="250" max="250" width="2.734375" style="217" customWidth="1"/>
    <col min="251" max="251" width="13.68359375" style="217" customWidth="1"/>
    <col min="252" max="252" width="10.05078125" style="217" customWidth="1"/>
    <col min="253" max="253" width="7.47265625" style="217" customWidth="1"/>
    <col min="254" max="254" width="4.734375" style="217" customWidth="1"/>
    <col min="255" max="255" width="3.20703125" style="217" customWidth="1"/>
    <col min="256" max="256" width="7.734375" style="217" customWidth="1"/>
    <col min="257" max="257" width="7.68359375" style="217" customWidth="1"/>
    <col min="258" max="260" width="8.89453125" style="217" customWidth="1"/>
    <col min="261" max="261" width="8.62890625" style="217" customWidth="1"/>
    <col min="262" max="262" width="6.26171875" style="217" customWidth="1"/>
    <col min="263" max="263" width="1.05078125" style="217" customWidth="1"/>
    <col min="264" max="264" width="7.9453125" style="217" customWidth="1"/>
    <col min="265" max="270" width="6.62890625" style="217" customWidth="1"/>
    <col min="271" max="505" width="10.83984375" style="217"/>
    <col min="506" max="506" width="2.734375" style="217" customWidth="1"/>
    <col min="507" max="507" width="13.68359375" style="217" customWidth="1"/>
    <col min="508" max="508" width="10.05078125" style="217" customWidth="1"/>
    <col min="509" max="509" width="7.47265625" style="217" customWidth="1"/>
    <col min="510" max="510" width="4.734375" style="217" customWidth="1"/>
    <col min="511" max="511" width="3.20703125" style="217" customWidth="1"/>
    <col min="512" max="512" width="7.734375" style="217" customWidth="1"/>
    <col min="513" max="513" width="7.68359375" style="217" customWidth="1"/>
    <col min="514" max="516" width="8.89453125" style="217" customWidth="1"/>
    <col min="517" max="517" width="8.62890625" style="217" customWidth="1"/>
    <col min="518" max="518" width="6.26171875" style="217" customWidth="1"/>
    <col min="519" max="519" width="1.05078125" style="217" customWidth="1"/>
    <col min="520" max="520" width="7.9453125" style="217" customWidth="1"/>
    <col min="521" max="526" width="6.62890625" style="217" customWidth="1"/>
    <col min="527" max="761" width="10.83984375" style="217"/>
    <col min="762" max="762" width="2.734375" style="217" customWidth="1"/>
    <col min="763" max="763" width="13.68359375" style="217" customWidth="1"/>
    <col min="764" max="764" width="10.05078125" style="217" customWidth="1"/>
    <col min="765" max="765" width="7.47265625" style="217" customWidth="1"/>
    <col min="766" max="766" width="4.734375" style="217" customWidth="1"/>
    <col min="767" max="767" width="3.20703125" style="217" customWidth="1"/>
    <col min="768" max="768" width="7.734375" style="217" customWidth="1"/>
    <col min="769" max="769" width="7.68359375" style="217" customWidth="1"/>
    <col min="770" max="772" width="8.89453125" style="217" customWidth="1"/>
    <col min="773" max="773" width="8.62890625" style="217" customWidth="1"/>
    <col min="774" max="774" width="6.26171875" style="217" customWidth="1"/>
    <col min="775" max="775" width="1.05078125" style="217" customWidth="1"/>
    <col min="776" max="776" width="7.9453125" style="217" customWidth="1"/>
    <col min="777" max="782" width="6.62890625" style="217" customWidth="1"/>
    <col min="783" max="1017" width="10.83984375" style="217"/>
    <col min="1018" max="1018" width="2.734375" style="217" customWidth="1"/>
    <col min="1019" max="1019" width="13.68359375" style="217" customWidth="1"/>
    <col min="1020" max="1020" width="10.05078125" style="217" customWidth="1"/>
    <col min="1021" max="1021" width="7.47265625" style="217" customWidth="1"/>
    <col min="1022" max="1022" width="4.734375" style="217" customWidth="1"/>
    <col min="1023" max="1023" width="3.20703125" style="217" customWidth="1"/>
    <col min="1024" max="1024" width="7.734375" style="217" customWidth="1"/>
    <col min="1025" max="1025" width="7.68359375" style="217" customWidth="1"/>
    <col min="1026" max="1028" width="8.89453125" style="217" customWidth="1"/>
    <col min="1029" max="1029" width="8.62890625" style="217" customWidth="1"/>
    <col min="1030" max="1030" width="6.26171875" style="217" customWidth="1"/>
    <col min="1031" max="1031" width="1.05078125" style="217" customWidth="1"/>
    <col min="1032" max="1032" width="7.9453125" style="217" customWidth="1"/>
    <col min="1033" max="1038" width="6.62890625" style="217" customWidth="1"/>
    <col min="1039" max="1273" width="10.83984375" style="217"/>
    <col min="1274" max="1274" width="2.734375" style="217" customWidth="1"/>
    <col min="1275" max="1275" width="13.68359375" style="217" customWidth="1"/>
    <col min="1276" max="1276" width="10.05078125" style="217" customWidth="1"/>
    <col min="1277" max="1277" width="7.47265625" style="217" customWidth="1"/>
    <col min="1278" max="1278" width="4.734375" style="217" customWidth="1"/>
    <col min="1279" max="1279" width="3.20703125" style="217" customWidth="1"/>
    <col min="1280" max="1280" width="7.734375" style="217" customWidth="1"/>
    <col min="1281" max="1281" width="7.68359375" style="217" customWidth="1"/>
    <col min="1282" max="1284" width="8.89453125" style="217" customWidth="1"/>
    <col min="1285" max="1285" width="8.62890625" style="217" customWidth="1"/>
    <col min="1286" max="1286" width="6.26171875" style="217" customWidth="1"/>
    <col min="1287" max="1287" width="1.05078125" style="217" customWidth="1"/>
    <col min="1288" max="1288" width="7.9453125" style="217" customWidth="1"/>
    <col min="1289" max="1294" width="6.62890625" style="217" customWidth="1"/>
    <col min="1295" max="1529" width="10.83984375" style="217"/>
    <col min="1530" max="1530" width="2.734375" style="217" customWidth="1"/>
    <col min="1531" max="1531" width="13.68359375" style="217" customWidth="1"/>
    <col min="1532" max="1532" width="10.05078125" style="217" customWidth="1"/>
    <col min="1533" max="1533" width="7.47265625" style="217" customWidth="1"/>
    <col min="1534" max="1534" width="4.734375" style="217" customWidth="1"/>
    <col min="1535" max="1535" width="3.20703125" style="217" customWidth="1"/>
    <col min="1536" max="1536" width="7.734375" style="217" customWidth="1"/>
    <col min="1537" max="1537" width="7.68359375" style="217" customWidth="1"/>
    <col min="1538" max="1540" width="8.89453125" style="217" customWidth="1"/>
    <col min="1541" max="1541" width="8.62890625" style="217" customWidth="1"/>
    <col min="1542" max="1542" width="6.26171875" style="217" customWidth="1"/>
    <col min="1543" max="1543" width="1.05078125" style="217" customWidth="1"/>
    <col min="1544" max="1544" width="7.9453125" style="217" customWidth="1"/>
    <col min="1545" max="1550" width="6.62890625" style="217" customWidth="1"/>
    <col min="1551" max="1785" width="10.83984375" style="217"/>
    <col min="1786" max="1786" width="2.734375" style="217" customWidth="1"/>
    <col min="1787" max="1787" width="13.68359375" style="217" customWidth="1"/>
    <col min="1788" max="1788" width="10.05078125" style="217" customWidth="1"/>
    <col min="1789" max="1789" width="7.47265625" style="217" customWidth="1"/>
    <col min="1790" max="1790" width="4.734375" style="217" customWidth="1"/>
    <col min="1791" max="1791" width="3.20703125" style="217" customWidth="1"/>
    <col min="1792" max="1792" width="7.734375" style="217" customWidth="1"/>
    <col min="1793" max="1793" width="7.68359375" style="217" customWidth="1"/>
    <col min="1794" max="1796" width="8.89453125" style="217" customWidth="1"/>
    <col min="1797" max="1797" width="8.62890625" style="217" customWidth="1"/>
    <col min="1798" max="1798" width="6.26171875" style="217" customWidth="1"/>
    <col min="1799" max="1799" width="1.05078125" style="217" customWidth="1"/>
    <col min="1800" max="1800" width="7.9453125" style="217" customWidth="1"/>
    <col min="1801" max="1806" width="6.62890625" style="217" customWidth="1"/>
    <col min="1807" max="2041" width="10.83984375" style="217"/>
    <col min="2042" max="2042" width="2.734375" style="217" customWidth="1"/>
    <col min="2043" max="2043" width="13.68359375" style="217" customWidth="1"/>
    <col min="2044" max="2044" width="10.05078125" style="217" customWidth="1"/>
    <col min="2045" max="2045" width="7.47265625" style="217" customWidth="1"/>
    <col min="2046" max="2046" width="4.734375" style="217" customWidth="1"/>
    <col min="2047" max="2047" width="3.20703125" style="217" customWidth="1"/>
    <col min="2048" max="2048" width="7.734375" style="217" customWidth="1"/>
    <col min="2049" max="2049" width="7.68359375" style="217" customWidth="1"/>
    <col min="2050" max="2052" width="8.89453125" style="217" customWidth="1"/>
    <col min="2053" max="2053" width="8.62890625" style="217" customWidth="1"/>
    <col min="2054" max="2054" width="6.26171875" style="217" customWidth="1"/>
    <col min="2055" max="2055" width="1.05078125" style="217" customWidth="1"/>
    <col min="2056" max="2056" width="7.9453125" style="217" customWidth="1"/>
    <col min="2057" max="2062" width="6.62890625" style="217" customWidth="1"/>
    <col min="2063" max="2297" width="10.83984375" style="217"/>
    <col min="2298" max="2298" width="2.734375" style="217" customWidth="1"/>
    <col min="2299" max="2299" width="13.68359375" style="217" customWidth="1"/>
    <col min="2300" max="2300" width="10.05078125" style="217" customWidth="1"/>
    <col min="2301" max="2301" width="7.47265625" style="217" customWidth="1"/>
    <col min="2302" max="2302" width="4.734375" style="217" customWidth="1"/>
    <col min="2303" max="2303" width="3.20703125" style="217" customWidth="1"/>
    <col min="2304" max="2304" width="7.734375" style="217" customWidth="1"/>
    <col min="2305" max="2305" width="7.68359375" style="217" customWidth="1"/>
    <col min="2306" max="2308" width="8.89453125" style="217" customWidth="1"/>
    <col min="2309" max="2309" width="8.62890625" style="217" customWidth="1"/>
    <col min="2310" max="2310" width="6.26171875" style="217" customWidth="1"/>
    <col min="2311" max="2311" width="1.05078125" style="217" customWidth="1"/>
    <col min="2312" max="2312" width="7.9453125" style="217" customWidth="1"/>
    <col min="2313" max="2318" width="6.62890625" style="217" customWidth="1"/>
    <col min="2319" max="2553" width="10.83984375" style="217"/>
    <col min="2554" max="2554" width="2.734375" style="217" customWidth="1"/>
    <col min="2555" max="2555" width="13.68359375" style="217" customWidth="1"/>
    <col min="2556" max="2556" width="10.05078125" style="217" customWidth="1"/>
    <col min="2557" max="2557" width="7.47265625" style="217" customWidth="1"/>
    <col min="2558" max="2558" width="4.734375" style="217" customWidth="1"/>
    <col min="2559" max="2559" width="3.20703125" style="217" customWidth="1"/>
    <col min="2560" max="2560" width="7.734375" style="217" customWidth="1"/>
    <col min="2561" max="2561" width="7.68359375" style="217" customWidth="1"/>
    <col min="2562" max="2564" width="8.89453125" style="217" customWidth="1"/>
    <col min="2565" max="2565" width="8.62890625" style="217" customWidth="1"/>
    <col min="2566" max="2566" width="6.26171875" style="217" customWidth="1"/>
    <col min="2567" max="2567" width="1.05078125" style="217" customWidth="1"/>
    <col min="2568" max="2568" width="7.9453125" style="217" customWidth="1"/>
    <col min="2569" max="2574" width="6.62890625" style="217" customWidth="1"/>
    <col min="2575" max="2809" width="10.83984375" style="217"/>
    <col min="2810" max="2810" width="2.734375" style="217" customWidth="1"/>
    <col min="2811" max="2811" width="13.68359375" style="217" customWidth="1"/>
    <col min="2812" max="2812" width="10.05078125" style="217" customWidth="1"/>
    <col min="2813" max="2813" width="7.47265625" style="217" customWidth="1"/>
    <col min="2814" max="2814" width="4.734375" style="217" customWidth="1"/>
    <col min="2815" max="2815" width="3.20703125" style="217" customWidth="1"/>
    <col min="2816" max="2816" width="7.734375" style="217" customWidth="1"/>
    <col min="2817" max="2817" width="7.68359375" style="217" customWidth="1"/>
    <col min="2818" max="2820" width="8.89453125" style="217" customWidth="1"/>
    <col min="2821" max="2821" width="8.62890625" style="217" customWidth="1"/>
    <col min="2822" max="2822" width="6.26171875" style="217" customWidth="1"/>
    <col min="2823" max="2823" width="1.05078125" style="217" customWidth="1"/>
    <col min="2824" max="2824" width="7.9453125" style="217" customWidth="1"/>
    <col min="2825" max="2830" width="6.62890625" style="217" customWidth="1"/>
    <col min="2831" max="3065" width="10.83984375" style="217"/>
    <col min="3066" max="3066" width="2.734375" style="217" customWidth="1"/>
    <col min="3067" max="3067" width="13.68359375" style="217" customWidth="1"/>
    <col min="3068" max="3068" width="10.05078125" style="217" customWidth="1"/>
    <col min="3069" max="3069" width="7.47265625" style="217" customWidth="1"/>
    <col min="3070" max="3070" width="4.734375" style="217" customWidth="1"/>
    <col min="3071" max="3071" width="3.20703125" style="217" customWidth="1"/>
    <col min="3072" max="3072" width="7.734375" style="217" customWidth="1"/>
    <col min="3073" max="3073" width="7.68359375" style="217" customWidth="1"/>
    <col min="3074" max="3076" width="8.89453125" style="217" customWidth="1"/>
    <col min="3077" max="3077" width="8.62890625" style="217" customWidth="1"/>
    <col min="3078" max="3078" width="6.26171875" style="217" customWidth="1"/>
    <col min="3079" max="3079" width="1.05078125" style="217" customWidth="1"/>
    <col min="3080" max="3080" width="7.9453125" style="217" customWidth="1"/>
    <col min="3081" max="3086" width="6.62890625" style="217" customWidth="1"/>
    <col min="3087" max="3321" width="10.83984375" style="217"/>
    <col min="3322" max="3322" width="2.734375" style="217" customWidth="1"/>
    <col min="3323" max="3323" width="13.68359375" style="217" customWidth="1"/>
    <col min="3324" max="3324" width="10.05078125" style="217" customWidth="1"/>
    <col min="3325" max="3325" width="7.47265625" style="217" customWidth="1"/>
    <col min="3326" max="3326" width="4.734375" style="217" customWidth="1"/>
    <col min="3327" max="3327" width="3.20703125" style="217" customWidth="1"/>
    <col min="3328" max="3328" width="7.734375" style="217" customWidth="1"/>
    <col min="3329" max="3329" width="7.68359375" style="217" customWidth="1"/>
    <col min="3330" max="3332" width="8.89453125" style="217" customWidth="1"/>
    <col min="3333" max="3333" width="8.62890625" style="217" customWidth="1"/>
    <col min="3334" max="3334" width="6.26171875" style="217" customWidth="1"/>
    <col min="3335" max="3335" width="1.05078125" style="217" customWidth="1"/>
    <col min="3336" max="3336" width="7.9453125" style="217" customWidth="1"/>
    <col min="3337" max="3342" width="6.62890625" style="217" customWidth="1"/>
    <col min="3343" max="3577" width="10.83984375" style="217"/>
    <col min="3578" max="3578" width="2.734375" style="217" customWidth="1"/>
    <col min="3579" max="3579" width="13.68359375" style="217" customWidth="1"/>
    <col min="3580" max="3580" width="10.05078125" style="217" customWidth="1"/>
    <col min="3581" max="3581" width="7.47265625" style="217" customWidth="1"/>
    <col min="3582" max="3582" width="4.734375" style="217" customWidth="1"/>
    <col min="3583" max="3583" width="3.20703125" style="217" customWidth="1"/>
    <col min="3584" max="3584" width="7.734375" style="217" customWidth="1"/>
    <col min="3585" max="3585" width="7.68359375" style="217" customWidth="1"/>
    <col min="3586" max="3588" width="8.89453125" style="217" customWidth="1"/>
    <col min="3589" max="3589" width="8.62890625" style="217" customWidth="1"/>
    <col min="3590" max="3590" width="6.26171875" style="217" customWidth="1"/>
    <col min="3591" max="3591" width="1.05078125" style="217" customWidth="1"/>
    <col min="3592" max="3592" width="7.9453125" style="217" customWidth="1"/>
    <col min="3593" max="3598" width="6.62890625" style="217" customWidth="1"/>
    <col min="3599" max="3833" width="10.83984375" style="217"/>
    <col min="3834" max="3834" width="2.734375" style="217" customWidth="1"/>
    <col min="3835" max="3835" width="13.68359375" style="217" customWidth="1"/>
    <col min="3836" max="3836" width="10.05078125" style="217" customWidth="1"/>
    <col min="3837" max="3837" width="7.47265625" style="217" customWidth="1"/>
    <col min="3838" max="3838" width="4.734375" style="217" customWidth="1"/>
    <col min="3839" max="3839" width="3.20703125" style="217" customWidth="1"/>
    <col min="3840" max="3840" width="7.734375" style="217" customWidth="1"/>
    <col min="3841" max="3841" width="7.68359375" style="217" customWidth="1"/>
    <col min="3842" max="3844" width="8.89453125" style="217" customWidth="1"/>
    <col min="3845" max="3845" width="8.62890625" style="217" customWidth="1"/>
    <col min="3846" max="3846" width="6.26171875" style="217" customWidth="1"/>
    <col min="3847" max="3847" width="1.05078125" style="217" customWidth="1"/>
    <col min="3848" max="3848" width="7.9453125" style="217" customWidth="1"/>
    <col min="3849" max="3854" width="6.62890625" style="217" customWidth="1"/>
    <col min="3855" max="4089" width="10.83984375" style="217"/>
    <col min="4090" max="4090" width="2.734375" style="217" customWidth="1"/>
    <col min="4091" max="4091" width="13.68359375" style="217" customWidth="1"/>
    <col min="4092" max="4092" width="10.05078125" style="217" customWidth="1"/>
    <col min="4093" max="4093" width="7.47265625" style="217" customWidth="1"/>
    <col min="4094" max="4094" width="4.734375" style="217" customWidth="1"/>
    <col min="4095" max="4095" width="3.20703125" style="217" customWidth="1"/>
    <col min="4096" max="4096" width="7.734375" style="217" customWidth="1"/>
    <col min="4097" max="4097" width="7.68359375" style="217" customWidth="1"/>
    <col min="4098" max="4100" width="8.89453125" style="217" customWidth="1"/>
    <col min="4101" max="4101" width="8.62890625" style="217" customWidth="1"/>
    <col min="4102" max="4102" width="6.26171875" style="217" customWidth="1"/>
    <col min="4103" max="4103" width="1.05078125" style="217" customWidth="1"/>
    <col min="4104" max="4104" width="7.9453125" style="217" customWidth="1"/>
    <col min="4105" max="4110" width="6.62890625" style="217" customWidth="1"/>
    <col min="4111" max="4345" width="10.83984375" style="217"/>
    <col min="4346" max="4346" width="2.734375" style="217" customWidth="1"/>
    <col min="4347" max="4347" width="13.68359375" style="217" customWidth="1"/>
    <col min="4348" max="4348" width="10.05078125" style="217" customWidth="1"/>
    <col min="4349" max="4349" width="7.47265625" style="217" customWidth="1"/>
    <col min="4350" max="4350" width="4.734375" style="217" customWidth="1"/>
    <col min="4351" max="4351" width="3.20703125" style="217" customWidth="1"/>
    <col min="4352" max="4352" width="7.734375" style="217" customWidth="1"/>
    <col min="4353" max="4353" width="7.68359375" style="217" customWidth="1"/>
    <col min="4354" max="4356" width="8.89453125" style="217" customWidth="1"/>
    <col min="4357" max="4357" width="8.62890625" style="217" customWidth="1"/>
    <col min="4358" max="4358" width="6.26171875" style="217" customWidth="1"/>
    <col min="4359" max="4359" width="1.05078125" style="217" customWidth="1"/>
    <col min="4360" max="4360" width="7.9453125" style="217" customWidth="1"/>
    <col min="4361" max="4366" width="6.62890625" style="217" customWidth="1"/>
    <col min="4367" max="4601" width="10.83984375" style="217"/>
    <col min="4602" max="4602" width="2.734375" style="217" customWidth="1"/>
    <col min="4603" max="4603" width="13.68359375" style="217" customWidth="1"/>
    <col min="4604" max="4604" width="10.05078125" style="217" customWidth="1"/>
    <col min="4605" max="4605" width="7.47265625" style="217" customWidth="1"/>
    <col min="4606" max="4606" width="4.734375" style="217" customWidth="1"/>
    <col min="4607" max="4607" width="3.20703125" style="217" customWidth="1"/>
    <col min="4608" max="4608" width="7.734375" style="217" customWidth="1"/>
    <col min="4609" max="4609" width="7.68359375" style="217" customWidth="1"/>
    <col min="4610" max="4612" width="8.89453125" style="217" customWidth="1"/>
    <col min="4613" max="4613" width="8.62890625" style="217" customWidth="1"/>
    <col min="4614" max="4614" width="6.26171875" style="217" customWidth="1"/>
    <col min="4615" max="4615" width="1.05078125" style="217" customWidth="1"/>
    <col min="4616" max="4616" width="7.9453125" style="217" customWidth="1"/>
    <col min="4617" max="4622" width="6.62890625" style="217" customWidth="1"/>
    <col min="4623" max="4857" width="10.83984375" style="217"/>
    <col min="4858" max="4858" width="2.734375" style="217" customWidth="1"/>
    <col min="4859" max="4859" width="13.68359375" style="217" customWidth="1"/>
    <col min="4860" max="4860" width="10.05078125" style="217" customWidth="1"/>
    <col min="4861" max="4861" width="7.47265625" style="217" customWidth="1"/>
    <col min="4862" max="4862" width="4.734375" style="217" customWidth="1"/>
    <col min="4863" max="4863" width="3.20703125" style="217" customWidth="1"/>
    <col min="4864" max="4864" width="7.734375" style="217" customWidth="1"/>
    <col min="4865" max="4865" width="7.68359375" style="217" customWidth="1"/>
    <col min="4866" max="4868" width="8.89453125" style="217" customWidth="1"/>
    <col min="4869" max="4869" width="8.62890625" style="217" customWidth="1"/>
    <col min="4870" max="4870" width="6.26171875" style="217" customWidth="1"/>
    <col min="4871" max="4871" width="1.05078125" style="217" customWidth="1"/>
    <col min="4872" max="4872" width="7.9453125" style="217" customWidth="1"/>
    <col min="4873" max="4878" width="6.62890625" style="217" customWidth="1"/>
    <col min="4879" max="5113" width="10.83984375" style="217"/>
    <col min="5114" max="5114" width="2.734375" style="217" customWidth="1"/>
    <col min="5115" max="5115" width="13.68359375" style="217" customWidth="1"/>
    <col min="5116" max="5116" width="10.05078125" style="217" customWidth="1"/>
    <col min="5117" max="5117" width="7.47265625" style="217" customWidth="1"/>
    <col min="5118" max="5118" width="4.734375" style="217" customWidth="1"/>
    <col min="5119" max="5119" width="3.20703125" style="217" customWidth="1"/>
    <col min="5120" max="5120" width="7.734375" style="217" customWidth="1"/>
    <col min="5121" max="5121" width="7.68359375" style="217" customWidth="1"/>
    <col min="5122" max="5124" width="8.89453125" style="217" customWidth="1"/>
    <col min="5125" max="5125" width="8.62890625" style="217" customWidth="1"/>
    <col min="5126" max="5126" width="6.26171875" style="217" customWidth="1"/>
    <col min="5127" max="5127" width="1.05078125" style="217" customWidth="1"/>
    <col min="5128" max="5128" width="7.9453125" style="217" customWidth="1"/>
    <col min="5129" max="5134" width="6.62890625" style="217" customWidth="1"/>
    <col min="5135" max="5369" width="10.83984375" style="217"/>
    <col min="5370" max="5370" width="2.734375" style="217" customWidth="1"/>
    <col min="5371" max="5371" width="13.68359375" style="217" customWidth="1"/>
    <col min="5372" max="5372" width="10.05078125" style="217" customWidth="1"/>
    <col min="5373" max="5373" width="7.47265625" style="217" customWidth="1"/>
    <col min="5374" max="5374" width="4.734375" style="217" customWidth="1"/>
    <col min="5375" max="5375" width="3.20703125" style="217" customWidth="1"/>
    <col min="5376" max="5376" width="7.734375" style="217" customWidth="1"/>
    <col min="5377" max="5377" width="7.68359375" style="217" customWidth="1"/>
    <col min="5378" max="5380" width="8.89453125" style="217" customWidth="1"/>
    <col min="5381" max="5381" width="8.62890625" style="217" customWidth="1"/>
    <col min="5382" max="5382" width="6.26171875" style="217" customWidth="1"/>
    <col min="5383" max="5383" width="1.05078125" style="217" customWidth="1"/>
    <col min="5384" max="5384" width="7.9453125" style="217" customWidth="1"/>
    <col min="5385" max="5390" width="6.62890625" style="217" customWidth="1"/>
    <col min="5391" max="5625" width="10.83984375" style="217"/>
    <col min="5626" max="5626" width="2.734375" style="217" customWidth="1"/>
    <col min="5627" max="5627" width="13.68359375" style="217" customWidth="1"/>
    <col min="5628" max="5628" width="10.05078125" style="217" customWidth="1"/>
    <col min="5629" max="5629" width="7.47265625" style="217" customWidth="1"/>
    <col min="5630" max="5630" width="4.734375" style="217" customWidth="1"/>
    <col min="5631" max="5631" width="3.20703125" style="217" customWidth="1"/>
    <col min="5632" max="5632" width="7.734375" style="217" customWidth="1"/>
    <col min="5633" max="5633" width="7.68359375" style="217" customWidth="1"/>
    <col min="5634" max="5636" width="8.89453125" style="217" customWidth="1"/>
    <col min="5637" max="5637" width="8.62890625" style="217" customWidth="1"/>
    <col min="5638" max="5638" width="6.26171875" style="217" customWidth="1"/>
    <col min="5639" max="5639" width="1.05078125" style="217" customWidth="1"/>
    <col min="5640" max="5640" width="7.9453125" style="217" customWidth="1"/>
    <col min="5641" max="5646" width="6.62890625" style="217" customWidth="1"/>
    <col min="5647" max="5881" width="10.83984375" style="217"/>
    <col min="5882" max="5882" width="2.734375" style="217" customWidth="1"/>
    <col min="5883" max="5883" width="13.68359375" style="217" customWidth="1"/>
    <col min="5884" max="5884" width="10.05078125" style="217" customWidth="1"/>
    <col min="5885" max="5885" width="7.47265625" style="217" customWidth="1"/>
    <col min="5886" max="5886" width="4.734375" style="217" customWidth="1"/>
    <col min="5887" max="5887" width="3.20703125" style="217" customWidth="1"/>
    <col min="5888" max="5888" width="7.734375" style="217" customWidth="1"/>
    <col min="5889" max="5889" width="7.68359375" style="217" customWidth="1"/>
    <col min="5890" max="5892" width="8.89453125" style="217" customWidth="1"/>
    <col min="5893" max="5893" width="8.62890625" style="217" customWidth="1"/>
    <col min="5894" max="5894" width="6.26171875" style="217" customWidth="1"/>
    <col min="5895" max="5895" width="1.05078125" style="217" customWidth="1"/>
    <col min="5896" max="5896" width="7.9453125" style="217" customWidth="1"/>
    <col min="5897" max="5902" width="6.62890625" style="217" customWidth="1"/>
    <col min="5903" max="6137" width="10.83984375" style="217"/>
    <col min="6138" max="6138" width="2.734375" style="217" customWidth="1"/>
    <col min="6139" max="6139" width="13.68359375" style="217" customWidth="1"/>
    <col min="6140" max="6140" width="10.05078125" style="217" customWidth="1"/>
    <col min="6141" max="6141" width="7.47265625" style="217" customWidth="1"/>
    <col min="6142" max="6142" width="4.734375" style="217" customWidth="1"/>
    <col min="6143" max="6143" width="3.20703125" style="217" customWidth="1"/>
    <col min="6144" max="6144" width="7.734375" style="217" customWidth="1"/>
    <col min="6145" max="6145" width="7.68359375" style="217" customWidth="1"/>
    <col min="6146" max="6148" width="8.89453125" style="217" customWidth="1"/>
    <col min="6149" max="6149" width="8.62890625" style="217" customWidth="1"/>
    <col min="6150" max="6150" width="6.26171875" style="217" customWidth="1"/>
    <col min="6151" max="6151" width="1.05078125" style="217" customWidth="1"/>
    <col min="6152" max="6152" width="7.9453125" style="217" customWidth="1"/>
    <col min="6153" max="6158" width="6.62890625" style="217" customWidth="1"/>
    <col min="6159" max="6393" width="10.83984375" style="217"/>
    <col min="6394" max="6394" width="2.734375" style="217" customWidth="1"/>
    <col min="6395" max="6395" width="13.68359375" style="217" customWidth="1"/>
    <col min="6396" max="6396" width="10.05078125" style="217" customWidth="1"/>
    <col min="6397" max="6397" width="7.47265625" style="217" customWidth="1"/>
    <col min="6398" max="6398" width="4.734375" style="217" customWidth="1"/>
    <col min="6399" max="6399" width="3.20703125" style="217" customWidth="1"/>
    <col min="6400" max="6400" width="7.734375" style="217" customWidth="1"/>
    <col min="6401" max="6401" width="7.68359375" style="217" customWidth="1"/>
    <col min="6402" max="6404" width="8.89453125" style="217" customWidth="1"/>
    <col min="6405" max="6405" width="8.62890625" style="217" customWidth="1"/>
    <col min="6406" max="6406" width="6.26171875" style="217" customWidth="1"/>
    <col min="6407" max="6407" width="1.05078125" style="217" customWidth="1"/>
    <col min="6408" max="6408" width="7.9453125" style="217" customWidth="1"/>
    <col min="6409" max="6414" width="6.62890625" style="217" customWidth="1"/>
    <col min="6415" max="6649" width="10.83984375" style="217"/>
    <col min="6650" max="6650" width="2.734375" style="217" customWidth="1"/>
    <col min="6651" max="6651" width="13.68359375" style="217" customWidth="1"/>
    <col min="6652" max="6652" width="10.05078125" style="217" customWidth="1"/>
    <col min="6653" max="6653" width="7.47265625" style="217" customWidth="1"/>
    <col min="6654" max="6654" width="4.734375" style="217" customWidth="1"/>
    <col min="6655" max="6655" width="3.20703125" style="217" customWidth="1"/>
    <col min="6656" max="6656" width="7.734375" style="217" customWidth="1"/>
    <col min="6657" max="6657" width="7.68359375" style="217" customWidth="1"/>
    <col min="6658" max="6660" width="8.89453125" style="217" customWidth="1"/>
    <col min="6661" max="6661" width="8.62890625" style="217" customWidth="1"/>
    <col min="6662" max="6662" width="6.26171875" style="217" customWidth="1"/>
    <col min="6663" max="6663" width="1.05078125" style="217" customWidth="1"/>
    <col min="6664" max="6664" width="7.9453125" style="217" customWidth="1"/>
    <col min="6665" max="6670" width="6.62890625" style="217" customWidth="1"/>
    <col min="6671" max="6905" width="10.83984375" style="217"/>
    <col min="6906" max="6906" width="2.734375" style="217" customWidth="1"/>
    <col min="6907" max="6907" width="13.68359375" style="217" customWidth="1"/>
    <col min="6908" max="6908" width="10.05078125" style="217" customWidth="1"/>
    <col min="6909" max="6909" width="7.47265625" style="217" customWidth="1"/>
    <col min="6910" max="6910" width="4.734375" style="217" customWidth="1"/>
    <col min="6911" max="6911" width="3.20703125" style="217" customWidth="1"/>
    <col min="6912" max="6912" width="7.734375" style="217" customWidth="1"/>
    <col min="6913" max="6913" width="7.68359375" style="217" customWidth="1"/>
    <col min="6914" max="6916" width="8.89453125" style="217" customWidth="1"/>
    <col min="6917" max="6917" width="8.62890625" style="217" customWidth="1"/>
    <col min="6918" max="6918" width="6.26171875" style="217" customWidth="1"/>
    <col min="6919" max="6919" width="1.05078125" style="217" customWidth="1"/>
    <col min="6920" max="6920" width="7.9453125" style="217" customWidth="1"/>
    <col min="6921" max="6926" width="6.62890625" style="217" customWidth="1"/>
    <col min="6927" max="7161" width="10.83984375" style="217"/>
    <col min="7162" max="7162" width="2.734375" style="217" customWidth="1"/>
    <col min="7163" max="7163" width="13.68359375" style="217" customWidth="1"/>
    <col min="7164" max="7164" width="10.05078125" style="217" customWidth="1"/>
    <col min="7165" max="7165" width="7.47265625" style="217" customWidth="1"/>
    <col min="7166" max="7166" width="4.734375" style="217" customWidth="1"/>
    <col min="7167" max="7167" width="3.20703125" style="217" customWidth="1"/>
    <col min="7168" max="7168" width="7.734375" style="217" customWidth="1"/>
    <col min="7169" max="7169" width="7.68359375" style="217" customWidth="1"/>
    <col min="7170" max="7172" width="8.89453125" style="217" customWidth="1"/>
    <col min="7173" max="7173" width="8.62890625" style="217" customWidth="1"/>
    <col min="7174" max="7174" width="6.26171875" style="217" customWidth="1"/>
    <col min="7175" max="7175" width="1.05078125" style="217" customWidth="1"/>
    <col min="7176" max="7176" width="7.9453125" style="217" customWidth="1"/>
    <col min="7177" max="7182" width="6.62890625" style="217" customWidth="1"/>
    <col min="7183" max="7417" width="10.83984375" style="217"/>
    <col min="7418" max="7418" width="2.734375" style="217" customWidth="1"/>
    <col min="7419" max="7419" width="13.68359375" style="217" customWidth="1"/>
    <col min="7420" max="7420" width="10.05078125" style="217" customWidth="1"/>
    <col min="7421" max="7421" width="7.47265625" style="217" customWidth="1"/>
    <col min="7422" max="7422" width="4.734375" style="217" customWidth="1"/>
    <col min="7423" max="7423" width="3.20703125" style="217" customWidth="1"/>
    <col min="7424" max="7424" width="7.734375" style="217" customWidth="1"/>
    <col min="7425" max="7425" width="7.68359375" style="217" customWidth="1"/>
    <col min="7426" max="7428" width="8.89453125" style="217" customWidth="1"/>
    <col min="7429" max="7429" width="8.62890625" style="217" customWidth="1"/>
    <col min="7430" max="7430" width="6.26171875" style="217" customWidth="1"/>
    <col min="7431" max="7431" width="1.05078125" style="217" customWidth="1"/>
    <col min="7432" max="7432" width="7.9453125" style="217" customWidth="1"/>
    <col min="7433" max="7438" width="6.62890625" style="217" customWidth="1"/>
    <col min="7439" max="7673" width="10.83984375" style="217"/>
    <col min="7674" max="7674" width="2.734375" style="217" customWidth="1"/>
    <col min="7675" max="7675" width="13.68359375" style="217" customWidth="1"/>
    <col min="7676" max="7676" width="10.05078125" style="217" customWidth="1"/>
    <col min="7677" max="7677" width="7.47265625" style="217" customWidth="1"/>
    <col min="7678" max="7678" width="4.734375" style="217" customWidth="1"/>
    <col min="7679" max="7679" width="3.20703125" style="217" customWidth="1"/>
    <col min="7680" max="7680" width="7.734375" style="217" customWidth="1"/>
    <col min="7681" max="7681" width="7.68359375" style="217" customWidth="1"/>
    <col min="7682" max="7684" width="8.89453125" style="217" customWidth="1"/>
    <col min="7685" max="7685" width="8.62890625" style="217" customWidth="1"/>
    <col min="7686" max="7686" width="6.26171875" style="217" customWidth="1"/>
    <col min="7687" max="7687" width="1.05078125" style="217" customWidth="1"/>
    <col min="7688" max="7688" width="7.9453125" style="217" customWidth="1"/>
    <col min="7689" max="7694" width="6.62890625" style="217" customWidth="1"/>
    <col min="7695" max="7929" width="10.83984375" style="217"/>
    <col min="7930" max="7930" width="2.734375" style="217" customWidth="1"/>
    <col min="7931" max="7931" width="13.68359375" style="217" customWidth="1"/>
    <col min="7932" max="7932" width="10.05078125" style="217" customWidth="1"/>
    <col min="7933" max="7933" width="7.47265625" style="217" customWidth="1"/>
    <col min="7934" max="7934" width="4.734375" style="217" customWidth="1"/>
    <col min="7935" max="7935" width="3.20703125" style="217" customWidth="1"/>
    <col min="7936" max="7936" width="7.734375" style="217" customWidth="1"/>
    <col min="7937" max="7937" width="7.68359375" style="217" customWidth="1"/>
    <col min="7938" max="7940" width="8.89453125" style="217" customWidth="1"/>
    <col min="7941" max="7941" width="8.62890625" style="217" customWidth="1"/>
    <col min="7942" max="7942" width="6.26171875" style="217" customWidth="1"/>
    <col min="7943" max="7943" width="1.05078125" style="217" customWidth="1"/>
    <col min="7944" max="7944" width="7.9453125" style="217" customWidth="1"/>
    <col min="7945" max="7950" width="6.62890625" style="217" customWidth="1"/>
    <col min="7951" max="8185" width="10.83984375" style="217"/>
    <col min="8186" max="8186" width="2.734375" style="217" customWidth="1"/>
    <col min="8187" max="8187" width="13.68359375" style="217" customWidth="1"/>
    <col min="8188" max="8188" width="10.05078125" style="217" customWidth="1"/>
    <col min="8189" max="8189" width="7.47265625" style="217" customWidth="1"/>
    <col min="8190" max="8190" width="4.734375" style="217" customWidth="1"/>
    <col min="8191" max="8191" width="3.20703125" style="217" customWidth="1"/>
    <col min="8192" max="8192" width="7.734375" style="217" customWidth="1"/>
    <col min="8193" max="8193" width="7.68359375" style="217" customWidth="1"/>
    <col min="8194" max="8196" width="8.89453125" style="217" customWidth="1"/>
    <col min="8197" max="8197" width="8.62890625" style="217" customWidth="1"/>
    <col min="8198" max="8198" width="6.26171875" style="217" customWidth="1"/>
    <col min="8199" max="8199" width="1.05078125" style="217" customWidth="1"/>
    <col min="8200" max="8200" width="7.9453125" style="217" customWidth="1"/>
    <col min="8201" max="8206" width="6.62890625" style="217" customWidth="1"/>
    <col min="8207" max="8441" width="10.83984375" style="217"/>
    <col min="8442" max="8442" width="2.734375" style="217" customWidth="1"/>
    <col min="8443" max="8443" width="13.68359375" style="217" customWidth="1"/>
    <col min="8444" max="8444" width="10.05078125" style="217" customWidth="1"/>
    <col min="8445" max="8445" width="7.47265625" style="217" customWidth="1"/>
    <col min="8446" max="8446" width="4.734375" style="217" customWidth="1"/>
    <col min="8447" max="8447" width="3.20703125" style="217" customWidth="1"/>
    <col min="8448" max="8448" width="7.734375" style="217" customWidth="1"/>
    <col min="8449" max="8449" width="7.68359375" style="217" customWidth="1"/>
    <col min="8450" max="8452" width="8.89453125" style="217" customWidth="1"/>
    <col min="8453" max="8453" width="8.62890625" style="217" customWidth="1"/>
    <col min="8454" max="8454" width="6.26171875" style="217" customWidth="1"/>
    <col min="8455" max="8455" width="1.05078125" style="217" customWidth="1"/>
    <col min="8456" max="8456" width="7.9453125" style="217" customWidth="1"/>
    <col min="8457" max="8462" width="6.62890625" style="217" customWidth="1"/>
    <col min="8463" max="8697" width="10.83984375" style="217"/>
    <col min="8698" max="8698" width="2.734375" style="217" customWidth="1"/>
    <col min="8699" max="8699" width="13.68359375" style="217" customWidth="1"/>
    <col min="8700" max="8700" width="10.05078125" style="217" customWidth="1"/>
    <col min="8701" max="8701" width="7.47265625" style="217" customWidth="1"/>
    <col min="8702" max="8702" width="4.734375" style="217" customWidth="1"/>
    <col min="8703" max="8703" width="3.20703125" style="217" customWidth="1"/>
    <col min="8704" max="8704" width="7.734375" style="217" customWidth="1"/>
    <col min="8705" max="8705" width="7.68359375" style="217" customWidth="1"/>
    <col min="8706" max="8708" width="8.89453125" style="217" customWidth="1"/>
    <col min="8709" max="8709" width="8.62890625" style="217" customWidth="1"/>
    <col min="8710" max="8710" width="6.26171875" style="217" customWidth="1"/>
    <col min="8711" max="8711" width="1.05078125" style="217" customWidth="1"/>
    <col min="8712" max="8712" width="7.9453125" style="217" customWidth="1"/>
    <col min="8713" max="8718" width="6.62890625" style="217" customWidth="1"/>
    <col min="8719" max="8953" width="10.83984375" style="217"/>
    <col min="8954" max="8954" width="2.734375" style="217" customWidth="1"/>
    <col min="8955" max="8955" width="13.68359375" style="217" customWidth="1"/>
    <col min="8956" max="8956" width="10.05078125" style="217" customWidth="1"/>
    <col min="8957" max="8957" width="7.47265625" style="217" customWidth="1"/>
    <col min="8958" max="8958" width="4.734375" style="217" customWidth="1"/>
    <col min="8959" max="8959" width="3.20703125" style="217" customWidth="1"/>
    <col min="8960" max="8960" width="7.734375" style="217" customWidth="1"/>
    <col min="8961" max="8961" width="7.68359375" style="217" customWidth="1"/>
    <col min="8962" max="8964" width="8.89453125" style="217" customWidth="1"/>
    <col min="8965" max="8965" width="8.62890625" style="217" customWidth="1"/>
    <col min="8966" max="8966" width="6.26171875" style="217" customWidth="1"/>
    <col min="8967" max="8967" width="1.05078125" style="217" customWidth="1"/>
    <col min="8968" max="8968" width="7.9453125" style="217" customWidth="1"/>
    <col min="8969" max="8974" width="6.62890625" style="217" customWidth="1"/>
    <col min="8975" max="9209" width="10.83984375" style="217"/>
    <col min="9210" max="9210" width="2.734375" style="217" customWidth="1"/>
    <col min="9211" max="9211" width="13.68359375" style="217" customWidth="1"/>
    <col min="9212" max="9212" width="10.05078125" style="217" customWidth="1"/>
    <col min="9213" max="9213" width="7.47265625" style="217" customWidth="1"/>
    <col min="9214" max="9214" width="4.734375" style="217" customWidth="1"/>
    <col min="9215" max="9215" width="3.20703125" style="217" customWidth="1"/>
    <col min="9216" max="9216" width="7.734375" style="217" customWidth="1"/>
    <col min="9217" max="9217" width="7.68359375" style="217" customWidth="1"/>
    <col min="9218" max="9220" width="8.89453125" style="217" customWidth="1"/>
    <col min="9221" max="9221" width="8.62890625" style="217" customWidth="1"/>
    <col min="9222" max="9222" width="6.26171875" style="217" customWidth="1"/>
    <col min="9223" max="9223" width="1.05078125" style="217" customWidth="1"/>
    <col min="9224" max="9224" width="7.9453125" style="217" customWidth="1"/>
    <col min="9225" max="9230" width="6.62890625" style="217" customWidth="1"/>
    <col min="9231" max="9465" width="10.83984375" style="217"/>
    <col min="9466" max="9466" width="2.734375" style="217" customWidth="1"/>
    <col min="9467" max="9467" width="13.68359375" style="217" customWidth="1"/>
    <col min="9468" max="9468" width="10.05078125" style="217" customWidth="1"/>
    <col min="9469" max="9469" width="7.47265625" style="217" customWidth="1"/>
    <col min="9470" max="9470" width="4.734375" style="217" customWidth="1"/>
    <col min="9471" max="9471" width="3.20703125" style="217" customWidth="1"/>
    <col min="9472" max="9472" width="7.734375" style="217" customWidth="1"/>
    <col min="9473" max="9473" width="7.68359375" style="217" customWidth="1"/>
    <col min="9474" max="9476" width="8.89453125" style="217" customWidth="1"/>
    <col min="9477" max="9477" width="8.62890625" style="217" customWidth="1"/>
    <col min="9478" max="9478" width="6.26171875" style="217" customWidth="1"/>
    <col min="9479" max="9479" width="1.05078125" style="217" customWidth="1"/>
    <col min="9480" max="9480" width="7.9453125" style="217" customWidth="1"/>
    <col min="9481" max="9486" width="6.62890625" style="217" customWidth="1"/>
    <col min="9487" max="9721" width="10.83984375" style="217"/>
    <col min="9722" max="9722" width="2.734375" style="217" customWidth="1"/>
    <col min="9723" max="9723" width="13.68359375" style="217" customWidth="1"/>
    <col min="9724" max="9724" width="10.05078125" style="217" customWidth="1"/>
    <col min="9725" max="9725" width="7.47265625" style="217" customWidth="1"/>
    <col min="9726" max="9726" width="4.734375" style="217" customWidth="1"/>
    <col min="9727" max="9727" width="3.20703125" style="217" customWidth="1"/>
    <col min="9728" max="9728" width="7.734375" style="217" customWidth="1"/>
    <col min="9729" max="9729" width="7.68359375" style="217" customWidth="1"/>
    <col min="9730" max="9732" width="8.89453125" style="217" customWidth="1"/>
    <col min="9733" max="9733" width="8.62890625" style="217" customWidth="1"/>
    <col min="9734" max="9734" width="6.26171875" style="217" customWidth="1"/>
    <col min="9735" max="9735" width="1.05078125" style="217" customWidth="1"/>
    <col min="9736" max="9736" width="7.9453125" style="217" customWidth="1"/>
    <col min="9737" max="9742" width="6.62890625" style="217" customWidth="1"/>
    <col min="9743" max="9977" width="10.83984375" style="217"/>
    <col min="9978" max="9978" width="2.734375" style="217" customWidth="1"/>
    <col min="9979" max="9979" width="13.68359375" style="217" customWidth="1"/>
    <col min="9980" max="9980" width="10.05078125" style="217" customWidth="1"/>
    <col min="9981" max="9981" width="7.47265625" style="217" customWidth="1"/>
    <col min="9982" max="9982" width="4.734375" style="217" customWidth="1"/>
    <col min="9983" max="9983" width="3.20703125" style="217" customWidth="1"/>
    <col min="9984" max="9984" width="7.734375" style="217" customWidth="1"/>
    <col min="9985" max="9985" width="7.68359375" style="217" customWidth="1"/>
    <col min="9986" max="9988" width="8.89453125" style="217" customWidth="1"/>
    <col min="9989" max="9989" width="8.62890625" style="217" customWidth="1"/>
    <col min="9990" max="9990" width="6.26171875" style="217" customWidth="1"/>
    <col min="9991" max="9991" width="1.05078125" style="217" customWidth="1"/>
    <col min="9992" max="9992" width="7.9453125" style="217" customWidth="1"/>
    <col min="9993" max="9998" width="6.62890625" style="217" customWidth="1"/>
    <col min="9999" max="10233" width="10.83984375" style="217"/>
    <col min="10234" max="10234" width="2.734375" style="217" customWidth="1"/>
    <col min="10235" max="10235" width="13.68359375" style="217" customWidth="1"/>
    <col min="10236" max="10236" width="10.05078125" style="217" customWidth="1"/>
    <col min="10237" max="10237" width="7.47265625" style="217" customWidth="1"/>
    <col min="10238" max="10238" width="4.734375" style="217" customWidth="1"/>
    <col min="10239" max="10239" width="3.20703125" style="217" customWidth="1"/>
    <col min="10240" max="10240" width="7.734375" style="217" customWidth="1"/>
    <col min="10241" max="10241" width="7.68359375" style="217" customWidth="1"/>
    <col min="10242" max="10244" width="8.89453125" style="217" customWidth="1"/>
    <col min="10245" max="10245" width="8.62890625" style="217" customWidth="1"/>
    <col min="10246" max="10246" width="6.26171875" style="217" customWidth="1"/>
    <col min="10247" max="10247" width="1.05078125" style="217" customWidth="1"/>
    <col min="10248" max="10248" width="7.9453125" style="217" customWidth="1"/>
    <col min="10249" max="10254" width="6.62890625" style="217" customWidth="1"/>
    <col min="10255" max="10489" width="10.83984375" style="217"/>
    <col min="10490" max="10490" width="2.734375" style="217" customWidth="1"/>
    <col min="10491" max="10491" width="13.68359375" style="217" customWidth="1"/>
    <col min="10492" max="10492" width="10.05078125" style="217" customWidth="1"/>
    <col min="10493" max="10493" width="7.47265625" style="217" customWidth="1"/>
    <col min="10494" max="10494" width="4.734375" style="217" customWidth="1"/>
    <col min="10495" max="10495" width="3.20703125" style="217" customWidth="1"/>
    <col min="10496" max="10496" width="7.734375" style="217" customWidth="1"/>
    <col min="10497" max="10497" width="7.68359375" style="217" customWidth="1"/>
    <col min="10498" max="10500" width="8.89453125" style="217" customWidth="1"/>
    <col min="10501" max="10501" width="8.62890625" style="217" customWidth="1"/>
    <col min="10502" max="10502" width="6.26171875" style="217" customWidth="1"/>
    <col min="10503" max="10503" width="1.05078125" style="217" customWidth="1"/>
    <col min="10504" max="10504" width="7.9453125" style="217" customWidth="1"/>
    <col min="10505" max="10510" width="6.62890625" style="217" customWidth="1"/>
    <col min="10511" max="10745" width="10.83984375" style="217"/>
    <col min="10746" max="10746" width="2.734375" style="217" customWidth="1"/>
    <col min="10747" max="10747" width="13.68359375" style="217" customWidth="1"/>
    <col min="10748" max="10748" width="10.05078125" style="217" customWidth="1"/>
    <col min="10749" max="10749" width="7.47265625" style="217" customWidth="1"/>
    <col min="10750" max="10750" width="4.734375" style="217" customWidth="1"/>
    <col min="10751" max="10751" width="3.20703125" style="217" customWidth="1"/>
    <col min="10752" max="10752" width="7.734375" style="217" customWidth="1"/>
    <col min="10753" max="10753" width="7.68359375" style="217" customWidth="1"/>
    <col min="10754" max="10756" width="8.89453125" style="217" customWidth="1"/>
    <col min="10757" max="10757" width="8.62890625" style="217" customWidth="1"/>
    <col min="10758" max="10758" width="6.26171875" style="217" customWidth="1"/>
    <col min="10759" max="10759" width="1.05078125" style="217" customWidth="1"/>
    <col min="10760" max="10760" width="7.9453125" style="217" customWidth="1"/>
    <col min="10761" max="10766" width="6.62890625" style="217" customWidth="1"/>
    <col min="10767" max="11001" width="10.83984375" style="217"/>
    <col min="11002" max="11002" width="2.734375" style="217" customWidth="1"/>
    <col min="11003" max="11003" width="13.68359375" style="217" customWidth="1"/>
    <col min="11004" max="11004" width="10.05078125" style="217" customWidth="1"/>
    <col min="11005" max="11005" width="7.47265625" style="217" customWidth="1"/>
    <col min="11006" max="11006" width="4.734375" style="217" customWidth="1"/>
    <col min="11007" max="11007" width="3.20703125" style="217" customWidth="1"/>
    <col min="11008" max="11008" width="7.734375" style="217" customWidth="1"/>
    <col min="11009" max="11009" width="7.68359375" style="217" customWidth="1"/>
    <col min="11010" max="11012" width="8.89453125" style="217" customWidth="1"/>
    <col min="11013" max="11013" width="8.62890625" style="217" customWidth="1"/>
    <col min="11014" max="11014" width="6.26171875" style="217" customWidth="1"/>
    <col min="11015" max="11015" width="1.05078125" style="217" customWidth="1"/>
    <col min="11016" max="11016" width="7.9453125" style="217" customWidth="1"/>
    <col min="11017" max="11022" width="6.62890625" style="217" customWidth="1"/>
    <col min="11023" max="11257" width="10.83984375" style="217"/>
    <col min="11258" max="11258" width="2.734375" style="217" customWidth="1"/>
    <col min="11259" max="11259" width="13.68359375" style="217" customWidth="1"/>
    <col min="11260" max="11260" width="10.05078125" style="217" customWidth="1"/>
    <col min="11261" max="11261" width="7.47265625" style="217" customWidth="1"/>
    <col min="11262" max="11262" width="4.734375" style="217" customWidth="1"/>
    <col min="11263" max="11263" width="3.20703125" style="217" customWidth="1"/>
    <col min="11264" max="11264" width="7.734375" style="217" customWidth="1"/>
    <col min="11265" max="11265" width="7.68359375" style="217" customWidth="1"/>
    <col min="11266" max="11268" width="8.89453125" style="217" customWidth="1"/>
    <col min="11269" max="11269" width="8.62890625" style="217" customWidth="1"/>
    <col min="11270" max="11270" width="6.26171875" style="217" customWidth="1"/>
    <col min="11271" max="11271" width="1.05078125" style="217" customWidth="1"/>
    <col min="11272" max="11272" width="7.9453125" style="217" customWidth="1"/>
    <col min="11273" max="11278" width="6.62890625" style="217" customWidth="1"/>
    <col min="11279" max="11513" width="10.83984375" style="217"/>
    <col min="11514" max="11514" width="2.734375" style="217" customWidth="1"/>
    <col min="11515" max="11515" width="13.68359375" style="217" customWidth="1"/>
    <col min="11516" max="11516" width="10.05078125" style="217" customWidth="1"/>
    <col min="11517" max="11517" width="7.47265625" style="217" customWidth="1"/>
    <col min="11518" max="11518" width="4.734375" style="217" customWidth="1"/>
    <col min="11519" max="11519" width="3.20703125" style="217" customWidth="1"/>
    <col min="11520" max="11520" width="7.734375" style="217" customWidth="1"/>
    <col min="11521" max="11521" width="7.68359375" style="217" customWidth="1"/>
    <col min="11522" max="11524" width="8.89453125" style="217" customWidth="1"/>
    <col min="11525" max="11525" width="8.62890625" style="217" customWidth="1"/>
    <col min="11526" max="11526" width="6.26171875" style="217" customWidth="1"/>
    <col min="11527" max="11527" width="1.05078125" style="217" customWidth="1"/>
    <col min="11528" max="11528" width="7.9453125" style="217" customWidth="1"/>
    <col min="11529" max="11534" width="6.62890625" style="217" customWidth="1"/>
    <col min="11535" max="11769" width="10.83984375" style="217"/>
    <col min="11770" max="11770" width="2.734375" style="217" customWidth="1"/>
    <col min="11771" max="11771" width="13.68359375" style="217" customWidth="1"/>
    <col min="11772" max="11772" width="10.05078125" style="217" customWidth="1"/>
    <col min="11773" max="11773" width="7.47265625" style="217" customWidth="1"/>
    <col min="11774" max="11774" width="4.734375" style="217" customWidth="1"/>
    <col min="11775" max="11775" width="3.20703125" style="217" customWidth="1"/>
    <col min="11776" max="11776" width="7.734375" style="217" customWidth="1"/>
    <col min="11777" max="11777" width="7.68359375" style="217" customWidth="1"/>
    <col min="11778" max="11780" width="8.89453125" style="217" customWidth="1"/>
    <col min="11781" max="11781" width="8.62890625" style="217" customWidth="1"/>
    <col min="11782" max="11782" width="6.26171875" style="217" customWidth="1"/>
    <col min="11783" max="11783" width="1.05078125" style="217" customWidth="1"/>
    <col min="11784" max="11784" width="7.9453125" style="217" customWidth="1"/>
    <col min="11785" max="11790" width="6.62890625" style="217" customWidth="1"/>
    <col min="11791" max="12025" width="10.83984375" style="217"/>
    <col min="12026" max="12026" width="2.734375" style="217" customWidth="1"/>
    <col min="12027" max="12027" width="13.68359375" style="217" customWidth="1"/>
    <col min="12028" max="12028" width="10.05078125" style="217" customWidth="1"/>
    <col min="12029" max="12029" width="7.47265625" style="217" customWidth="1"/>
    <col min="12030" max="12030" width="4.734375" style="217" customWidth="1"/>
    <col min="12031" max="12031" width="3.20703125" style="217" customWidth="1"/>
    <col min="12032" max="12032" width="7.734375" style="217" customWidth="1"/>
    <col min="12033" max="12033" width="7.68359375" style="217" customWidth="1"/>
    <col min="12034" max="12036" width="8.89453125" style="217" customWidth="1"/>
    <col min="12037" max="12037" width="8.62890625" style="217" customWidth="1"/>
    <col min="12038" max="12038" width="6.26171875" style="217" customWidth="1"/>
    <col min="12039" max="12039" width="1.05078125" style="217" customWidth="1"/>
    <col min="12040" max="12040" width="7.9453125" style="217" customWidth="1"/>
    <col min="12041" max="12046" width="6.62890625" style="217" customWidth="1"/>
    <col min="12047" max="12281" width="10.83984375" style="217"/>
    <col min="12282" max="12282" width="2.734375" style="217" customWidth="1"/>
    <col min="12283" max="12283" width="13.68359375" style="217" customWidth="1"/>
    <col min="12284" max="12284" width="10.05078125" style="217" customWidth="1"/>
    <col min="12285" max="12285" width="7.47265625" style="217" customWidth="1"/>
    <col min="12286" max="12286" width="4.734375" style="217" customWidth="1"/>
    <col min="12287" max="12287" width="3.20703125" style="217" customWidth="1"/>
    <col min="12288" max="12288" width="7.734375" style="217" customWidth="1"/>
    <col min="12289" max="12289" width="7.68359375" style="217" customWidth="1"/>
    <col min="12290" max="12292" width="8.89453125" style="217" customWidth="1"/>
    <col min="12293" max="12293" width="8.62890625" style="217" customWidth="1"/>
    <col min="12294" max="12294" width="6.26171875" style="217" customWidth="1"/>
    <col min="12295" max="12295" width="1.05078125" style="217" customWidth="1"/>
    <col min="12296" max="12296" width="7.9453125" style="217" customWidth="1"/>
    <col min="12297" max="12302" width="6.62890625" style="217" customWidth="1"/>
    <col min="12303" max="12537" width="10.83984375" style="217"/>
    <col min="12538" max="12538" width="2.734375" style="217" customWidth="1"/>
    <col min="12539" max="12539" width="13.68359375" style="217" customWidth="1"/>
    <col min="12540" max="12540" width="10.05078125" style="217" customWidth="1"/>
    <col min="12541" max="12541" width="7.47265625" style="217" customWidth="1"/>
    <col min="12542" max="12542" width="4.734375" style="217" customWidth="1"/>
    <col min="12543" max="12543" width="3.20703125" style="217" customWidth="1"/>
    <col min="12544" max="12544" width="7.734375" style="217" customWidth="1"/>
    <col min="12545" max="12545" width="7.68359375" style="217" customWidth="1"/>
    <col min="12546" max="12548" width="8.89453125" style="217" customWidth="1"/>
    <col min="12549" max="12549" width="8.62890625" style="217" customWidth="1"/>
    <col min="12550" max="12550" width="6.26171875" style="217" customWidth="1"/>
    <col min="12551" max="12551" width="1.05078125" style="217" customWidth="1"/>
    <col min="12552" max="12552" width="7.9453125" style="217" customWidth="1"/>
    <col min="12553" max="12558" width="6.62890625" style="217" customWidth="1"/>
    <col min="12559" max="12793" width="10.83984375" style="217"/>
    <col min="12794" max="12794" width="2.734375" style="217" customWidth="1"/>
    <col min="12795" max="12795" width="13.68359375" style="217" customWidth="1"/>
    <col min="12796" max="12796" width="10.05078125" style="217" customWidth="1"/>
    <col min="12797" max="12797" width="7.47265625" style="217" customWidth="1"/>
    <col min="12798" max="12798" width="4.734375" style="217" customWidth="1"/>
    <col min="12799" max="12799" width="3.20703125" style="217" customWidth="1"/>
    <col min="12800" max="12800" width="7.734375" style="217" customWidth="1"/>
    <col min="12801" max="12801" width="7.68359375" style="217" customWidth="1"/>
    <col min="12802" max="12804" width="8.89453125" style="217" customWidth="1"/>
    <col min="12805" max="12805" width="8.62890625" style="217" customWidth="1"/>
    <col min="12806" max="12806" width="6.26171875" style="217" customWidth="1"/>
    <col min="12807" max="12807" width="1.05078125" style="217" customWidth="1"/>
    <col min="12808" max="12808" width="7.9453125" style="217" customWidth="1"/>
    <col min="12809" max="12814" width="6.62890625" style="217" customWidth="1"/>
    <col min="12815" max="13049" width="10.83984375" style="217"/>
    <col min="13050" max="13050" width="2.734375" style="217" customWidth="1"/>
    <col min="13051" max="13051" width="13.68359375" style="217" customWidth="1"/>
    <col min="13052" max="13052" width="10.05078125" style="217" customWidth="1"/>
    <col min="13053" max="13053" width="7.47265625" style="217" customWidth="1"/>
    <col min="13054" max="13054" width="4.734375" style="217" customWidth="1"/>
    <col min="13055" max="13055" width="3.20703125" style="217" customWidth="1"/>
    <col min="13056" max="13056" width="7.734375" style="217" customWidth="1"/>
    <col min="13057" max="13057" width="7.68359375" style="217" customWidth="1"/>
    <col min="13058" max="13060" width="8.89453125" style="217" customWidth="1"/>
    <col min="13061" max="13061" width="8.62890625" style="217" customWidth="1"/>
    <col min="13062" max="13062" width="6.26171875" style="217" customWidth="1"/>
    <col min="13063" max="13063" width="1.05078125" style="217" customWidth="1"/>
    <col min="13064" max="13064" width="7.9453125" style="217" customWidth="1"/>
    <col min="13065" max="13070" width="6.62890625" style="217" customWidth="1"/>
    <col min="13071" max="13305" width="10.83984375" style="217"/>
    <col min="13306" max="13306" width="2.734375" style="217" customWidth="1"/>
    <col min="13307" max="13307" width="13.68359375" style="217" customWidth="1"/>
    <col min="13308" max="13308" width="10.05078125" style="217" customWidth="1"/>
    <col min="13309" max="13309" width="7.47265625" style="217" customWidth="1"/>
    <col min="13310" max="13310" width="4.734375" style="217" customWidth="1"/>
    <col min="13311" max="13311" width="3.20703125" style="217" customWidth="1"/>
    <col min="13312" max="13312" width="7.734375" style="217" customWidth="1"/>
    <col min="13313" max="13313" width="7.68359375" style="217" customWidth="1"/>
    <col min="13314" max="13316" width="8.89453125" style="217" customWidth="1"/>
    <col min="13317" max="13317" width="8.62890625" style="217" customWidth="1"/>
    <col min="13318" max="13318" width="6.26171875" style="217" customWidth="1"/>
    <col min="13319" max="13319" width="1.05078125" style="217" customWidth="1"/>
    <col min="13320" max="13320" width="7.9453125" style="217" customWidth="1"/>
    <col min="13321" max="13326" width="6.62890625" style="217" customWidth="1"/>
    <col min="13327" max="13561" width="10.83984375" style="217"/>
    <col min="13562" max="13562" width="2.734375" style="217" customWidth="1"/>
    <col min="13563" max="13563" width="13.68359375" style="217" customWidth="1"/>
    <col min="13564" max="13564" width="10.05078125" style="217" customWidth="1"/>
    <col min="13565" max="13565" width="7.47265625" style="217" customWidth="1"/>
    <col min="13566" max="13566" width="4.734375" style="217" customWidth="1"/>
    <col min="13567" max="13567" width="3.20703125" style="217" customWidth="1"/>
    <col min="13568" max="13568" width="7.734375" style="217" customWidth="1"/>
    <col min="13569" max="13569" width="7.68359375" style="217" customWidth="1"/>
    <col min="13570" max="13572" width="8.89453125" style="217" customWidth="1"/>
    <col min="13573" max="13573" width="8.62890625" style="217" customWidth="1"/>
    <col min="13574" max="13574" width="6.26171875" style="217" customWidth="1"/>
    <col min="13575" max="13575" width="1.05078125" style="217" customWidth="1"/>
    <col min="13576" max="13576" width="7.9453125" style="217" customWidth="1"/>
    <col min="13577" max="13582" width="6.62890625" style="217" customWidth="1"/>
    <col min="13583" max="13817" width="10.83984375" style="217"/>
    <col min="13818" max="13818" width="2.734375" style="217" customWidth="1"/>
    <col min="13819" max="13819" width="13.68359375" style="217" customWidth="1"/>
    <col min="13820" max="13820" width="10.05078125" style="217" customWidth="1"/>
    <col min="13821" max="13821" width="7.47265625" style="217" customWidth="1"/>
    <col min="13822" max="13822" width="4.734375" style="217" customWidth="1"/>
    <col min="13823" max="13823" width="3.20703125" style="217" customWidth="1"/>
    <col min="13824" max="13824" width="7.734375" style="217" customWidth="1"/>
    <col min="13825" max="13825" width="7.68359375" style="217" customWidth="1"/>
    <col min="13826" max="13828" width="8.89453125" style="217" customWidth="1"/>
    <col min="13829" max="13829" width="8.62890625" style="217" customWidth="1"/>
    <col min="13830" max="13830" width="6.26171875" style="217" customWidth="1"/>
    <col min="13831" max="13831" width="1.05078125" style="217" customWidth="1"/>
    <col min="13832" max="13832" width="7.9453125" style="217" customWidth="1"/>
    <col min="13833" max="13838" width="6.62890625" style="217" customWidth="1"/>
    <col min="13839" max="14073" width="10.83984375" style="217"/>
    <col min="14074" max="14074" width="2.734375" style="217" customWidth="1"/>
    <col min="14075" max="14075" width="13.68359375" style="217" customWidth="1"/>
    <col min="14076" max="14076" width="10.05078125" style="217" customWidth="1"/>
    <col min="14077" max="14077" width="7.47265625" style="217" customWidth="1"/>
    <col min="14078" max="14078" width="4.734375" style="217" customWidth="1"/>
    <col min="14079" max="14079" width="3.20703125" style="217" customWidth="1"/>
    <col min="14080" max="14080" width="7.734375" style="217" customWidth="1"/>
    <col min="14081" max="14081" width="7.68359375" style="217" customWidth="1"/>
    <col min="14082" max="14084" width="8.89453125" style="217" customWidth="1"/>
    <col min="14085" max="14085" width="8.62890625" style="217" customWidth="1"/>
    <col min="14086" max="14086" width="6.26171875" style="217" customWidth="1"/>
    <col min="14087" max="14087" width="1.05078125" style="217" customWidth="1"/>
    <col min="14088" max="14088" width="7.9453125" style="217" customWidth="1"/>
    <col min="14089" max="14094" width="6.62890625" style="217" customWidth="1"/>
    <col min="14095" max="14329" width="10.83984375" style="217"/>
    <col min="14330" max="14330" width="2.734375" style="217" customWidth="1"/>
    <col min="14331" max="14331" width="13.68359375" style="217" customWidth="1"/>
    <col min="14332" max="14332" width="10.05078125" style="217" customWidth="1"/>
    <col min="14333" max="14333" width="7.47265625" style="217" customWidth="1"/>
    <col min="14334" max="14334" width="4.734375" style="217" customWidth="1"/>
    <col min="14335" max="14335" width="3.20703125" style="217" customWidth="1"/>
    <col min="14336" max="14336" width="7.734375" style="217" customWidth="1"/>
    <col min="14337" max="14337" width="7.68359375" style="217" customWidth="1"/>
    <col min="14338" max="14340" width="8.89453125" style="217" customWidth="1"/>
    <col min="14341" max="14341" width="8.62890625" style="217" customWidth="1"/>
    <col min="14342" max="14342" width="6.26171875" style="217" customWidth="1"/>
    <col min="14343" max="14343" width="1.05078125" style="217" customWidth="1"/>
    <col min="14344" max="14344" width="7.9453125" style="217" customWidth="1"/>
    <col min="14345" max="14350" width="6.62890625" style="217" customWidth="1"/>
    <col min="14351" max="14585" width="10.83984375" style="217"/>
    <col min="14586" max="14586" width="2.734375" style="217" customWidth="1"/>
    <col min="14587" max="14587" width="13.68359375" style="217" customWidth="1"/>
    <col min="14588" max="14588" width="10.05078125" style="217" customWidth="1"/>
    <col min="14589" max="14589" width="7.47265625" style="217" customWidth="1"/>
    <col min="14590" max="14590" width="4.734375" style="217" customWidth="1"/>
    <col min="14591" max="14591" width="3.20703125" style="217" customWidth="1"/>
    <col min="14592" max="14592" width="7.734375" style="217" customWidth="1"/>
    <col min="14593" max="14593" width="7.68359375" style="217" customWidth="1"/>
    <col min="14594" max="14596" width="8.89453125" style="217" customWidth="1"/>
    <col min="14597" max="14597" width="8.62890625" style="217" customWidth="1"/>
    <col min="14598" max="14598" width="6.26171875" style="217" customWidth="1"/>
    <col min="14599" max="14599" width="1.05078125" style="217" customWidth="1"/>
    <col min="14600" max="14600" width="7.9453125" style="217" customWidth="1"/>
    <col min="14601" max="14606" width="6.62890625" style="217" customWidth="1"/>
    <col min="14607" max="14841" width="10.83984375" style="217"/>
    <col min="14842" max="14842" width="2.734375" style="217" customWidth="1"/>
    <col min="14843" max="14843" width="13.68359375" style="217" customWidth="1"/>
    <col min="14844" max="14844" width="10.05078125" style="217" customWidth="1"/>
    <col min="14845" max="14845" width="7.47265625" style="217" customWidth="1"/>
    <col min="14846" max="14846" width="4.734375" style="217" customWidth="1"/>
    <col min="14847" max="14847" width="3.20703125" style="217" customWidth="1"/>
    <col min="14848" max="14848" width="7.734375" style="217" customWidth="1"/>
    <col min="14849" max="14849" width="7.68359375" style="217" customWidth="1"/>
    <col min="14850" max="14852" width="8.89453125" style="217" customWidth="1"/>
    <col min="14853" max="14853" width="8.62890625" style="217" customWidth="1"/>
    <col min="14854" max="14854" width="6.26171875" style="217" customWidth="1"/>
    <col min="14855" max="14855" width="1.05078125" style="217" customWidth="1"/>
    <col min="14856" max="14856" width="7.9453125" style="217" customWidth="1"/>
    <col min="14857" max="14862" width="6.62890625" style="217" customWidth="1"/>
    <col min="14863" max="15097" width="10.83984375" style="217"/>
    <col min="15098" max="15098" width="2.734375" style="217" customWidth="1"/>
    <col min="15099" max="15099" width="13.68359375" style="217" customWidth="1"/>
    <col min="15100" max="15100" width="10.05078125" style="217" customWidth="1"/>
    <col min="15101" max="15101" width="7.47265625" style="217" customWidth="1"/>
    <col min="15102" max="15102" width="4.734375" style="217" customWidth="1"/>
    <col min="15103" max="15103" width="3.20703125" style="217" customWidth="1"/>
    <col min="15104" max="15104" width="7.734375" style="217" customWidth="1"/>
    <col min="15105" max="15105" width="7.68359375" style="217" customWidth="1"/>
    <col min="15106" max="15108" width="8.89453125" style="217" customWidth="1"/>
    <col min="15109" max="15109" width="8.62890625" style="217" customWidth="1"/>
    <col min="15110" max="15110" width="6.26171875" style="217" customWidth="1"/>
    <col min="15111" max="15111" width="1.05078125" style="217" customWidth="1"/>
    <col min="15112" max="15112" width="7.9453125" style="217" customWidth="1"/>
    <col min="15113" max="15118" width="6.62890625" style="217" customWidth="1"/>
    <col min="15119" max="15353" width="10.83984375" style="217"/>
    <col min="15354" max="15354" width="2.734375" style="217" customWidth="1"/>
    <col min="15355" max="15355" width="13.68359375" style="217" customWidth="1"/>
    <col min="15356" max="15356" width="10.05078125" style="217" customWidth="1"/>
    <col min="15357" max="15357" width="7.47265625" style="217" customWidth="1"/>
    <col min="15358" max="15358" width="4.734375" style="217" customWidth="1"/>
    <col min="15359" max="15359" width="3.20703125" style="217" customWidth="1"/>
    <col min="15360" max="15360" width="7.734375" style="217" customWidth="1"/>
    <col min="15361" max="15361" width="7.68359375" style="217" customWidth="1"/>
    <col min="15362" max="15364" width="8.89453125" style="217" customWidth="1"/>
    <col min="15365" max="15365" width="8.62890625" style="217" customWidth="1"/>
    <col min="15366" max="15366" width="6.26171875" style="217" customWidth="1"/>
    <col min="15367" max="15367" width="1.05078125" style="217" customWidth="1"/>
    <col min="15368" max="15368" width="7.9453125" style="217" customWidth="1"/>
    <col min="15369" max="15374" width="6.62890625" style="217" customWidth="1"/>
    <col min="15375" max="15609" width="10.83984375" style="217"/>
    <col min="15610" max="15610" width="2.734375" style="217" customWidth="1"/>
    <col min="15611" max="15611" width="13.68359375" style="217" customWidth="1"/>
    <col min="15612" max="15612" width="10.05078125" style="217" customWidth="1"/>
    <col min="15613" max="15613" width="7.47265625" style="217" customWidth="1"/>
    <col min="15614" max="15614" width="4.734375" style="217" customWidth="1"/>
    <col min="15615" max="15615" width="3.20703125" style="217" customWidth="1"/>
    <col min="15616" max="15616" width="7.734375" style="217" customWidth="1"/>
    <col min="15617" max="15617" width="7.68359375" style="217" customWidth="1"/>
    <col min="15618" max="15620" width="8.89453125" style="217" customWidth="1"/>
    <col min="15621" max="15621" width="8.62890625" style="217" customWidth="1"/>
    <col min="15622" max="15622" width="6.26171875" style="217" customWidth="1"/>
    <col min="15623" max="15623" width="1.05078125" style="217" customWidth="1"/>
    <col min="15624" max="15624" width="7.9453125" style="217" customWidth="1"/>
    <col min="15625" max="15630" width="6.62890625" style="217" customWidth="1"/>
    <col min="15631" max="15865" width="10.83984375" style="217"/>
    <col min="15866" max="15866" width="2.734375" style="217" customWidth="1"/>
    <col min="15867" max="15867" width="13.68359375" style="217" customWidth="1"/>
    <col min="15868" max="15868" width="10.05078125" style="217" customWidth="1"/>
    <col min="15869" max="15869" width="7.47265625" style="217" customWidth="1"/>
    <col min="15870" max="15870" width="4.734375" style="217" customWidth="1"/>
    <col min="15871" max="15871" width="3.20703125" style="217" customWidth="1"/>
    <col min="15872" max="15872" width="7.734375" style="217" customWidth="1"/>
    <col min="15873" max="15873" width="7.68359375" style="217" customWidth="1"/>
    <col min="15874" max="15876" width="8.89453125" style="217" customWidth="1"/>
    <col min="15877" max="15877" width="8.62890625" style="217" customWidth="1"/>
    <col min="15878" max="15878" width="6.26171875" style="217" customWidth="1"/>
    <col min="15879" max="15879" width="1.05078125" style="217" customWidth="1"/>
    <col min="15880" max="15880" width="7.9453125" style="217" customWidth="1"/>
    <col min="15881" max="15886" width="6.62890625" style="217" customWidth="1"/>
    <col min="15887" max="16121" width="10.83984375" style="217"/>
    <col min="16122" max="16122" width="2.734375" style="217" customWidth="1"/>
    <col min="16123" max="16123" width="13.68359375" style="217" customWidth="1"/>
    <col min="16124" max="16124" width="10.05078125" style="217" customWidth="1"/>
    <col min="16125" max="16125" width="7.47265625" style="217" customWidth="1"/>
    <col min="16126" max="16126" width="4.734375" style="217" customWidth="1"/>
    <col min="16127" max="16127" width="3.20703125" style="217" customWidth="1"/>
    <col min="16128" max="16128" width="7.734375" style="217" customWidth="1"/>
    <col min="16129" max="16129" width="7.68359375" style="217" customWidth="1"/>
    <col min="16130" max="16132" width="8.89453125" style="217" customWidth="1"/>
    <col min="16133" max="16133" width="8.62890625" style="217" customWidth="1"/>
    <col min="16134" max="16134" width="6.26171875" style="217" customWidth="1"/>
    <col min="16135" max="16135" width="1.05078125" style="217" customWidth="1"/>
    <col min="16136" max="16136" width="7.9453125" style="217" customWidth="1"/>
    <col min="16137" max="16142" width="6.62890625" style="217" customWidth="1"/>
    <col min="16143" max="16384" width="10.83984375" style="217"/>
  </cols>
  <sheetData>
    <row r="1" spans="1:17" ht="18.600000000000001" thickBot="1" x14ac:dyDescent="0.75">
      <c r="A1" s="360" t="s">
        <v>362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</row>
    <row r="3" spans="1:17" ht="14.2" customHeight="1" x14ac:dyDescent="0.55000000000000004">
      <c r="B3" s="287"/>
      <c r="C3" s="287"/>
      <c r="D3" s="288"/>
      <c r="G3" s="289" t="s">
        <v>320</v>
      </c>
      <c r="H3" s="290"/>
      <c r="I3" s="291" t="s">
        <v>219</v>
      </c>
      <c r="J3" s="291"/>
      <c r="K3" s="291"/>
      <c r="L3" s="291"/>
      <c r="M3" s="291"/>
      <c r="N3" s="288"/>
      <c r="O3" s="288"/>
    </row>
    <row r="4" spans="1:17" ht="14.2" customHeight="1" x14ac:dyDescent="0.6">
      <c r="B4" s="292" t="s">
        <v>364</v>
      </c>
      <c r="C4" s="293"/>
      <c r="D4" s="293"/>
      <c r="E4" s="293"/>
      <c r="G4" s="294">
        <v>2009</v>
      </c>
      <c r="H4" s="294">
        <v>2010</v>
      </c>
      <c r="I4" s="293">
        <v>2011</v>
      </c>
      <c r="J4" s="293">
        <f t="shared" ref="J4:M5" si="0">I4+1</f>
        <v>2012</v>
      </c>
      <c r="K4" s="293">
        <f t="shared" si="0"/>
        <v>2013</v>
      </c>
      <c r="L4" s="293">
        <f t="shared" si="0"/>
        <v>2014</v>
      </c>
      <c r="M4" s="293">
        <f t="shared" si="0"/>
        <v>2015</v>
      </c>
      <c r="N4" s="295" t="s">
        <v>321</v>
      </c>
      <c r="O4" s="295"/>
    </row>
    <row r="5" spans="1:17" s="298" customFormat="1" ht="14.2" customHeight="1" x14ac:dyDescent="0.55000000000000004">
      <c r="B5" s="296" t="str">
        <f>"FCFF descontado a WACC = "&amp;TEXT(D36,"#,##0.00%")</f>
        <v>FCFF descontado a WACC = 10.00%</v>
      </c>
      <c r="C5" s="297"/>
      <c r="D5" s="297"/>
      <c r="F5" s="299"/>
      <c r="G5" s="299"/>
      <c r="H5" s="299"/>
      <c r="I5" s="300">
        <v>1</v>
      </c>
      <c r="J5" s="300">
        <f t="shared" si="0"/>
        <v>2</v>
      </c>
      <c r="K5" s="300">
        <f t="shared" si="0"/>
        <v>3</v>
      </c>
      <c r="L5" s="300">
        <f t="shared" si="0"/>
        <v>4</v>
      </c>
      <c r="M5" s="300">
        <f t="shared" si="0"/>
        <v>5</v>
      </c>
      <c r="N5" s="301" t="s">
        <v>343</v>
      </c>
      <c r="O5" s="301"/>
    </row>
    <row r="6" spans="1:17" s="298" customFormat="1" ht="5.25" customHeight="1" x14ac:dyDescent="0.5"/>
    <row r="7" spans="1:17" ht="12" customHeight="1" x14ac:dyDescent="0.55000000000000004">
      <c r="B7" s="297" t="s">
        <v>322</v>
      </c>
      <c r="C7" s="297"/>
      <c r="D7" s="297"/>
      <c r="G7" s="302">
        <f>'Model 100% Accept'!J6</f>
        <v>825</v>
      </c>
      <c r="H7" s="302">
        <f>'Model 100% Accept'!K6</f>
        <v>875.3</v>
      </c>
      <c r="I7" s="302">
        <f>'Model 100% Accept'!N6</f>
        <v>934.82039999999995</v>
      </c>
      <c r="J7" s="302">
        <f>'Model 100% Accept'!O6</f>
        <v>990.90962400000001</v>
      </c>
      <c r="K7" s="302">
        <f>'Model 100% Accept'!P6</f>
        <v>1045.40965332</v>
      </c>
      <c r="L7" s="302">
        <f>'Model 100% Accept'!Q6</f>
        <v>1092.4530877193999</v>
      </c>
      <c r="M7" s="302">
        <f>'Model 100% Accept'!R6</f>
        <v>1130.6889457895788</v>
      </c>
      <c r="N7" s="303">
        <f>(M7/I7)^(1/4)-1</f>
        <v>4.8705972298807021E-2</v>
      </c>
      <c r="O7" s="303"/>
    </row>
    <row r="8" spans="1:17" ht="12" customHeight="1" x14ac:dyDescent="0.55000000000000004">
      <c r="B8" s="297" t="s">
        <v>323</v>
      </c>
      <c r="C8" s="297"/>
      <c r="D8" s="297"/>
      <c r="F8" s="304"/>
      <c r="G8" s="305">
        <f>G7/787.2-1</f>
        <v>4.8018292682926678E-2</v>
      </c>
      <c r="H8" s="305">
        <f t="shared" ref="H8:M8" si="1">H7/G7-1</f>
        <v>6.0969696969696896E-2</v>
      </c>
      <c r="I8" s="305">
        <f t="shared" si="1"/>
        <v>6.800000000000006E-2</v>
      </c>
      <c r="J8" s="305">
        <f t="shared" si="1"/>
        <v>6.0000000000000053E-2</v>
      </c>
      <c r="K8" s="305">
        <f t="shared" si="1"/>
        <v>5.4999999999999938E-2</v>
      </c>
      <c r="L8" s="305">
        <f t="shared" si="1"/>
        <v>4.4999999999999929E-2</v>
      </c>
      <c r="M8" s="305">
        <f t="shared" si="1"/>
        <v>3.499999999999992E-2</v>
      </c>
      <c r="N8" s="303"/>
      <c r="O8" s="303"/>
    </row>
    <row r="9" spans="1:17" ht="12" customHeight="1" x14ac:dyDescent="0.55000000000000004">
      <c r="B9" s="297" t="s">
        <v>324</v>
      </c>
      <c r="C9" s="297"/>
      <c r="D9" s="297"/>
      <c r="G9" s="302">
        <f>'Model 100% Accept'!J18</f>
        <v>-27.224999999999994</v>
      </c>
      <c r="H9" s="302">
        <f>'Model 100% Accept'!K18</f>
        <v>0.8752999999999389</v>
      </c>
      <c r="I9" s="302">
        <f>'Model 100% Accept'!N18</f>
        <v>45.296408</v>
      </c>
      <c r="J9" s="302">
        <f>'Model 100% Accept'!O18</f>
        <v>57.527288720000001</v>
      </c>
      <c r="K9" s="302">
        <f>'Model 100% Accept'!P18</f>
        <v>71.716386132799997</v>
      </c>
      <c r="L9" s="302">
        <f>'Model 100% Accept'!Q18</f>
        <v>79.960388947372991</v>
      </c>
      <c r="M9" s="302">
        <f>'Model 100% Accept'!R18</f>
        <v>81.981002560531039</v>
      </c>
      <c r="N9" s="303">
        <f t="shared" ref="N9:N15" si="2">(M9/I9)^(1/4)-1</f>
        <v>0.15987814495325958</v>
      </c>
      <c r="O9" s="303"/>
    </row>
    <row r="10" spans="1:17" ht="12" customHeight="1" x14ac:dyDescent="0.55000000000000004">
      <c r="B10" s="297" t="s">
        <v>325</v>
      </c>
      <c r="C10" s="297"/>
      <c r="D10" s="297"/>
      <c r="G10" s="305">
        <f t="shared" ref="G10:L10" si="3">G9/G7</f>
        <v>-3.2999999999999995E-2</v>
      </c>
      <c r="H10" s="305">
        <f t="shared" si="3"/>
        <v>9.999999999999302E-4</v>
      </c>
      <c r="I10" s="305">
        <f t="shared" si="3"/>
        <v>4.8454663590995664E-2</v>
      </c>
      <c r="J10" s="305">
        <f t="shared" si="3"/>
        <v>5.8055030778467846E-2</v>
      </c>
      <c r="K10" s="305">
        <f t="shared" si="3"/>
        <v>6.8601228145391546E-2</v>
      </c>
      <c r="L10" s="305">
        <f t="shared" si="3"/>
        <v>7.3193430314063126E-2</v>
      </c>
      <c r="M10" s="305">
        <f t="shared" ref="M10" si="4">M9/M7</f>
        <v>7.2505354249556536E-2</v>
      </c>
      <c r="N10" s="303">
        <f t="shared" si="2"/>
        <v>0.10600890582396372</v>
      </c>
      <c r="O10" s="303"/>
    </row>
    <row r="11" spans="1:17" ht="12" customHeight="1" x14ac:dyDescent="0.55000000000000004">
      <c r="B11" s="297" t="s">
        <v>326</v>
      </c>
      <c r="C11" s="288"/>
      <c r="D11" s="307"/>
      <c r="G11" s="310">
        <f t="shared" ref="G11" si="5">G12-G9</f>
        <v>-32.523873592965501</v>
      </c>
      <c r="H11" s="310">
        <f t="shared" ref="H11:I11" si="6">H12-H9</f>
        <v>-25.297708073493101</v>
      </c>
      <c r="I11" s="310">
        <f t="shared" si="6"/>
        <v>-26.6</v>
      </c>
      <c r="J11" s="310">
        <f t="shared" ref="J11:M11" si="7">J12-J9</f>
        <v>-27.8</v>
      </c>
      <c r="K11" s="310">
        <f t="shared" si="7"/>
        <v>-29.9</v>
      </c>
      <c r="L11" s="310">
        <f t="shared" si="7"/>
        <v>-30.799999999999997</v>
      </c>
      <c r="M11" s="310">
        <f t="shared" si="7"/>
        <v>-31.099999999999994</v>
      </c>
      <c r="N11" s="303">
        <f t="shared" si="2"/>
        <v>3.9847586373265464E-2</v>
      </c>
      <c r="O11" s="303"/>
    </row>
    <row r="12" spans="1:17" ht="14.2" customHeight="1" x14ac:dyDescent="0.55000000000000004">
      <c r="B12" s="297" t="s">
        <v>327</v>
      </c>
      <c r="C12" s="297"/>
      <c r="D12" s="297"/>
      <c r="G12" s="302">
        <f>'Model 100% Accept'!J11</f>
        <v>-59.748873592965495</v>
      </c>
      <c r="H12" s="302">
        <f>'Model 100% Accept'!K11</f>
        <v>-24.422408073493163</v>
      </c>
      <c r="I12" s="302">
        <f>'Model 100% Accept'!N11</f>
        <v>18.696407999999998</v>
      </c>
      <c r="J12" s="302">
        <f>'Model 100% Accept'!O11</f>
        <v>29.727288720000001</v>
      </c>
      <c r="K12" s="302">
        <f>'Model 100% Accept'!P11</f>
        <v>41.816386132799998</v>
      </c>
      <c r="L12" s="302">
        <f>'Model 100% Accept'!Q11</f>
        <v>49.160388947372994</v>
      </c>
      <c r="M12" s="302">
        <f>'Model 100% Accept'!R11</f>
        <v>50.881002560531044</v>
      </c>
      <c r="N12" s="303">
        <f t="shared" si="2"/>
        <v>0.28439726117069375</v>
      </c>
      <c r="O12" s="303"/>
    </row>
    <row r="13" spans="1:17" ht="12" customHeight="1" x14ac:dyDescent="0.55000000000000004">
      <c r="B13" s="297" t="s">
        <v>465</v>
      </c>
      <c r="C13" s="297"/>
      <c r="D13" s="297"/>
      <c r="E13" s="297"/>
      <c r="G13" s="302"/>
      <c r="H13" s="302"/>
      <c r="I13" s="302">
        <f>-0.35*I12</f>
        <v>-6.5437427999999986</v>
      </c>
      <c r="J13" s="302">
        <f>-0.35*J12</f>
        <v>-10.404551052</v>
      </c>
      <c r="K13" s="302">
        <f>-0.35*K12</f>
        <v>-14.635735146479998</v>
      </c>
      <c r="L13" s="302">
        <f>-0.35*L12</f>
        <v>-17.206136131580546</v>
      </c>
      <c r="M13" s="302">
        <f>-0.35*M12</f>
        <v>-17.808350896185864</v>
      </c>
      <c r="N13" s="342" t="s">
        <v>229</v>
      </c>
      <c r="O13" s="303"/>
      <c r="Q13" s="642" t="s">
        <v>487</v>
      </c>
    </row>
    <row r="14" spans="1:17" ht="12" customHeight="1" x14ac:dyDescent="0.55000000000000004">
      <c r="B14" s="297" t="s">
        <v>328</v>
      </c>
      <c r="C14" s="297"/>
      <c r="D14" s="297"/>
      <c r="F14" s="297"/>
      <c r="G14" s="302"/>
      <c r="H14" s="302"/>
      <c r="I14" s="302">
        <f>-I11</f>
        <v>26.6</v>
      </c>
      <c r="J14" s="302">
        <f>-J11</f>
        <v>27.8</v>
      </c>
      <c r="K14" s="302">
        <f>-K11</f>
        <v>29.9</v>
      </c>
      <c r="L14" s="302">
        <f>-L11</f>
        <v>30.799999999999997</v>
      </c>
      <c r="M14" s="302">
        <f>-M11</f>
        <v>31.099999999999994</v>
      </c>
      <c r="N14" s="303">
        <f t="shared" si="2"/>
        <v>3.9847586373265464E-2</v>
      </c>
      <c r="O14" s="303"/>
    </row>
    <row r="15" spans="1:17" ht="12" customHeight="1" x14ac:dyDescent="0.55000000000000004">
      <c r="B15" s="297" t="s">
        <v>329</v>
      </c>
      <c r="C15" s="297"/>
      <c r="D15" s="297"/>
      <c r="F15" s="297"/>
      <c r="G15" s="302"/>
      <c r="H15" s="302"/>
      <c r="I15" s="302">
        <f>'Model 100% Accept'!N63</f>
        <v>-18.2</v>
      </c>
      <c r="J15" s="302">
        <f>'Model 100% Accept'!O63</f>
        <v>-11.2</v>
      </c>
      <c r="K15" s="302">
        <f>'Model 100% Accept'!P63</f>
        <v>-11.5</v>
      </c>
      <c r="L15" s="302">
        <f>'Model 100% Accept'!Q63</f>
        <v>-11.9</v>
      </c>
      <c r="M15" s="302">
        <f>'Model 100% Accept'!R63</f>
        <v>-9.9</v>
      </c>
      <c r="N15" s="303">
        <f t="shared" si="2"/>
        <v>-0.14120214378372919</v>
      </c>
      <c r="O15" s="303"/>
    </row>
    <row r="16" spans="1:17" ht="12" customHeight="1" x14ac:dyDescent="0.55000000000000004">
      <c r="B16" s="297" t="s">
        <v>330</v>
      </c>
      <c r="C16" s="297"/>
      <c r="D16" s="308"/>
      <c r="E16" s="297"/>
      <c r="G16" s="309"/>
      <c r="H16" s="309"/>
      <c r="I16" s="670">
        <f>'Model 100% Accept'!N64+'Model 100% Accept'!N65</f>
        <v>-0.90059057821427757</v>
      </c>
      <c r="J16" s="670">
        <f>'Model 100% Accept'!O64+'Model 100% Accept'!O65</f>
        <v>24.57654659657149</v>
      </c>
      <c r="K16" s="670">
        <f>'Model 100% Accept'!P64+'Model 100% Accept'!P65</f>
        <v>33.227284268030516</v>
      </c>
      <c r="L16" s="670">
        <f>'Model 100% Accept'!Q64+'Model 100% Accept'!Q65</f>
        <v>19.869589041051725</v>
      </c>
      <c r="M16" s="670">
        <f>'Model 100% Accept'!R64+'Model 100% Accept'!R65</f>
        <v>-7.6453633961858998</v>
      </c>
      <c r="N16" s="342" t="s">
        <v>229</v>
      </c>
      <c r="O16" s="303"/>
      <c r="Q16" s="642"/>
    </row>
    <row r="17" spans="2:15" ht="14.2" customHeight="1" x14ac:dyDescent="0.55000000000000004">
      <c r="B17" s="288" t="s">
        <v>331</v>
      </c>
      <c r="C17" s="288"/>
      <c r="D17" s="288"/>
      <c r="F17" s="311"/>
      <c r="G17" s="302"/>
      <c r="H17" s="302"/>
      <c r="I17" s="312">
        <f>SUM(I12:I16)</f>
        <v>19.652074621785726</v>
      </c>
      <c r="J17" s="312">
        <f>SUM(J12:J16)</f>
        <v>60.499284264571486</v>
      </c>
      <c r="K17" s="312">
        <f>SUM(K12:K16)</f>
        <v>78.807935254350511</v>
      </c>
      <c r="L17" s="312">
        <f>SUM(L12:L16)</f>
        <v>70.72384185684416</v>
      </c>
      <c r="M17" s="312">
        <f>SUM(M12:M16)</f>
        <v>46.627288268159283</v>
      </c>
      <c r="N17" s="341">
        <f>(M17/I17)^(1/4)-1</f>
        <v>0.24110332330559481</v>
      </c>
      <c r="O17" s="303"/>
    </row>
    <row r="18" spans="2:15" ht="12" customHeight="1" x14ac:dyDescent="0.55000000000000004">
      <c r="B18" s="297" t="s">
        <v>323</v>
      </c>
      <c r="C18" s="297"/>
      <c r="D18" s="297"/>
      <c r="F18" s="304"/>
      <c r="G18" s="305"/>
      <c r="H18" s="305"/>
      <c r="I18" s="313" t="s">
        <v>229</v>
      </c>
      <c r="J18" s="305">
        <f>J17/I17-1</f>
        <v>2.0785189568486433</v>
      </c>
      <c r="K18" s="305">
        <f>K17/J17-1</f>
        <v>0.30262591057627786</v>
      </c>
      <c r="L18" s="305">
        <f>L17/K17-1</f>
        <v>-0.10257968783746396</v>
      </c>
      <c r="M18" s="305">
        <f>M17/L17-1</f>
        <v>-0.34071330057917348</v>
      </c>
      <c r="N18" s="303"/>
      <c r="O18" s="303"/>
    </row>
    <row r="19" spans="2:15" s="298" customFormat="1" ht="4.5" customHeight="1" x14ac:dyDescent="0.55000000000000004">
      <c r="B19" s="288"/>
      <c r="C19" s="288"/>
      <c r="D19" s="314"/>
      <c r="F19" s="288"/>
      <c r="G19" s="288"/>
      <c r="H19" s="288"/>
      <c r="I19" s="288"/>
      <c r="J19" s="288"/>
      <c r="K19" s="288"/>
      <c r="L19" s="315"/>
      <c r="M19" s="315"/>
    </row>
    <row r="20" spans="2:15" s="298" customFormat="1" ht="12" customHeight="1" x14ac:dyDescent="0.55000000000000004">
      <c r="B20" s="288" t="s">
        <v>332</v>
      </c>
      <c r="C20" s="288"/>
      <c r="D20" s="314"/>
      <c r="F20" s="288"/>
      <c r="G20" s="288"/>
      <c r="H20" s="288"/>
      <c r="I20" s="288"/>
      <c r="J20" s="288"/>
      <c r="L20" s="316" t="s">
        <v>333</v>
      </c>
      <c r="M20" s="311">
        <f>M17*(1+D37)/(D36-D37)</f>
        <v>637.23960633151</v>
      </c>
    </row>
    <row r="21" spans="2:15" s="298" customFormat="1" ht="3.75" customHeight="1" x14ac:dyDescent="0.55000000000000004">
      <c r="B21" s="297"/>
      <c r="C21" s="297"/>
      <c r="D21" s="297"/>
      <c r="F21" s="317"/>
      <c r="G21" s="317"/>
      <c r="H21" s="317"/>
      <c r="I21" s="317"/>
      <c r="J21" s="317"/>
      <c r="K21" s="317"/>
      <c r="L21" s="317"/>
      <c r="M21" s="317"/>
    </row>
    <row r="22" spans="2:15" s="298" customFormat="1" ht="12" customHeight="1" x14ac:dyDescent="0.55000000000000004">
      <c r="B22" s="318" t="s">
        <v>334</v>
      </c>
      <c r="C22" s="318"/>
      <c r="D22" s="319"/>
      <c r="F22" s="320"/>
      <c r="G22" s="320"/>
      <c r="H22" s="320"/>
      <c r="I22" s="320">
        <f>1/(1+$D$36)^I5</f>
        <v>0.90909090909090906</v>
      </c>
      <c r="J22" s="320">
        <f>1/(1+$D$36)^J5</f>
        <v>0.82644628099173545</v>
      </c>
      <c r="K22" s="320">
        <f>1/(1+$D$36)^K5</f>
        <v>0.75131480090157754</v>
      </c>
      <c r="L22" s="320">
        <f>1/(1+$D$36)^L5</f>
        <v>0.68301345536507052</v>
      </c>
      <c r="M22" s="320">
        <f>1/(1+$D$36)^M5</f>
        <v>0.62092132305915493</v>
      </c>
    </row>
    <row r="23" spans="2:15" s="298" customFormat="1" ht="4.5" customHeight="1" x14ac:dyDescent="0.55000000000000004">
      <c r="B23" s="288"/>
      <c r="C23" s="288"/>
      <c r="D23" s="314"/>
      <c r="F23" s="288"/>
      <c r="G23" s="288"/>
      <c r="H23" s="288"/>
      <c r="I23" s="288"/>
      <c r="J23" s="288"/>
      <c r="K23" s="288"/>
      <c r="L23" s="315"/>
      <c r="M23" s="315"/>
    </row>
    <row r="24" spans="2:15" s="298" customFormat="1" ht="12" customHeight="1" x14ac:dyDescent="0.55000000000000004">
      <c r="B24" s="288" t="str">
        <f>"DCF of FCFF (@"&amp;TEXT($D$36,"#0.00%")&amp;" WACC)"</f>
        <v>DCF of FCFF (@10.00% WACC)</v>
      </c>
      <c r="C24" s="288"/>
      <c r="D24" s="321">
        <f>SUM(I24:M24)</f>
        <v>204.33171217710728</v>
      </c>
      <c r="F24" s="322"/>
      <c r="G24" s="322"/>
      <c r="H24" s="322"/>
      <c r="I24" s="302">
        <f>I17*I22</f>
        <v>17.865522383441569</v>
      </c>
      <c r="J24" s="302">
        <f>J17*J22</f>
        <v>49.999408483116923</v>
      </c>
      <c r="K24" s="302">
        <f>K17*K22</f>
        <v>59.209568185086766</v>
      </c>
      <c r="L24" s="302">
        <f>L17*L22</f>
        <v>48.305335603335934</v>
      </c>
      <c r="M24" s="302">
        <f>M17*M22</f>
        <v>28.951877522126075</v>
      </c>
    </row>
    <row r="25" spans="2:15" s="298" customFormat="1" ht="4.5" customHeight="1" x14ac:dyDescent="0.55000000000000004">
      <c r="B25" s="288"/>
      <c r="C25" s="288"/>
      <c r="D25" s="323"/>
      <c r="F25" s="288"/>
      <c r="G25" s="288"/>
      <c r="H25" s="288"/>
      <c r="I25" s="288"/>
      <c r="J25" s="288"/>
      <c r="K25" s="288"/>
      <c r="L25" s="315"/>
      <c r="M25" s="315"/>
    </row>
    <row r="26" spans="2:15" s="298" customFormat="1" ht="12" customHeight="1" x14ac:dyDescent="0.55000000000000004">
      <c r="B26" s="288" t="str">
        <f>"DCF of TV (@"&amp;TEXT($D$36,"#0.00%")&amp;" WACC)"</f>
        <v>DCF of TV (@10.00% WACC)</v>
      </c>
      <c r="C26" s="288"/>
      <c r="D26" s="321">
        <f>M26</f>
        <v>395.67565946905626</v>
      </c>
      <c r="E26" s="288"/>
      <c r="F26" s="317"/>
      <c r="G26" s="317"/>
      <c r="H26" s="317"/>
      <c r="I26" s="317"/>
      <c r="J26" s="317"/>
      <c r="L26" s="316" t="s">
        <v>335</v>
      </c>
      <c r="M26" s="311">
        <f>M20*M22</f>
        <v>395.67565946905626</v>
      </c>
    </row>
    <row r="27" spans="2:15" s="298" customFormat="1" ht="7.5" customHeight="1" x14ac:dyDescent="0.55000000000000004">
      <c r="F27" s="297"/>
      <c r="G27" s="297"/>
    </row>
    <row r="28" spans="2:15" s="298" customFormat="1" ht="14.2" customHeight="1" x14ac:dyDescent="0.55000000000000004">
      <c r="B28" s="324" t="s">
        <v>336</v>
      </c>
      <c r="C28" s="324"/>
      <c r="D28" s="325"/>
      <c r="E28" s="325"/>
      <c r="F28" s="297"/>
      <c r="G28" s="324" t="s">
        <v>337</v>
      </c>
      <c r="H28" s="324"/>
      <c r="I28" s="324"/>
      <c r="J28" s="324"/>
      <c r="K28" s="324"/>
      <c r="L28" s="324"/>
      <c r="M28" s="338"/>
    </row>
    <row r="29" spans="2:15" s="298" customFormat="1" ht="14.2" customHeight="1" x14ac:dyDescent="0.55000000000000004">
      <c r="B29" s="288" t="s">
        <v>82</v>
      </c>
      <c r="C29" s="288"/>
      <c r="D29" s="302">
        <f>D24</f>
        <v>204.33171217710728</v>
      </c>
      <c r="E29" s="326">
        <f>D29/$D$31</f>
        <v>0.3405486696213556</v>
      </c>
    </row>
    <row r="30" spans="2:15" s="298" customFormat="1" ht="14.2" customHeight="1" x14ac:dyDescent="0.55000000000000004">
      <c r="B30" s="288" t="s">
        <v>115</v>
      </c>
      <c r="C30" s="288"/>
      <c r="D30" s="310">
        <f>D26</f>
        <v>395.67565946905626</v>
      </c>
      <c r="E30" s="327">
        <f>D30/$D$31</f>
        <v>0.65945133037864445</v>
      </c>
      <c r="F30" s="297"/>
      <c r="G30" s="297"/>
      <c r="H30" s="297"/>
      <c r="I30" s="297"/>
      <c r="J30" s="297"/>
      <c r="K30" s="297"/>
      <c r="L30" s="297"/>
      <c r="M30" s="297"/>
    </row>
    <row r="31" spans="2:15" s="298" customFormat="1" ht="14.2" customHeight="1" thickBot="1" x14ac:dyDescent="0.6">
      <c r="B31" s="288" t="s">
        <v>338</v>
      </c>
      <c r="C31" s="288"/>
      <c r="D31" s="311">
        <f>SUM(D29:D30)</f>
        <v>600.00737164616351</v>
      </c>
      <c r="E31" s="328">
        <f>D31/$D$31</f>
        <v>1</v>
      </c>
      <c r="F31" s="297"/>
      <c r="G31" s="297"/>
      <c r="H31" s="329" t="s">
        <v>339</v>
      </c>
      <c r="I31" s="329"/>
      <c r="J31" s="329"/>
      <c r="K31" s="329"/>
      <c r="L31" s="329"/>
      <c r="M31" s="297"/>
    </row>
    <row r="32" spans="2:15" ht="14.2" customHeight="1" x14ac:dyDescent="0.55000000000000004">
      <c r="B32" s="297" t="s">
        <v>473</v>
      </c>
      <c r="C32" s="288"/>
      <c r="D32" s="644" t="s">
        <v>229</v>
      </c>
      <c r="E32" s="288"/>
      <c r="F32" s="297"/>
      <c r="G32" s="331">
        <f>D31</f>
        <v>600.00737164616351</v>
      </c>
      <c r="H32" s="332">
        <v>0</v>
      </c>
      <c r="I32" s="332">
        <v>0.01</v>
      </c>
      <c r="J32" s="615">
        <v>2.5000000000000001E-2</v>
      </c>
      <c r="K32" s="332">
        <v>2.75E-2</v>
      </c>
      <c r="L32" s="332">
        <v>0.03</v>
      </c>
      <c r="M32" s="339"/>
    </row>
    <row r="33" spans="2:18" ht="14.2" customHeight="1" x14ac:dyDescent="0.55000000000000004">
      <c r="B33" s="297" t="s">
        <v>344</v>
      </c>
      <c r="C33" s="288"/>
      <c r="D33" s="330">
        <f>D31/I9</f>
        <v>13.246246184601736</v>
      </c>
      <c r="E33" s="288"/>
      <c r="F33" s="788" t="s">
        <v>114</v>
      </c>
      <c r="G33" s="333">
        <v>0.08</v>
      </c>
      <c r="H33" s="302">
        <f t="dataTable" ref="H33:L37" dt2D="1" dtr="0" r1="D37" r2="D36"/>
        <v>613.01477571393798</v>
      </c>
      <c r="I33" s="302">
        <v>674.21557719972884</v>
      </c>
      <c r="J33" s="302">
        <v>807.74459862327262</v>
      </c>
      <c r="K33" s="302">
        <v>837.41771449517137</v>
      </c>
      <c r="L33" s="302">
        <v>870.05814195425978</v>
      </c>
      <c r="M33" s="302"/>
    </row>
    <row r="34" spans="2:18" ht="14.2" customHeight="1" x14ac:dyDescent="0.55000000000000004">
      <c r="F34" s="789"/>
      <c r="G34" s="333">
        <v>0.09</v>
      </c>
      <c r="H34" s="302">
        <v>546.92882986873519</v>
      </c>
      <c r="I34" s="302">
        <v>592.80653338646925</v>
      </c>
      <c r="J34" s="302">
        <v>688.09099453868589</v>
      </c>
      <c r="K34" s="302">
        <v>708.41834625115894</v>
      </c>
      <c r="L34" s="302">
        <v>730.43964393967121</v>
      </c>
      <c r="M34" s="302"/>
    </row>
    <row r="35" spans="2:18" ht="14.2" customHeight="1" x14ac:dyDescent="0.55000000000000004">
      <c r="B35" s="324" t="s">
        <v>340</v>
      </c>
      <c r="C35" s="325"/>
      <c r="D35" s="325"/>
      <c r="E35" s="288"/>
      <c r="F35" s="789"/>
      <c r="G35" s="612">
        <v>0.1</v>
      </c>
      <c r="H35" s="613">
        <v>493.85048739836805</v>
      </c>
      <c r="I35" s="613">
        <v>529.23611548096653</v>
      </c>
      <c r="J35" s="614">
        <v>600.00737164616351</v>
      </c>
      <c r="K35" s="613">
        <v>614.64970050792851</v>
      </c>
      <c r="L35" s="613">
        <v>630.33791000267661</v>
      </c>
      <c r="M35" s="302"/>
      <c r="Q35" s="669">
        <f>L81</f>
        <v>779.6825009697402</v>
      </c>
      <c r="R35" s="654" t="s">
        <v>488</v>
      </c>
    </row>
    <row r="36" spans="2:18" ht="14.2" customHeight="1" x14ac:dyDescent="0.55000000000000004">
      <c r="B36" s="334" t="s">
        <v>341</v>
      </c>
      <c r="C36" s="297"/>
      <c r="D36" s="335">
        <v>0.1</v>
      </c>
      <c r="E36" s="288"/>
      <c r="F36" s="789"/>
      <c r="G36" s="333">
        <v>0.11</v>
      </c>
      <c r="H36" s="302">
        <v>450.24462560999859</v>
      </c>
      <c r="I36" s="302">
        <v>478.167206539657</v>
      </c>
      <c r="J36" s="302">
        <v>532.36986363840583</v>
      </c>
      <c r="K36" s="302">
        <v>543.31989537552681</v>
      </c>
      <c r="L36" s="302">
        <v>554.95430409621781</v>
      </c>
      <c r="M36" s="302"/>
    </row>
    <row r="37" spans="2:18" ht="14.2" customHeight="1" x14ac:dyDescent="0.55000000000000004">
      <c r="B37" s="336" t="s">
        <v>342</v>
      </c>
      <c r="C37" s="297"/>
      <c r="D37" s="308">
        <v>2.5000000000000001E-2</v>
      </c>
      <c r="E37" s="288"/>
      <c r="F37" s="789"/>
      <c r="G37" s="333">
        <v>0.12</v>
      </c>
      <c r="H37" s="302">
        <v>413.75373798097098</v>
      </c>
      <c r="I37" s="302">
        <v>436.20258998203826</v>
      </c>
      <c r="J37" s="302">
        <v>478.73725693142865</v>
      </c>
      <c r="K37" s="302">
        <v>487.16755128175839</v>
      </c>
      <c r="L37" s="302">
        <v>496.06619531821752</v>
      </c>
      <c r="M37" s="302"/>
    </row>
    <row r="38" spans="2:18" ht="16.5" customHeight="1" x14ac:dyDescent="0.5"/>
    <row r="39" spans="2:18" ht="14.2" customHeight="1" x14ac:dyDescent="0.55000000000000004">
      <c r="B39" s="298"/>
      <c r="G39" s="302"/>
      <c r="H39" s="302"/>
      <c r="I39" s="302"/>
      <c r="J39" s="302"/>
      <c r="K39" s="302"/>
      <c r="L39" s="302"/>
      <c r="M39" s="302"/>
    </row>
    <row r="40" spans="2:18" ht="14.2" customHeight="1" x14ac:dyDescent="0.55000000000000004">
      <c r="B40" s="287"/>
      <c r="C40" s="287"/>
      <c r="D40" s="288"/>
      <c r="G40" s="289" t="s">
        <v>320</v>
      </c>
      <c r="H40" s="290"/>
      <c r="I40" s="291" t="s">
        <v>219</v>
      </c>
      <c r="J40" s="291"/>
      <c r="K40" s="291"/>
      <c r="L40" s="291"/>
      <c r="M40" s="291"/>
      <c r="N40" s="288"/>
      <c r="O40" s="288"/>
    </row>
    <row r="41" spans="2:18" ht="14.2" customHeight="1" x14ac:dyDescent="0.6">
      <c r="B41" s="292" t="s">
        <v>365</v>
      </c>
      <c r="C41" s="293"/>
      <c r="D41" s="293"/>
      <c r="E41" s="293"/>
      <c r="G41" s="294">
        <v>2009</v>
      </c>
      <c r="H41" s="294">
        <v>2010</v>
      </c>
      <c r="I41" s="293">
        <v>2011</v>
      </c>
      <c r="J41" s="293">
        <f t="shared" ref="J41:J42" si="8">I41+1</f>
        <v>2012</v>
      </c>
      <c r="K41" s="293">
        <f t="shared" ref="K41:K42" si="9">J41+1</f>
        <v>2013</v>
      </c>
      <c r="L41" s="293">
        <f t="shared" ref="L41:L42" si="10">K41+1</f>
        <v>2014</v>
      </c>
      <c r="M41" s="293">
        <f t="shared" ref="M41:M42" si="11">L41+1</f>
        <v>2015</v>
      </c>
      <c r="N41" s="295" t="s">
        <v>321</v>
      </c>
      <c r="O41" s="295"/>
    </row>
    <row r="42" spans="2:18" s="298" customFormat="1" ht="14.2" customHeight="1" x14ac:dyDescent="0.55000000000000004">
      <c r="B42" s="296" t="str">
        <f>"FCFF descontado a WACC = "&amp;TEXT(D73,"#,##0.00%")</f>
        <v>FCFF descontado a WACC = 10.00%</v>
      </c>
      <c r="C42" s="297"/>
      <c r="D42" s="297"/>
      <c r="F42" s="299"/>
      <c r="G42" s="299"/>
      <c r="H42" s="299"/>
      <c r="I42" s="300">
        <v>1</v>
      </c>
      <c r="J42" s="300">
        <f t="shared" si="8"/>
        <v>2</v>
      </c>
      <c r="K42" s="300">
        <f t="shared" si="9"/>
        <v>3</v>
      </c>
      <c r="L42" s="300">
        <f t="shared" si="10"/>
        <v>4</v>
      </c>
      <c r="M42" s="300">
        <f t="shared" si="11"/>
        <v>5</v>
      </c>
      <c r="N42" s="301" t="s">
        <v>343</v>
      </c>
      <c r="O42" s="301"/>
    </row>
    <row r="43" spans="2:18" s="298" customFormat="1" ht="5.25" customHeight="1" x14ac:dyDescent="0.5"/>
    <row r="44" spans="2:18" ht="12" customHeight="1" x14ac:dyDescent="0.55000000000000004">
      <c r="B44" s="297" t="s">
        <v>322</v>
      </c>
      <c r="C44" s="297"/>
      <c r="D44" s="297"/>
      <c r="G44" s="298"/>
      <c r="H44" s="302">
        <f>'Projections (Ex. 4)'!B42</f>
        <v>385.13199999999995</v>
      </c>
      <c r="I44" s="302">
        <f>'Projections (Ex. 4)'!C42</f>
        <v>427.49651999999998</v>
      </c>
      <c r="J44" s="302">
        <f>'Projections (Ex. 4)'!D42</f>
        <v>465.8294082000001</v>
      </c>
      <c r="K44" s="302">
        <f>'Projections (Ex. 4)'!E42</f>
        <v>504.577031046</v>
      </c>
      <c r="L44" s="302">
        <f>'Projections (Ex. 4)'!F42</f>
        <v>538.09964988855006</v>
      </c>
      <c r="M44" s="302">
        <f>'Projections (Ex. 4)'!G42</f>
        <v>562.47667201295781</v>
      </c>
      <c r="N44" s="303">
        <f>(M44/I44)^(1/4)-1</f>
        <v>7.1008661047721633E-2</v>
      </c>
      <c r="O44" s="303"/>
    </row>
    <row r="45" spans="2:18" ht="12" customHeight="1" x14ac:dyDescent="0.55000000000000004">
      <c r="B45" s="297" t="s">
        <v>323</v>
      </c>
      <c r="C45" s="297"/>
      <c r="D45" s="297"/>
      <c r="F45" s="304"/>
      <c r="G45" s="298"/>
      <c r="H45" s="298"/>
      <c r="I45" s="305">
        <f>I44/H44-1</f>
        <v>0.1100000000000001</v>
      </c>
      <c r="J45" s="305">
        <f>J44/I44-1</f>
        <v>8.9668304668304888E-2</v>
      </c>
      <c r="K45" s="305">
        <f>K44/J44-1</f>
        <v>8.3179855466239516E-2</v>
      </c>
      <c r="L45" s="305">
        <f>L44/K44-1</f>
        <v>6.6437068633617535E-2</v>
      </c>
      <c r="M45" s="305">
        <f>M44/L44-1</f>
        <v>4.5302059069275868E-2</v>
      </c>
      <c r="N45" s="303"/>
      <c r="O45" s="303"/>
    </row>
    <row r="46" spans="2:18" ht="12" customHeight="1" x14ac:dyDescent="0.55000000000000004">
      <c r="B46" s="297" t="s">
        <v>324</v>
      </c>
      <c r="C46" s="297"/>
      <c r="D46" s="297"/>
      <c r="G46" s="298"/>
      <c r="H46" s="298"/>
      <c r="I46" s="302">
        <f>I49-I48</f>
        <v>28.023169200000002</v>
      </c>
      <c r="J46" s="302">
        <f>J49-J48</f>
        <v>34.025684404000003</v>
      </c>
      <c r="K46" s="302">
        <f>K49-K48</f>
        <v>44.695570575950001</v>
      </c>
      <c r="L46" s="302">
        <f>L49-L48</f>
        <v>46.758018623293246</v>
      </c>
      <c r="M46" s="302">
        <f>M49-M48</f>
        <v>48.093572978349307</v>
      </c>
      <c r="N46" s="303">
        <f t="shared" ref="N46:N52" si="12">(M46/I46)^(1/4)-1</f>
        <v>0.14457023702719196</v>
      </c>
      <c r="O46" s="303"/>
    </row>
    <row r="47" spans="2:18" ht="12" customHeight="1" x14ac:dyDescent="0.55000000000000004">
      <c r="B47" s="297" t="s">
        <v>325</v>
      </c>
      <c r="C47" s="297"/>
      <c r="D47" s="297"/>
      <c r="G47" s="298"/>
      <c r="H47" s="298"/>
      <c r="I47" s="305">
        <f t="shared" ref="I47:M47" si="13">I46/I44</f>
        <v>6.5551806597162476E-2</v>
      </c>
      <c r="J47" s="305">
        <f t="shared" si="13"/>
        <v>7.3043229570837545E-2</v>
      </c>
      <c r="K47" s="305">
        <f t="shared" si="13"/>
        <v>8.8580271843320013E-2</v>
      </c>
      <c r="L47" s="305">
        <f t="shared" si="13"/>
        <v>8.6894720397936803E-2</v>
      </c>
      <c r="M47" s="305">
        <f t="shared" si="13"/>
        <v>8.5503231282881315E-2</v>
      </c>
      <c r="N47" s="303">
        <f t="shared" si="12"/>
        <v>6.8684389449762406E-2</v>
      </c>
      <c r="O47" s="303"/>
    </row>
    <row r="48" spans="2:18" ht="12" customHeight="1" x14ac:dyDescent="0.55000000000000004">
      <c r="B48" s="297" t="s">
        <v>326</v>
      </c>
      <c r="C48" s="288"/>
      <c r="D48" s="307"/>
      <c r="G48" s="298"/>
      <c r="H48" s="298"/>
      <c r="I48" s="310">
        <f>-'Projections (Ex. 4)'!C47</f>
        <v>-14.400000000000002</v>
      </c>
      <c r="J48" s="310">
        <f>-'Projections (Ex. 4)'!D47</f>
        <v>-14.8</v>
      </c>
      <c r="K48" s="310">
        <f>-'Projections (Ex. 4)'!E47</f>
        <v>-16.399999999999999</v>
      </c>
      <c r="L48" s="310">
        <f>-'Projections (Ex. 4)'!F47</f>
        <v>-17</v>
      </c>
      <c r="M48" s="310">
        <f>-'Projections (Ex. 4)'!G47</f>
        <v>-17.100000000000001</v>
      </c>
      <c r="N48" s="303">
        <f t="shared" si="12"/>
        <v>4.3898814964921984E-2</v>
      </c>
      <c r="O48" s="303"/>
    </row>
    <row r="49" spans="2:17" ht="14.2" customHeight="1" x14ac:dyDescent="0.55000000000000004">
      <c r="B49" s="297" t="s">
        <v>327</v>
      </c>
      <c r="C49" s="297"/>
      <c r="D49" s="297"/>
      <c r="G49" s="298"/>
      <c r="H49" s="298"/>
      <c r="I49" s="302">
        <f>'Projections (Ex. 4)'!C44</f>
        <v>13.6231692</v>
      </c>
      <c r="J49" s="302">
        <f>'Projections (Ex. 4)'!D44</f>
        <v>19.225684404000003</v>
      </c>
      <c r="K49" s="302">
        <f>'Projections (Ex. 4)'!E44</f>
        <v>28.295570575949998</v>
      </c>
      <c r="L49" s="302">
        <f>'Projections (Ex. 4)'!F44</f>
        <v>29.758018623293246</v>
      </c>
      <c r="M49" s="302">
        <f>'Projections (Ex. 4)'!G44</f>
        <v>30.993572978349306</v>
      </c>
      <c r="N49" s="303">
        <f t="shared" si="12"/>
        <v>0.2281414061804683</v>
      </c>
      <c r="O49" s="303"/>
    </row>
    <row r="50" spans="2:17" ht="12" customHeight="1" x14ac:dyDescent="0.55000000000000004">
      <c r="B50" s="297" t="s">
        <v>465</v>
      </c>
      <c r="C50" s="297"/>
      <c r="D50" s="297"/>
      <c r="E50" s="297"/>
      <c r="G50" s="302"/>
      <c r="H50" s="302"/>
      <c r="I50" s="302">
        <f>-0.35*I49</f>
        <v>-4.7681092199999995</v>
      </c>
      <c r="J50" s="302">
        <f>-0.35*J49</f>
        <v>-6.7289895414000007</v>
      </c>
      <c r="K50" s="302">
        <f>-0.35*K49</f>
        <v>-9.9034497015824989</v>
      </c>
      <c r="L50" s="302">
        <f>-0.35*L49</f>
        <v>-10.415306518152635</v>
      </c>
      <c r="M50" s="302">
        <f>-0.35*M49</f>
        <v>-10.847750542422256</v>
      </c>
      <c r="N50" s="342" t="s">
        <v>229</v>
      </c>
      <c r="O50" s="303"/>
      <c r="Q50" s="642" t="s">
        <v>487</v>
      </c>
    </row>
    <row r="51" spans="2:17" ht="12" customHeight="1" x14ac:dyDescent="0.55000000000000004">
      <c r="B51" s="297" t="s">
        <v>328</v>
      </c>
      <c r="C51" s="297"/>
      <c r="D51" s="297"/>
      <c r="F51" s="297"/>
      <c r="G51" s="302"/>
      <c r="H51" s="302"/>
      <c r="I51" s="302">
        <f>-I48</f>
        <v>14.400000000000002</v>
      </c>
      <c r="J51" s="302">
        <f>-J48</f>
        <v>14.8</v>
      </c>
      <c r="K51" s="302">
        <f>-K48</f>
        <v>16.399999999999999</v>
      </c>
      <c r="L51" s="302">
        <f>-L48</f>
        <v>17</v>
      </c>
      <c r="M51" s="302">
        <f>-M48</f>
        <v>17.100000000000001</v>
      </c>
      <c r="N51" s="303">
        <f t="shared" si="12"/>
        <v>4.3898814964921984E-2</v>
      </c>
      <c r="O51" s="303"/>
    </row>
    <row r="52" spans="2:17" ht="12" customHeight="1" x14ac:dyDescent="0.55000000000000004">
      <c r="B52" s="297" t="s">
        <v>329</v>
      </c>
      <c r="C52" s="297"/>
      <c r="D52" s="297"/>
      <c r="F52" s="297"/>
      <c r="G52" s="302"/>
      <c r="H52" s="302"/>
      <c r="I52" s="302">
        <f>-'Projections (Ex. 4)'!C49</f>
        <v>-14.1</v>
      </c>
      <c r="J52" s="302">
        <f>-'Projections (Ex. 4)'!D49</f>
        <v>-8.6</v>
      </c>
      <c r="K52" s="302">
        <f>-'Projections (Ex. 4)'!E49</f>
        <v>-8.6999999999999993</v>
      </c>
      <c r="L52" s="302">
        <f>-'Projections (Ex. 4)'!F49</f>
        <v>-9</v>
      </c>
      <c r="M52" s="302">
        <f>-'Projections (Ex. 4)'!G49</f>
        <v>-7.8000000000000007</v>
      </c>
      <c r="N52" s="303">
        <f t="shared" si="12"/>
        <v>-0.13757989471614818</v>
      </c>
      <c r="O52" s="303"/>
    </row>
    <row r="53" spans="2:17" ht="12" customHeight="1" x14ac:dyDescent="0.55000000000000004">
      <c r="B53" s="297" t="s">
        <v>330</v>
      </c>
      <c r="C53" s="297"/>
      <c r="D53" s="308"/>
      <c r="E53" s="297"/>
      <c r="G53" s="309"/>
      <c r="H53" s="309"/>
      <c r="I53" s="670">
        <f>I16/I7*I44</f>
        <v>-0.41184310711596739</v>
      </c>
      <c r="J53" s="670">
        <f>J16/J7*J44</f>
        <v>11.55350385080186</v>
      </c>
      <c r="K53" s="670">
        <f>K16/K7*K44</f>
        <v>16.037468558320565</v>
      </c>
      <c r="L53" s="670">
        <f>L16/L7*L44</f>
        <v>9.7869821840491991</v>
      </c>
      <c r="M53" s="670">
        <f>M16/M7*M44</f>
        <v>-3.8032905295747206</v>
      </c>
      <c r="N53" s="342" t="s">
        <v>229</v>
      </c>
      <c r="O53" s="303"/>
    </row>
    <row r="54" spans="2:17" ht="14.2" customHeight="1" x14ac:dyDescent="0.55000000000000004">
      <c r="B54" s="288" t="s">
        <v>331</v>
      </c>
      <c r="C54" s="288"/>
      <c r="D54" s="288"/>
      <c r="F54" s="311"/>
      <c r="G54" s="302"/>
      <c r="H54" s="302"/>
      <c r="I54" s="312">
        <f>SUM(I49:I53)</f>
        <v>8.7432168728840356</v>
      </c>
      <c r="J54" s="312">
        <f>SUM(J49:J53)</f>
        <v>30.250198713401865</v>
      </c>
      <c r="K54" s="312">
        <f>SUM(K49:K53)</f>
        <v>42.129589432688064</v>
      </c>
      <c r="L54" s="312">
        <f>SUM(L49:L53)</f>
        <v>37.129694289189814</v>
      </c>
      <c r="M54" s="312">
        <f>SUM(M49:M53)</f>
        <v>25.642531906352332</v>
      </c>
      <c r="N54" s="341">
        <f>(M54/I54)^(1/4)-1</f>
        <v>0.30864669706377312</v>
      </c>
      <c r="O54" s="303"/>
    </row>
    <row r="55" spans="2:17" ht="12" customHeight="1" x14ac:dyDescent="0.55000000000000004">
      <c r="B55" s="297" t="s">
        <v>323</v>
      </c>
      <c r="C55" s="297"/>
      <c r="D55" s="297"/>
      <c r="F55" s="304"/>
      <c r="G55" s="305"/>
      <c r="H55" s="305"/>
      <c r="I55" s="313" t="s">
        <v>229</v>
      </c>
      <c r="J55" s="305">
        <f>J54/I54-1</f>
        <v>2.459847691439403</v>
      </c>
      <c r="K55" s="305">
        <f>K54/J54-1</f>
        <v>0.39270455152492034</v>
      </c>
      <c r="L55" s="305">
        <f>L54/K54-1</f>
        <v>-0.1186789430143097</v>
      </c>
      <c r="M55" s="305">
        <f>M54/L54-1</f>
        <v>-0.30937939573022366</v>
      </c>
      <c r="N55" s="303"/>
      <c r="O55" s="303"/>
    </row>
    <row r="56" spans="2:17" s="298" customFormat="1" ht="4.5" customHeight="1" x14ac:dyDescent="0.55000000000000004">
      <c r="B56" s="288"/>
      <c r="C56" s="288"/>
      <c r="D56" s="314"/>
      <c r="F56" s="288"/>
      <c r="G56" s="288"/>
      <c r="H56" s="288"/>
      <c r="I56" s="288"/>
      <c r="J56" s="288"/>
      <c r="K56" s="288"/>
      <c r="L56" s="315"/>
      <c r="M56" s="315"/>
    </row>
    <row r="57" spans="2:17" s="298" customFormat="1" ht="12" customHeight="1" x14ac:dyDescent="0.55000000000000004">
      <c r="B57" s="288" t="s">
        <v>332</v>
      </c>
      <c r="C57" s="288"/>
      <c r="D57" s="314"/>
      <c r="F57" s="288"/>
      <c r="G57" s="288"/>
      <c r="H57" s="288"/>
      <c r="I57" s="288"/>
      <c r="J57" s="288"/>
      <c r="L57" s="316" t="s">
        <v>333</v>
      </c>
      <c r="M57" s="311">
        <f>M54*(1+D74)/(D73-D74)</f>
        <v>350.44793605348178</v>
      </c>
    </row>
    <row r="58" spans="2:17" s="298" customFormat="1" ht="3.75" customHeight="1" x14ac:dyDescent="0.55000000000000004">
      <c r="B58" s="297"/>
      <c r="C58" s="297"/>
      <c r="D58" s="297"/>
      <c r="F58" s="317"/>
      <c r="G58" s="317"/>
      <c r="H58" s="317"/>
      <c r="I58" s="317"/>
      <c r="J58" s="317"/>
      <c r="K58" s="317"/>
      <c r="L58" s="317"/>
      <c r="M58" s="317"/>
    </row>
    <row r="59" spans="2:17" s="298" customFormat="1" ht="12" customHeight="1" x14ac:dyDescent="0.55000000000000004">
      <c r="B59" s="318" t="s">
        <v>334</v>
      </c>
      <c r="C59" s="318"/>
      <c r="D59" s="319"/>
      <c r="F59" s="320"/>
      <c r="G59" s="320"/>
      <c r="H59" s="320"/>
      <c r="I59" s="320">
        <f>1/(1+D73)^I42</f>
        <v>0.90909090909090906</v>
      </c>
      <c r="J59" s="320">
        <f>1/(1+D73)^J42</f>
        <v>0.82644628099173545</v>
      </c>
      <c r="K59" s="320">
        <f>1/(1+D73)^K42</f>
        <v>0.75131480090157754</v>
      </c>
      <c r="L59" s="320">
        <f>1/(1+D73)^L42</f>
        <v>0.68301345536507052</v>
      </c>
      <c r="M59" s="320">
        <f>1/(1+D73)^M42</f>
        <v>0.62092132305915493</v>
      </c>
    </row>
    <row r="60" spans="2:17" s="298" customFormat="1" ht="4.5" customHeight="1" x14ac:dyDescent="0.55000000000000004">
      <c r="B60" s="288"/>
      <c r="C60" s="288"/>
      <c r="D60" s="314"/>
      <c r="F60" s="288"/>
      <c r="G60" s="288"/>
      <c r="H60" s="288"/>
      <c r="I60" s="288"/>
      <c r="J60" s="288"/>
      <c r="K60" s="288"/>
      <c r="L60" s="315"/>
      <c r="M60" s="315"/>
    </row>
    <row r="61" spans="2:17" s="298" customFormat="1" ht="12" customHeight="1" x14ac:dyDescent="0.55000000000000004">
      <c r="B61" s="288" t="str">
        <f>"DCF of FCFF (@"&amp;TEXT($D$36,"#0.00%")&amp;" WACC)"</f>
        <v>DCF of FCFF (@10.00% WACC)</v>
      </c>
      <c r="C61" s="288"/>
      <c r="D61" s="321">
        <f>SUM(I61:M61)</f>
        <v>105.88320292897347</v>
      </c>
      <c r="F61" s="322"/>
      <c r="G61" s="322"/>
      <c r="H61" s="322"/>
      <c r="I61" s="302">
        <f>I54*I59</f>
        <v>7.9483789753491232</v>
      </c>
      <c r="J61" s="302">
        <f>J54*J59</f>
        <v>25.000164225951952</v>
      </c>
      <c r="K61" s="302">
        <f>K54*K59</f>
        <v>31.652584096685239</v>
      </c>
      <c r="L61" s="302">
        <f>L54*L59</f>
        <v>25.36008079310826</v>
      </c>
      <c r="M61" s="302">
        <f>M54*M59</f>
        <v>15.921994837878884</v>
      </c>
    </row>
    <row r="62" spans="2:17" s="298" customFormat="1" ht="4.5" customHeight="1" x14ac:dyDescent="0.55000000000000004">
      <c r="B62" s="288"/>
      <c r="C62" s="288"/>
      <c r="D62" s="323"/>
      <c r="F62" s="288"/>
      <c r="G62" s="288"/>
      <c r="H62" s="288"/>
      <c r="I62" s="288"/>
      <c r="J62" s="288"/>
      <c r="K62" s="288"/>
      <c r="L62" s="315"/>
      <c r="M62" s="315"/>
    </row>
    <row r="63" spans="2:17" s="298" customFormat="1" ht="12" customHeight="1" x14ac:dyDescent="0.55000000000000004">
      <c r="B63" s="288" t="str">
        <f>"DCF of TV (@"&amp;TEXT($D$36,"#0.00%")&amp;" WACC)"</f>
        <v>DCF of TV (@10.00% WACC)</v>
      </c>
      <c r="C63" s="288"/>
      <c r="D63" s="321">
        <f>M63</f>
        <v>217.60059611767804</v>
      </c>
      <c r="F63" s="317"/>
      <c r="G63" s="317"/>
      <c r="H63" s="317"/>
      <c r="I63" s="317"/>
      <c r="J63" s="317"/>
      <c r="L63" s="316" t="s">
        <v>335</v>
      </c>
      <c r="M63" s="311">
        <f>M57*M59</f>
        <v>217.60059611767804</v>
      </c>
    </row>
    <row r="64" spans="2:17" s="298" customFormat="1" ht="7.5" customHeight="1" x14ac:dyDescent="0.55000000000000004">
      <c r="F64" s="297"/>
      <c r="G64" s="297"/>
    </row>
    <row r="65" spans="2:13" s="298" customFormat="1" ht="14.2" customHeight="1" x14ac:dyDescent="0.55000000000000004">
      <c r="B65" s="324" t="s">
        <v>336</v>
      </c>
      <c r="C65" s="324"/>
      <c r="D65" s="325"/>
      <c r="E65" s="325"/>
      <c r="F65" s="297"/>
      <c r="G65" s="324" t="s">
        <v>337</v>
      </c>
      <c r="H65" s="324"/>
      <c r="I65" s="324"/>
      <c r="J65" s="324"/>
      <c r="K65" s="324"/>
      <c r="L65" s="324"/>
      <c r="M65" s="338"/>
    </row>
    <row r="66" spans="2:13" s="298" customFormat="1" ht="14.2" customHeight="1" x14ac:dyDescent="0.55000000000000004">
      <c r="B66" s="288" t="s">
        <v>82</v>
      </c>
      <c r="C66" s="288"/>
      <c r="D66" s="302">
        <f>D61</f>
        <v>105.88320292897347</v>
      </c>
      <c r="E66" s="326">
        <f>D66/D68</f>
        <v>0.32732150185272013</v>
      </c>
    </row>
    <row r="67" spans="2:13" s="298" customFormat="1" ht="14.2" customHeight="1" x14ac:dyDescent="0.55000000000000004">
      <c r="B67" s="288" t="s">
        <v>115</v>
      </c>
      <c r="C67" s="288"/>
      <c r="D67" s="310">
        <f>D63</f>
        <v>217.60059611767804</v>
      </c>
      <c r="E67" s="327">
        <f>D67/D68</f>
        <v>0.67267849814727998</v>
      </c>
      <c r="F67" s="297"/>
      <c r="G67" s="297"/>
      <c r="H67" s="297"/>
      <c r="I67" s="297"/>
      <c r="J67" s="297"/>
      <c r="K67" s="297"/>
      <c r="L67" s="297"/>
      <c r="M67" s="297"/>
    </row>
    <row r="68" spans="2:13" s="298" customFormat="1" ht="14.2" customHeight="1" thickBot="1" x14ac:dyDescent="0.6">
      <c r="B68" s="288" t="s">
        <v>338</v>
      </c>
      <c r="C68" s="288"/>
      <c r="D68" s="311">
        <f>SUM(D66:D67)</f>
        <v>323.48379904665148</v>
      </c>
      <c r="E68" s="328">
        <f>D68/D68</f>
        <v>1</v>
      </c>
      <c r="F68" s="297"/>
      <c r="G68" s="297"/>
      <c r="H68" s="329" t="s">
        <v>339</v>
      </c>
      <c r="I68" s="329"/>
      <c r="J68" s="329"/>
      <c r="K68" s="329"/>
      <c r="L68" s="329"/>
      <c r="M68" s="297"/>
    </row>
    <row r="69" spans="2:13" ht="14.2" customHeight="1" x14ac:dyDescent="0.55000000000000004">
      <c r="B69" s="297" t="s">
        <v>473</v>
      </c>
      <c r="D69" s="645" t="s">
        <v>212</v>
      </c>
      <c r="E69" s="288"/>
      <c r="F69" s="297"/>
      <c r="G69" s="331">
        <f>D68</f>
        <v>323.48379904665148</v>
      </c>
      <c r="H69" s="332">
        <v>0</v>
      </c>
      <c r="I69" s="332">
        <v>0.01</v>
      </c>
      <c r="J69" s="615">
        <v>2.5000000000000001E-2</v>
      </c>
      <c r="K69" s="332">
        <v>2.75E-2</v>
      </c>
      <c r="L69" s="332">
        <v>0.03</v>
      </c>
      <c r="M69" s="339"/>
    </row>
    <row r="70" spans="2:13" ht="14.2" customHeight="1" x14ac:dyDescent="0.55000000000000004">
      <c r="B70" s="297" t="s">
        <v>344</v>
      </c>
      <c r="C70" s="288"/>
      <c r="D70" s="330">
        <f>D68/I46</f>
        <v>11.543440955516603</v>
      </c>
      <c r="E70" s="288"/>
      <c r="F70" s="788" t="s">
        <v>114</v>
      </c>
      <c r="G70" s="333">
        <v>0.08</v>
      </c>
      <c r="H70" s="302">
        <f t="dataTable" ref="H70:L74" dt2D="1" dtr="1" r1="D74" r2="D73"/>
        <v>330.3658316334911</v>
      </c>
      <c r="I70" s="302">
        <v>364.02302172715986</v>
      </c>
      <c r="J70" s="302">
        <v>437.45689102243716</v>
      </c>
      <c r="K70" s="302">
        <v>453.77552864360996</v>
      </c>
      <c r="L70" s="302">
        <v>471.72603002689993</v>
      </c>
      <c r="M70" s="302"/>
    </row>
    <row r="71" spans="2:13" ht="14.2" customHeight="1" x14ac:dyDescent="0.55000000000000004">
      <c r="F71" s="789"/>
      <c r="G71" s="333">
        <v>0.09</v>
      </c>
      <c r="H71" s="302">
        <v>294.16007229477805</v>
      </c>
      <c r="I71" s="302">
        <v>319.39037240311643</v>
      </c>
      <c r="J71" s="302">
        <v>371.7917649358194</v>
      </c>
      <c r="K71" s="302">
        <v>382.9707286761294</v>
      </c>
      <c r="L71" s="302">
        <v>395.08127272813181</v>
      </c>
      <c r="M71" s="302"/>
    </row>
    <row r="72" spans="2:13" ht="14.2" customHeight="1" x14ac:dyDescent="0.55000000000000004">
      <c r="B72" s="324" t="s">
        <v>340</v>
      </c>
      <c r="C72" s="325"/>
      <c r="D72" s="325"/>
      <c r="E72" s="288"/>
      <c r="F72" s="789"/>
      <c r="G72" s="612">
        <v>0.1</v>
      </c>
      <c r="H72" s="613">
        <v>265.10315130776235</v>
      </c>
      <c r="I72" s="613">
        <v>284.56336722072535</v>
      </c>
      <c r="J72" s="614">
        <v>323.48379904665148</v>
      </c>
      <c r="K72" s="613">
        <v>331.53630218305005</v>
      </c>
      <c r="L72" s="613">
        <v>340.16398411490559</v>
      </c>
      <c r="M72" s="302"/>
    </row>
    <row r="73" spans="2:13" ht="14.2" customHeight="1" x14ac:dyDescent="0.55000000000000004">
      <c r="B73" s="334" t="s">
        <v>341</v>
      </c>
      <c r="C73" s="297"/>
      <c r="D73" s="335">
        <v>0.1</v>
      </c>
      <c r="E73" s="288"/>
      <c r="F73" s="789"/>
      <c r="G73" s="333">
        <v>0.11</v>
      </c>
      <c r="H73" s="302">
        <v>241.25114806151845</v>
      </c>
      <c r="I73" s="302">
        <v>256.60708444535089</v>
      </c>
      <c r="J73" s="302">
        <v>286.4156668374963</v>
      </c>
      <c r="K73" s="302">
        <v>292.43760267429332</v>
      </c>
      <c r="L73" s="302">
        <v>298.83590950089018</v>
      </c>
      <c r="M73" s="302"/>
    </row>
    <row r="74" spans="2:13" ht="14.2" customHeight="1" x14ac:dyDescent="0.55000000000000004">
      <c r="B74" s="336" t="s">
        <v>342</v>
      </c>
      <c r="C74" s="297"/>
      <c r="D74" s="308">
        <v>2.5000000000000001E-2</v>
      </c>
      <c r="E74" s="288"/>
      <c r="F74" s="789"/>
      <c r="G74" s="333">
        <v>0.12</v>
      </c>
      <c r="H74" s="302">
        <v>221.30775677329342</v>
      </c>
      <c r="I74" s="302">
        <v>233.65343298735371</v>
      </c>
      <c r="J74" s="302">
        <v>257.04524055083641</v>
      </c>
      <c r="K74" s="302">
        <v>261.68145466251769</v>
      </c>
      <c r="L74" s="302">
        <v>266.5752362248478</v>
      </c>
      <c r="M74" s="302"/>
    </row>
    <row r="76" spans="2:13" x14ac:dyDescent="0.5">
      <c r="M76" s="340"/>
    </row>
    <row r="77" spans="2:13" ht="15" customHeight="1" x14ac:dyDescent="0.5"/>
    <row r="78" spans="2:13" ht="13.8" customHeight="1" thickBot="1" x14ac:dyDescent="0.55000000000000004"/>
    <row r="79" spans="2:13" ht="16.5" customHeight="1" thickTop="1" thickBot="1" x14ac:dyDescent="0.6">
      <c r="B79" s="296" t="s">
        <v>472</v>
      </c>
      <c r="G79" s="650" t="s">
        <v>478</v>
      </c>
      <c r="H79" s="651"/>
      <c r="I79" s="651"/>
      <c r="J79" s="651"/>
      <c r="K79" s="652"/>
      <c r="L79" s="653" t="s">
        <v>477</v>
      </c>
    </row>
    <row r="80" spans="2:13" ht="6.6" customHeight="1" thickTop="1" x14ac:dyDescent="0.55000000000000004">
      <c r="B80" s="297"/>
      <c r="C80" s="288"/>
      <c r="G80" s="330"/>
      <c r="H80" s="330"/>
      <c r="I80" s="330"/>
      <c r="J80" s="330"/>
      <c r="K80" s="330"/>
      <c r="L80" s="330"/>
    </row>
    <row r="81" spans="2:14" ht="16.5" customHeight="1" x14ac:dyDescent="0.5">
      <c r="B81" s="662" t="s">
        <v>482</v>
      </c>
      <c r="C81" s="662"/>
      <c r="D81" s="662"/>
      <c r="E81" s="662"/>
      <c r="F81" s="662"/>
      <c r="G81" s="663">
        <f>H35</f>
        <v>493.85048739836805</v>
      </c>
      <c r="H81" s="663">
        <f>I35</f>
        <v>529.23611548096653</v>
      </c>
      <c r="I81" s="663">
        <f>J35</f>
        <v>600.00737164616351</v>
      </c>
      <c r="J81" s="663">
        <f>K35</f>
        <v>614.64970050792851</v>
      </c>
      <c r="K81" s="663">
        <f>L35</f>
        <v>630.33791000267661</v>
      </c>
      <c r="L81" s="663">
        <f>L89+L85</f>
        <v>779.6825009697402</v>
      </c>
    </row>
    <row r="82" spans="2:14" ht="16.5" customHeight="1" x14ac:dyDescent="0.55000000000000004">
      <c r="B82" s="664" t="s">
        <v>485</v>
      </c>
      <c r="C82" s="662"/>
      <c r="D82" s="662"/>
      <c r="E82" s="662"/>
      <c r="F82" s="662"/>
      <c r="G82" s="665">
        <f>H32</f>
        <v>0</v>
      </c>
      <c r="H82" s="665">
        <f>I32</f>
        <v>0.01</v>
      </c>
      <c r="I82" s="665">
        <f>J32</f>
        <v>2.5000000000000001E-2</v>
      </c>
      <c r="J82" s="665">
        <f>K32</f>
        <v>2.75E-2</v>
      </c>
      <c r="K82" s="665">
        <f>L32</f>
        <v>0.03</v>
      </c>
      <c r="L82" s="666">
        <v>4.7300000000000002E-2</v>
      </c>
    </row>
    <row r="83" spans="2:14" ht="16.5" customHeight="1" x14ac:dyDescent="0.55000000000000004">
      <c r="B83" s="664" t="s">
        <v>486</v>
      </c>
      <c r="C83" s="667"/>
      <c r="D83" s="662"/>
      <c r="E83" s="662"/>
      <c r="F83" s="662"/>
      <c r="G83" s="668">
        <f t="shared" ref="G83:L83" si="14">G81/$I$9</f>
        <v>10.902641273417707</v>
      </c>
      <c r="H83" s="668">
        <f t="shared" si="14"/>
        <v>11.683842910479051</v>
      </c>
      <c r="I83" s="668">
        <f t="shared" si="14"/>
        <v>13.246246184601736</v>
      </c>
      <c r="J83" s="668">
        <f t="shared" si="14"/>
        <v>13.569502034420225</v>
      </c>
      <c r="K83" s="668">
        <f t="shared" si="14"/>
        <v>13.915847587797174</v>
      </c>
      <c r="L83" s="668">
        <f t="shared" si="14"/>
        <v>17.212899110449115</v>
      </c>
    </row>
    <row r="84" spans="2:14" ht="6.6" customHeight="1" x14ac:dyDescent="0.55000000000000004">
      <c r="B84" s="297"/>
      <c r="C84" s="288"/>
      <c r="G84" s="330"/>
      <c r="H84" s="330"/>
      <c r="I84" s="330"/>
      <c r="J84" s="330"/>
      <c r="K84" s="330"/>
      <c r="L84" s="330"/>
    </row>
    <row r="85" spans="2:14" ht="16.5" customHeight="1" x14ac:dyDescent="0.5">
      <c r="B85" s="217" t="s">
        <v>475</v>
      </c>
      <c r="G85" s="643">
        <f t="shared" ref="G85:L85" si="15">G86+G87</f>
        <v>326.08250096974024</v>
      </c>
      <c r="H85" s="643">
        <f t="shared" si="15"/>
        <v>326.08250096974024</v>
      </c>
      <c r="I85" s="643">
        <f t="shared" si="15"/>
        <v>326.08250096974024</v>
      </c>
      <c r="J85" s="643">
        <f t="shared" si="15"/>
        <v>326.08250096974024</v>
      </c>
      <c r="K85" s="643">
        <f t="shared" si="15"/>
        <v>326.08250096974024</v>
      </c>
      <c r="L85" s="643">
        <f t="shared" si="15"/>
        <v>326.08250096974024</v>
      </c>
    </row>
    <row r="86" spans="2:14" ht="16.5" customHeight="1" x14ac:dyDescent="0.55000000000000004">
      <c r="B86" s="655" t="s">
        <v>483</v>
      </c>
      <c r="G86" s="647">
        <f>'Pro Forma (Ex. 8)'!E14</f>
        <v>346.42142857142858</v>
      </c>
      <c r="H86" s="647">
        <f t="shared" ref="H86:L87" si="16">G86</f>
        <v>346.42142857142858</v>
      </c>
      <c r="I86" s="647">
        <f t="shared" si="16"/>
        <v>346.42142857142858</v>
      </c>
      <c r="J86" s="647">
        <f t="shared" si="16"/>
        <v>346.42142857142858</v>
      </c>
      <c r="K86" s="647">
        <f t="shared" si="16"/>
        <v>346.42142857142858</v>
      </c>
      <c r="L86" s="647">
        <f t="shared" si="16"/>
        <v>346.42142857142858</v>
      </c>
      <c r="N86" s="217" t="s">
        <v>524</v>
      </c>
    </row>
    <row r="87" spans="2:14" ht="16.5" customHeight="1" x14ac:dyDescent="0.55000000000000004">
      <c r="B87" s="655" t="s">
        <v>484</v>
      </c>
      <c r="G87" s="647">
        <f>-'Model 100% Accept'!M31</f>
        <v>-20.338927601688315</v>
      </c>
      <c r="H87" s="647">
        <f t="shared" si="16"/>
        <v>-20.338927601688315</v>
      </c>
      <c r="I87" s="647">
        <f t="shared" si="16"/>
        <v>-20.338927601688315</v>
      </c>
      <c r="J87" s="647">
        <f t="shared" si="16"/>
        <v>-20.338927601688315</v>
      </c>
      <c r="K87" s="647">
        <f t="shared" si="16"/>
        <v>-20.338927601688315</v>
      </c>
      <c r="L87" s="647">
        <f t="shared" si="16"/>
        <v>-20.338927601688315</v>
      </c>
    </row>
    <row r="88" spans="2:14" ht="6.6" customHeight="1" x14ac:dyDescent="0.55000000000000004">
      <c r="B88" s="297"/>
      <c r="C88" s="288"/>
      <c r="G88" s="330"/>
      <c r="H88" s="330"/>
      <c r="I88" s="330"/>
      <c r="J88" s="330"/>
      <c r="K88" s="330"/>
      <c r="L88" s="330"/>
    </row>
    <row r="89" spans="2:14" ht="16.5" customHeight="1" x14ac:dyDescent="0.5">
      <c r="B89" s="656" t="s">
        <v>474</v>
      </c>
      <c r="C89" s="656"/>
      <c r="D89" s="656"/>
      <c r="E89" s="656"/>
      <c r="F89" s="656"/>
      <c r="G89" s="657">
        <f>G81-G85</f>
        <v>167.76798642862781</v>
      </c>
      <c r="H89" s="657">
        <f>H81-H85</f>
        <v>203.15361451122629</v>
      </c>
      <c r="I89" s="657">
        <f>I81-I85</f>
        <v>273.92487067642327</v>
      </c>
      <c r="J89" s="657">
        <f>J81-J85</f>
        <v>288.56719953818828</v>
      </c>
      <c r="K89" s="657">
        <f>K81-K85</f>
        <v>304.25540903293637</v>
      </c>
      <c r="L89" s="657">
        <f>L91*L90</f>
        <v>453.59999999999997</v>
      </c>
    </row>
    <row r="90" spans="2:14" x14ac:dyDescent="0.5">
      <c r="B90" s="658" t="s">
        <v>479</v>
      </c>
      <c r="C90" s="656"/>
      <c r="D90" s="656"/>
      <c r="E90" s="656"/>
      <c r="F90" s="656"/>
      <c r="G90" s="659">
        <f>'Pro Forma (Ex. 8)'!I22</f>
        <v>64.8</v>
      </c>
      <c r="H90" s="659">
        <f>G90</f>
        <v>64.8</v>
      </c>
      <c r="I90" s="659">
        <f>H90</f>
        <v>64.8</v>
      </c>
      <c r="J90" s="659">
        <f>I90</f>
        <v>64.8</v>
      </c>
      <c r="K90" s="659">
        <f>J90</f>
        <v>64.8</v>
      </c>
      <c r="L90" s="659">
        <f>K90</f>
        <v>64.8</v>
      </c>
    </row>
    <row r="91" spans="2:14" x14ac:dyDescent="0.5">
      <c r="B91" s="656" t="s">
        <v>480</v>
      </c>
      <c r="C91" s="656"/>
      <c r="D91" s="656"/>
      <c r="E91" s="656"/>
      <c r="F91" s="656"/>
      <c r="G91" s="660">
        <f>G89/G90</f>
        <v>2.5890121362442562</v>
      </c>
      <c r="H91" s="660">
        <f>H89/H90</f>
        <v>3.1350866436917642</v>
      </c>
      <c r="I91" s="660">
        <f>I89/I90</f>
        <v>4.2272356585867792</v>
      </c>
      <c r="J91" s="660">
        <f>J89/J90</f>
        <v>4.4531975237374732</v>
      </c>
      <c r="K91" s="660">
        <f>K89/K90</f>
        <v>4.6952995221132161</v>
      </c>
      <c r="L91" s="661">
        <v>7</v>
      </c>
    </row>
    <row r="92" spans="2:14" ht="6.6" customHeight="1" x14ac:dyDescent="0.55000000000000004">
      <c r="B92" s="297"/>
      <c r="C92" s="288"/>
      <c r="G92" s="330"/>
      <c r="H92" s="330"/>
      <c r="I92" s="330"/>
      <c r="J92" s="330"/>
      <c r="K92" s="330"/>
      <c r="L92" s="330"/>
    </row>
    <row r="93" spans="2:14" ht="16.5" customHeight="1" x14ac:dyDescent="0.5">
      <c r="B93" s="298" t="s">
        <v>476</v>
      </c>
      <c r="G93" s="648">
        <f>'Pro Forma (Ex. 8)'!L22</f>
        <v>296.17785714285714</v>
      </c>
      <c r="H93" s="648">
        <f>G93</f>
        <v>296.17785714285714</v>
      </c>
      <c r="I93" s="648">
        <f>H93</f>
        <v>296.17785714285714</v>
      </c>
      <c r="J93" s="648">
        <f>I93</f>
        <v>296.17785714285714</v>
      </c>
      <c r="K93" s="648">
        <f>J93</f>
        <v>296.17785714285714</v>
      </c>
      <c r="L93" s="648">
        <f>K93</f>
        <v>296.17785714285714</v>
      </c>
    </row>
    <row r="94" spans="2:14" ht="16.5" customHeight="1" x14ac:dyDescent="0.5">
      <c r="B94" s="217" t="s">
        <v>481</v>
      </c>
      <c r="G94" s="649">
        <f t="shared" ref="G94:L94" si="17">G89/G93</f>
        <v>0.56644337982264259</v>
      </c>
      <c r="H94" s="649">
        <f t="shared" si="17"/>
        <v>0.68591763230037173</v>
      </c>
      <c r="I94" s="649">
        <f t="shared" si="17"/>
        <v>0.92486613725582978</v>
      </c>
      <c r="J94" s="649">
        <f t="shared" si="17"/>
        <v>0.97430375897075261</v>
      </c>
      <c r="K94" s="649">
        <f t="shared" si="17"/>
        <v>1.0272726393795979</v>
      </c>
      <c r="L94" s="649">
        <f t="shared" si="17"/>
        <v>1.5315121946513797</v>
      </c>
    </row>
    <row r="95" spans="2:14" ht="5.7" customHeight="1" x14ac:dyDescent="0.5"/>
    <row r="98" ht="5.7" customHeight="1" x14ac:dyDescent="0.5"/>
    <row r="103" ht="5.7" customHeight="1" x14ac:dyDescent="0.5"/>
  </sheetData>
  <mergeCells count="2">
    <mergeCell ref="F33:F37"/>
    <mergeCell ref="F70:F74"/>
  </mergeCells>
  <pageMargins left="0.75" right="0.75" top="0.55000000000000004" bottom="0.37" header="0.4" footer="0.2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"/>
  <sheetViews>
    <sheetView showGridLines="0" zoomScale="124" zoomScaleNormal="124" workbookViewId="0">
      <selection activeCell="J8" sqref="J8"/>
    </sheetView>
  </sheetViews>
  <sheetFormatPr baseColWidth="10" defaultColWidth="9.15625" defaultRowHeight="12.6" x14ac:dyDescent="0.45"/>
  <cols>
    <col min="1" max="1" width="15.47265625" style="23" customWidth="1"/>
    <col min="2" max="2" width="9.15625" style="128" customWidth="1"/>
    <col min="3" max="3" width="0.9453125" style="128" customWidth="1"/>
    <col min="4" max="4" width="8.734375" style="128" customWidth="1"/>
    <col min="5" max="5" width="0.9453125" style="128" customWidth="1"/>
    <col min="6" max="6" width="7.734375" style="128" customWidth="1"/>
    <col min="7" max="7" width="0.9453125" style="128" customWidth="1"/>
    <col min="8" max="8" width="8.1015625" style="128" customWidth="1"/>
    <col min="9" max="9" width="0.9453125" style="128" customWidth="1"/>
    <col min="10" max="10" width="7.05078125" style="128" customWidth="1"/>
    <col min="11" max="11" width="0.9453125" style="128" customWidth="1"/>
    <col min="12" max="12" width="9.5234375" style="128" customWidth="1"/>
    <col min="13" max="13" width="0.9453125" style="128" customWidth="1"/>
    <col min="14" max="14" width="6.3671875" style="128" customWidth="1"/>
    <col min="15" max="15" width="0.9453125" style="128" customWidth="1"/>
    <col min="16" max="16" width="6.5234375" style="128" customWidth="1"/>
    <col min="17" max="17" width="0.9453125" style="128" customWidth="1"/>
    <col min="18" max="18" width="5.7890625" style="128" customWidth="1"/>
    <col min="19" max="16384" width="9.15625" style="23"/>
  </cols>
  <sheetData>
    <row r="1" spans="1:21" x14ac:dyDescent="0.45">
      <c r="A1" s="13" t="s">
        <v>164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7"/>
      <c r="Q1" s="14"/>
    </row>
    <row r="2" spans="1:21" x14ac:dyDescent="0.45">
      <c r="A2" s="559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616"/>
    </row>
    <row r="3" spans="1:21" s="595" customFormat="1" x14ac:dyDescent="0.45">
      <c r="A3" s="635"/>
      <c r="B3" s="790"/>
      <c r="C3" s="790"/>
      <c r="D3" s="790"/>
      <c r="E3" s="790"/>
      <c r="F3" s="790"/>
      <c r="G3" s="790"/>
      <c r="H3" s="790"/>
      <c r="I3" s="790"/>
      <c r="J3" s="790"/>
      <c r="K3" s="790"/>
      <c r="L3" s="790"/>
      <c r="M3" s="790"/>
      <c r="N3" s="790"/>
      <c r="O3" s="636"/>
      <c r="P3" s="636"/>
      <c r="Q3" s="636"/>
      <c r="R3" s="636"/>
    </row>
    <row r="4" spans="1:21" s="129" customFormat="1" ht="23.7" thickBot="1" x14ac:dyDescent="0.5">
      <c r="A4" s="619"/>
      <c r="B4" s="634" t="s">
        <v>448</v>
      </c>
      <c r="C4" s="620"/>
      <c r="D4" s="634" t="s">
        <v>33</v>
      </c>
      <c r="E4" s="620"/>
      <c r="F4" s="634" t="s">
        <v>454</v>
      </c>
      <c r="G4" s="620"/>
      <c r="H4" s="634" t="s">
        <v>455</v>
      </c>
      <c r="I4" s="620"/>
      <c r="J4" s="634" t="s">
        <v>456</v>
      </c>
      <c r="K4" s="620"/>
      <c r="L4" s="634" t="s">
        <v>35</v>
      </c>
      <c r="M4" s="620"/>
      <c r="N4" s="634" t="s">
        <v>43</v>
      </c>
      <c r="O4" s="620"/>
      <c r="P4" s="634" t="s">
        <v>167</v>
      </c>
      <c r="Q4" s="620"/>
      <c r="R4" s="634" t="s">
        <v>76</v>
      </c>
    </row>
    <row r="5" spans="1:21" s="129" customFormat="1" ht="12.9" thickTop="1" x14ac:dyDescent="0.45">
      <c r="A5" s="619"/>
      <c r="B5" s="620"/>
      <c r="C5" s="620"/>
      <c r="D5" s="620"/>
      <c r="E5" s="620"/>
      <c r="F5" s="620"/>
      <c r="G5" s="620"/>
      <c r="H5" s="620"/>
      <c r="I5" s="620"/>
      <c r="J5" s="620"/>
      <c r="K5" s="620"/>
      <c r="L5" s="620"/>
      <c r="M5" s="620"/>
      <c r="N5" s="620"/>
      <c r="O5" s="620"/>
      <c r="P5" s="620"/>
      <c r="Q5" s="620"/>
      <c r="R5" s="620"/>
    </row>
    <row r="6" spans="1:21" ht="19.5" customHeight="1" x14ac:dyDescent="0.45">
      <c r="A6" s="363" t="s">
        <v>64</v>
      </c>
      <c r="B6" s="621">
        <v>1315.6</v>
      </c>
      <c r="C6" s="621"/>
      <c r="D6" s="622">
        <v>-9.7000000000000003E-2</v>
      </c>
      <c r="E6" s="621"/>
      <c r="F6" s="622">
        <v>0.104</v>
      </c>
      <c r="G6" s="621"/>
      <c r="H6" s="622">
        <v>-1.2999999999999999E-2</v>
      </c>
      <c r="I6" s="621"/>
      <c r="J6" s="622">
        <v>-3.5999999999999997E-2</v>
      </c>
      <c r="K6" s="621"/>
      <c r="L6" s="622">
        <v>0.56100000000000005</v>
      </c>
      <c r="M6" s="621"/>
      <c r="N6" s="622">
        <f>L6/(1-L6)</f>
        <v>1.2779043280182236</v>
      </c>
      <c r="O6" s="621"/>
      <c r="P6" s="621">
        <v>995.2</v>
      </c>
      <c r="Q6" s="621"/>
      <c r="R6" s="626">
        <v>2.02</v>
      </c>
      <c r="T6" s="256"/>
      <c r="U6" s="256"/>
    </row>
    <row r="7" spans="1:21" ht="19.5" customHeight="1" x14ac:dyDescent="0.45">
      <c r="A7" s="363" t="s">
        <v>66</v>
      </c>
      <c r="B7" s="621">
        <v>699.1</v>
      </c>
      <c r="C7" s="621"/>
      <c r="D7" s="622">
        <v>-0.11899999999999999</v>
      </c>
      <c r="E7" s="621"/>
      <c r="F7" s="622">
        <v>0.122</v>
      </c>
      <c r="G7" s="621"/>
      <c r="H7" s="622">
        <v>4.2999999999999997E-2</v>
      </c>
      <c r="I7" s="621"/>
      <c r="J7" s="622">
        <v>1.2E-2</v>
      </c>
      <c r="K7" s="621"/>
      <c r="L7" s="622">
        <v>0.63600000000000001</v>
      </c>
      <c r="M7" s="621"/>
      <c r="N7" s="622">
        <f t="shared" ref="N7:N9" si="0">L7/(1-L7)</f>
        <v>1.7472527472527473</v>
      </c>
      <c r="O7" s="621"/>
      <c r="P7" s="621">
        <v>558.4</v>
      </c>
      <c r="Q7" s="621"/>
      <c r="R7" s="626">
        <v>2.42</v>
      </c>
      <c r="T7" s="256"/>
      <c r="U7" s="256"/>
    </row>
    <row r="8" spans="1:21" ht="19.5" customHeight="1" x14ac:dyDescent="0.45">
      <c r="A8" s="363" t="s">
        <v>65</v>
      </c>
      <c r="B8" s="621">
        <v>146.19999999999999</v>
      </c>
      <c r="C8" s="621"/>
      <c r="D8" s="622">
        <v>-0.22800000000000001</v>
      </c>
      <c r="E8" s="621"/>
      <c r="F8" s="622">
        <v>7.4999999999999997E-2</v>
      </c>
      <c r="G8" s="621"/>
      <c r="H8" s="622">
        <v>-6.3E-2</v>
      </c>
      <c r="I8" s="621"/>
      <c r="J8" s="622">
        <v>-8.5999999999999993E-2</v>
      </c>
      <c r="K8" s="621"/>
      <c r="L8" s="622">
        <v>0.30099999999999999</v>
      </c>
      <c r="M8" s="621"/>
      <c r="N8" s="622">
        <f t="shared" si="0"/>
        <v>0.43061516452074389</v>
      </c>
      <c r="O8" s="621"/>
      <c r="P8" s="621">
        <v>111.5</v>
      </c>
      <c r="Q8" s="621"/>
      <c r="R8" s="626">
        <v>1.48</v>
      </c>
      <c r="T8" s="256"/>
      <c r="U8" s="256"/>
    </row>
    <row r="9" spans="1:21" ht="19.5" customHeight="1" x14ac:dyDescent="0.45">
      <c r="A9" s="623" t="s">
        <v>67</v>
      </c>
      <c r="B9" s="624">
        <v>302.8</v>
      </c>
      <c r="C9" s="624"/>
      <c r="D9" s="625">
        <v>-0.156</v>
      </c>
      <c r="E9" s="624"/>
      <c r="F9" s="625">
        <v>0.19600000000000001</v>
      </c>
      <c r="G9" s="624"/>
      <c r="H9" s="625">
        <v>-1.6E-2</v>
      </c>
      <c r="I9" s="624"/>
      <c r="J9" s="625">
        <v>-6.9000000000000006E-2</v>
      </c>
      <c r="K9" s="624"/>
      <c r="L9" s="625">
        <v>0.69699999999999995</v>
      </c>
      <c r="M9" s="624"/>
      <c r="N9" s="625">
        <f t="shared" si="0"/>
        <v>2.3003300330032999</v>
      </c>
      <c r="O9" s="624"/>
      <c r="P9" s="624">
        <v>238.9</v>
      </c>
      <c r="Q9" s="624"/>
      <c r="R9" s="627">
        <v>2.69</v>
      </c>
      <c r="T9" s="256"/>
      <c r="U9" s="256"/>
    </row>
    <row r="10" spans="1:21" x14ac:dyDescent="0.45">
      <c r="N10" s="130"/>
      <c r="P10" s="130"/>
    </row>
    <row r="11" spans="1:21" x14ac:dyDescent="0.45">
      <c r="A11" s="628" t="s">
        <v>348</v>
      </c>
      <c r="B11" s="629"/>
      <c r="C11" s="629"/>
      <c r="D11" s="629"/>
      <c r="E11" s="629"/>
      <c r="F11" s="629"/>
      <c r="G11" s="629"/>
      <c r="H11" s="629"/>
      <c r="I11" s="629"/>
      <c r="J11" s="629"/>
      <c r="K11" s="629"/>
      <c r="L11" s="629"/>
      <c r="M11" s="629"/>
      <c r="N11" s="629"/>
      <c r="O11" s="629"/>
      <c r="P11" s="629"/>
      <c r="Q11" s="629"/>
      <c r="R11" s="629"/>
    </row>
    <row r="12" spans="1:21" x14ac:dyDescent="0.45">
      <c r="A12" s="630" t="s">
        <v>451</v>
      </c>
      <c r="B12" s="631">
        <f>'Model 100% Accept'!K6</f>
        <v>875.3</v>
      </c>
      <c r="C12" s="631"/>
      <c r="D12" s="632">
        <f>(('Model 100% Accept'!K8/'Model 100% Accept'!H8)^(1/3))-1</f>
        <v>-8.0649629053227256E-2</v>
      </c>
      <c r="E12" s="631"/>
      <c r="F12" s="632">
        <f>'Model 100% Accept'!K8/'Model 100% Accept'!K6</f>
        <v>0.11399999999999993</v>
      </c>
      <c r="G12" s="631"/>
      <c r="H12" s="632">
        <f>'Model 100% Accept'!K11/'Model 100% Accept'!K6</f>
        <v>-2.7901757195810766E-2</v>
      </c>
      <c r="I12" s="631"/>
      <c r="J12" s="632">
        <f>('Model 100% Accept'!K16-'Model 100% Accept'!K12-'Model 100% Accept'!K13)/'Model 100% Accept'!K6</f>
        <v>-2.4813158210870972E-2</v>
      </c>
      <c r="K12" s="631"/>
      <c r="L12" s="632">
        <f>'Model 100% Accept'!K174</f>
        <v>0.88345954963311113</v>
      </c>
      <c r="M12" s="631"/>
      <c r="N12" s="632">
        <f>'Model 100% Accept'!K173</f>
        <v>7.5807116486321515</v>
      </c>
      <c r="O12" s="631"/>
      <c r="P12" s="631">
        <f>'Model Min. Accept'!M186+'Model Min. Accept'!M187</f>
        <v>90.846000000000004</v>
      </c>
      <c r="Q12" s="631"/>
      <c r="R12" s="633">
        <f>'Cap Mkts (Ex. 5)'!B16</f>
        <v>2.79</v>
      </c>
    </row>
    <row r="13" spans="1:21" x14ac:dyDescent="0.45">
      <c r="A13" s="630" t="s">
        <v>452</v>
      </c>
      <c r="B13" s="631"/>
      <c r="C13" s="631"/>
      <c r="D13" s="632"/>
      <c r="E13" s="631"/>
      <c r="F13" s="632"/>
      <c r="G13" s="631"/>
      <c r="H13" s="632"/>
      <c r="I13" s="631"/>
      <c r="J13" s="632"/>
      <c r="K13" s="631"/>
      <c r="L13" s="632">
        <f>'Pro Forma (Ex. 8)'!E26</f>
        <v>0.60347753095290502</v>
      </c>
      <c r="M13" s="631"/>
      <c r="N13" s="632">
        <f>L13/(1-L13)</f>
        <v>1.5219251822050719</v>
      </c>
      <c r="O13" s="631"/>
      <c r="P13" s="631"/>
      <c r="Q13" s="631"/>
      <c r="R13" s="633"/>
    </row>
    <row r="14" spans="1:21" x14ac:dyDescent="0.45">
      <c r="A14" s="630" t="s">
        <v>453</v>
      </c>
      <c r="B14" s="631"/>
      <c r="C14" s="631"/>
      <c r="D14" s="632"/>
      <c r="E14" s="631"/>
      <c r="F14" s="632"/>
      <c r="G14" s="631"/>
      <c r="H14" s="632"/>
      <c r="I14" s="631"/>
      <c r="J14" s="632"/>
      <c r="K14" s="631"/>
      <c r="L14" s="632">
        <f>'Pro Forma (Ex. 8)'!G26</f>
        <v>0.64828386183000175</v>
      </c>
      <c r="M14" s="631"/>
      <c r="N14" s="632">
        <f>L14/(1-L14)</f>
        <v>1.8432019218767284</v>
      </c>
      <c r="O14" s="631"/>
      <c r="P14" s="631"/>
      <c r="Q14" s="631"/>
      <c r="R14" s="633"/>
    </row>
  </sheetData>
  <mergeCells count="1">
    <mergeCell ref="B3:N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5"/>
  <sheetViews>
    <sheetView showGridLines="0" zoomScale="116" zoomScaleNormal="99" workbookViewId="0">
      <selection activeCell="C1" sqref="C1"/>
    </sheetView>
  </sheetViews>
  <sheetFormatPr baseColWidth="10" defaultColWidth="9.15625" defaultRowHeight="11.4" outlineLevelRow="1" outlineLevelCol="1" x14ac:dyDescent="0.4"/>
  <cols>
    <col min="1" max="1" width="29.5234375" style="39" customWidth="1"/>
    <col min="2" max="2" width="9.15625" style="39" hidden="1" customWidth="1" outlineLevel="1"/>
    <col min="3" max="3" width="11" style="39" customWidth="1" collapsed="1"/>
    <col min="4" max="7" width="11" style="39" customWidth="1"/>
    <col min="8" max="8" width="3.9453125" style="39" customWidth="1"/>
    <col min="9" max="9" width="7.89453125" style="39" customWidth="1"/>
    <col min="10" max="10" width="17.7890625" style="39" bestFit="1" customWidth="1"/>
    <col min="11" max="16384" width="9.15625" style="39"/>
  </cols>
  <sheetData>
    <row r="1" spans="1:13" ht="12.75" customHeight="1" x14ac:dyDescent="0.4">
      <c r="A1" s="6" t="s">
        <v>160</v>
      </c>
      <c r="B1" s="6"/>
      <c r="C1" s="46"/>
      <c r="D1" s="46"/>
      <c r="E1" s="46"/>
      <c r="F1" s="46"/>
      <c r="G1" s="46"/>
    </row>
    <row r="2" spans="1:13" ht="12.75" customHeight="1" x14ac:dyDescent="0.4">
      <c r="A2" s="30"/>
      <c r="B2" s="31">
        <v>2010</v>
      </c>
      <c r="C2" s="31">
        <v>2011</v>
      </c>
      <c r="D2" s="31">
        <v>2012</v>
      </c>
      <c r="E2" s="31">
        <v>2013</v>
      </c>
      <c r="F2" s="31">
        <v>2014</v>
      </c>
      <c r="G2" s="31">
        <v>2015</v>
      </c>
      <c r="I2" s="46" t="s">
        <v>228</v>
      </c>
    </row>
    <row r="3" spans="1:13" ht="12.75" customHeight="1" x14ac:dyDescent="0.4">
      <c r="A3" s="39" t="s">
        <v>77</v>
      </c>
      <c r="C3" s="114">
        <v>6.8000000000000005E-2</v>
      </c>
      <c r="D3" s="114">
        <v>0.06</v>
      </c>
      <c r="E3" s="114">
        <v>5.5E-2</v>
      </c>
      <c r="F3" s="114">
        <v>4.4999999999999998E-2</v>
      </c>
      <c r="G3" s="114">
        <v>3.5000000000000003E-2</v>
      </c>
    </row>
    <row r="4" spans="1:13" ht="12.75" customHeight="1" x14ac:dyDescent="0.4">
      <c r="A4" s="39" t="s">
        <v>31</v>
      </c>
      <c r="C4" s="114">
        <v>0.125</v>
      </c>
      <c r="D4" s="114">
        <v>0.13</v>
      </c>
      <c r="E4" s="114">
        <v>0.13500000000000001</v>
      </c>
      <c r="F4" s="114">
        <v>0.13500000000000001</v>
      </c>
      <c r="G4" s="114">
        <v>0.13500000000000001</v>
      </c>
    </row>
    <row r="5" spans="1:13" ht="12.75" customHeight="1" x14ac:dyDescent="0.4">
      <c r="A5" s="47" t="s">
        <v>34</v>
      </c>
      <c r="B5" s="47"/>
      <c r="C5" s="350">
        <v>0.02</v>
      </c>
      <c r="D5" s="350">
        <v>0.03</v>
      </c>
      <c r="E5" s="350">
        <v>0.04</v>
      </c>
      <c r="F5" s="350">
        <v>4.4999999999999998E-2</v>
      </c>
      <c r="G5" s="350">
        <v>4.4999999999999998E-2</v>
      </c>
    </row>
    <row r="6" spans="1:13" ht="12.75" customHeight="1" x14ac:dyDescent="0.4">
      <c r="A6" s="201" t="s">
        <v>211</v>
      </c>
      <c r="B6" s="46"/>
      <c r="C6" s="205">
        <f>(C9+C12)/C7</f>
        <v>4.8454663590995664E-2</v>
      </c>
      <c r="D6" s="205">
        <f>(D9+D12)/D7</f>
        <v>5.8055030778467846E-2</v>
      </c>
      <c r="E6" s="205">
        <f>(E9+E12)/E7</f>
        <v>6.8601228145391546E-2</v>
      </c>
      <c r="F6" s="205">
        <f>(F9+F12)/F7</f>
        <v>7.3193430314063126E-2</v>
      </c>
      <c r="G6" s="205">
        <f>(G9+G12)/G7</f>
        <v>7.2505354249556536E-2</v>
      </c>
    </row>
    <row r="7" spans="1:13" ht="12.75" customHeight="1" x14ac:dyDescent="0.4">
      <c r="A7" s="55" t="s">
        <v>78</v>
      </c>
      <c r="B7" s="166">
        <f>'Model 100% Accept'!K6</f>
        <v>875.3</v>
      </c>
      <c r="C7" s="166">
        <f>'Exhibit 1'!K4*(1+'Projections (Ex. 4)'!C3)</f>
        <v>934.82039999999995</v>
      </c>
      <c r="D7" s="166">
        <f>C7*(1+D3)</f>
        <v>990.90962400000001</v>
      </c>
      <c r="E7" s="166">
        <f>D7*(1+E3)</f>
        <v>1045.40965332</v>
      </c>
      <c r="F7" s="166">
        <f>E7*(1+F3)</f>
        <v>1092.4530877193999</v>
      </c>
      <c r="G7" s="166">
        <f>F7*(1+G3)</f>
        <v>1130.6889457895788</v>
      </c>
      <c r="H7" s="55"/>
      <c r="I7" s="165">
        <f t="shared" ref="I7:I12" si="0">((G7/C7)^(1/4)-1)</f>
        <v>4.8705972298807021E-2</v>
      </c>
    </row>
    <row r="8" spans="1:13" ht="12.75" customHeight="1" x14ac:dyDescent="0.4">
      <c r="A8" s="39" t="s">
        <v>107</v>
      </c>
      <c r="C8" s="124">
        <f>C7*C4</f>
        <v>116.85254999999999</v>
      </c>
      <c r="D8" s="124">
        <f>D7*D4</f>
        <v>128.81825112000001</v>
      </c>
      <c r="E8" s="124">
        <f>E7*E4</f>
        <v>141.13030319820001</v>
      </c>
      <c r="F8" s="124">
        <f>F7*F4</f>
        <v>147.48116684211899</v>
      </c>
      <c r="G8" s="124">
        <f>G7*G4</f>
        <v>152.64300768159316</v>
      </c>
      <c r="I8" s="114">
        <f t="shared" si="0"/>
        <v>6.907870806265648E-2</v>
      </c>
    </row>
    <row r="9" spans="1:13" ht="12.75" customHeight="1" x14ac:dyDescent="0.4">
      <c r="A9" s="55" t="s">
        <v>79</v>
      </c>
      <c r="B9" s="55"/>
      <c r="C9" s="166">
        <f>C7*C5</f>
        <v>18.696407999999998</v>
      </c>
      <c r="D9" s="166">
        <f>D7*D5</f>
        <v>29.727288720000001</v>
      </c>
      <c r="E9" s="166">
        <f>E7*E5</f>
        <v>41.816386132799998</v>
      </c>
      <c r="F9" s="166">
        <f>F7*F5</f>
        <v>49.160388947372994</v>
      </c>
      <c r="G9" s="166">
        <f>G7*G5</f>
        <v>50.881002560531044</v>
      </c>
      <c r="H9" s="55"/>
      <c r="I9" s="165">
        <f t="shared" si="0"/>
        <v>0.28439726117069375</v>
      </c>
    </row>
    <row r="10" spans="1:13" ht="12.75" customHeight="1" x14ac:dyDescent="0.4">
      <c r="A10" s="39" t="s">
        <v>80</v>
      </c>
      <c r="C10" s="124">
        <f>C9*0.35</f>
        <v>6.5437427999999986</v>
      </c>
      <c r="D10" s="124">
        <f t="shared" ref="D10:G10" si="1">D9*0.35</f>
        <v>10.404551052</v>
      </c>
      <c r="E10" s="124">
        <f t="shared" si="1"/>
        <v>14.635735146479998</v>
      </c>
      <c r="F10" s="124">
        <f t="shared" si="1"/>
        <v>17.206136131580546</v>
      </c>
      <c r="G10" s="124">
        <f t="shared" si="1"/>
        <v>17.808350896185864</v>
      </c>
      <c r="I10" s="114">
        <f t="shared" si="0"/>
        <v>0.28439726117069375</v>
      </c>
    </row>
    <row r="11" spans="1:13" ht="12.75" customHeight="1" x14ac:dyDescent="0.4">
      <c r="A11" s="46" t="s">
        <v>176</v>
      </c>
      <c r="B11" s="46"/>
      <c r="C11" s="125">
        <f>C9-C10</f>
        <v>12.1526652</v>
      </c>
      <c r="D11" s="125">
        <f t="shared" ref="D11:G11" si="2">D9-D10</f>
        <v>19.322737668000002</v>
      </c>
      <c r="E11" s="125">
        <f t="shared" si="2"/>
        <v>27.18065098632</v>
      </c>
      <c r="F11" s="125">
        <f t="shared" si="2"/>
        <v>31.954252815792447</v>
      </c>
      <c r="G11" s="125">
        <f t="shared" si="2"/>
        <v>33.07265166434518</v>
      </c>
      <c r="I11" s="114">
        <f t="shared" si="0"/>
        <v>0.28439726117069375</v>
      </c>
      <c r="J11" s="161"/>
      <c r="K11" s="161"/>
      <c r="L11" s="161"/>
      <c r="M11" s="161"/>
    </row>
    <row r="12" spans="1:13" ht="12.75" customHeight="1" x14ac:dyDescent="0.4">
      <c r="A12" s="39" t="s">
        <v>81</v>
      </c>
      <c r="C12" s="140">
        <v>26.6</v>
      </c>
      <c r="D12" s="140">
        <v>27.8</v>
      </c>
      <c r="E12" s="140">
        <v>29.9</v>
      </c>
      <c r="F12" s="140">
        <v>30.8</v>
      </c>
      <c r="G12" s="140">
        <v>31.1</v>
      </c>
      <c r="I12" s="114">
        <f t="shared" si="0"/>
        <v>3.9847586373265464E-2</v>
      </c>
    </row>
    <row r="13" spans="1:13" ht="12.75" customHeight="1" x14ac:dyDescent="0.4">
      <c r="A13" s="39" t="s">
        <v>177</v>
      </c>
      <c r="C13" s="140">
        <v>4.9000000000000004</v>
      </c>
      <c r="D13" s="140">
        <v>-9.6999999999999993</v>
      </c>
      <c r="E13" s="140">
        <v>-9.6</v>
      </c>
      <c r="F13" s="140">
        <v>-5.9</v>
      </c>
      <c r="G13" s="140">
        <v>-5.0999999999999996</v>
      </c>
      <c r="H13" s="66"/>
      <c r="I13" s="139" t="s">
        <v>229</v>
      </c>
      <c r="J13" s="66"/>
      <c r="K13" s="66"/>
      <c r="L13" s="66"/>
    </row>
    <row r="14" spans="1:13" ht="12.75" customHeight="1" x14ac:dyDescent="0.4">
      <c r="A14" s="39" t="s">
        <v>22</v>
      </c>
      <c r="C14" s="140">
        <v>18.2</v>
      </c>
      <c r="D14" s="140">
        <v>11.2</v>
      </c>
      <c r="E14" s="140">
        <v>11.5</v>
      </c>
      <c r="F14" s="140">
        <v>11.9</v>
      </c>
      <c r="G14" s="140">
        <v>9.9</v>
      </c>
      <c r="I14" s="114">
        <f>((G14/C14)^(1/4)-1)</f>
        <v>-0.14120214378372919</v>
      </c>
    </row>
    <row r="15" spans="1:13" ht="12.75" customHeight="1" x14ac:dyDescent="0.4">
      <c r="A15" s="60" t="s">
        <v>230</v>
      </c>
      <c r="B15" s="60"/>
      <c r="C15" s="164">
        <f>C11+C12-C13-C14</f>
        <v>15.652665200000005</v>
      </c>
      <c r="D15" s="164">
        <f>D11+D12-D13-D14</f>
        <v>45.622737667999999</v>
      </c>
      <c r="E15" s="164">
        <f>E11+E12-E13-E14</f>
        <v>55.180650986319989</v>
      </c>
      <c r="F15" s="164">
        <f>F11+F12-F13-F14</f>
        <v>56.754252815792448</v>
      </c>
      <c r="G15" s="164">
        <f>G11+G12-G13-G14</f>
        <v>59.372651664345177</v>
      </c>
      <c r="H15" s="55"/>
      <c r="I15" s="165">
        <f>((G15/C15)^(1/4)-1)</f>
        <v>0.39556329150247982</v>
      </c>
    </row>
    <row r="16" spans="1:13" ht="12.75" customHeight="1" x14ac:dyDescent="0.4">
      <c r="A16" s="47"/>
      <c r="B16" s="47"/>
      <c r="C16" s="48"/>
      <c r="D16" s="48"/>
      <c r="E16" s="48"/>
      <c r="F16" s="48"/>
      <c r="G16" s="48"/>
    </row>
    <row r="17" spans="1:9" ht="12.75" customHeight="1" x14ac:dyDescent="0.4">
      <c r="A17" s="6" t="s">
        <v>161</v>
      </c>
      <c r="B17" s="6"/>
      <c r="C17" s="46"/>
      <c r="D17" s="46"/>
      <c r="E17" s="46"/>
      <c r="F17" s="46"/>
      <c r="G17" s="46"/>
    </row>
    <row r="18" spans="1:9" ht="12.75" customHeight="1" x14ac:dyDescent="0.4">
      <c r="A18" s="30"/>
      <c r="B18" s="30"/>
      <c r="C18" s="31">
        <v>2011</v>
      </c>
      <c r="D18" s="31">
        <v>2012</v>
      </c>
      <c r="E18" s="31">
        <v>2013</v>
      </c>
      <c r="F18" s="31">
        <v>2014</v>
      </c>
      <c r="G18" s="31">
        <v>2015</v>
      </c>
      <c r="I18" s="46" t="s">
        <v>228</v>
      </c>
    </row>
    <row r="19" spans="1:9" ht="12.75" customHeight="1" x14ac:dyDescent="0.4">
      <c r="A19" s="39" t="s">
        <v>77</v>
      </c>
      <c r="C19" s="114">
        <v>3.5000000000000003E-2</v>
      </c>
      <c r="D19" s="114">
        <v>3.5000000000000003E-2</v>
      </c>
      <c r="E19" s="114">
        <v>0.03</v>
      </c>
      <c r="F19" s="114">
        <v>2.5000000000000001E-2</v>
      </c>
      <c r="G19" s="114">
        <v>2.5000000000000001E-2</v>
      </c>
    </row>
    <row r="20" spans="1:9" ht="12.75" customHeight="1" x14ac:dyDescent="0.4">
      <c r="A20" s="39" t="s">
        <v>31</v>
      </c>
      <c r="C20" s="114">
        <v>0.115</v>
      </c>
      <c r="D20" s="114">
        <v>0.115</v>
      </c>
      <c r="E20" s="114">
        <v>0.12</v>
      </c>
      <c r="F20" s="114">
        <v>0.12</v>
      </c>
      <c r="G20" s="114">
        <v>0.125</v>
      </c>
    </row>
    <row r="21" spans="1:9" ht="12.75" customHeight="1" x14ac:dyDescent="0.4">
      <c r="A21" s="47" t="s">
        <v>34</v>
      </c>
      <c r="B21" s="47"/>
      <c r="C21" s="350">
        <v>0.01</v>
      </c>
      <c r="D21" s="350">
        <v>0.02</v>
      </c>
      <c r="E21" s="350">
        <v>2.5000000000000001E-2</v>
      </c>
      <c r="F21" s="350">
        <v>3.5000000000000003E-2</v>
      </c>
      <c r="G21" s="350">
        <v>3.5000000000000003E-2</v>
      </c>
    </row>
    <row r="22" spans="1:9" ht="12.75" customHeight="1" x14ac:dyDescent="0.4">
      <c r="A22" s="201" t="s">
        <v>211</v>
      </c>
      <c r="B22" s="46"/>
      <c r="C22" s="205">
        <f>(C25+C28)/C23</f>
        <v>3.4047754266958614E-2</v>
      </c>
      <c r="D22" s="205">
        <f>(D25+D28)/D23</f>
        <v>4.4758121918940526E-2</v>
      </c>
      <c r="E22" s="205">
        <f>(E25+E28)/E23</f>
        <v>4.9961512016855648E-2</v>
      </c>
      <c r="F22" s="205">
        <f>(F25+F28)/F23</f>
        <v>5.9893865642826241E-2</v>
      </c>
      <c r="G22" s="205">
        <f>(G25+G28)/G23</f>
        <v>5.9638679321284367E-2</v>
      </c>
    </row>
    <row r="23" spans="1:9" ht="12.75" customHeight="1" x14ac:dyDescent="0.4">
      <c r="A23" s="55" t="s">
        <v>78</v>
      </c>
      <c r="B23" s="166">
        <f>C23/(1+C19)</f>
        <v>490.16800000000001</v>
      </c>
      <c r="C23" s="166">
        <f>'Exhibit 1'!K4*0.56*(1+'Projections (Ex. 4)'!C19)</f>
        <v>507.32387999999997</v>
      </c>
      <c r="D23" s="166">
        <f>C23*(1+D19)</f>
        <v>525.08021579999991</v>
      </c>
      <c r="E23" s="166">
        <f>D23*(1+E19)</f>
        <v>540.83262227399996</v>
      </c>
      <c r="F23" s="166">
        <f>E23*(1+F19)</f>
        <v>554.35343783084988</v>
      </c>
      <c r="G23" s="166">
        <f>F23*(1+G19)</f>
        <v>568.21227377662103</v>
      </c>
      <c r="H23" s="55"/>
      <c r="I23" s="165">
        <f t="shared" ref="I23:I28" si="3">((G23/C23)^(1/4)-1)</f>
        <v>2.8741657412205024E-2</v>
      </c>
    </row>
    <row r="24" spans="1:9" ht="12.75" customHeight="1" x14ac:dyDescent="0.4">
      <c r="A24" s="39" t="s">
        <v>107</v>
      </c>
      <c r="C24" s="124">
        <f>C23*C20</f>
        <v>58.342246199999998</v>
      </c>
      <c r="D24" s="124">
        <f>D23*D20</f>
        <v>60.384224816999989</v>
      </c>
      <c r="E24" s="124">
        <f>E23*E20</f>
        <v>64.899914672879987</v>
      </c>
      <c r="F24" s="124">
        <f>F23*F20</f>
        <v>66.522412539701989</v>
      </c>
      <c r="G24" s="124">
        <f>G23*G20</f>
        <v>71.026534222077629</v>
      </c>
      <c r="I24" s="114">
        <f t="shared" si="3"/>
        <v>5.041126220045955E-2</v>
      </c>
    </row>
    <row r="25" spans="1:9" ht="12.75" customHeight="1" x14ac:dyDescent="0.4">
      <c r="A25" s="55" t="s">
        <v>79</v>
      </c>
      <c r="B25" s="55"/>
      <c r="C25" s="166">
        <f>C23*C21</f>
        <v>5.0732387999999995</v>
      </c>
      <c r="D25" s="166">
        <f>D23*D21</f>
        <v>10.501604315999998</v>
      </c>
      <c r="E25" s="166">
        <f>E23*E21</f>
        <v>13.52081555685</v>
      </c>
      <c r="F25" s="166">
        <f>F23*F21</f>
        <v>19.402370324079747</v>
      </c>
      <c r="G25" s="166">
        <f>G23*G21</f>
        <v>19.887429582181738</v>
      </c>
      <c r="H25" s="55"/>
      <c r="I25" s="165">
        <f t="shared" si="3"/>
        <v>0.40709473301881238</v>
      </c>
    </row>
    <row r="26" spans="1:9" ht="12.75" customHeight="1" x14ac:dyDescent="0.4">
      <c r="A26" s="39" t="s">
        <v>80</v>
      </c>
      <c r="C26" s="124">
        <f>C25*0.35</f>
        <v>1.7756335799999996</v>
      </c>
      <c r="D26" s="124">
        <f t="shared" ref="D26" si="4">D25*0.35</f>
        <v>3.6755615105999992</v>
      </c>
      <c r="E26" s="124">
        <f t="shared" ref="E26" si="5">E25*0.35</f>
        <v>4.7322854448974994</v>
      </c>
      <c r="F26" s="124">
        <f t="shared" ref="F26" si="6">F25*0.35</f>
        <v>6.7908296134279116</v>
      </c>
      <c r="G26" s="124">
        <f t="shared" ref="G26" si="7">G25*0.35</f>
        <v>6.9606003537636081</v>
      </c>
      <c r="I26" s="114">
        <f t="shared" si="3"/>
        <v>0.4070947330188126</v>
      </c>
    </row>
    <row r="27" spans="1:9" ht="12.75" customHeight="1" x14ac:dyDescent="0.4">
      <c r="A27" s="46" t="s">
        <v>176</v>
      </c>
      <c r="B27" s="46"/>
      <c r="C27" s="125">
        <f>C25-C26</f>
        <v>3.2976052199999999</v>
      </c>
      <c r="D27" s="125">
        <f t="shared" ref="D27:G27" si="8">D25-D26</f>
        <v>6.8260428053999984</v>
      </c>
      <c r="E27" s="125">
        <f t="shared" si="8"/>
        <v>8.7885301119525003</v>
      </c>
      <c r="F27" s="125">
        <f t="shared" si="8"/>
        <v>12.611540710651836</v>
      </c>
      <c r="G27" s="125">
        <f t="shared" si="8"/>
        <v>12.92682922841813</v>
      </c>
      <c r="I27" s="114">
        <f t="shared" si="3"/>
        <v>0.40709473301881238</v>
      </c>
    </row>
    <row r="28" spans="1:9" x14ac:dyDescent="0.4">
      <c r="A28" s="39" t="s">
        <v>81</v>
      </c>
      <c r="C28" s="140">
        <v>12.2</v>
      </c>
      <c r="D28" s="140">
        <v>13</v>
      </c>
      <c r="E28" s="140">
        <v>13.5</v>
      </c>
      <c r="F28" s="140">
        <v>13.8</v>
      </c>
      <c r="G28" s="140">
        <v>14</v>
      </c>
      <c r="I28" s="114">
        <f t="shared" si="3"/>
        <v>3.500405488093139E-2</v>
      </c>
    </row>
    <row r="29" spans="1:9" x14ac:dyDescent="0.4">
      <c r="A29" s="39" t="s">
        <v>177</v>
      </c>
      <c r="C29" s="140">
        <v>2.2000000000000002</v>
      </c>
      <c r="D29" s="140">
        <v>-3.5</v>
      </c>
      <c r="E29" s="140">
        <v>-3.3</v>
      </c>
      <c r="F29" s="140">
        <v>-2.2000000000000002</v>
      </c>
      <c r="G29" s="140">
        <v>-1.4</v>
      </c>
      <c r="I29" s="139" t="s">
        <v>229</v>
      </c>
    </row>
    <row r="30" spans="1:9" x14ac:dyDescent="0.4">
      <c r="A30" s="39" t="s">
        <v>22</v>
      </c>
      <c r="C30" s="140">
        <v>4.0999999999999996</v>
      </c>
      <c r="D30" s="140">
        <v>2.6</v>
      </c>
      <c r="E30" s="140">
        <v>2.8</v>
      </c>
      <c r="F30" s="140">
        <v>2.9</v>
      </c>
      <c r="G30" s="140">
        <v>2.1</v>
      </c>
      <c r="I30" s="114">
        <f>((G30/C30)^(1/4)-1)</f>
        <v>-0.15402240844065684</v>
      </c>
    </row>
    <row r="31" spans="1:9" ht="12.9" x14ac:dyDescent="0.4">
      <c r="A31" s="46" t="s">
        <v>117</v>
      </c>
      <c r="B31" s="46"/>
      <c r="C31" s="141">
        <f>C27+C28-C29-C30</f>
        <v>9.197605219999998</v>
      </c>
      <c r="D31" s="141">
        <f>D27+D28-D29-D30</f>
        <v>20.726042805399999</v>
      </c>
      <c r="E31" s="141">
        <f>E27+E28-E29-E30</f>
        <v>22.7885301119525</v>
      </c>
      <c r="F31" s="141">
        <f>F27+F28-F29-F30</f>
        <v>25.711540710651835</v>
      </c>
      <c r="G31" s="141">
        <f>G27+G28-G29-G30</f>
        <v>26.226829228418126</v>
      </c>
      <c r="I31" s="114">
        <f>((G31/C31)^(1/4)-1)</f>
        <v>0.29947448287139755</v>
      </c>
    </row>
    <row r="32" spans="1:9" ht="12.9" x14ac:dyDescent="0.4">
      <c r="A32" s="39" t="s">
        <v>149</v>
      </c>
    </row>
    <row r="33" spans="1:9" ht="12.9" x14ac:dyDescent="0.4">
      <c r="A33" s="39" t="s">
        <v>150</v>
      </c>
    </row>
    <row r="35" spans="1:9" ht="12.75" customHeight="1" x14ac:dyDescent="0.4">
      <c r="A35" s="47"/>
      <c r="B35" s="47"/>
      <c r="C35" s="48"/>
      <c r="D35" s="48"/>
      <c r="E35" s="48"/>
      <c r="F35" s="48"/>
      <c r="G35" s="48"/>
    </row>
    <row r="36" spans="1:9" ht="12.75" customHeight="1" x14ac:dyDescent="0.4">
      <c r="A36" s="200" t="s">
        <v>261</v>
      </c>
      <c r="B36" s="200"/>
      <c r="C36" s="201"/>
      <c r="D36" s="201"/>
      <c r="E36" s="201"/>
      <c r="F36" s="201"/>
      <c r="G36" s="201"/>
      <c r="H36" s="202"/>
      <c r="I36" s="202"/>
    </row>
    <row r="37" spans="1:9" ht="12.75" customHeight="1" x14ac:dyDescent="0.4">
      <c r="A37" s="200"/>
      <c r="B37" s="200"/>
      <c r="C37" s="203">
        <v>2011</v>
      </c>
      <c r="D37" s="203">
        <v>2012</v>
      </c>
      <c r="E37" s="203">
        <v>2013</v>
      </c>
      <c r="F37" s="203">
        <v>2014</v>
      </c>
      <c r="G37" s="203">
        <v>2015</v>
      </c>
      <c r="H37" s="202"/>
      <c r="I37" s="201" t="s">
        <v>228</v>
      </c>
    </row>
    <row r="38" spans="1:9" ht="12.75" customHeight="1" x14ac:dyDescent="0.4">
      <c r="A38" s="202" t="s">
        <v>77</v>
      </c>
      <c r="B38" s="202"/>
      <c r="C38" s="204">
        <f>C42/B42-1</f>
        <v>0.1100000000000001</v>
      </c>
      <c r="D38" s="204">
        <f>D42/C42-1</f>
        <v>8.9668304668304888E-2</v>
      </c>
      <c r="E38" s="204">
        <f>E42/D42-1</f>
        <v>8.3179855466239516E-2</v>
      </c>
      <c r="F38" s="204">
        <f>F42/E42-1</f>
        <v>6.6437068633617535E-2</v>
      </c>
      <c r="G38" s="204">
        <f>G42/F42-1</f>
        <v>4.5302059069275868E-2</v>
      </c>
      <c r="H38" s="202"/>
      <c r="I38" s="202"/>
    </row>
    <row r="39" spans="1:9" ht="12.75" customHeight="1" x14ac:dyDescent="0.4">
      <c r="A39" s="202" t="s">
        <v>31</v>
      </c>
      <c r="B39" s="202"/>
      <c r="C39" s="204">
        <f>C43/C42</f>
        <v>0.13686732186732187</v>
      </c>
      <c r="D39" s="204">
        <f>D43/D42</f>
        <v>0.14690791327974387</v>
      </c>
      <c r="E39" s="204">
        <f>E43/E42</f>
        <v>0.1510778014752131</v>
      </c>
      <c r="F39" s="204">
        <f>F43/F42</f>
        <v>0.15045308860391379</v>
      </c>
      <c r="G39" s="204">
        <f>G43/G42</f>
        <v>0.14510197048249376</v>
      </c>
      <c r="H39" s="202"/>
      <c r="I39" s="202"/>
    </row>
    <row r="40" spans="1:9" ht="12.75" customHeight="1" x14ac:dyDescent="0.4">
      <c r="A40" s="351" t="s">
        <v>34</v>
      </c>
      <c r="B40" s="351"/>
      <c r="C40" s="352">
        <f>C44/C42</f>
        <v>3.1867321867321871E-2</v>
      </c>
      <c r="D40" s="352">
        <f>D44/D42</f>
        <v>4.1271942186495901E-2</v>
      </c>
      <c r="E40" s="352">
        <f>E44/E42</f>
        <v>5.6077801475213046E-2</v>
      </c>
      <c r="F40" s="352">
        <f>F44/F42</f>
        <v>5.5302059069275843E-2</v>
      </c>
      <c r="G40" s="352">
        <f>G44/G42</f>
        <v>5.5101970482493726E-2</v>
      </c>
      <c r="H40" s="202"/>
      <c r="I40" s="202"/>
    </row>
    <row r="41" spans="1:9" ht="12.75" customHeight="1" x14ac:dyDescent="0.4">
      <c r="A41" s="201" t="s">
        <v>211</v>
      </c>
      <c r="B41" s="46"/>
      <c r="C41" s="205">
        <f>(C44+C47)/C42</f>
        <v>6.5551806597162476E-2</v>
      </c>
      <c r="D41" s="205">
        <f>(D44+D47)/D42</f>
        <v>7.3043229570837545E-2</v>
      </c>
      <c r="E41" s="205">
        <f>(E44+E47)/E42</f>
        <v>8.8580271843320013E-2</v>
      </c>
      <c r="F41" s="205">
        <f>(F44+F47)/F42</f>
        <v>8.6894720397936803E-2</v>
      </c>
      <c r="G41" s="205">
        <f>(G44+G47)/G42</f>
        <v>8.5503231282881315E-2</v>
      </c>
    </row>
    <row r="42" spans="1:9" ht="12.75" customHeight="1" x14ac:dyDescent="0.4">
      <c r="A42" s="206" t="s">
        <v>78</v>
      </c>
      <c r="B42" s="207">
        <f>B7-B23</f>
        <v>385.13199999999995</v>
      </c>
      <c r="C42" s="207">
        <f>C7-C23</f>
        <v>427.49651999999998</v>
      </c>
      <c r="D42" s="207">
        <f t="shared" ref="D42:G42" si="9">D7-D23</f>
        <v>465.8294082000001</v>
      </c>
      <c r="E42" s="207">
        <f t="shared" si="9"/>
        <v>504.577031046</v>
      </c>
      <c r="F42" s="207">
        <f t="shared" si="9"/>
        <v>538.09964988855006</v>
      </c>
      <c r="G42" s="207">
        <f t="shared" si="9"/>
        <v>562.47667201295781</v>
      </c>
      <c r="H42" s="206"/>
      <c r="I42" s="208">
        <f t="shared" ref="I42:I47" si="10">((G42/C42)^(1/4)-1)</f>
        <v>7.1008661047721633E-2</v>
      </c>
    </row>
    <row r="43" spans="1:9" ht="12.75" customHeight="1" x14ac:dyDescent="0.4">
      <c r="A43" s="202" t="s">
        <v>107</v>
      </c>
      <c r="B43" s="202"/>
      <c r="C43" s="209">
        <f>C8-C24</f>
        <v>58.510303799999996</v>
      </c>
      <c r="D43" s="209">
        <f>D8-D24</f>
        <v>68.434026303000024</v>
      </c>
      <c r="E43" s="209">
        <f>E8-E24</f>
        <v>76.230388525320024</v>
      </c>
      <c r="F43" s="209">
        <f>F8-F24</f>
        <v>80.958754302417006</v>
      </c>
      <c r="G43" s="209">
        <f>G8-G24</f>
        <v>81.616473459515532</v>
      </c>
      <c r="H43" s="202"/>
      <c r="I43" s="204">
        <f t="shared" si="10"/>
        <v>8.6766813950510224E-2</v>
      </c>
    </row>
    <row r="44" spans="1:9" ht="12.75" customHeight="1" x14ac:dyDescent="0.4">
      <c r="A44" s="206" t="s">
        <v>79</v>
      </c>
      <c r="B44" s="206"/>
      <c r="C44" s="207">
        <f>C9-C25</f>
        <v>13.6231692</v>
      </c>
      <c r="D44" s="207">
        <f t="shared" ref="D44:G44" si="11">D9-D25</f>
        <v>19.225684404000003</v>
      </c>
      <c r="E44" s="207">
        <f t="shared" si="11"/>
        <v>28.295570575949998</v>
      </c>
      <c r="F44" s="207">
        <f t="shared" si="11"/>
        <v>29.758018623293246</v>
      </c>
      <c r="G44" s="207">
        <f t="shared" si="11"/>
        <v>30.993572978349306</v>
      </c>
      <c r="H44" s="206"/>
      <c r="I44" s="208">
        <f t="shared" si="10"/>
        <v>0.2281414061804683</v>
      </c>
    </row>
    <row r="45" spans="1:9" ht="12.75" customHeight="1" x14ac:dyDescent="0.4">
      <c r="A45" s="202" t="s">
        <v>80</v>
      </c>
      <c r="B45" s="202"/>
      <c r="C45" s="209">
        <f>C44*C53</f>
        <v>4.7681092199999995</v>
      </c>
      <c r="D45" s="209">
        <f>D44*D53</f>
        <v>6.7289895414000016</v>
      </c>
      <c r="E45" s="209">
        <f>E44*E53</f>
        <v>9.9034497015824989</v>
      </c>
      <c r="F45" s="209">
        <f>F44*F53</f>
        <v>10.415306518152635</v>
      </c>
      <c r="G45" s="209">
        <f>G44*G53</f>
        <v>10.847750542422256</v>
      </c>
      <c r="H45" s="202"/>
      <c r="I45" s="204">
        <f t="shared" si="10"/>
        <v>0.2281414061804683</v>
      </c>
    </row>
    <row r="46" spans="1:9" ht="12.75" customHeight="1" x14ac:dyDescent="0.4">
      <c r="A46" s="201" t="s">
        <v>176</v>
      </c>
      <c r="B46" s="201"/>
      <c r="C46" s="210">
        <f>C44-C45</f>
        <v>8.8550599800000001</v>
      </c>
      <c r="D46" s="210">
        <f t="shared" ref="D46:G46" si="12">D44-D45</f>
        <v>12.496694862600002</v>
      </c>
      <c r="E46" s="210">
        <f t="shared" si="12"/>
        <v>18.3921208743675</v>
      </c>
      <c r="F46" s="210">
        <f t="shared" si="12"/>
        <v>19.342712105140613</v>
      </c>
      <c r="G46" s="210">
        <f t="shared" si="12"/>
        <v>20.145822435927052</v>
      </c>
      <c r="H46" s="202"/>
      <c r="I46" s="204">
        <f t="shared" si="10"/>
        <v>0.2281414061804683</v>
      </c>
    </row>
    <row r="47" spans="1:9" x14ac:dyDescent="0.4">
      <c r="A47" s="202" t="s">
        <v>81</v>
      </c>
      <c r="B47" s="202"/>
      <c r="C47" s="211">
        <f t="shared" ref="C47:G49" si="13">C12-C28</f>
        <v>14.400000000000002</v>
      </c>
      <c r="D47" s="211">
        <f t="shared" si="13"/>
        <v>14.8</v>
      </c>
      <c r="E47" s="211">
        <f t="shared" si="13"/>
        <v>16.399999999999999</v>
      </c>
      <c r="F47" s="211">
        <f t="shared" si="13"/>
        <v>17</v>
      </c>
      <c r="G47" s="211">
        <f t="shared" si="13"/>
        <v>17.100000000000001</v>
      </c>
      <c r="H47" s="202"/>
      <c r="I47" s="204">
        <f t="shared" si="10"/>
        <v>4.3898814964921984E-2</v>
      </c>
    </row>
    <row r="48" spans="1:9" x14ac:dyDescent="0.4">
      <c r="A48" s="202" t="s">
        <v>177</v>
      </c>
      <c r="B48" s="202"/>
      <c r="C48" s="211">
        <f t="shared" si="13"/>
        <v>2.7</v>
      </c>
      <c r="D48" s="211">
        <f t="shared" si="13"/>
        <v>-6.1999999999999993</v>
      </c>
      <c r="E48" s="211">
        <f t="shared" si="13"/>
        <v>-6.3</v>
      </c>
      <c r="F48" s="211">
        <f t="shared" si="13"/>
        <v>-3.7</v>
      </c>
      <c r="G48" s="211">
        <f t="shared" si="13"/>
        <v>-3.6999999999999997</v>
      </c>
      <c r="H48" s="202"/>
      <c r="I48" s="212" t="s">
        <v>229</v>
      </c>
    </row>
    <row r="49" spans="1:10" x14ac:dyDescent="0.4">
      <c r="A49" s="202" t="s">
        <v>22</v>
      </c>
      <c r="B49" s="202"/>
      <c r="C49" s="211">
        <f t="shared" si="13"/>
        <v>14.1</v>
      </c>
      <c r="D49" s="211">
        <f t="shared" si="13"/>
        <v>8.6</v>
      </c>
      <c r="E49" s="211">
        <f t="shared" si="13"/>
        <v>8.6999999999999993</v>
      </c>
      <c r="F49" s="211">
        <f t="shared" si="13"/>
        <v>9</v>
      </c>
      <c r="G49" s="211">
        <f t="shared" si="13"/>
        <v>7.8000000000000007</v>
      </c>
      <c r="H49" s="202"/>
      <c r="I49" s="204">
        <f>((G49/C49)^(1/4)-1)</f>
        <v>-0.13757989471614818</v>
      </c>
    </row>
    <row r="50" spans="1:10" ht="12.9" x14ac:dyDescent="0.4">
      <c r="A50" s="213" t="s">
        <v>260</v>
      </c>
      <c r="B50" s="213"/>
      <c r="C50" s="214">
        <f>C46+C47-C48-C49</f>
        <v>6.4550599800000033</v>
      </c>
      <c r="D50" s="214">
        <f>D46+D47-D48-D49</f>
        <v>24.8966948626</v>
      </c>
      <c r="E50" s="214">
        <f>E46+E47-E48-E49</f>
        <v>32.392120874367492</v>
      </c>
      <c r="F50" s="214">
        <f>F46+F47-F48-F49</f>
        <v>31.042712105140616</v>
      </c>
      <c r="G50" s="214">
        <f>G46+G47-G48-G49</f>
        <v>33.145822435927059</v>
      </c>
      <c r="H50" s="206"/>
      <c r="I50" s="208">
        <f>((G50/C50)^(1/4)-1)</f>
        <v>0.50533142980439605</v>
      </c>
    </row>
    <row r="52" spans="1:10" x14ac:dyDescent="0.4">
      <c r="A52" s="162" t="s">
        <v>191</v>
      </c>
      <c r="B52" s="31">
        <v>2010</v>
      </c>
      <c r="C52" s="31">
        <v>2011</v>
      </c>
      <c r="D52" s="31">
        <v>2012</v>
      </c>
      <c r="E52" s="31">
        <v>2013</v>
      </c>
      <c r="F52" s="31">
        <v>2014</v>
      </c>
      <c r="G52" s="31">
        <v>2015</v>
      </c>
    </row>
    <row r="53" spans="1:10" x14ac:dyDescent="0.4">
      <c r="A53" s="39" t="s">
        <v>227</v>
      </c>
      <c r="C53" s="163">
        <f>C10/C9</f>
        <v>0.35</v>
      </c>
      <c r="D53" s="163">
        <f>D10/D9</f>
        <v>0.35000000000000003</v>
      </c>
      <c r="E53" s="163">
        <f>E10/E9</f>
        <v>0.35</v>
      </c>
      <c r="F53" s="163">
        <f>F10/F9</f>
        <v>0.35</v>
      </c>
      <c r="G53" s="163">
        <f>G10/G9</f>
        <v>0.35</v>
      </c>
    </row>
    <row r="55" spans="1:10" ht="12.9" x14ac:dyDescent="0.5">
      <c r="A55" s="217"/>
      <c r="B55" s="217"/>
      <c r="C55" s="217"/>
      <c r="D55" s="217"/>
      <c r="E55" s="217"/>
      <c r="F55" s="217"/>
      <c r="G55" s="217"/>
      <c r="H55" s="217"/>
      <c r="I55" s="357" t="s">
        <v>359</v>
      </c>
      <c r="J55" s="217"/>
    </row>
    <row r="56" spans="1:10" ht="14.4" x14ac:dyDescent="0.55000000000000004">
      <c r="A56" s="217"/>
      <c r="B56" s="217"/>
      <c r="C56" s="293">
        <v>2011</v>
      </c>
      <c r="D56" s="293">
        <f>C56+1</f>
        <v>2012</v>
      </c>
      <c r="E56" s="293">
        <f>D56+1</f>
        <v>2013</v>
      </c>
      <c r="F56" s="293">
        <f>E56+1</f>
        <v>2014</v>
      </c>
      <c r="G56" s="293">
        <f>F56+1</f>
        <v>2015</v>
      </c>
      <c r="I56" s="354" t="s">
        <v>360</v>
      </c>
      <c r="J56" s="217"/>
    </row>
    <row r="57" spans="1:10" ht="12.9" x14ac:dyDescent="0.5">
      <c r="A57" s="306" t="s">
        <v>351</v>
      </c>
      <c r="B57" s="217"/>
      <c r="C57" s="217"/>
      <c r="D57" s="217"/>
      <c r="E57" s="217"/>
      <c r="F57" s="217"/>
      <c r="G57" s="337"/>
      <c r="J57" s="217"/>
    </row>
    <row r="58" spans="1:10" ht="12.9" x14ac:dyDescent="0.5">
      <c r="A58" s="298" t="s">
        <v>355</v>
      </c>
      <c r="B58" s="217"/>
      <c r="C58" s="356">
        <f>C3</f>
        <v>6.8000000000000005E-2</v>
      </c>
      <c r="D58" s="356">
        <f>D3</f>
        <v>0.06</v>
      </c>
      <c r="E58" s="356">
        <f>E3</f>
        <v>5.5E-2</v>
      </c>
      <c r="F58" s="356">
        <f>F3</f>
        <v>4.4999999999999998E-2</v>
      </c>
      <c r="G58" s="356">
        <f>G3</f>
        <v>3.5000000000000003E-2</v>
      </c>
      <c r="H58" s="358"/>
      <c r="I58" s="359">
        <f>I7</f>
        <v>4.8705972298807021E-2</v>
      </c>
      <c r="J58" s="217"/>
    </row>
    <row r="59" spans="1:10" ht="12.9" x14ac:dyDescent="0.5">
      <c r="A59" s="298" t="s">
        <v>356</v>
      </c>
      <c r="B59" s="217"/>
      <c r="C59" s="356">
        <f>C19</f>
        <v>3.5000000000000003E-2</v>
      </c>
      <c r="D59" s="356">
        <f>D19</f>
        <v>3.5000000000000003E-2</v>
      </c>
      <c r="E59" s="356">
        <f>E19</f>
        <v>0.03</v>
      </c>
      <c r="F59" s="356">
        <f>F19</f>
        <v>2.5000000000000001E-2</v>
      </c>
      <c r="G59" s="356">
        <f>G19</f>
        <v>2.5000000000000001E-2</v>
      </c>
      <c r="H59" s="358"/>
      <c r="I59" s="359">
        <f>I23</f>
        <v>2.8741657412205024E-2</v>
      </c>
      <c r="J59" s="217"/>
    </row>
    <row r="60" spans="1:10" ht="12.9" x14ac:dyDescent="0.5">
      <c r="A60" s="298" t="s">
        <v>350</v>
      </c>
      <c r="B60" s="217"/>
      <c r="C60" s="356">
        <f>C38</f>
        <v>0.1100000000000001</v>
      </c>
      <c r="D60" s="356">
        <f>D38</f>
        <v>8.9668304668304888E-2</v>
      </c>
      <c r="E60" s="356">
        <f>E38</f>
        <v>8.3179855466239516E-2</v>
      </c>
      <c r="F60" s="356">
        <f>F38</f>
        <v>6.6437068633617535E-2</v>
      </c>
      <c r="G60" s="356">
        <f>G38</f>
        <v>4.5302059069275868E-2</v>
      </c>
      <c r="H60" s="358"/>
      <c r="I60" s="359">
        <f>I42</f>
        <v>7.1008661047721633E-2</v>
      </c>
      <c r="J60" s="361"/>
    </row>
    <row r="61" spans="1:10" ht="12.9" x14ac:dyDescent="0.5">
      <c r="A61" s="217"/>
      <c r="B61" s="217"/>
      <c r="D61" s="298"/>
      <c r="E61" s="298"/>
      <c r="F61" s="298"/>
      <c r="G61" s="298"/>
      <c r="J61" s="217"/>
    </row>
    <row r="62" spans="1:10" ht="12.9" x14ac:dyDescent="0.5">
      <c r="A62" s="306" t="s">
        <v>352</v>
      </c>
      <c r="B62" s="217"/>
      <c r="D62" s="298"/>
      <c r="E62" s="298"/>
      <c r="F62" s="298"/>
      <c r="G62" s="298"/>
      <c r="J62" s="217"/>
    </row>
    <row r="63" spans="1:10" ht="12.9" x14ac:dyDescent="0.5">
      <c r="A63" s="298" t="s">
        <v>355</v>
      </c>
      <c r="B63" s="217"/>
      <c r="C63" s="356">
        <f>C6</f>
        <v>4.8454663590995664E-2</v>
      </c>
      <c r="D63" s="356">
        <f>D6</f>
        <v>5.8055030778467846E-2</v>
      </c>
      <c r="E63" s="356">
        <f>E6</f>
        <v>6.8601228145391546E-2</v>
      </c>
      <c r="F63" s="356">
        <f>F6</f>
        <v>7.3193430314063126E-2</v>
      </c>
      <c r="G63" s="356">
        <f>G6</f>
        <v>7.2505354249556536E-2</v>
      </c>
      <c r="H63" s="358"/>
      <c r="I63" s="359">
        <f>AVERAGE(C63:G63)</f>
        <v>6.4161941415694937E-2</v>
      </c>
      <c r="J63" s="217"/>
    </row>
    <row r="64" spans="1:10" ht="12.9" x14ac:dyDescent="0.5">
      <c r="A64" s="298" t="s">
        <v>356</v>
      </c>
      <c r="B64" s="217"/>
      <c r="C64" s="356">
        <f>C22</f>
        <v>3.4047754266958614E-2</v>
      </c>
      <c r="D64" s="356">
        <f>D22</f>
        <v>4.4758121918940526E-2</v>
      </c>
      <c r="E64" s="356">
        <f>E22</f>
        <v>4.9961512016855648E-2</v>
      </c>
      <c r="F64" s="356">
        <f>F22</f>
        <v>5.9893865642826241E-2</v>
      </c>
      <c r="G64" s="356">
        <f>G22</f>
        <v>5.9638679321284367E-2</v>
      </c>
      <c r="H64" s="358"/>
      <c r="I64" s="359">
        <f>AVERAGE(C64:G64)</f>
        <v>4.9659986633373079E-2</v>
      </c>
      <c r="J64" s="217"/>
    </row>
    <row r="65" spans="1:10" ht="12.9" x14ac:dyDescent="0.5">
      <c r="A65" s="298" t="s">
        <v>350</v>
      </c>
      <c r="B65" s="217"/>
      <c r="C65" s="356">
        <f>C41</f>
        <v>6.5551806597162476E-2</v>
      </c>
      <c r="D65" s="356">
        <f>D41</f>
        <v>7.3043229570837545E-2</v>
      </c>
      <c r="E65" s="356">
        <f>E41</f>
        <v>8.8580271843320013E-2</v>
      </c>
      <c r="F65" s="356">
        <f>F41</f>
        <v>8.6894720397936803E-2</v>
      </c>
      <c r="G65" s="356">
        <f>G41</f>
        <v>8.5503231282881315E-2</v>
      </c>
      <c r="H65" s="358"/>
      <c r="I65" s="359">
        <f>AVERAGE(C65:G65)</f>
        <v>7.9914651938427617E-2</v>
      </c>
      <c r="J65" s="217"/>
    </row>
    <row r="66" spans="1:10" ht="12.9" hidden="1" outlineLevel="1" x14ac:dyDescent="0.5">
      <c r="A66" s="217"/>
      <c r="B66" s="217"/>
      <c r="C66" s="217"/>
      <c r="D66" s="217"/>
      <c r="E66" s="217"/>
      <c r="F66" s="217"/>
      <c r="G66" s="217"/>
      <c r="J66" s="217"/>
    </row>
    <row r="67" spans="1:10" ht="12.9" hidden="1" outlineLevel="1" x14ac:dyDescent="0.5">
      <c r="A67" s="306" t="s">
        <v>353</v>
      </c>
      <c r="B67" s="217"/>
      <c r="C67" s="217"/>
      <c r="D67" s="217"/>
      <c r="E67" s="217"/>
      <c r="F67" s="217"/>
      <c r="G67" s="217"/>
      <c r="J67" s="217"/>
    </row>
    <row r="68" spans="1:10" ht="12.9" hidden="1" outlineLevel="1" x14ac:dyDescent="0.5">
      <c r="A68" s="298" t="s">
        <v>355</v>
      </c>
      <c r="B68" s="217"/>
      <c r="C68" s="355">
        <f>C14/C7</f>
        <v>1.9468980351733875E-2</v>
      </c>
      <c r="D68" s="355">
        <f>D14/D7</f>
        <v>1.1302746212907909E-2</v>
      </c>
      <c r="E68" s="355">
        <f>E14/E7</f>
        <v>1.1000472363612132E-2</v>
      </c>
      <c r="F68" s="355">
        <f>F14/F7</f>
        <v>1.089291625770621E-2</v>
      </c>
      <c r="G68" s="355">
        <f>G14/G7</f>
        <v>8.7557237000196065E-3</v>
      </c>
      <c r="I68" s="353">
        <f>AVERAGE(C68:G68)</f>
        <v>1.2284167777195945E-2</v>
      </c>
      <c r="J68" s="217"/>
    </row>
    <row r="69" spans="1:10" ht="12.9" hidden="1" outlineLevel="1" x14ac:dyDescent="0.5">
      <c r="A69" s="298" t="s">
        <v>356</v>
      </c>
      <c r="B69" s="217"/>
      <c r="C69" s="355">
        <f>C30/C23</f>
        <v>8.081622335617239E-3</v>
      </c>
      <c r="D69" s="355">
        <f>D30/D23</f>
        <v>4.9516243837881054E-3</v>
      </c>
      <c r="E69" s="355">
        <f>E30/E23</f>
        <v>5.1772024923848739E-3</v>
      </c>
      <c r="F69" s="355">
        <f>F30/F23</f>
        <v>5.2313195916084106E-3</v>
      </c>
      <c r="G69" s="355">
        <f>G30/G23</f>
        <v>3.6958018981926542E-3</v>
      </c>
      <c r="I69" s="353">
        <f>AVERAGE(C69:G69)</f>
        <v>5.4275141403182566E-3</v>
      </c>
      <c r="J69" s="217"/>
    </row>
    <row r="70" spans="1:10" ht="12.9" hidden="1" outlineLevel="1" x14ac:dyDescent="0.5">
      <c r="A70" s="298" t="s">
        <v>350</v>
      </c>
      <c r="B70" s="217"/>
      <c r="C70" s="355">
        <f>C49/C42</f>
        <v>3.2982724631302265E-2</v>
      </c>
      <c r="D70" s="355">
        <f>D49/D42</f>
        <v>1.8461694020630959E-2</v>
      </c>
      <c r="E70" s="355">
        <f>E49/E42</f>
        <v>1.7242164158690884E-2</v>
      </c>
      <c r="F70" s="355">
        <f>F49/F42</f>
        <v>1.6725526585761687E-2</v>
      </c>
      <c r="G70" s="355">
        <f>G49/G42</f>
        <v>1.3867241768597847E-2</v>
      </c>
      <c r="I70" s="353">
        <f>AVERAGE(C70:G70)</f>
        <v>1.9855870232996731E-2</v>
      </c>
      <c r="J70" s="217"/>
    </row>
    <row r="71" spans="1:10" ht="12.9" hidden="1" outlineLevel="1" x14ac:dyDescent="0.5">
      <c r="A71" s="217"/>
      <c r="B71" s="217"/>
      <c r="C71" s="355"/>
      <c r="D71" s="355"/>
      <c r="E71" s="355"/>
      <c r="F71" s="355"/>
      <c r="G71" s="355"/>
      <c r="J71" s="217"/>
    </row>
    <row r="72" spans="1:10" ht="12.9" hidden="1" outlineLevel="1" x14ac:dyDescent="0.5">
      <c r="A72" s="306" t="s">
        <v>354</v>
      </c>
      <c r="B72" s="217"/>
      <c r="C72" s="355"/>
      <c r="D72" s="355"/>
      <c r="E72" s="355"/>
      <c r="F72" s="355"/>
      <c r="G72" s="355"/>
      <c r="J72" s="217"/>
    </row>
    <row r="73" spans="1:10" ht="12.9" hidden="1" outlineLevel="1" x14ac:dyDescent="0.5">
      <c r="A73" s="298" t="s">
        <v>355</v>
      </c>
      <c r="B73" s="217"/>
      <c r="C73" s="355">
        <f>-C13/C7</f>
        <v>-5.2416485562360431E-3</v>
      </c>
      <c r="D73" s="355">
        <f>-D13/D7</f>
        <v>9.7889855593934552E-3</v>
      </c>
      <c r="E73" s="355">
        <f>-E13/E7</f>
        <v>9.1830030165805619E-3</v>
      </c>
      <c r="F73" s="355">
        <f>-F13/F7</f>
        <v>5.4006895731484577E-3</v>
      </c>
      <c r="G73" s="355">
        <f>-G13/G7</f>
        <v>4.5105243303131303E-3</v>
      </c>
      <c r="I73" s="353">
        <f>AVERAGE(C73:G73)</f>
        <v>4.7283107846399124E-3</v>
      </c>
      <c r="J73" s="217"/>
    </row>
    <row r="74" spans="1:10" ht="12.9" hidden="1" outlineLevel="1" x14ac:dyDescent="0.5">
      <c r="A74" s="298" t="s">
        <v>356</v>
      </c>
      <c r="B74" s="217"/>
      <c r="C74" s="355">
        <f>-C29/C23</f>
        <v>-4.3364802776482752E-3</v>
      </c>
      <c r="D74" s="355">
        <f>-D29/D23</f>
        <v>6.6656482089455264E-3</v>
      </c>
      <c r="E74" s="355">
        <f>-E29/E23</f>
        <v>6.1017029374536014E-3</v>
      </c>
      <c r="F74" s="355">
        <f>-F29/F23</f>
        <v>3.9685872763925876E-3</v>
      </c>
      <c r="G74" s="355">
        <f>-G29/G23</f>
        <v>2.4638679321284359E-3</v>
      </c>
      <c r="I74" s="353">
        <f>AVERAGE(C74:G74)</f>
        <v>2.972665215454375E-3</v>
      </c>
      <c r="J74" s="217"/>
    </row>
    <row r="75" spans="1:10" ht="12.9" hidden="1" outlineLevel="1" x14ac:dyDescent="0.5">
      <c r="A75" s="298" t="s">
        <v>350</v>
      </c>
      <c r="B75" s="217"/>
      <c r="C75" s="355">
        <f>-C48/C42</f>
        <v>-6.3158408868451144E-3</v>
      </c>
      <c r="D75" s="355">
        <f>-D48/D42</f>
        <v>1.330959336371069E-2</v>
      </c>
      <c r="E75" s="355">
        <f>-E48/E42</f>
        <v>1.2485705080431331E-2</v>
      </c>
      <c r="F75" s="355">
        <f>-F48/F42</f>
        <v>6.8760498185909159E-3</v>
      </c>
      <c r="G75" s="355">
        <f>-G48/G42</f>
        <v>6.5780505825400034E-3</v>
      </c>
      <c r="I75" s="353">
        <f>AVERAGE(C75:G75)</f>
        <v>6.5867115916855654E-3</v>
      </c>
      <c r="J75" s="217"/>
    </row>
    <row r="76" spans="1:10" ht="12.9" collapsed="1" x14ac:dyDescent="0.5">
      <c r="A76" s="217"/>
      <c r="B76" s="217"/>
      <c r="C76" s="355"/>
      <c r="D76" s="355"/>
      <c r="E76" s="355"/>
      <c r="F76" s="355"/>
      <c r="G76" s="355"/>
      <c r="J76" s="217"/>
    </row>
    <row r="77" spans="1:10" ht="12.9" x14ac:dyDescent="0.5">
      <c r="A77" s="306" t="s">
        <v>357</v>
      </c>
      <c r="B77" s="217"/>
      <c r="C77" s="355"/>
      <c r="D77" s="355"/>
      <c r="E77" s="355"/>
      <c r="F77" s="355"/>
      <c r="G77" s="355"/>
      <c r="J77" s="217"/>
    </row>
    <row r="78" spans="1:10" ht="12.9" x14ac:dyDescent="0.5">
      <c r="A78" s="298" t="s">
        <v>355</v>
      </c>
      <c r="B78" s="217"/>
      <c r="C78" s="356">
        <f>C15/C7</f>
        <v>1.6744034683025752E-2</v>
      </c>
      <c r="D78" s="356">
        <f>D15/D7</f>
        <v>4.604127012495339E-2</v>
      </c>
      <c r="E78" s="356">
        <f>E15/E7</f>
        <v>5.2783758798359968E-2</v>
      </c>
      <c r="F78" s="356">
        <f>F15/F7</f>
        <v>5.195120362950538E-2</v>
      </c>
      <c r="G78" s="356">
        <f>G15/G7</f>
        <v>5.2510154879850064E-2</v>
      </c>
      <c r="H78" s="359"/>
      <c r="I78" s="359">
        <f>AVERAGE(C78:G78)</f>
        <v>4.4006084423138914E-2</v>
      </c>
      <c r="J78" s="217"/>
    </row>
    <row r="79" spans="1:10" ht="12.9" x14ac:dyDescent="0.5">
      <c r="A79" s="298" t="s">
        <v>356</v>
      </c>
      <c r="B79" s="217"/>
      <c r="C79" s="356">
        <f>C31/C23</f>
        <v>1.8129651653693096E-2</v>
      </c>
      <c r="D79" s="356">
        <f>D31/D23</f>
        <v>3.947214574409795E-2</v>
      </c>
      <c r="E79" s="356">
        <f>E31/E23</f>
        <v>4.2136012461924374E-2</v>
      </c>
      <c r="F79" s="356">
        <f>F31/F23</f>
        <v>4.6381133327610409E-2</v>
      </c>
      <c r="G79" s="356">
        <f>G31/G23</f>
        <v>4.6156745355220137E-2</v>
      </c>
      <c r="H79" s="359"/>
      <c r="I79" s="359">
        <f>AVERAGE(C79:G79)</f>
        <v>3.8455137708509189E-2</v>
      </c>
      <c r="J79" s="217"/>
    </row>
    <row r="80" spans="1:10" ht="12.9" x14ac:dyDescent="0.5">
      <c r="A80" s="298" t="s">
        <v>350</v>
      </c>
      <c r="B80" s="217"/>
      <c r="C80" s="356">
        <f>C50/C42</f>
        <v>1.5099678425452455E-2</v>
      </c>
      <c r="D80" s="356">
        <f>D50/D42</f>
        <v>5.3445949148643715E-2</v>
      </c>
      <c r="E80" s="356">
        <f>E50/E42</f>
        <v>6.4196582248735867E-2</v>
      </c>
      <c r="F80" s="356">
        <f>F50/F42</f>
        <v>5.7689522956519503E-2</v>
      </c>
      <c r="G80" s="356">
        <f>G50/G42</f>
        <v>5.8928350427950686E-2</v>
      </c>
      <c r="H80" s="359"/>
      <c r="I80" s="359">
        <f>AVERAGE(C80:G80)</f>
        <v>4.9872016641460445E-2</v>
      </c>
      <c r="J80" s="217"/>
    </row>
    <row r="81" spans="1:10" ht="12.9" x14ac:dyDescent="0.5">
      <c r="A81" s="217"/>
      <c r="B81" s="217"/>
      <c r="C81" s="217"/>
      <c r="D81" s="217"/>
      <c r="E81" s="217"/>
      <c r="F81" s="217"/>
      <c r="G81" s="217"/>
      <c r="H81" s="217"/>
      <c r="I81" s="217"/>
      <c r="J81" s="217"/>
    </row>
    <row r="82" spans="1:10" ht="12.9" x14ac:dyDescent="0.5">
      <c r="A82" s="306" t="s">
        <v>358</v>
      </c>
      <c r="B82" s="217"/>
      <c r="C82" s="355"/>
      <c r="D82" s="355"/>
      <c r="E82" s="355"/>
      <c r="F82" s="355"/>
      <c r="G82" s="355"/>
      <c r="J82" s="217"/>
    </row>
    <row r="83" spans="1:10" ht="12.9" hidden="1" outlineLevel="1" x14ac:dyDescent="0.5">
      <c r="A83" s="298" t="s">
        <v>355</v>
      </c>
      <c r="B83" s="217"/>
      <c r="C83" s="356">
        <f>C84+C85</f>
        <v>0.99999999999999978</v>
      </c>
      <c r="D83" s="355">
        <f>D84+D85</f>
        <v>1</v>
      </c>
      <c r="E83" s="355">
        <f>E84+E85</f>
        <v>1</v>
      </c>
      <c r="F83" s="355">
        <f>F84+F85</f>
        <v>1</v>
      </c>
      <c r="G83" s="355">
        <f>G84+G85</f>
        <v>1</v>
      </c>
      <c r="H83" s="217"/>
      <c r="I83" s="353">
        <f>I84+I85</f>
        <v>1</v>
      </c>
    </row>
    <row r="84" spans="1:10" ht="12.9" collapsed="1" x14ac:dyDescent="0.5">
      <c r="A84" s="298" t="s">
        <v>356</v>
      </c>
      <c r="B84" s="217"/>
      <c r="C84" s="356">
        <f>C31/C15</f>
        <v>0.58760633428740272</v>
      </c>
      <c r="D84" s="356">
        <f>D31/D15</f>
        <v>0.45429195758099677</v>
      </c>
      <c r="E84" s="356">
        <f>E31/E15</f>
        <v>0.41298045065836714</v>
      </c>
      <c r="F84" s="356">
        <f>F31/F15</f>
        <v>0.45303284661510579</v>
      </c>
      <c r="G84" s="356">
        <f>G31/G15</f>
        <v>0.44173248950860011</v>
      </c>
      <c r="H84" s="217"/>
      <c r="I84" s="353">
        <f>SUM(C31:G31)/SUM(C15:G15)</f>
        <v>0.44994933775815799</v>
      </c>
    </row>
    <row r="85" spans="1:10" ht="12.9" x14ac:dyDescent="0.5">
      <c r="A85" s="298" t="s">
        <v>350</v>
      </c>
      <c r="B85" s="217"/>
      <c r="C85" s="356">
        <f>C50/C15</f>
        <v>0.41239366571259706</v>
      </c>
      <c r="D85" s="356">
        <f>D50/D15</f>
        <v>0.54570804241900328</v>
      </c>
      <c r="E85" s="356">
        <f>E50/E15</f>
        <v>0.58701954934163292</v>
      </c>
      <c r="F85" s="356">
        <f>F50/F15</f>
        <v>0.54696715338489432</v>
      </c>
      <c r="G85" s="356">
        <f>G50/G15</f>
        <v>0.5582675104914</v>
      </c>
      <c r="H85" s="217"/>
      <c r="I85" s="353">
        <f>SUM(C50:G50)/SUM(C15:G15)</f>
        <v>0.55005066224184207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3"/>
  <sheetViews>
    <sheetView zoomScale="119" zoomScaleNormal="119" workbookViewId="0">
      <selection activeCell="B9" sqref="B9"/>
    </sheetView>
  </sheetViews>
  <sheetFormatPr baseColWidth="10" defaultColWidth="9.15625" defaultRowHeight="11.4" x14ac:dyDescent="0.4"/>
  <cols>
    <col min="1" max="1" width="74.41796875" style="39" bestFit="1" customWidth="1"/>
    <col min="2" max="2" width="7.15625" style="47" bestFit="1" customWidth="1"/>
    <col min="3" max="3" width="9.15625" style="47"/>
    <col min="4" max="5" width="12.83984375" style="47" bestFit="1" customWidth="1"/>
    <col min="6" max="6" width="9.15625" style="47"/>
    <col min="7" max="16384" width="9.15625" style="39"/>
  </cols>
  <sheetData>
    <row r="1" spans="1:19" ht="12.75" customHeight="1" x14ac:dyDescent="0.4">
      <c r="A1" s="45" t="s">
        <v>168</v>
      </c>
      <c r="B1" s="45"/>
      <c r="G1" s="49"/>
      <c r="H1" s="47"/>
      <c r="I1" s="47"/>
      <c r="J1" s="47"/>
      <c r="M1" s="50"/>
      <c r="N1" s="47"/>
      <c r="O1" s="47"/>
      <c r="P1" s="47"/>
      <c r="Q1" s="47"/>
      <c r="R1" s="47"/>
      <c r="S1" s="47"/>
    </row>
    <row r="2" spans="1:19" ht="12.75" customHeight="1" x14ac:dyDescent="0.4">
      <c r="A2" s="51" t="s">
        <v>109</v>
      </c>
    </row>
    <row r="3" spans="1:19" ht="12.75" customHeight="1" x14ac:dyDescent="0.4">
      <c r="A3" s="52" t="s">
        <v>83</v>
      </c>
      <c r="B3" s="115">
        <v>1.4E-3</v>
      </c>
    </row>
    <row r="4" spans="1:19" ht="12.75" customHeight="1" x14ac:dyDescent="0.4">
      <c r="A4" s="52" t="s">
        <v>84</v>
      </c>
      <c r="B4" s="115">
        <v>2.3E-3</v>
      </c>
    </row>
    <row r="5" spans="1:19" ht="12.75" customHeight="1" x14ac:dyDescent="0.4">
      <c r="A5" s="281" t="s">
        <v>85</v>
      </c>
      <c r="B5" s="280">
        <v>3.4099999999999998E-2</v>
      </c>
    </row>
    <row r="6" spans="1:19" ht="12" customHeight="1" x14ac:dyDescent="0.4">
      <c r="B6" s="115"/>
    </row>
    <row r="7" spans="1:19" ht="12.75" customHeight="1" x14ac:dyDescent="0.4">
      <c r="A7" s="51" t="s">
        <v>108</v>
      </c>
      <c r="B7" s="115"/>
    </row>
    <row r="8" spans="1:19" ht="12.75" customHeight="1" x14ac:dyDescent="0.4">
      <c r="A8" s="52" t="s">
        <v>86</v>
      </c>
      <c r="B8" s="115">
        <v>5.0900000000000001E-2</v>
      </c>
    </row>
    <row r="9" spans="1:19" ht="12.75" customHeight="1" x14ac:dyDescent="0.4">
      <c r="A9" s="52" t="s">
        <v>87</v>
      </c>
      <c r="B9" s="115">
        <v>5.3100000000000001E-2</v>
      </c>
    </row>
    <row r="10" spans="1:19" ht="12.75" customHeight="1" x14ac:dyDescent="0.4">
      <c r="A10" s="52" t="s">
        <v>88</v>
      </c>
      <c r="B10" s="115">
        <v>5.7299999999999997E-2</v>
      </c>
    </row>
    <row r="11" spans="1:19" ht="12.75" customHeight="1" x14ac:dyDescent="0.4">
      <c r="A11" s="52" t="s">
        <v>89</v>
      </c>
      <c r="B11" s="115">
        <v>0.06</v>
      </c>
    </row>
    <row r="12" spans="1:19" ht="12.75" customHeight="1" x14ac:dyDescent="0.4">
      <c r="A12" s="283" t="s">
        <v>111</v>
      </c>
      <c r="B12" s="284">
        <v>6.8099999999999994E-2</v>
      </c>
    </row>
    <row r="13" spans="1:19" ht="12" customHeight="1" x14ac:dyDescent="0.4">
      <c r="A13" s="133"/>
      <c r="B13" s="115"/>
    </row>
    <row r="14" spans="1:19" ht="12.75" customHeight="1" x14ac:dyDescent="0.4">
      <c r="A14" s="282" t="s">
        <v>304</v>
      </c>
      <c r="B14" s="279">
        <v>6.0999999999999999E-2</v>
      </c>
    </row>
    <row r="15" spans="1:19" ht="12.75" customHeight="1" x14ac:dyDescent="0.4">
      <c r="A15" s="131"/>
      <c r="B15" s="132"/>
    </row>
    <row r="16" spans="1:19" s="62" customFormat="1" ht="12.75" customHeight="1" x14ac:dyDescent="0.4">
      <c r="A16" s="136" t="s">
        <v>169</v>
      </c>
      <c r="B16" s="134">
        <v>2.79</v>
      </c>
      <c r="C16" s="137"/>
      <c r="D16" s="137"/>
      <c r="E16" s="137"/>
      <c r="F16" s="137"/>
    </row>
    <row r="17" spans="1:6" s="62" customFormat="1" ht="12" customHeight="1" x14ac:dyDescent="0.4">
      <c r="A17" s="62" t="s">
        <v>146</v>
      </c>
      <c r="B17" s="137"/>
      <c r="C17" s="137"/>
      <c r="D17" s="137"/>
      <c r="E17" s="137"/>
      <c r="F17" s="137"/>
    </row>
    <row r="18" spans="1:6" s="62" customFormat="1" ht="12" customHeight="1" x14ac:dyDescent="0.4">
      <c r="A18" s="62" t="s">
        <v>147</v>
      </c>
      <c r="B18" s="137"/>
      <c r="C18" s="137"/>
      <c r="D18" s="137"/>
      <c r="E18" s="137"/>
      <c r="F18" s="137"/>
    </row>
    <row r="19" spans="1:6" s="62" customFormat="1" ht="12" customHeight="1" x14ac:dyDescent="0.4">
      <c r="A19" s="62" t="s">
        <v>148</v>
      </c>
      <c r="B19" s="137"/>
      <c r="C19" s="137"/>
      <c r="D19" s="135"/>
      <c r="E19" s="135"/>
      <c r="F19" s="135"/>
    </row>
    <row r="20" spans="1:6" s="62" customFormat="1" ht="12" customHeight="1" x14ac:dyDescent="0.4">
      <c r="A20" s="62" t="s">
        <v>174</v>
      </c>
      <c r="B20" s="137"/>
      <c r="C20" s="137"/>
      <c r="D20" s="137"/>
      <c r="E20" s="137"/>
      <c r="F20" s="137"/>
    </row>
    <row r="63" ht="12" customHeight="1" x14ac:dyDescent="0.4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CBF-5089-4E8A-8683-2A0C1B0A24B1}">
  <dimension ref="B1:X48"/>
  <sheetViews>
    <sheetView topLeftCell="A17" zoomScale="79" workbookViewId="0">
      <selection activeCell="T42" sqref="T42:U47"/>
    </sheetView>
  </sheetViews>
  <sheetFormatPr baseColWidth="10" defaultRowHeight="14.4" x14ac:dyDescent="0.55000000000000004"/>
  <cols>
    <col min="1" max="1" width="6.26171875" customWidth="1"/>
    <col min="2" max="2" width="6.9453125" customWidth="1"/>
    <col min="8" max="8" width="5.578125" customWidth="1"/>
  </cols>
  <sheetData>
    <row r="1" spans="2:20" ht="15.6" x14ac:dyDescent="0.6">
      <c r="B1" s="519" t="s">
        <v>497</v>
      </c>
      <c r="F1" s="677"/>
      <c r="G1" s="677"/>
      <c r="H1" s="677"/>
      <c r="J1" s="672"/>
      <c r="K1" s="672"/>
      <c r="L1" s="672"/>
      <c r="R1" s="672"/>
    </row>
    <row r="2" spans="2:20" x14ac:dyDescent="0.55000000000000004">
      <c r="N2" s="673"/>
      <c r="O2" s="674" t="s">
        <v>312</v>
      </c>
      <c r="S2" s="674" t="s">
        <v>491</v>
      </c>
    </row>
    <row r="3" spans="2:20" ht="15.6" x14ac:dyDescent="0.6">
      <c r="B3" s="673"/>
      <c r="C3" s="675" t="s">
        <v>322</v>
      </c>
      <c r="E3" s="673"/>
      <c r="F3" s="675" t="s">
        <v>327</v>
      </c>
      <c r="G3" s="675" t="s">
        <v>492</v>
      </c>
      <c r="I3" s="673"/>
      <c r="J3" s="675" t="s">
        <v>90</v>
      </c>
      <c r="K3" s="675" t="s">
        <v>493</v>
      </c>
      <c r="L3" s="675" t="s">
        <v>53</v>
      </c>
      <c r="N3" s="673"/>
      <c r="O3" s="675" t="s">
        <v>494</v>
      </c>
      <c r="R3" s="676" t="s">
        <v>495</v>
      </c>
      <c r="S3" s="675" t="s">
        <v>90</v>
      </c>
      <c r="T3" s="682"/>
    </row>
    <row r="4" spans="2:20" ht="15.6" x14ac:dyDescent="0.6">
      <c r="B4" s="673">
        <v>2001</v>
      </c>
      <c r="C4" s="682">
        <f>'Model 100% Accept'!B6</f>
        <v>943.2</v>
      </c>
      <c r="E4" s="673">
        <v>2001</v>
      </c>
      <c r="F4" s="682">
        <f>'Model 100% Accept'!B11</f>
        <v>43.489600000000067</v>
      </c>
      <c r="G4" s="687">
        <f>F4/C4</f>
        <v>4.6108566581849093E-2</v>
      </c>
      <c r="I4" s="673">
        <v>2001</v>
      </c>
      <c r="J4" s="682">
        <f>'Model 100% Accept'!B40</f>
        <v>473.23287333460127</v>
      </c>
      <c r="K4" s="682">
        <f>'Model 100% Accept'!B51</f>
        <v>136.51067164</v>
      </c>
      <c r="L4" s="682">
        <f>'Model 100% Accept'!B52+'Model 100% Accept'!B53</f>
        <v>336.72220169460127</v>
      </c>
      <c r="M4" s="685">
        <f>K4+L4-J4</f>
        <v>0</v>
      </c>
      <c r="N4" s="673">
        <v>2001</v>
      </c>
      <c r="O4" s="678">
        <f t="shared" ref="O4:O13" si="0">R4/(R4+L4)</f>
        <v>0.12816456377394198</v>
      </c>
      <c r="R4" s="686">
        <f>'Model 100% Accept'!B44+'Model 100% Accept'!B45+'Model 100% Accept'!B48+'Model 100% Accept'!B49+'Model 100% Accept'!B50</f>
        <v>49.5</v>
      </c>
      <c r="S4" s="678">
        <f t="shared" ref="S4:S13" si="1">K4/J4</f>
        <v>0.28846405085531657</v>
      </c>
      <c r="T4" s="682"/>
    </row>
    <row r="5" spans="2:20" ht="15.6" x14ac:dyDescent="0.6">
      <c r="B5" s="673">
        <f t="shared" ref="B5:B13" si="2">B4+1</f>
        <v>2002</v>
      </c>
      <c r="C5" s="682">
        <f>'Model 100% Accept'!C6</f>
        <v>988.4</v>
      </c>
      <c r="E5" s="673">
        <f t="shared" ref="E5:E13" si="3">E4+1</f>
        <v>2002</v>
      </c>
      <c r="F5" s="682">
        <f>'Model 100% Accept'!C11</f>
        <v>38.536999999999921</v>
      </c>
      <c r="G5" s="687">
        <f t="shared" ref="G5:G13" si="4">F5/C5</f>
        <v>3.8989275596924243E-2</v>
      </c>
      <c r="I5" s="673">
        <f t="shared" ref="I5:I13" si="5">I4+1</f>
        <v>2002</v>
      </c>
      <c r="J5" s="682">
        <f>'Model 100% Accept'!C40</f>
        <v>489.98566278460135</v>
      </c>
      <c r="K5" s="682">
        <f>'Model 100% Accept'!C51</f>
        <v>140.12028210750003</v>
      </c>
      <c r="L5" s="682">
        <f>'Model 100% Accept'!C52+'Model 100% Accept'!C53</f>
        <v>349.86538067710126</v>
      </c>
      <c r="M5" s="685">
        <f t="shared" ref="M5:M13" si="6">K5+L5-J5</f>
        <v>0</v>
      </c>
      <c r="N5" s="673">
        <f t="shared" ref="N5:N13" si="7">N4+1</f>
        <v>2002</v>
      </c>
      <c r="O5" s="678">
        <f t="shared" si="0"/>
        <v>0.11842806727009599</v>
      </c>
      <c r="R5" s="686">
        <f>'Model 100% Accept'!C44+'Model 100% Accept'!C45+'Model 100% Accept'!C48+'Model 100% Accept'!C49+'Model 100% Accept'!C50</f>
        <v>47</v>
      </c>
      <c r="S5" s="678">
        <f t="shared" si="1"/>
        <v>0.28596812672271432</v>
      </c>
      <c r="T5" s="682"/>
    </row>
    <row r="6" spans="2:20" ht="15.6" x14ac:dyDescent="0.6">
      <c r="B6" s="673">
        <f t="shared" si="2"/>
        <v>2003</v>
      </c>
      <c r="C6" s="682">
        <f>'Model 100% Accept'!D6</f>
        <v>1080.3211999999999</v>
      </c>
      <c r="E6" s="673">
        <f t="shared" si="3"/>
        <v>2003</v>
      </c>
      <c r="F6" s="682">
        <f>'Model 100% Accept'!D11</f>
        <v>45.457583399999812</v>
      </c>
      <c r="G6" s="687">
        <f t="shared" si="4"/>
        <v>4.20778407384765E-2</v>
      </c>
      <c r="I6" s="673">
        <f t="shared" si="5"/>
        <v>2003</v>
      </c>
      <c r="J6" s="682">
        <f>'Model 100% Accept'!D40</f>
        <v>562.90956785580124</v>
      </c>
      <c r="K6" s="682">
        <f>'Model 100% Accept'!D51</f>
        <v>195.12519088370004</v>
      </c>
      <c r="L6" s="682">
        <f>'Model 100% Accept'!D52+'Model 100% Accept'!D53</f>
        <v>367.78437697210126</v>
      </c>
      <c r="M6" s="685">
        <f t="shared" si="6"/>
        <v>0</v>
      </c>
      <c r="N6" s="673">
        <f t="shared" si="7"/>
        <v>2003</v>
      </c>
      <c r="O6" s="678">
        <f t="shared" si="0"/>
        <v>0.20026772948102828</v>
      </c>
      <c r="R6" s="686">
        <f>'Model 100% Accept'!D44+'Model 100% Accept'!D45+'Model 100% Accept'!D48+'Model 100% Accept'!D49+'Model 100% Accept'!D50</f>
        <v>92.1</v>
      </c>
      <c r="S6" s="678">
        <f t="shared" si="1"/>
        <v>0.34663683480626972</v>
      </c>
      <c r="T6" s="682"/>
    </row>
    <row r="7" spans="2:20" ht="15.6" x14ac:dyDescent="0.6">
      <c r="B7" s="673">
        <f t="shared" si="2"/>
        <v>2004</v>
      </c>
      <c r="C7" s="682">
        <f>'Model 100% Accept'!E6</f>
        <v>1216.1814574231523</v>
      </c>
      <c r="E7" s="673">
        <f t="shared" si="3"/>
        <v>2004</v>
      </c>
      <c r="F7" s="682">
        <f>'Model 100% Accept'!E11</f>
        <v>44.767483018422361</v>
      </c>
      <c r="G7" s="687">
        <f t="shared" si="4"/>
        <v>3.680987137665772E-2</v>
      </c>
      <c r="I7" s="673">
        <f t="shared" si="5"/>
        <v>2004</v>
      </c>
      <c r="J7" s="682">
        <f>'Model 100% Accept'!E40</f>
        <v>818.22528565795233</v>
      </c>
      <c r="K7" s="682">
        <f>'Model 100% Accept'!E51</f>
        <v>433.8190289138733</v>
      </c>
      <c r="L7" s="682">
        <f>'Model 100% Accept'!E52+'Model 100% Accept'!E53</f>
        <v>384.40625674407886</v>
      </c>
      <c r="M7" s="685">
        <f t="shared" si="6"/>
        <v>0</v>
      </c>
      <c r="N7" s="673">
        <f t="shared" si="7"/>
        <v>2004</v>
      </c>
      <c r="O7" s="678">
        <f t="shared" si="0"/>
        <v>0.45443820138585622</v>
      </c>
      <c r="R7" s="686">
        <f>'Model 100% Accept'!E44+'Model 100% Accept'!E45+'Model 100% Accept'!E48+'Model 100% Accept'!E49+'Model 100% Accept'!E50</f>
        <v>320.2</v>
      </c>
      <c r="S7" s="678">
        <f t="shared" si="1"/>
        <v>0.53019508993177866</v>
      </c>
      <c r="T7" s="682"/>
    </row>
    <row r="8" spans="2:20" ht="15.6" x14ac:dyDescent="0.6">
      <c r="B8" s="673">
        <f t="shared" si="2"/>
        <v>2005</v>
      </c>
      <c r="C8" s="682">
        <f>'Model 100% Accept'!F6</f>
        <v>1358.4746879416612</v>
      </c>
      <c r="E8" s="673">
        <f t="shared" si="3"/>
        <v>2005</v>
      </c>
      <c r="F8" s="682">
        <f>'Model 100% Accept'!F11</f>
        <v>41.532687668606997</v>
      </c>
      <c r="G8" s="687">
        <f t="shared" si="4"/>
        <v>3.0573030206059011E-2</v>
      </c>
      <c r="I8" s="673">
        <f t="shared" si="5"/>
        <v>2005</v>
      </c>
      <c r="J8" s="682">
        <f>'Model 100% Accept'!F40</f>
        <v>873.19399778683942</v>
      </c>
      <c r="K8" s="682">
        <f>'Model 100% Accept'!F51</f>
        <v>480.26797005816854</v>
      </c>
      <c r="L8" s="682">
        <f>'Model 100% Accept'!F52+'Model 100% Accept'!F53</f>
        <v>392.92602772867076</v>
      </c>
      <c r="M8" s="685">
        <f t="shared" si="6"/>
        <v>0</v>
      </c>
      <c r="N8" s="673">
        <f t="shared" si="7"/>
        <v>2005</v>
      </c>
      <c r="O8" s="678">
        <f t="shared" si="0"/>
        <v>0.47457561898175366</v>
      </c>
      <c r="R8" s="686">
        <f>'Model 100% Accept'!F44+'Model 100% Accept'!F45+'Model 100% Accept'!F48+'Model 100% Accept'!F49+'Model 100% Accept'!F50</f>
        <v>354.9</v>
      </c>
      <c r="S8" s="678">
        <f t="shared" si="1"/>
        <v>0.55001290809995884</v>
      </c>
      <c r="T8" s="682"/>
    </row>
    <row r="9" spans="2:20" ht="15.6" x14ac:dyDescent="0.6">
      <c r="B9" s="673">
        <f t="shared" si="2"/>
        <v>2006</v>
      </c>
      <c r="C9" s="682">
        <f>'Model 100% Accept'!G6</f>
        <v>1501.1145301755355</v>
      </c>
      <c r="E9" s="673">
        <f t="shared" si="3"/>
        <v>2006</v>
      </c>
      <c r="F9" s="682">
        <f>'Model 100% Accept'!G11</f>
        <v>30.931996203275652</v>
      </c>
      <c r="G9" s="687">
        <f t="shared" si="4"/>
        <v>2.0606020114706747E-2</v>
      </c>
      <c r="I9" s="673">
        <f t="shared" si="5"/>
        <v>2006</v>
      </c>
      <c r="J9" s="682">
        <f>'Model 100% Accept'!G40</f>
        <v>1026.9578472566411</v>
      </c>
      <c r="K9" s="682">
        <f>'Model 100% Accept'!G51</f>
        <v>634.29070587584215</v>
      </c>
      <c r="L9" s="682">
        <f>'Model 100% Accept'!G52+'Model 100% Accept'!G53</f>
        <v>392.66714138079868</v>
      </c>
      <c r="M9" s="685">
        <f t="shared" si="6"/>
        <v>0</v>
      </c>
      <c r="N9" s="673">
        <f t="shared" si="7"/>
        <v>2006</v>
      </c>
      <c r="O9" s="678">
        <f t="shared" si="0"/>
        <v>0.56124965574158081</v>
      </c>
      <c r="R9" s="686">
        <f>'Model 100% Accept'!G44+'Model 100% Accept'!G45+'Model 100% Accept'!G48+'Model 100% Accept'!G49+'Model 100% Accept'!G50</f>
        <v>502.29999999999995</v>
      </c>
      <c r="S9" s="678">
        <f t="shared" si="1"/>
        <v>0.61764044899238224</v>
      </c>
      <c r="T9" s="682"/>
    </row>
    <row r="10" spans="2:20" ht="15.6" x14ac:dyDescent="0.6">
      <c r="B10" s="673">
        <f t="shared" si="2"/>
        <v>2007</v>
      </c>
      <c r="C10" s="682">
        <f>'Model 100% Accept'!H6</f>
        <v>1271.4440070586786</v>
      </c>
      <c r="E10" s="673">
        <f t="shared" si="3"/>
        <v>2007</v>
      </c>
      <c r="F10" s="682">
        <f>'Model 100% Accept'!H11</f>
        <v>-73.00509397428624</v>
      </c>
      <c r="G10" s="687">
        <f t="shared" si="4"/>
        <v>-5.7419039744561057E-2</v>
      </c>
      <c r="I10" s="673">
        <f t="shared" si="5"/>
        <v>2007</v>
      </c>
      <c r="J10" s="682">
        <f>'Model 100% Accept'!H40</f>
        <v>979.11674950917802</v>
      </c>
      <c r="K10" s="682">
        <f>'Model 100% Accept'!H51</f>
        <v>659.96075470756341</v>
      </c>
      <c r="L10" s="682">
        <f>'Model 100% Accept'!H52+'Model 100% Accept'!H53</f>
        <v>319.15599480161438</v>
      </c>
      <c r="M10" s="685">
        <f t="shared" si="6"/>
        <v>0</v>
      </c>
      <c r="N10" s="673">
        <f t="shared" si="7"/>
        <v>2007</v>
      </c>
      <c r="O10" s="678">
        <f t="shared" si="0"/>
        <v>0.642058024485757</v>
      </c>
      <c r="R10" s="686">
        <f>'Model 100% Accept'!H44+'Model 100% Accept'!H45+'Model 100% Accept'!H48+'Model 100% Accept'!H49+'Model 100% Accept'!H50</f>
        <v>572.48571428571427</v>
      </c>
      <c r="S10" s="678">
        <f t="shared" si="1"/>
        <v>0.67403683476806575</v>
      </c>
      <c r="T10" s="682"/>
    </row>
    <row r="11" spans="2:20" ht="15.6" x14ac:dyDescent="0.6">
      <c r="B11" s="673">
        <f t="shared" si="2"/>
        <v>2008</v>
      </c>
      <c r="C11" s="682">
        <f>'Model 100% Accept'!I6</f>
        <v>917.98257309636597</v>
      </c>
      <c r="E11" s="673">
        <f t="shared" si="3"/>
        <v>2008</v>
      </c>
      <c r="F11" s="682">
        <f>'Model 100% Accept'!I11</f>
        <v>-73.08210790504134</v>
      </c>
      <c r="G11" s="687">
        <f t="shared" si="4"/>
        <v>-7.9611650642271492E-2</v>
      </c>
      <c r="I11" s="673">
        <f t="shared" si="5"/>
        <v>2008</v>
      </c>
      <c r="J11" s="682">
        <f>'Model 100% Accept'!I40</f>
        <v>809.44707325444142</v>
      </c>
      <c r="K11" s="682">
        <f>'Model 100% Accept'!I51</f>
        <v>579.48721890252921</v>
      </c>
      <c r="L11" s="682">
        <f>'Model 100% Accept'!I52+'Model 100% Accept'!I53</f>
        <v>229.95985435191213</v>
      </c>
      <c r="M11" s="685">
        <f t="shared" si="6"/>
        <v>0</v>
      </c>
      <c r="N11" s="673">
        <f t="shared" si="7"/>
        <v>2008</v>
      </c>
      <c r="O11" s="678">
        <f t="shared" si="0"/>
        <v>0.69980357267612403</v>
      </c>
      <c r="R11" s="686">
        <f>'Model 100% Accept'!I44+'Model 100% Accept'!I45+'Model 100% Accept'!I48+'Model 100% Accept'!I49+'Model 100% Accept'!I50</f>
        <v>536.07142857142856</v>
      </c>
      <c r="S11" s="678">
        <f t="shared" si="1"/>
        <v>0.71590501473142432</v>
      </c>
      <c r="T11" s="682"/>
    </row>
    <row r="12" spans="2:20" ht="15.6" x14ac:dyDescent="0.6">
      <c r="B12" s="673">
        <f t="shared" si="2"/>
        <v>2009</v>
      </c>
      <c r="C12" s="682">
        <f>'Model 100% Accept'!J6</f>
        <v>825</v>
      </c>
      <c r="E12" s="673">
        <f t="shared" si="3"/>
        <v>2009</v>
      </c>
      <c r="F12" s="682">
        <f>'Model 100% Accept'!J11</f>
        <v>-59.748873592965495</v>
      </c>
      <c r="G12" s="687">
        <f t="shared" si="4"/>
        <v>-7.2422877082382417E-2</v>
      </c>
      <c r="I12" s="673">
        <f t="shared" si="5"/>
        <v>2009</v>
      </c>
      <c r="J12" s="682">
        <f>'Model 100% Accept'!J40</f>
        <v>666.38288084641965</v>
      </c>
      <c r="K12" s="682">
        <f>'Model 100% Accept'!J51</f>
        <v>532.56481416586462</v>
      </c>
      <c r="L12" s="682">
        <f>'Model 100% Accept'!J52+'Model 100% Accept'!J53</f>
        <v>133.81806668055486</v>
      </c>
      <c r="M12" s="685">
        <f t="shared" si="6"/>
        <v>0</v>
      </c>
      <c r="N12" s="673">
        <f t="shared" si="7"/>
        <v>2009</v>
      </c>
      <c r="O12" s="678">
        <f t="shared" si="0"/>
        <v>0.79624982073432837</v>
      </c>
      <c r="R12" s="686">
        <f>'Model 100% Accept'!J44+'Model 100% Accept'!J45+'Model 100% Accept'!J48+'Model 100% Accept'!J49+'Model 100% Accept'!J50</f>
        <v>522.9571428571428</v>
      </c>
      <c r="S12" s="678">
        <f t="shared" si="1"/>
        <v>0.79918741833436158</v>
      </c>
      <c r="T12" s="682"/>
    </row>
    <row r="13" spans="2:20" ht="15.6" x14ac:dyDescent="0.6">
      <c r="B13" s="673">
        <f t="shared" si="2"/>
        <v>2010</v>
      </c>
      <c r="C13" s="682">
        <f>'Model 100% Accept'!K6</f>
        <v>875.3</v>
      </c>
      <c r="E13" s="673">
        <f t="shared" si="3"/>
        <v>2010</v>
      </c>
      <c r="F13" s="682">
        <f>'Model 100% Accept'!K11</f>
        <v>-24.422408073493163</v>
      </c>
      <c r="G13" s="687">
        <f t="shared" si="4"/>
        <v>-2.7901757195810766E-2</v>
      </c>
      <c r="I13" s="673">
        <f t="shared" si="5"/>
        <v>2010</v>
      </c>
      <c r="J13" s="682">
        <f>'Model 100% Accept'!K40</f>
        <v>574.72009384143678</v>
      </c>
      <c r="K13" s="682">
        <f>'Model 100% Accept'!K51</f>
        <v>507.8209845428571</v>
      </c>
      <c r="L13" s="682">
        <f>'Model 100% Accept'!K52+'Model 100% Accept'!K53</f>
        <v>66.899109298579504</v>
      </c>
      <c r="M13" s="685">
        <f t="shared" si="6"/>
        <v>0</v>
      </c>
      <c r="N13" s="673">
        <f t="shared" si="7"/>
        <v>2010</v>
      </c>
      <c r="O13" s="678">
        <f t="shared" si="0"/>
        <v>0.88345954963311113</v>
      </c>
      <c r="R13" s="686">
        <f>'Model 100% Accept'!K44+'Model 100% Accept'!K45+'Model 100% Accept'!K48+'Model 100% Accept'!K49+'Model 100% Accept'!K50</f>
        <v>507.14285714285711</v>
      </c>
      <c r="S13" s="678">
        <f t="shared" si="1"/>
        <v>0.88359705878486838</v>
      </c>
    </row>
    <row r="14" spans="2:20" x14ac:dyDescent="0.55000000000000004">
      <c r="B14" s="679" t="s">
        <v>321</v>
      </c>
      <c r="C14" s="680">
        <f>((C13/C4)^(1/9)-1)</f>
        <v>-8.2669354407206574E-3</v>
      </c>
      <c r="E14" s="679" t="s">
        <v>321</v>
      </c>
      <c r="F14" s="680">
        <f>((F13/F4)^(1/9)-1)</f>
        <v>-1.9378986196918784</v>
      </c>
      <c r="G14" s="673"/>
    </row>
    <row r="16" spans="2:20" x14ac:dyDescent="0.55000000000000004">
      <c r="B16" s="673"/>
      <c r="C16" s="675" t="s">
        <v>187</v>
      </c>
      <c r="D16" s="676"/>
      <c r="E16" s="673"/>
      <c r="F16" s="675" t="s">
        <v>498</v>
      </c>
      <c r="G16" s="676"/>
      <c r="I16" s="673"/>
      <c r="J16" s="675" t="s">
        <v>39</v>
      </c>
      <c r="K16" s="675" t="s">
        <v>496</v>
      </c>
      <c r="N16" s="673" t="s">
        <v>501</v>
      </c>
      <c r="O16" s="673" t="s">
        <v>502</v>
      </c>
      <c r="P16" s="676"/>
    </row>
    <row r="17" spans="2:24" ht="15.6" x14ac:dyDescent="0.6">
      <c r="B17" s="673">
        <v>2001</v>
      </c>
      <c r="C17" s="682">
        <f>'Model 100% Accept'!B16</f>
        <v>26.712874760000069</v>
      </c>
      <c r="E17" s="673">
        <v>2001</v>
      </c>
      <c r="F17" s="683">
        <f>'Model 100% Accept'!B67</f>
        <v>7.4805759754010337</v>
      </c>
      <c r="G17" s="681"/>
      <c r="I17" s="673">
        <v>2001</v>
      </c>
      <c r="J17" s="687">
        <f>F4/J4</f>
        <v>9.1898941198978304E-2</v>
      </c>
      <c r="K17" s="687">
        <f>'Model 100% Accept'!B170</f>
        <v>4.8340800000000003E-2</v>
      </c>
      <c r="N17" s="688">
        <f>'Model 100% Accept'!B176</f>
        <v>20.891067361129945</v>
      </c>
      <c r="O17" s="688">
        <f>'Model 100% Accept'!B179</f>
        <v>0.9902059628402694</v>
      </c>
      <c r="Q17" s="682"/>
      <c r="R17" s="688"/>
      <c r="S17" s="688"/>
    </row>
    <row r="18" spans="2:24" ht="15.6" x14ac:dyDescent="0.6">
      <c r="B18" s="673">
        <f t="shared" ref="B18:B26" si="8">B17+1</f>
        <v>2002</v>
      </c>
      <c r="C18" s="682">
        <f>'Model 100% Accept'!C16</f>
        <v>24.123178982499919</v>
      </c>
      <c r="E18" s="673">
        <f t="shared" ref="E18:E26" si="9">E17+1</f>
        <v>2002</v>
      </c>
      <c r="F18" s="682">
        <f>'Model 100% Accept'!C67</f>
        <v>8.6248383797979091</v>
      </c>
      <c r="I18" s="673">
        <f t="shared" ref="I18:I26" si="10">I17+1</f>
        <v>2002</v>
      </c>
      <c r="J18" s="687">
        <f>F5/((J4+J5)/2)</f>
        <v>8.0017147832858557E-2</v>
      </c>
      <c r="K18" s="687">
        <f>'Model 100% Accept'!C170</f>
        <v>2.9521594818652849E-2</v>
      </c>
      <c r="N18" s="688">
        <f>'Model 100% Accept'!C176</f>
        <v>38.164387190141149</v>
      </c>
      <c r="O18" s="688">
        <f>'Model 100% Accept'!C179</f>
        <v>0.86457451896545501</v>
      </c>
      <c r="Q18" s="682"/>
      <c r="R18" s="688"/>
      <c r="S18" s="688"/>
    </row>
    <row r="19" spans="2:24" ht="15.6" x14ac:dyDescent="0.6">
      <c r="B19" s="673">
        <f t="shared" si="8"/>
        <v>2003</v>
      </c>
      <c r="C19" s="682">
        <f>'Model 100% Accept'!D16</f>
        <v>28.898996294999812</v>
      </c>
      <c r="E19" s="673">
        <f t="shared" si="9"/>
        <v>2003</v>
      </c>
      <c r="F19" s="682">
        <f>'Model 100% Accept'!D67</f>
        <v>-33.601299873996922</v>
      </c>
      <c r="I19" s="673">
        <f t="shared" si="10"/>
        <v>2003</v>
      </c>
      <c r="J19" s="687">
        <f t="shared" ref="J19:J26" si="11">F6/((J5+J6)/2)</f>
        <v>8.6347781008279695E-2</v>
      </c>
      <c r="K19" s="687">
        <f>'Model 100% Accept'!D170</f>
        <v>1.4343480948957585E-2</v>
      </c>
      <c r="N19" s="688">
        <f>'Model 100% Accept'!D176</f>
        <v>61.727126328866078</v>
      </c>
      <c r="O19" s="688">
        <f>'Model 100% Accept'!D179</f>
        <v>1.4956565451869457</v>
      </c>
      <c r="Q19" s="682"/>
      <c r="R19" s="688"/>
      <c r="S19" s="688"/>
    </row>
    <row r="20" spans="2:24" ht="15.6" x14ac:dyDescent="0.6">
      <c r="B20" s="673">
        <f t="shared" si="8"/>
        <v>2004</v>
      </c>
      <c r="C20" s="682">
        <f>'Model 100% Accept'!E16</f>
        <v>27.601879771972861</v>
      </c>
      <c r="E20" s="673">
        <f t="shared" si="9"/>
        <v>2004</v>
      </c>
      <c r="F20" s="682">
        <f>'Model 100% Accept'!E67</f>
        <v>-187.74880165722274</v>
      </c>
      <c r="I20" s="673">
        <f t="shared" si="10"/>
        <v>2004</v>
      </c>
      <c r="J20" s="687">
        <f t="shared" si="11"/>
        <v>6.4827099112775469E-2</v>
      </c>
      <c r="K20" s="687">
        <f>'Model 100% Accept'!E170</f>
        <v>1.1171732233810332E-2</v>
      </c>
      <c r="N20" s="688">
        <f>'Model 100% Accept'!E176</f>
        <v>27.987904941216872</v>
      </c>
      <c r="O20" s="688">
        <f>'Model 100% Accept'!E179</f>
        <v>4.9676052838064706</v>
      </c>
      <c r="Q20" s="682"/>
      <c r="R20" s="688"/>
      <c r="S20" s="688"/>
    </row>
    <row r="21" spans="2:24" ht="15.6" x14ac:dyDescent="0.6">
      <c r="B21" s="673">
        <f t="shared" si="8"/>
        <v>2005</v>
      </c>
      <c r="C21" s="682">
        <f>'Model 100% Accept'!F16</f>
        <v>19.499770984595997</v>
      </c>
      <c r="E21" s="673">
        <f t="shared" si="9"/>
        <v>2005</v>
      </c>
      <c r="F21" s="682">
        <f>'Model 100% Accept'!F67</f>
        <v>-5.8397118780614008</v>
      </c>
      <c r="I21" s="673">
        <f t="shared" si="10"/>
        <v>2005</v>
      </c>
      <c r="J21" s="687">
        <f t="shared" si="11"/>
        <v>4.9109866577872238E-2</v>
      </c>
      <c r="K21" s="687">
        <f>'Model 100% Accept'!F170</f>
        <v>3.4166908606132425E-2</v>
      </c>
      <c r="N21" s="688">
        <f>'Model 100% Accept'!F176</f>
        <v>6.5962298340018934</v>
      </c>
      <c r="O21" s="688">
        <f>'Model 100% Accept'!F179</f>
        <v>4.6651586932415574</v>
      </c>
      <c r="Q21" s="682"/>
      <c r="R21" s="688"/>
      <c r="S21" s="688"/>
    </row>
    <row r="22" spans="2:24" ht="15.6" x14ac:dyDescent="0.6">
      <c r="B22" s="673">
        <f t="shared" si="8"/>
        <v>2006</v>
      </c>
      <c r="C22" s="682">
        <f>'Model 100% Accept'!G16</f>
        <v>10.721113652129832</v>
      </c>
      <c r="E22" s="673">
        <f t="shared" si="9"/>
        <v>2006</v>
      </c>
      <c r="F22" s="682">
        <f>'Model 100% Accept'!G67</f>
        <v>-95.836289607124243</v>
      </c>
      <c r="I22" s="673">
        <f t="shared" si="10"/>
        <v>2006</v>
      </c>
      <c r="J22" s="687">
        <f t="shared" si="11"/>
        <v>3.255739406717556E-2</v>
      </c>
      <c r="K22" s="687">
        <f>'Model 100% Accept'!G170</f>
        <v>3.3686363042463835E-2</v>
      </c>
      <c r="N22" s="688">
        <f>'Model 100% Accept'!G176</f>
        <v>4.5741665074102942</v>
      </c>
      <c r="O22" s="688">
        <f>'Model 100% Accept'!G179</f>
        <v>7.6058002786955932</v>
      </c>
      <c r="Q22" s="682"/>
      <c r="R22" s="688"/>
      <c r="S22" s="688"/>
    </row>
    <row r="23" spans="2:24" ht="15.6" x14ac:dyDescent="0.6">
      <c r="B23" s="673">
        <f t="shared" si="8"/>
        <v>2007</v>
      </c>
      <c r="C23" s="682">
        <f>'Model 100% Accept'!H16</f>
        <v>-62.531146579182646</v>
      </c>
      <c r="E23" s="673">
        <f t="shared" si="9"/>
        <v>2007</v>
      </c>
      <c r="F23" s="682">
        <f>'Model 100% Accept'!H67</f>
        <v>-76.67002265829953</v>
      </c>
      <c r="I23" s="673">
        <f t="shared" si="10"/>
        <v>2007</v>
      </c>
      <c r="J23" s="687">
        <f t="shared" si="11"/>
        <v>-7.2784027166272483E-2</v>
      </c>
      <c r="K23" s="687">
        <f>'Model 100% Accept'!H170</f>
        <v>4.2070302385857648E-2</v>
      </c>
      <c r="N23" s="688">
        <f>'Model 100% Accept'!H176</f>
        <v>-1.4059495094923338</v>
      </c>
      <c r="O23" s="688">
        <f>'Model 100% Accept'!H179</f>
        <v>-18.010567861658817</v>
      </c>
      <c r="Q23" s="682"/>
      <c r="R23" s="688"/>
      <c r="S23" s="688"/>
    </row>
    <row r="24" spans="2:24" ht="15.6" x14ac:dyDescent="0.6">
      <c r="B24" s="673">
        <f t="shared" si="8"/>
        <v>2008</v>
      </c>
      <c r="C24" s="682">
        <f>'Model 100% Accept'!I16</f>
        <v>-78.216140449702038</v>
      </c>
      <c r="E24" s="673">
        <f t="shared" si="9"/>
        <v>2008</v>
      </c>
      <c r="F24" s="682">
        <f>'Model 100% Accept'!I67</f>
        <v>53.905479756565413</v>
      </c>
      <c r="I24" s="673">
        <f t="shared" si="10"/>
        <v>2008</v>
      </c>
      <c r="J24" s="687">
        <f t="shared" si="11"/>
        <v>-8.1721554439268151E-2</v>
      </c>
      <c r="K24" s="687">
        <f>'Model 100% Accept'!I170</f>
        <v>4.3537398383999788E-2</v>
      </c>
      <c r="N24" s="688">
        <f>'Model 100% Accept'!I176</f>
        <v>-1.3694506126637573</v>
      </c>
      <c r="O24" s="688">
        <f>'Model 100% Accept'!I179</f>
        <v>-16.221302508658734</v>
      </c>
      <c r="Q24" s="682"/>
      <c r="R24" s="688"/>
      <c r="S24" s="688"/>
    </row>
    <row r="25" spans="2:24" ht="15.6" x14ac:dyDescent="0.6">
      <c r="B25" s="673">
        <f t="shared" si="8"/>
        <v>2009</v>
      </c>
      <c r="C25" s="682">
        <f>'Model 100% Accept'!J16</f>
        <v>-90.651787671357198</v>
      </c>
      <c r="E25" s="673">
        <f t="shared" si="9"/>
        <v>2009</v>
      </c>
      <c r="F25" s="682">
        <f>'Model 100% Accept'!J67</f>
        <v>25.387140377712637</v>
      </c>
      <c r="I25" s="673">
        <f t="shared" si="10"/>
        <v>2009</v>
      </c>
      <c r="J25" s="687">
        <f t="shared" si="11"/>
        <v>-8.0969861638791676E-2</v>
      </c>
      <c r="K25" s="687">
        <f>'Model 100% Accept'!J170</f>
        <v>3.7368525962697109E-2</v>
      </c>
      <c r="N25" s="688">
        <f>'Model 100% Accept'!J176</f>
        <v>-1.3758916658194584</v>
      </c>
      <c r="O25" s="688">
        <f>'Model 100% Accept'!J179</f>
        <v>-19.208710481437755</v>
      </c>
      <c r="Q25" s="682"/>
      <c r="R25" s="688"/>
      <c r="S25" s="688"/>
    </row>
    <row r="26" spans="2:24" ht="15.6" x14ac:dyDescent="0.6">
      <c r="B26" s="673">
        <f t="shared" si="8"/>
        <v>2010</v>
      </c>
      <c r="C26" s="682">
        <f>'Model 100% Accept'!K16</f>
        <v>-66.91895738197536</v>
      </c>
      <c r="D26" s="681"/>
      <c r="E26" s="673">
        <f t="shared" si="9"/>
        <v>2010</v>
      </c>
      <c r="F26" s="682">
        <f>'Model 100% Accept'!K67</f>
        <v>21.7947536827959</v>
      </c>
      <c r="G26" s="681"/>
      <c r="I26" s="673">
        <f t="shared" si="10"/>
        <v>2010</v>
      </c>
      <c r="J26" s="687">
        <f t="shared" si="11"/>
        <v>-3.9355973793609701E-2</v>
      </c>
      <c r="K26" s="687">
        <f>'Model 100% Accept'!K170</f>
        <v>3.5426942821085335E-2</v>
      </c>
      <c r="N26" s="688">
        <f>'Model 100% Accept'!K176</f>
        <v>4.7970457520057505E-2</v>
      </c>
      <c r="O26" s="689">
        <v>1E-3</v>
      </c>
      <c r="P26" s="689">
        <f>'Model 100% Accept'!K179</f>
        <v>579.39318764182849</v>
      </c>
      <c r="Q26" s="682"/>
      <c r="R26" s="688"/>
      <c r="S26" s="689"/>
    </row>
    <row r="27" spans="2:24" x14ac:dyDescent="0.55000000000000004">
      <c r="B27" s="679" t="s">
        <v>321</v>
      </c>
      <c r="C27" s="680">
        <f>((C26/C17)^(1/9)-1)</f>
        <v>-2.1074248943041054</v>
      </c>
      <c r="E27" s="679" t="s">
        <v>321</v>
      </c>
      <c r="F27" s="680">
        <f>((F26/F17)^(1/9)-1)</f>
        <v>0.12616462391747985</v>
      </c>
    </row>
    <row r="30" spans="2:24" ht="15.6" x14ac:dyDescent="0.6">
      <c r="B30" s="519" t="s">
        <v>581</v>
      </c>
      <c r="F30" s="677"/>
      <c r="G30" s="677"/>
      <c r="H30" s="677"/>
      <c r="J30" s="672"/>
      <c r="K30" s="672"/>
      <c r="L30" s="672"/>
      <c r="R30" s="672"/>
    </row>
    <row r="31" spans="2:24" x14ac:dyDescent="0.55000000000000004">
      <c r="N31" s="673"/>
      <c r="O31" s="674" t="s">
        <v>312</v>
      </c>
      <c r="S31" s="674" t="s">
        <v>491</v>
      </c>
    </row>
    <row r="32" spans="2:24" ht="15.6" x14ac:dyDescent="0.6">
      <c r="B32" s="673"/>
      <c r="C32" s="675" t="s">
        <v>322</v>
      </c>
      <c r="E32" s="673"/>
      <c r="F32" s="675" t="s">
        <v>327</v>
      </c>
      <c r="G32" s="675" t="s">
        <v>492</v>
      </c>
      <c r="I32" s="673"/>
      <c r="J32" s="675" t="s">
        <v>90</v>
      </c>
      <c r="K32" s="675" t="s">
        <v>493</v>
      </c>
      <c r="L32" s="675" t="s">
        <v>53</v>
      </c>
      <c r="N32" s="673"/>
      <c r="O32" s="675" t="s">
        <v>494</v>
      </c>
      <c r="R32" s="676" t="s">
        <v>495</v>
      </c>
      <c r="S32" s="675" t="s">
        <v>90</v>
      </c>
      <c r="V32" s="682"/>
      <c r="W32" s="682"/>
      <c r="X32" s="682"/>
    </row>
    <row r="33" spans="2:24" ht="15.6" x14ac:dyDescent="0.6">
      <c r="B33" s="673">
        <v>2010</v>
      </c>
      <c r="C33" s="682">
        <f>'Model 100% Accept'!M6</f>
        <v>875.3</v>
      </c>
      <c r="D33" s="682"/>
      <c r="E33" s="673">
        <v>2010</v>
      </c>
      <c r="F33" s="682">
        <f>'Model 100% Accept'!M11</f>
        <v>-24.422408073493163</v>
      </c>
      <c r="G33" s="687">
        <f>F33/C33</f>
        <v>-2.7901757195810766E-2</v>
      </c>
      <c r="I33" s="673">
        <v>2010</v>
      </c>
      <c r="J33" s="682">
        <f>'Model 100% Accept'!M40</f>
        <v>574.72009384143678</v>
      </c>
      <c r="K33" s="682">
        <f>'Model 100% Accept'!M51</f>
        <v>347.09955597142857</v>
      </c>
      <c r="L33" s="682">
        <f>'Model 100% Accept'!M52+'Model 100% Accept'!M53</f>
        <v>227.62053787000809</v>
      </c>
      <c r="M33" s="685">
        <f t="shared" ref="M33:M38" si="12">K33+L33-J33</f>
        <v>0</v>
      </c>
      <c r="N33" s="673">
        <v>2010</v>
      </c>
      <c r="O33" s="678">
        <f t="shared" ref="O33:O38" si="13">R33/(R33+L33)</f>
        <v>0.60347753095290502</v>
      </c>
      <c r="P33" s="678">
        <v>0.60347753095290502</v>
      </c>
      <c r="R33" s="686">
        <f>'Model 100% Accept'!M44+'Model 100% Accept'!M45+'Model 100% Accept'!M48+'Model 100% Accept'!M49+'Model 100% Accept'!M50</f>
        <v>346.42142857142858</v>
      </c>
      <c r="S33" s="678">
        <f t="shared" ref="S33:S38" si="14">K33/J33</f>
        <v>0.60394539827450699</v>
      </c>
      <c r="V33" s="682"/>
      <c r="W33" s="682"/>
      <c r="X33" s="682"/>
    </row>
    <row r="34" spans="2:24" ht="15.6" x14ac:dyDescent="0.6">
      <c r="B34" s="673">
        <f>B33+1</f>
        <v>2011</v>
      </c>
      <c r="C34" s="682">
        <f>'Model 100% Accept'!N6</f>
        <v>934.82039999999995</v>
      </c>
      <c r="D34" s="682"/>
      <c r="E34" s="673">
        <f>E33+1</f>
        <v>2011</v>
      </c>
      <c r="F34" s="682">
        <f>'Model 100% Accept'!N11</f>
        <v>18.696407999999998</v>
      </c>
      <c r="G34" s="687">
        <f t="shared" ref="G34:G38" si="15">F34/C34</f>
        <v>0.02</v>
      </c>
      <c r="I34" s="673">
        <f>I33+1</f>
        <v>2011</v>
      </c>
      <c r="J34" s="682">
        <f>'Model 100% Accept'!N40</f>
        <v>588.1720676370968</v>
      </c>
      <c r="K34" s="682">
        <f>'Model 100% Accept'!N51</f>
        <v>356.64740950280333</v>
      </c>
      <c r="L34" s="682">
        <f>'Model 100% Accept'!N52+'Model 100% Accept'!N53</f>
        <v>231.52465813429382</v>
      </c>
      <c r="M34" s="685">
        <f t="shared" si="12"/>
        <v>0</v>
      </c>
      <c r="N34" s="673">
        <f>N33+1</f>
        <v>2011</v>
      </c>
      <c r="O34" s="678">
        <f t="shared" si="13"/>
        <v>0.59940094161035284</v>
      </c>
      <c r="P34" s="678">
        <v>0.59940094161035284</v>
      </c>
      <c r="R34" s="686">
        <f>'Model 100% Accept'!N44+'Model 100% Accept'!N45+'Model 100% Accept'!N48+'Model 100% Accept'!N49+'Model 100% Accept'!N50</f>
        <v>346.42142857142858</v>
      </c>
      <c r="S34" s="678">
        <f t="shared" si="14"/>
        <v>0.60636577138997261</v>
      </c>
      <c r="V34" s="682"/>
      <c r="W34" s="682"/>
      <c r="X34" s="682"/>
    </row>
    <row r="35" spans="2:24" ht="15.6" x14ac:dyDescent="0.6">
      <c r="B35" s="673">
        <f>B34+1</f>
        <v>2012</v>
      </c>
      <c r="C35" s="682">
        <f>'Model 100% Accept'!O6</f>
        <v>990.90962400000001</v>
      </c>
      <c r="D35" s="682"/>
      <c r="E35" s="673">
        <f>E34+1</f>
        <v>2012</v>
      </c>
      <c r="F35" s="682">
        <f>'Model 100% Accept'!O11</f>
        <v>29.727288720000001</v>
      </c>
      <c r="G35" s="687">
        <f t="shared" si="15"/>
        <v>0.03</v>
      </c>
      <c r="I35" s="673">
        <f>I34+1</f>
        <v>2012</v>
      </c>
      <c r="J35" s="682">
        <f>'Model 100% Accept'!O40</f>
        <v>630.36185266350924</v>
      </c>
      <c r="K35" s="682">
        <f>'Model 100% Accept'!O51</f>
        <v>380.44783438064422</v>
      </c>
      <c r="L35" s="682">
        <f>'Model 100% Accept'!O52+'Model 100% Accept'!O53</f>
        <v>249.91401828286524</v>
      </c>
      <c r="M35" s="685">
        <f t="shared" si="12"/>
        <v>0</v>
      </c>
      <c r="N35" s="673">
        <f>N34+1</f>
        <v>2012</v>
      </c>
      <c r="O35" s="678">
        <f t="shared" si="13"/>
        <v>0.58091704995707183</v>
      </c>
      <c r="P35" s="678">
        <v>0.58091704995707183</v>
      </c>
      <c r="R35" s="686">
        <f>'Model 100% Accept'!O44+'Model 100% Accept'!O45+'Model 100% Accept'!O48+'Model 100% Accept'!O49+'Model 100% Accept'!O50</f>
        <v>346.42142857142858</v>
      </c>
      <c r="S35" s="678">
        <f t="shared" si="14"/>
        <v>0.6035387972370363</v>
      </c>
      <c r="V35" s="682"/>
      <c r="W35" s="682"/>
      <c r="X35" s="682"/>
    </row>
    <row r="36" spans="2:24" ht="15.6" x14ac:dyDescent="0.6">
      <c r="B36" s="673">
        <f>B35+1</f>
        <v>2013</v>
      </c>
      <c r="C36" s="682">
        <f>'Model 100% Accept'!P6</f>
        <v>1045.40965332</v>
      </c>
      <c r="D36" s="682"/>
      <c r="E36" s="673">
        <f>E35+1</f>
        <v>2013</v>
      </c>
      <c r="F36" s="682">
        <f>'Model 100% Accept'!P11</f>
        <v>41.816386132799998</v>
      </c>
      <c r="G36" s="687">
        <f t="shared" si="15"/>
        <v>0.04</v>
      </c>
      <c r="I36" s="673">
        <f>I35+1</f>
        <v>2013</v>
      </c>
      <c r="J36" s="682">
        <f>'Model 100% Accept'!P40</f>
        <v>593.62679434700578</v>
      </c>
      <c r="K36" s="682">
        <f>'Model 100% Accept'!P51</f>
        <v>312.05274414963026</v>
      </c>
      <c r="L36" s="682">
        <f>'Model 100% Accept'!P52+'Model 100% Accept'!P53</f>
        <v>281.57405019737581</v>
      </c>
      <c r="M36" s="685">
        <f t="shared" si="12"/>
        <v>0</v>
      </c>
      <c r="N36" s="673">
        <f>N35+1</f>
        <v>2013</v>
      </c>
      <c r="O36" s="678">
        <f t="shared" si="13"/>
        <v>0.46212183729119938</v>
      </c>
      <c r="P36" s="678">
        <v>0.46212183729119938</v>
      </c>
      <c r="R36" s="686">
        <f>'Model 100% Accept'!P44+'Model 100% Accept'!P45+'Model 100% Accept'!P48+'Model 100% Accept'!P49+'Model 100% Accept'!P50</f>
        <v>241.91634171469715</v>
      </c>
      <c r="S36" s="678">
        <f t="shared" si="14"/>
        <v>0.52567159555675169</v>
      </c>
      <c r="V36" s="682"/>
      <c r="W36" s="682"/>
      <c r="X36" s="682"/>
    </row>
    <row r="37" spans="2:24" ht="15.6" x14ac:dyDescent="0.6">
      <c r="B37" s="673">
        <f>B36+1</f>
        <v>2014</v>
      </c>
      <c r="C37" s="682">
        <f>'Model 100% Accept'!Q6</f>
        <v>1092.4530877193999</v>
      </c>
      <c r="D37" s="682"/>
      <c r="E37" s="673">
        <f>E36+1</f>
        <v>2014</v>
      </c>
      <c r="F37" s="682">
        <f>'Model 100% Accept'!Q11</f>
        <v>49.160388947372994</v>
      </c>
      <c r="G37" s="687">
        <f t="shared" si="15"/>
        <v>4.4999999999999998E-2</v>
      </c>
      <c r="I37" s="673">
        <f>I36+1</f>
        <v>2014</v>
      </c>
      <c r="J37" s="682">
        <f>'Model 100% Accept'!Q40</f>
        <v>587.18887156599419</v>
      </c>
      <c r="K37" s="682">
        <f>'Model 100% Accept'!Q51</f>
        <v>270.08291118678562</v>
      </c>
      <c r="L37" s="682">
        <f>'Model 100% Accept'!Q52+'Model 100% Accept'!Q53</f>
        <v>317.1059603792088</v>
      </c>
      <c r="M37" s="685">
        <f t="shared" si="12"/>
        <v>0</v>
      </c>
      <c r="N37" s="673">
        <f>N36+1</f>
        <v>2014</v>
      </c>
      <c r="O37" s="678">
        <f t="shared" si="13"/>
        <v>0.34954458317075782</v>
      </c>
      <c r="P37" s="678">
        <v>0.34954458317075782</v>
      </c>
      <c r="R37" s="686">
        <f>'Model 100% Accept'!Q44+'Model 100% Accept'!Q45+'Model 100% Accept'!Q48+'Model 100% Accept'!Q49+'Model 100% Accept'!Q50</f>
        <v>170.40779102437983</v>
      </c>
      <c r="S37" s="678">
        <f t="shared" si="14"/>
        <v>0.45995917883540982</v>
      </c>
      <c r="V37" s="682"/>
      <c r="W37" s="682"/>
      <c r="X37" s="682"/>
    </row>
    <row r="38" spans="2:24" ht="15.6" x14ac:dyDescent="0.6">
      <c r="B38" s="673">
        <f>B37+1</f>
        <v>2015</v>
      </c>
      <c r="C38" s="682">
        <f>'Model 100% Accept'!R6</f>
        <v>1130.6889457895788</v>
      </c>
      <c r="D38" s="682"/>
      <c r="E38" s="673">
        <f>E37+1</f>
        <v>2015</v>
      </c>
      <c r="F38" s="682">
        <f>'Model 100% Accept'!R11</f>
        <v>50.881002560531044</v>
      </c>
      <c r="G38" s="687">
        <f t="shared" si="15"/>
        <v>4.4999999999999998E-2</v>
      </c>
      <c r="I38" s="673">
        <f>I37+1</f>
        <v>2015</v>
      </c>
      <c r="J38" s="682">
        <f>'Model 100% Accept'!R40</f>
        <v>550.16350637032406</v>
      </c>
      <c r="K38" s="682">
        <f>'Model 100% Accept'!R51</f>
        <v>204.10546896389843</v>
      </c>
      <c r="L38" s="682">
        <f>'Model 100% Accept'!R52+'Model 100% Accept'!R53</f>
        <v>346.05803740642585</v>
      </c>
      <c r="M38" s="685">
        <f t="shared" si="12"/>
        <v>0</v>
      </c>
      <c r="N38" s="673">
        <f>N37+1</f>
        <v>2015</v>
      </c>
      <c r="O38" s="678">
        <f t="shared" si="13"/>
        <v>0.22582052454069651</v>
      </c>
      <c r="P38" s="678">
        <v>0.22582052454069651</v>
      </c>
      <c r="R38" s="686">
        <f>'Model 100% Accept'!R44+'Model 100% Accept'!R45+'Model 100% Accept'!R48+'Model 100% Accept'!R49+'Model 100% Accept'!R50</f>
        <v>100.94171959580842</v>
      </c>
      <c r="S38" s="678">
        <f t="shared" si="14"/>
        <v>0.37099056298821775</v>
      </c>
    </row>
    <row r="39" spans="2:24" x14ac:dyDescent="0.55000000000000004">
      <c r="B39" s="679" t="s">
        <v>321</v>
      </c>
      <c r="C39" s="680">
        <f>((C38/C33)^(1/5)-1)</f>
        <v>5.2536689705849904E-2</v>
      </c>
      <c r="E39" s="679" t="s">
        <v>321</v>
      </c>
      <c r="F39" s="680">
        <f>((F38/F33)^(1/5)-1)</f>
        <v>-2.1581196630096318</v>
      </c>
      <c r="G39" s="673"/>
    </row>
    <row r="41" spans="2:24" x14ac:dyDescent="0.55000000000000004">
      <c r="B41" s="673"/>
      <c r="C41" s="675" t="s">
        <v>187</v>
      </c>
      <c r="D41" s="676"/>
      <c r="E41" s="673"/>
      <c r="F41" s="675" t="s">
        <v>498</v>
      </c>
      <c r="G41" s="676"/>
      <c r="I41" s="673"/>
      <c r="J41" s="675" t="s">
        <v>39</v>
      </c>
      <c r="K41" s="675" t="s">
        <v>496</v>
      </c>
      <c r="N41" s="673" t="s">
        <v>501</v>
      </c>
      <c r="O41" s="673" t="s">
        <v>502</v>
      </c>
      <c r="P41" s="676"/>
    </row>
    <row r="42" spans="2:24" ht="15.6" x14ac:dyDescent="0.6">
      <c r="B42" s="673">
        <v>2010</v>
      </c>
      <c r="C42" s="682">
        <f>'Model 100% Accept'!M16</f>
        <v>-66.91895738197536</v>
      </c>
      <c r="D42" s="682"/>
      <c r="E42" s="673">
        <v>2010</v>
      </c>
      <c r="F42" s="683">
        <f>'Model 100% Accept'!M67</f>
        <v>21.7947536827959</v>
      </c>
      <c r="G42" s="683"/>
      <c r="I42" s="673">
        <v>2010</v>
      </c>
      <c r="J42" s="687">
        <f>F33/J33</f>
        <v>-4.2494439180390337E-2</v>
      </c>
      <c r="K42" s="687">
        <f>'Model 100% Accept'!K170</f>
        <v>3.5426942821085335E-2</v>
      </c>
      <c r="L42" s="687"/>
      <c r="M42" s="687"/>
      <c r="N42" s="688">
        <f>'Model 100% Accept'!M176</f>
        <v>4.7970457520057505E-2</v>
      </c>
      <c r="O42" s="689">
        <v>1E-3</v>
      </c>
      <c r="Q42" s="688">
        <v>4.7970457520057505E-2</v>
      </c>
      <c r="R42" s="688">
        <v>1E-3</v>
      </c>
      <c r="S42" s="688"/>
      <c r="T42" s="785">
        <v>4.7970457520057505E-2</v>
      </c>
      <c r="U42" s="784">
        <v>1E-3</v>
      </c>
    </row>
    <row r="43" spans="2:24" ht="15.6" x14ac:dyDescent="0.6">
      <c r="B43" s="673">
        <f>B42+1</f>
        <v>2011</v>
      </c>
      <c r="C43" s="682">
        <f>'Model 100% Accept'!N16</f>
        <v>3.9041202642857122</v>
      </c>
      <c r="D43" s="682"/>
      <c r="E43" s="673">
        <f>E42+1</f>
        <v>2011</v>
      </c>
      <c r="F43" s="683">
        <f>'Model 100% Accept'!N67</f>
        <v>26.195817421785723</v>
      </c>
      <c r="G43" s="683"/>
      <c r="I43" s="673">
        <f>I42+1</f>
        <v>2011</v>
      </c>
      <c r="J43" s="687">
        <f>F34/((J33+J34)/2)</f>
        <v>3.2155015949593919E-2</v>
      </c>
      <c r="K43" s="687">
        <f>'Model 100% Accept'!N170</f>
        <v>4.2700267696241162E-2</v>
      </c>
      <c r="L43" s="687"/>
      <c r="M43" s="687"/>
      <c r="N43" s="688">
        <f>'Model 100% Accept'!N176</f>
        <v>3.0621637984121284</v>
      </c>
      <c r="O43" s="688">
        <f>'Model 100% Accept'!N179</f>
        <v>7.6478785817062711</v>
      </c>
      <c r="Q43" s="688">
        <v>3.0621637984121284</v>
      </c>
      <c r="R43" s="688">
        <v>7.6478785817062711</v>
      </c>
      <c r="S43" s="688"/>
      <c r="T43" s="785">
        <v>3.0621637984121284</v>
      </c>
      <c r="U43" s="785">
        <v>7.6478785817062711</v>
      </c>
    </row>
    <row r="44" spans="2:24" ht="15.6" x14ac:dyDescent="0.6">
      <c r="B44" s="673">
        <f>B43+1</f>
        <v>2012</v>
      </c>
      <c r="C44" s="682">
        <f>'Model 100% Accept'!O16</f>
        <v>18.389360148571431</v>
      </c>
      <c r="D44" s="682"/>
      <c r="E44" s="673">
        <f>E43+1</f>
        <v>2012</v>
      </c>
      <c r="F44" s="683">
        <f>'Model 100% Accept'!O67</f>
        <v>70.903835316571502</v>
      </c>
      <c r="G44" s="683"/>
      <c r="I44" s="673">
        <f>I43+1</f>
        <v>2012</v>
      </c>
      <c r="J44" s="687">
        <f>F35/((J34+J35)/2)</f>
        <v>4.8791893643250296E-2</v>
      </c>
      <c r="K44" s="687">
        <f>'Model 100% Accept'!O170</f>
        <v>3.2728716056001153E-2</v>
      </c>
      <c r="L44" s="687"/>
      <c r="M44" s="687"/>
      <c r="N44" s="688">
        <f>'Model 100% Accept'!O176</f>
        <v>5.0738799735401408</v>
      </c>
      <c r="O44" s="688">
        <f>'Model 100% Accept'!O179</f>
        <v>6.0218626025910957</v>
      </c>
      <c r="Q44" s="688">
        <v>5.0738799735401408</v>
      </c>
      <c r="R44" s="688">
        <v>6.0218626025910957</v>
      </c>
      <c r="S44" s="688"/>
      <c r="T44" s="785">
        <v>5.0738799735401408</v>
      </c>
      <c r="U44" s="785">
        <v>6.0218626025910957</v>
      </c>
    </row>
    <row r="45" spans="2:24" ht="15.6" x14ac:dyDescent="0.6">
      <c r="B45" s="673">
        <f>B44+1</f>
        <v>2013</v>
      </c>
      <c r="C45" s="682">
        <f>'Model 100% Accept'!P16</f>
        <v>31.660031914510583</v>
      </c>
      <c r="D45" s="682"/>
      <c r="E45" s="673">
        <f>E44+1</f>
        <v>2013</v>
      </c>
      <c r="F45" s="683">
        <f>'Model 100% Accept'!P67</f>
        <v>93.443670400830513</v>
      </c>
      <c r="G45" s="683"/>
      <c r="I45" s="673">
        <f>I44+1</f>
        <v>2013</v>
      </c>
      <c r="J45" s="687">
        <f>F36/((J35+J36)/2)</f>
        <v>6.8328062086086924E-2</v>
      </c>
      <c r="K45" s="687">
        <f>'Model 100% Accept'!P170</f>
        <v>3.4525589656941739E-2</v>
      </c>
      <c r="L45" s="687"/>
      <c r="M45" s="687"/>
      <c r="N45" s="688">
        <f>'Model 100% Accept'!P176</f>
        <v>7.0612332527408475</v>
      </c>
      <c r="O45" s="688">
        <f>'Model 100% Accept'!P179</f>
        <v>3.3732366445059201</v>
      </c>
      <c r="Q45" s="688">
        <v>7.0612332527408475</v>
      </c>
      <c r="R45" s="688">
        <v>3.3732366445059201</v>
      </c>
      <c r="S45" s="688"/>
      <c r="T45" s="785">
        <v>7.0612332527408475</v>
      </c>
      <c r="U45" s="785">
        <v>3.3732366445059201</v>
      </c>
    </row>
    <row r="46" spans="2:24" ht="15.6" x14ac:dyDescent="0.6">
      <c r="B46" s="673">
        <f>B45+1</f>
        <v>2014</v>
      </c>
      <c r="C46" s="682">
        <f>'Model 100% Accept'!Q16</f>
        <v>35.531910181833005</v>
      </c>
      <c r="D46" s="682"/>
      <c r="E46" s="673">
        <f>E45+1</f>
        <v>2014</v>
      </c>
      <c r="F46" s="683">
        <f>'Model 100% Accept'!Q67</f>
        <v>82.391673560393571</v>
      </c>
      <c r="G46" s="683"/>
      <c r="I46" s="673">
        <f>I45+1</f>
        <v>2014</v>
      </c>
      <c r="J46" s="687">
        <f>F37/((J36+J37)/2)</f>
        <v>8.3265136746576721E-2</v>
      </c>
      <c r="K46" s="687">
        <f>'Model 100% Accept'!Q170</f>
        <v>3.9241818245105649E-2</v>
      </c>
      <c r="L46" s="687"/>
      <c r="M46" s="687"/>
      <c r="N46" s="688">
        <f>'Model 100% Accept'!Q176</f>
        <v>9.8836422568360582</v>
      </c>
      <c r="O46" s="688">
        <f>'Model 100% Accept'!Q179</f>
        <v>2.1311526027785583</v>
      </c>
      <c r="Q46" s="688">
        <v>9.8836422568360582</v>
      </c>
      <c r="R46" s="688">
        <v>2.1311526027785583</v>
      </c>
      <c r="S46" s="688"/>
      <c r="T46" s="785">
        <v>9.8836422568360582</v>
      </c>
      <c r="U46" s="785">
        <v>2.1311526027785583</v>
      </c>
    </row>
    <row r="47" spans="2:24" ht="15.6" x14ac:dyDescent="0.6">
      <c r="B47" s="673">
        <f>B46+1</f>
        <v>2015</v>
      </c>
      <c r="C47" s="682">
        <f>'Model 100% Accept'!R16</f>
        <v>28.952077027217079</v>
      </c>
      <c r="D47" s="682"/>
      <c r="E47" s="673">
        <f>E46+1</f>
        <v>2015</v>
      </c>
      <c r="F47" s="683">
        <f>'Model 100% Accept'!R67</f>
        <v>48.84605922661288</v>
      </c>
      <c r="G47" s="683"/>
      <c r="I47" s="673">
        <f>I46+1</f>
        <v>2015</v>
      </c>
      <c r="J47" s="687">
        <f>F38/((J37+J38)/2)</f>
        <v>8.9472714960780506E-2</v>
      </c>
      <c r="K47" s="687">
        <f>'Model 100% Accept'!R170</f>
        <v>4.6724577325329808E-2</v>
      </c>
      <c r="L47" s="687"/>
      <c r="M47" s="687"/>
      <c r="N47" s="688">
        <f>'Model 100% Accept'!R176</f>
        <v>12.932092331055271</v>
      </c>
      <c r="O47" s="688">
        <f>'Model 100% Accept'!R179</f>
        <v>1.2312818390001714</v>
      </c>
      <c r="Q47" s="688">
        <v>12.932092331055271</v>
      </c>
      <c r="R47" s="688">
        <v>1.2312818390001714</v>
      </c>
      <c r="S47" s="688"/>
      <c r="T47" s="785">
        <v>12.932092331055271</v>
      </c>
      <c r="U47" s="785">
        <v>1.2312818390001714</v>
      </c>
    </row>
    <row r="48" spans="2:24" x14ac:dyDescent="0.55000000000000004">
      <c r="B48" s="679" t="s">
        <v>321</v>
      </c>
      <c r="C48" s="684" t="s">
        <v>229</v>
      </c>
      <c r="E48" s="679" t="s">
        <v>321</v>
      </c>
      <c r="F48" s="680">
        <f>((F47/F42)^(1/5)-1)</f>
        <v>0.17515597568637253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opLeftCell="A5" zoomScale="142" zoomScaleNormal="142" workbookViewId="0">
      <selection activeCell="G6" sqref="G6"/>
    </sheetView>
  </sheetViews>
  <sheetFormatPr baseColWidth="10" defaultColWidth="9.15625" defaultRowHeight="12.6" x14ac:dyDescent="0.45"/>
  <cols>
    <col min="1" max="1" width="13" style="11" customWidth="1"/>
    <col min="2" max="2" width="8" style="27" customWidth="1"/>
    <col min="3" max="3" width="9.83984375" style="17" customWidth="1"/>
    <col min="4" max="4" width="7.578125" style="79" customWidth="1"/>
    <col min="5" max="5" width="9.68359375" style="16" customWidth="1"/>
    <col min="6" max="6" width="9.41796875" style="16" customWidth="1"/>
    <col min="7" max="7" width="45.5234375" style="15" customWidth="1"/>
    <col min="8" max="8" width="9.41796875" style="28" customWidth="1"/>
    <col min="9" max="9" width="10.15625" style="17" customWidth="1"/>
    <col min="10" max="10" width="7.578125" style="79" customWidth="1"/>
    <col min="11" max="11" width="6.9453125" style="11" customWidth="1"/>
    <col min="12" max="12" width="9.15625" style="69"/>
    <col min="13" max="16384" width="9.15625" style="11"/>
  </cols>
  <sheetData>
    <row r="1" spans="1:12" x14ac:dyDescent="0.45">
      <c r="A1" s="13" t="s">
        <v>162</v>
      </c>
      <c r="B1" s="24"/>
      <c r="C1" s="14"/>
      <c r="D1" s="78"/>
      <c r="E1" s="19"/>
      <c r="F1" s="19"/>
      <c r="G1" s="25"/>
      <c r="H1" s="26"/>
      <c r="I1" s="14"/>
      <c r="J1" s="78"/>
      <c r="L1" s="14"/>
    </row>
    <row r="2" spans="1:12" ht="31.5" x14ac:dyDescent="0.45">
      <c r="A2" s="80" t="s">
        <v>55</v>
      </c>
      <c r="B2" s="81" t="s">
        <v>63</v>
      </c>
      <c r="C2" s="82" t="s">
        <v>135</v>
      </c>
      <c r="D2" s="83" t="s">
        <v>26</v>
      </c>
      <c r="E2" s="82" t="s">
        <v>60</v>
      </c>
      <c r="F2" s="82" t="s">
        <v>151</v>
      </c>
      <c r="G2" s="82" t="s">
        <v>56</v>
      </c>
      <c r="H2" s="84" t="s">
        <v>57</v>
      </c>
      <c r="I2" s="82" t="s">
        <v>134</v>
      </c>
      <c r="J2" s="83" t="s">
        <v>130</v>
      </c>
      <c r="L2" s="171" t="s">
        <v>243</v>
      </c>
    </row>
    <row r="3" spans="1:12" ht="4.2" customHeight="1" x14ac:dyDescent="0.45">
      <c r="A3" s="85"/>
      <c r="B3" s="86"/>
      <c r="C3" s="87"/>
      <c r="D3" s="88"/>
      <c r="E3" s="89"/>
      <c r="F3" s="89"/>
      <c r="G3" s="90"/>
      <c r="H3" s="91"/>
      <c r="I3" s="87"/>
      <c r="J3" s="88"/>
      <c r="L3" s="172"/>
    </row>
    <row r="4" spans="1:12" ht="68.099999999999994" customHeight="1" x14ac:dyDescent="0.45">
      <c r="A4" s="92" t="s">
        <v>118</v>
      </c>
      <c r="B4" s="116">
        <f>'Exhibit 2'!B3</f>
        <v>215</v>
      </c>
      <c r="C4" s="118" t="s">
        <v>126</v>
      </c>
      <c r="D4" s="88">
        <v>40633</v>
      </c>
      <c r="E4" s="93" t="s">
        <v>61</v>
      </c>
      <c r="F4" s="94">
        <v>100</v>
      </c>
      <c r="G4" s="90" t="s">
        <v>178</v>
      </c>
      <c r="H4" s="120">
        <v>1</v>
      </c>
      <c r="I4" s="118" t="s">
        <v>59</v>
      </c>
      <c r="J4" s="88">
        <v>42460</v>
      </c>
      <c r="K4" s="59"/>
      <c r="L4" s="173">
        <f>'Debt Payments 2011 (Ex. 3)'!H18+0.015</f>
        <v>1.7999999999999999E-2</v>
      </c>
    </row>
    <row r="5" spans="1:12" ht="79.2" customHeight="1" x14ac:dyDescent="0.45">
      <c r="A5" s="92" t="s">
        <v>131</v>
      </c>
      <c r="B5" s="126">
        <f>'Exhibit 1'!K40+'Exhibit 1'!K43</f>
        <v>122.14285714285714</v>
      </c>
      <c r="C5" s="138">
        <v>3.5000000000000003E-2</v>
      </c>
      <c r="D5" s="88">
        <v>41670</v>
      </c>
      <c r="E5" s="89" t="s">
        <v>62</v>
      </c>
      <c r="F5" s="94">
        <v>65.5</v>
      </c>
      <c r="G5" s="90" t="s">
        <v>175</v>
      </c>
      <c r="H5" s="120">
        <v>0.85</v>
      </c>
      <c r="I5" s="138">
        <v>5.5E-2</v>
      </c>
      <c r="J5" s="88">
        <v>43190</v>
      </c>
      <c r="L5" s="173">
        <f>I5</f>
        <v>5.5E-2</v>
      </c>
    </row>
    <row r="6" spans="1:12" ht="78" customHeight="1" x14ac:dyDescent="0.45">
      <c r="A6" s="92" t="s">
        <v>93</v>
      </c>
      <c r="B6" s="116">
        <f>'Exhibit 2'!B8</f>
        <v>170</v>
      </c>
      <c r="C6" s="138">
        <v>6.5000000000000002E-2</v>
      </c>
      <c r="D6" s="88">
        <v>41455</v>
      </c>
      <c r="E6" s="89" t="s">
        <v>62</v>
      </c>
      <c r="F6" s="94">
        <v>24.25</v>
      </c>
      <c r="G6" s="90" t="s">
        <v>173</v>
      </c>
      <c r="H6" s="120">
        <v>0.85</v>
      </c>
      <c r="I6" s="138">
        <v>7.0000000000000007E-2</v>
      </c>
      <c r="J6" s="88">
        <v>43814</v>
      </c>
      <c r="L6" s="173">
        <f>I6</f>
        <v>7.0000000000000007E-2</v>
      </c>
    </row>
    <row r="7" spans="1:12" ht="36" customHeight="1" x14ac:dyDescent="0.45">
      <c r="A7" s="92" t="s">
        <v>165</v>
      </c>
      <c r="B7" s="126">
        <f>'Exhibit 1'!K46+2.25+4.5</f>
        <v>81.75</v>
      </c>
      <c r="C7" s="138">
        <v>0.06</v>
      </c>
      <c r="D7" s="88" t="s">
        <v>127</v>
      </c>
      <c r="E7" s="89" t="s">
        <v>62</v>
      </c>
      <c r="F7" s="95" t="s">
        <v>128</v>
      </c>
      <c r="G7" s="90" t="s">
        <v>171</v>
      </c>
      <c r="H7" s="120">
        <v>0.67</v>
      </c>
      <c r="I7" s="118" t="s">
        <v>127</v>
      </c>
      <c r="J7" s="88" t="s">
        <v>127</v>
      </c>
    </row>
    <row r="8" spans="1:12" ht="26.4" customHeight="1" x14ac:dyDescent="0.45">
      <c r="A8" s="80" t="s">
        <v>132</v>
      </c>
      <c r="B8" s="117">
        <f>2*64.8</f>
        <v>129.6</v>
      </c>
      <c r="C8" s="119" t="s">
        <v>127</v>
      </c>
      <c r="D8" s="96" t="s">
        <v>127</v>
      </c>
      <c r="E8" s="97" t="s">
        <v>62</v>
      </c>
      <c r="F8" s="98" t="s">
        <v>129</v>
      </c>
      <c r="G8" s="99" t="s">
        <v>172</v>
      </c>
      <c r="H8" s="121"/>
      <c r="I8" s="119" t="s">
        <v>127</v>
      </c>
      <c r="J8" s="96" t="s">
        <v>127</v>
      </c>
    </row>
    <row r="9" spans="1:12" ht="13.2" x14ac:dyDescent="0.45">
      <c r="A9" s="39" t="s">
        <v>166</v>
      </c>
    </row>
    <row r="11" spans="1:12" x14ac:dyDescent="0.45">
      <c r="A11" s="502" t="s">
        <v>381</v>
      </c>
      <c r="B11" s="503"/>
      <c r="C11" s="504"/>
      <c r="F11" s="53"/>
    </row>
    <row r="12" spans="1:12" x14ac:dyDescent="0.45">
      <c r="A12" s="501" t="s">
        <v>382</v>
      </c>
      <c r="B12" s="505">
        <f>'Exhibit 1'!K46</f>
        <v>75</v>
      </c>
      <c r="C12" s="504"/>
    </row>
    <row r="13" spans="1:12" x14ac:dyDescent="0.45">
      <c r="A13" s="501" t="s">
        <v>383</v>
      </c>
      <c r="B13" s="505">
        <f>B12*C13</f>
        <v>4.5</v>
      </c>
      <c r="C13" s="506">
        <f>C7</f>
        <v>0.06</v>
      </c>
    </row>
    <row r="14" spans="1:12" x14ac:dyDescent="0.45">
      <c r="A14" s="501" t="s">
        <v>384</v>
      </c>
      <c r="B14" s="507">
        <f>B12*C14</f>
        <v>2.25</v>
      </c>
      <c r="C14" s="506">
        <f>C13/2</f>
        <v>0.03</v>
      </c>
    </row>
    <row r="15" spans="1:12" x14ac:dyDescent="0.45">
      <c r="A15" s="501" t="s">
        <v>48</v>
      </c>
      <c r="B15" s="505">
        <f>B12+B13+B14</f>
        <v>81.75</v>
      </c>
      <c r="C15" s="504"/>
      <c r="D15" s="50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="136" zoomScaleNormal="136" workbookViewId="0">
      <selection activeCell="H16" sqref="H16"/>
    </sheetView>
  </sheetViews>
  <sheetFormatPr baseColWidth="10" defaultColWidth="9.15625" defaultRowHeight="12.6" x14ac:dyDescent="0.45"/>
  <cols>
    <col min="1" max="1" width="37.47265625" style="11" customWidth="1"/>
    <col min="2" max="4" width="9.15625" style="11" customWidth="1"/>
    <col min="5" max="5" width="5.734375" style="11" customWidth="1"/>
    <col min="6" max="16384" width="9.15625" style="11"/>
  </cols>
  <sheetData>
    <row r="1" spans="1:18" ht="12.75" customHeight="1" x14ac:dyDescent="0.45">
      <c r="A1" s="13" t="s">
        <v>159</v>
      </c>
      <c r="B1" s="12"/>
      <c r="C1" s="12"/>
      <c r="D1" s="12"/>
      <c r="E1" s="21"/>
      <c r="F1" s="20"/>
      <c r="G1" s="20"/>
      <c r="H1" s="20"/>
      <c r="L1" s="22"/>
      <c r="M1" s="20"/>
      <c r="N1" s="20"/>
      <c r="O1" s="20"/>
      <c r="P1" s="20"/>
      <c r="Q1" s="20"/>
      <c r="R1" s="20"/>
    </row>
    <row r="2" spans="1:18" ht="12.75" customHeight="1" x14ac:dyDescent="0.45">
      <c r="A2" s="46"/>
      <c r="B2" s="74" t="s">
        <v>46</v>
      </c>
      <c r="C2" s="74" t="s">
        <v>47</v>
      </c>
      <c r="D2" s="74" t="s">
        <v>48</v>
      </c>
      <c r="F2" s="174" t="s">
        <v>236</v>
      </c>
      <c r="G2" s="174" t="s">
        <v>235</v>
      </c>
      <c r="H2" s="174" t="s">
        <v>237</v>
      </c>
      <c r="I2" s="175"/>
      <c r="J2" s="175"/>
    </row>
    <row r="3" spans="1:18" ht="12.75" customHeight="1" x14ac:dyDescent="0.45">
      <c r="A3" s="75" t="s">
        <v>158</v>
      </c>
      <c r="B3" s="111">
        <f>(215*0.015)*0.25</f>
        <v>0.80625000000000002</v>
      </c>
      <c r="C3" s="111">
        <f>'Exhibit 1'!K39</f>
        <v>215</v>
      </c>
      <c r="D3" s="111">
        <f>B3+C3</f>
        <v>215.80625000000001</v>
      </c>
      <c r="F3" s="176">
        <f>'Model 100% Accept'!J44</f>
        <v>190.1</v>
      </c>
      <c r="G3" s="176">
        <f>'Model 100% Accept'!K44</f>
        <v>215</v>
      </c>
      <c r="H3" s="177">
        <f>B3/((F3+G3)/2)</f>
        <v>3.9804986423105405E-3</v>
      </c>
      <c r="I3" s="175"/>
      <c r="J3" s="175"/>
    </row>
    <row r="4" spans="1:18" ht="12.75" customHeight="1" x14ac:dyDescent="0.45">
      <c r="A4" s="76" t="s">
        <v>105</v>
      </c>
      <c r="B4" s="111">
        <f>('Exhibit 1'!K43*0.035)</f>
        <v>2.8499999999999996</v>
      </c>
      <c r="C4" s="111">
        <f>'Exhibit 1'!K40</f>
        <v>40.714285714285715</v>
      </c>
      <c r="D4" s="111">
        <f t="shared" ref="D4:D5" si="0">B4+C4</f>
        <v>43.564285714285717</v>
      </c>
      <c r="F4" s="176">
        <f>'Model 100% Accept'!J45+'Model 100% Accept'!J49</f>
        <v>162.85714285714286</v>
      </c>
      <c r="G4" s="176">
        <f>'Model 100% Accept'!K45+'Model 100% Accept'!K49</f>
        <v>122.14285714285714</v>
      </c>
      <c r="H4" s="177">
        <f>B4/((F4+G4)/2)</f>
        <v>1.9999999999999997E-2</v>
      </c>
      <c r="I4" s="175"/>
      <c r="J4" s="175"/>
    </row>
    <row r="5" spans="1:18" ht="12.75" customHeight="1" x14ac:dyDescent="0.45">
      <c r="A5" s="76" t="s">
        <v>106</v>
      </c>
      <c r="B5" s="122">
        <f>('Exhibit 1'!K44*0.065)</f>
        <v>11.05</v>
      </c>
      <c r="C5" s="122">
        <v>0</v>
      </c>
      <c r="D5" s="122">
        <f t="shared" si="0"/>
        <v>11.05</v>
      </c>
      <c r="F5" s="178">
        <f>'Model 100% Accept'!J50</f>
        <v>170</v>
      </c>
      <c r="G5" s="178">
        <f>'Model 100% Accept'!K50</f>
        <v>170</v>
      </c>
      <c r="H5" s="177">
        <f>B5/((F5+G5)/2)</f>
        <v>6.5000000000000002E-2</v>
      </c>
      <c r="I5" s="175"/>
      <c r="J5" s="175"/>
    </row>
    <row r="6" spans="1:18" ht="12" customHeight="1" x14ac:dyDescent="0.45">
      <c r="A6" s="75"/>
      <c r="B6" s="111"/>
      <c r="C6" s="111"/>
      <c r="D6" s="111"/>
      <c r="F6" s="176"/>
      <c r="G6" s="176"/>
      <c r="H6" s="175"/>
      <c r="I6" s="175"/>
      <c r="J6" s="175"/>
    </row>
    <row r="7" spans="1:18" ht="12.75" customHeight="1" x14ac:dyDescent="0.45">
      <c r="A7" s="76" t="s">
        <v>99</v>
      </c>
      <c r="B7" s="123">
        <f>B3</f>
        <v>0.80625000000000002</v>
      </c>
      <c r="C7" s="123">
        <f>C3</f>
        <v>215</v>
      </c>
      <c r="D7" s="123">
        <f>D3</f>
        <v>215.80625000000001</v>
      </c>
      <c r="F7" s="179">
        <f>F3</f>
        <v>190.1</v>
      </c>
      <c r="G7" s="179">
        <f>G3</f>
        <v>215</v>
      </c>
      <c r="H7" s="177">
        <f>B7/((F7+G7)/2)</f>
        <v>3.9804986423105405E-3</v>
      </c>
      <c r="I7" s="175"/>
      <c r="J7" s="175"/>
    </row>
    <row r="8" spans="1:18" ht="12.75" customHeight="1" x14ac:dyDescent="0.45">
      <c r="A8" s="75" t="s">
        <v>95</v>
      </c>
      <c r="B8" s="122">
        <f>B4+B5</f>
        <v>13.9</v>
      </c>
      <c r="C8" s="122">
        <f>C4+C5</f>
        <v>40.714285714285715</v>
      </c>
      <c r="D8" s="122">
        <f>D4+D5</f>
        <v>54.614285714285714</v>
      </c>
      <c r="F8" s="178">
        <f>F4+F5</f>
        <v>332.85714285714289</v>
      </c>
      <c r="G8" s="178">
        <f>G4+G5</f>
        <v>292.14285714285711</v>
      </c>
      <c r="H8" s="177">
        <f>B8/((F8+G8)/2)</f>
        <v>4.4479999999999999E-2</v>
      </c>
      <c r="I8" s="175"/>
      <c r="J8" s="175"/>
    </row>
    <row r="9" spans="1:18" ht="12" customHeight="1" x14ac:dyDescent="0.45">
      <c r="A9" s="75"/>
      <c r="B9" s="112"/>
      <c r="C9" s="112"/>
      <c r="D9" s="112"/>
      <c r="F9" s="176"/>
      <c r="G9" s="176"/>
      <c r="H9" s="175"/>
      <c r="I9" s="175"/>
      <c r="J9" s="175"/>
    </row>
    <row r="10" spans="1:18" ht="12.75" customHeight="1" x14ac:dyDescent="0.45">
      <c r="A10" s="77" t="s">
        <v>100</v>
      </c>
      <c r="B10" s="113">
        <f>B8+B7</f>
        <v>14.706250000000001</v>
      </c>
      <c r="C10" s="113">
        <f>C8+C7</f>
        <v>255.71428571428572</v>
      </c>
      <c r="D10" s="113">
        <f>D8+D7</f>
        <v>270.42053571428573</v>
      </c>
      <c r="F10" s="180">
        <f>F8+F7</f>
        <v>522.95714285714291</v>
      </c>
      <c r="G10" s="180">
        <f>G8+G7</f>
        <v>507.14285714285711</v>
      </c>
      <c r="H10" s="181">
        <f>B10/((F10+G10)/2)</f>
        <v>2.8553053101640621E-2</v>
      </c>
      <c r="I10" s="175"/>
      <c r="J10" s="175"/>
    </row>
    <row r="11" spans="1:18" ht="12" customHeight="1" x14ac:dyDescent="0.45">
      <c r="A11" s="44" t="s">
        <v>145</v>
      </c>
      <c r="C11" s="20"/>
      <c r="D11" s="20"/>
      <c r="E11" s="20"/>
      <c r="F11" s="182"/>
      <c r="G11" s="182"/>
      <c r="H11" s="175"/>
      <c r="I11" s="175"/>
      <c r="J11" s="175"/>
    </row>
    <row r="12" spans="1:18" ht="12" customHeight="1" x14ac:dyDescent="0.45">
      <c r="A12" s="44"/>
      <c r="C12" s="20"/>
      <c r="D12" s="20"/>
      <c r="E12" s="20"/>
      <c r="F12" s="182"/>
      <c r="G12" s="182"/>
      <c r="H12" s="175"/>
      <c r="I12" s="175"/>
      <c r="J12" s="175"/>
    </row>
    <row r="13" spans="1:18" ht="12" customHeight="1" x14ac:dyDescent="0.45">
      <c r="C13" s="20"/>
      <c r="D13" s="20"/>
      <c r="E13" s="20"/>
      <c r="F13" s="182"/>
      <c r="G13" s="182"/>
      <c r="H13" s="175"/>
      <c r="I13" s="175"/>
      <c r="J13" s="175"/>
    </row>
    <row r="14" spans="1:18" x14ac:dyDescent="0.45">
      <c r="B14" s="170"/>
      <c r="C14" s="20"/>
      <c r="D14" s="20"/>
      <c r="E14" s="20"/>
      <c r="F14" s="182"/>
      <c r="G14" s="182"/>
      <c r="H14" s="175"/>
      <c r="I14" s="175"/>
      <c r="J14" s="175"/>
    </row>
    <row r="15" spans="1:18" ht="12" customHeight="1" x14ac:dyDescent="0.45">
      <c r="B15" s="149"/>
      <c r="F15" s="175"/>
      <c r="G15" s="175"/>
      <c r="H15" s="175"/>
      <c r="I15" s="175"/>
      <c r="J15" s="175"/>
    </row>
    <row r="16" spans="1:18" ht="12" customHeight="1" thickBot="1" x14ac:dyDescent="0.5">
      <c r="F16" s="175"/>
      <c r="G16" s="175"/>
      <c r="H16" s="175"/>
      <c r="I16" s="175"/>
      <c r="J16" s="175"/>
    </row>
    <row r="17" spans="6:10" ht="12" customHeight="1" x14ac:dyDescent="0.45">
      <c r="F17" s="183" t="s">
        <v>242</v>
      </c>
      <c r="G17" s="183" t="s">
        <v>241</v>
      </c>
      <c r="H17" s="554" t="s">
        <v>240</v>
      </c>
      <c r="I17" s="183" t="s">
        <v>239</v>
      </c>
      <c r="J17" s="183" t="s">
        <v>238</v>
      </c>
    </row>
    <row r="18" spans="6:10" ht="12" customHeight="1" thickBot="1" x14ac:dyDescent="0.6">
      <c r="F18" s="184">
        <v>40603</v>
      </c>
      <c r="G18" s="185">
        <v>2.3999999999999998E-3</v>
      </c>
      <c r="H18" s="555">
        <v>3.0000000000000001E-3</v>
      </c>
      <c r="I18" s="185">
        <v>4.5999999999999999E-3</v>
      </c>
      <c r="J18" s="185">
        <v>7.7999999999999996E-3</v>
      </c>
    </row>
    <row r="19" spans="6:10" ht="14.4" x14ac:dyDescent="0.55000000000000004">
      <c r="F19" s="184">
        <v>40634</v>
      </c>
      <c r="G19" s="185">
        <v>2.0999999999999999E-3</v>
      </c>
      <c r="H19" s="185">
        <v>2.7000000000000001E-3</v>
      </c>
      <c r="I19" s="185">
        <v>4.3E-3</v>
      </c>
      <c r="J19" s="185">
        <v>7.6E-3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4"/>
  <sheetViews>
    <sheetView showGridLines="0" zoomScale="115" zoomScaleNormal="115" workbookViewId="0">
      <selection activeCell="H11" sqref="H11:H12"/>
    </sheetView>
  </sheetViews>
  <sheetFormatPr baseColWidth="10" defaultColWidth="8.83984375" defaultRowHeight="14.4" x14ac:dyDescent="0.55000000000000004"/>
  <cols>
    <col min="1" max="1" width="26.83984375" style="523" customWidth="1"/>
    <col min="2" max="2" width="8.62890625" style="523" customWidth="1"/>
    <col min="3" max="3" width="1.9453125" style="523" customWidth="1"/>
    <col min="4" max="4" width="15.47265625" style="523" customWidth="1"/>
    <col min="5" max="5" width="1.9453125" style="523" customWidth="1"/>
    <col min="6" max="6" width="10.62890625" style="523" customWidth="1"/>
    <col min="7" max="7" width="1.9453125" style="523" customWidth="1"/>
    <col min="8" max="8" width="10.1015625" style="525" customWidth="1"/>
    <col min="9" max="16384" width="8.83984375" style="523"/>
  </cols>
  <sheetData>
    <row r="1" spans="1:10" ht="22.5" customHeight="1" thickBot="1" x14ac:dyDescent="0.6">
      <c r="A1" s="511" t="s">
        <v>528</v>
      </c>
      <c r="B1" s="511"/>
      <c r="C1" s="511"/>
      <c r="D1" s="511"/>
      <c r="E1" s="511"/>
      <c r="F1" s="511"/>
      <c r="G1" s="511"/>
      <c r="H1" s="511"/>
    </row>
    <row r="2" spans="1:10" ht="17.100000000000001" customHeight="1" x14ac:dyDescent="0.55000000000000004">
      <c r="A2" s="532" t="s">
        <v>390</v>
      </c>
      <c r="B2" s="532"/>
      <c r="C2" s="526"/>
      <c r="D2" s="526"/>
      <c r="E2" s="526"/>
      <c r="F2" s="526"/>
      <c r="G2" s="526"/>
      <c r="H2" s="526"/>
    </row>
    <row r="3" spans="1:10" ht="17.100000000000001" customHeight="1" x14ac:dyDescent="0.55000000000000004">
      <c r="A3" s="532"/>
      <c r="B3" s="532"/>
      <c r="C3" s="526"/>
      <c r="D3" s="526"/>
      <c r="E3" s="526"/>
      <c r="F3" s="526"/>
      <c r="G3" s="526"/>
      <c r="H3" s="526"/>
    </row>
    <row r="4" spans="1:10" s="39" customFormat="1" ht="12" customHeight="1" x14ac:dyDescent="0.55000000000000004">
      <c r="A4" s="733" t="s">
        <v>401</v>
      </c>
      <c r="B4" s="734"/>
      <c r="C4" s="734"/>
      <c r="D4" s="734"/>
      <c r="E4" s="734"/>
      <c r="F4" s="734"/>
      <c r="G4" s="734"/>
      <c r="H4" s="734"/>
    </row>
    <row r="5" spans="1:10" ht="12" customHeight="1" x14ac:dyDescent="0.55000000000000004">
      <c r="A5" s="493" t="s">
        <v>399</v>
      </c>
      <c r="B5" s="519"/>
      <c r="C5" s="18"/>
      <c r="D5" s="18"/>
      <c r="E5" s="18"/>
      <c r="F5" s="18"/>
      <c r="G5" s="18"/>
      <c r="H5" s="514"/>
    </row>
    <row r="6" spans="1:10" ht="12" customHeight="1" x14ac:dyDescent="0.55000000000000004">
      <c r="A6" s="18" t="s">
        <v>527</v>
      </c>
      <c r="B6" s="18"/>
      <c r="C6" s="527"/>
      <c r="D6" s="527"/>
      <c r="E6" s="527"/>
      <c r="F6" s="527"/>
      <c r="G6" s="527"/>
      <c r="H6" s="542">
        <f>'Distribution @ Sale'!H4</f>
        <v>545</v>
      </c>
    </row>
    <row r="7" spans="1:10" ht="12" customHeight="1" thickBot="1" x14ac:dyDescent="0.6">
      <c r="A7" s="18" t="s">
        <v>393</v>
      </c>
      <c r="B7" s="18"/>
      <c r="C7" s="528"/>
      <c r="D7" s="528"/>
      <c r="E7" s="528"/>
      <c r="F7" s="528"/>
      <c r="G7" s="528"/>
      <c r="H7" s="533">
        <f>'Pro Forma (Ex. 8)'!C6</f>
        <v>215</v>
      </c>
    </row>
    <row r="8" spans="1:10" ht="12" customHeight="1" thickTop="1" x14ac:dyDescent="0.55000000000000004">
      <c r="A8" s="482" t="s">
        <v>391</v>
      </c>
      <c r="B8" s="482"/>
      <c r="C8" s="529"/>
      <c r="D8" s="529"/>
      <c r="E8" s="529"/>
      <c r="F8" s="529"/>
      <c r="G8" s="529"/>
      <c r="H8" s="480">
        <f>H6-H7</f>
        <v>330</v>
      </c>
    </row>
    <row r="9" spans="1:10" ht="3" customHeight="1" x14ac:dyDescent="0.55000000000000004">
      <c r="A9" s="18"/>
      <c r="B9" s="18"/>
      <c r="C9" s="18"/>
      <c r="D9" s="18"/>
      <c r="E9" s="18"/>
      <c r="F9" s="18"/>
      <c r="G9" s="18"/>
      <c r="H9" s="514"/>
    </row>
    <row r="10" spans="1:10" ht="12" customHeight="1" x14ac:dyDescent="0.55000000000000004">
      <c r="A10" s="493" t="s">
        <v>398</v>
      </c>
      <c r="B10" s="519"/>
      <c r="C10" s="18"/>
      <c r="D10" s="18"/>
      <c r="E10" s="18"/>
      <c r="F10" s="18"/>
      <c r="G10" s="18"/>
      <c r="H10" s="514"/>
    </row>
    <row r="11" spans="1:10" ht="12" customHeight="1" x14ac:dyDescent="0.55000000000000004">
      <c r="A11" s="18" t="s">
        <v>395</v>
      </c>
      <c r="B11" s="18"/>
      <c r="C11" s="18"/>
      <c r="D11" s="18"/>
      <c r="E11" s="18"/>
      <c r="F11" s="18"/>
      <c r="G11" s="18"/>
      <c r="H11" s="481">
        <f>'Plan Summary (Ex. 7)'!B8</f>
        <v>122.14285714285714</v>
      </c>
      <c r="J11" s="18"/>
    </row>
    <row r="12" spans="1:10" ht="12" customHeight="1" x14ac:dyDescent="0.55000000000000004">
      <c r="A12" s="18" t="s">
        <v>537</v>
      </c>
      <c r="B12" s="18"/>
      <c r="C12" s="18"/>
      <c r="D12" s="18"/>
      <c r="E12" s="18"/>
      <c r="F12" s="18"/>
      <c r="G12" s="18"/>
      <c r="H12" s="481">
        <f>'Plan Summary (Ex. 7)'!B10</f>
        <v>170</v>
      </c>
    </row>
    <row r="13" spans="1:10" ht="12" customHeight="1" thickBot="1" x14ac:dyDescent="0.6">
      <c r="A13" s="18" t="s">
        <v>396</v>
      </c>
      <c r="B13" s="18"/>
      <c r="C13" s="18"/>
      <c r="D13" s="18"/>
      <c r="E13" s="18"/>
      <c r="F13" s="18"/>
      <c r="G13" s="18"/>
      <c r="H13" s="533">
        <f>+'Exhibit 1'!K37</f>
        <v>79.878127399999997</v>
      </c>
    </row>
    <row r="14" spans="1:10" ht="12" customHeight="1" thickTop="1" x14ac:dyDescent="0.55000000000000004">
      <c r="A14" s="482" t="s">
        <v>394</v>
      </c>
      <c r="B14" s="482"/>
      <c r="C14" s="18"/>
      <c r="D14" s="18"/>
      <c r="E14" s="18"/>
      <c r="F14" s="18"/>
      <c r="G14" s="18"/>
      <c r="H14" s="480">
        <f>H11+H12+H13</f>
        <v>372.02098454285709</v>
      </c>
    </row>
    <row r="15" spans="1:10" ht="3" customHeight="1" x14ac:dyDescent="0.55000000000000004">
      <c r="A15" s="18"/>
      <c r="B15" s="18"/>
      <c r="C15" s="18"/>
      <c r="D15" s="18"/>
      <c r="E15" s="18"/>
      <c r="F15" s="18"/>
      <c r="G15" s="18"/>
      <c r="H15" s="523"/>
    </row>
    <row r="16" spans="1:10" ht="12" customHeight="1" x14ac:dyDescent="0.55000000000000004">
      <c r="A16" s="482" t="s">
        <v>400</v>
      </c>
      <c r="B16" s="18"/>
      <c r="C16" s="18"/>
      <c r="D16" s="18"/>
      <c r="E16" s="18"/>
      <c r="F16" s="18"/>
      <c r="G16" s="18"/>
      <c r="H16" s="536">
        <f>H8/H14</f>
        <v>0.88704673583267657</v>
      </c>
    </row>
    <row r="17" spans="1:10" ht="3.6" customHeight="1" x14ac:dyDescent="0.55000000000000004">
      <c r="A17" s="18"/>
      <c r="B17" s="18"/>
      <c r="C17" s="18"/>
      <c r="D17" s="18"/>
      <c r="E17" s="18"/>
      <c r="F17" s="18"/>
      <c r="G17" s="18"/>
      <c r="H17" s="450"/>
    </row>
    <row r="18" spans="1:10" ht="24" customHeight="1" thickBot="1" x14ac:dyDescent="0.6">
      <c r="A18" s="18"/>
      <c r="B18" s="535" t="s">
        <v>397</v>
      </c>
      <c r="C18" s="530"/>
      <c r="D18" s="535" t="s">
        <v>535</v>
      </c>
      <c r="E18" s="530"/>
      <c r="F18" s="535" t="s">
        <v>534</v>
      </c>
      <c r="G18" s="530"/>
      <c r="H18" s="535" t="s">
        <v>536</v>
      </c>
    </row>
    <row r="19" spans="1:10" ht="3" customHeight="1" thickTop="1" x14ac:dyDescent="0.55000000000000004">
      <c r="A19" s="186"/>
      <c r="B19" s="186"/>
      <c r="C19" s="186"/>
      <c r="D19" s="186"/>
      <c r="E19" s="186"/>
      <c r="F19" s="186"/>
      <c r="G19" s="186"/>
      <c r="H19" s="531"/>
    </row>
    <row r="20" spans="1:10" ht="12" customHeight="1" x14ac:dyDescent="0.55000000000000004">
      <c r="A20" s="186" t="s">
        <v>120</v>
      </c>
      <c r="B20" s="534">
        <f>H11</f>
        <v>122.14285714285714</v>
      </c>
      <c r="C20" s="513"/>
      <c r="D20" s="534">
        <f>B20*H16</f>
        <v>108.34642273384834</v>
      </c>
      <c r="E20" s="513"/>
      <c r="F20" s="534">
        <f>B20-D20</f>
        <v>13.796434409008796</v>
      </c>
      <c r="G20" s="534"/>
      <c r="H20" s="534">
        <f>D20+F20</f>
        <v>122.14285714285714</v>
      </c>
    </row>
    <row r="21" spans="1:10" ht="12" customHeight="1" x14ac:dyDescent="0.55000000000000004">
      <c r="A21" s="186" t="s">
        <v>181</v>
      </c>
      <c r="B21" s="534">
        <f>H12</f>
        <v>170</v>
      </c>
      <c r="C21" s="514"/>
      <c r="D21" s="534">
        <f>B21*H16</f>
        <v>150.79794509155502</v>
      </c>
      <c r="E21" s="514"/>
      <c r="F21" s="534">
        <f>-1*F20</f>
        <v>-13.796434409008796</v>
      </c>
      <c r="G21" s="534"/>
      <c r="H21" s="534">
        <f t="shared" ref="H21:H22" si="0">D21+F21</f>
        <v>137.00151068254621</v>
      </c>
      <c r="J21" s="736">
        <f>H21/B21</f>
        <v>0.80589123930909534</v>
      </c>
    </row>
    <row r="22" spans="1:10" ht="12" customHeight="1" thickBot="1" x14ac:dyDescent="0.6">
      <c r="A22" s="186" t="s">
        <v>179</v>
      </c>
      <c r="B22" s="537">
        <f>H13</f>
        <v>79.878127399999997</v>
      </c>
      <c r="C22" s="513"/>
      <c r="D22" s="537">
        <f>B22*H16</f>
        <v>70.855632174596678</v>
      </c>
      <c r="E22" s="513"/>
      <c r="F22" s="534">
        <v>0</v>
      </c>
      <c r="G22" s="534"/>
      <c r="H22" s="540">
        <f t="shared" si="0"/>
        <v>70.855632174596678</v>
      </c>
      <c r="J22" s="736">
        <f>H22/B22</f>
        <v>0.88704673583267657</v>
      </c>
    </row>
    <row r="23" spans="1:10" ht="12" customHeight="1" thickTop="1" x14ac:dyDescent="0.55000000000000004">
      <c r="A23" s="479" t="s">
        <v>48</v>
      </c>
      <c r="B23" s="539">
        <f>SUM(B20:B22)</f>
        <v>372.02098454285709</v>
      </c>
      <c r="C23" s="517"/>
      <c r="D23" s="539">
        <f>SUM(D20:D22)</f>
        <v>330.00000000000006</v>
      </c>
      <c r="E23" s="517"/>
      <c r="F23" s="534"/>
      <c r="G23" s="534"/>
      <c r="H23" s="539">
        <f>SUM(H20:H22)</f>
        <v>330.00000000000006</v>
      </c>
    </row>
    <row r="24" spans="1:10" x14ac:dyDescent="0.55000000000000004">
      <c r="A24" s="524"/>
      <c r="B24" s="524"/>
      <c r="C24" s="524"/>
      <c r="D24" s="524"/>
      <c r="E24" s="524"/>
      <c r="F24" s="524"/>
      <c r="G24" s="524"/>
      <c r="H24" s="538"/>
    </row>
    <row r="25" spans="1:10" s="39" customFormat="1" ht="12" customHeight="1" x14ac:dyDescent="0.55000000000000004">
      <c r="A25" s="735" t="s">
        <v>402</v>
      </c>
      <c r="B25" s="731"/>
      <c r="C25" s="731"/>
      <c r="D25" s="731"/>
      <c r="E25" s="731"/>
      <c r="F25" s="731"/>
      <c r="G25" s="731"/>
      <c r="H25" s="731"/>
    </row>
    <row r="26" spans="1:10" ht="12" customHeight="1" x14ac:dyDescent="0.55000000000000004">
      <c r="A26" s="493" t="s">
        <v>399</v>
      </c>
      <c r="B26" s="519"/>
      <c r="C26" s="18"/>
      <c r="D26" s="18"/>
      <c r="E26" s="18"/>
      <c r="F26" s="18"/>
      <c r="G26" s="18"/>
      <c r="H26" s="514"/>
    </row>
    <row r="27" spans="1:10" ht="12" customHeight="1" x14ac:dyDescent="0.55000000000000004">
      <c r="A27" s="18" t="s">
        <v>392</v>
      </c>
      <c r="B27" s="18"/>
      <c r="C27" s="527"/>
      <c r="D27" s="527"/>
      <c r="E27" s="527"/>
      <c r="F27" s="527"/>
      <c r="G27" s="527"/>
      <c r="H27" s="542">
        <f>'Distribution @ Sale'!H28</f>
        <v>555</v>
      </c>
    </row>
    <row r="28" spans="1:10" ht="12" customHeight="1" thickBot="1" x14ac:dyDescent="0.6">
      <c r="A28" s="18" t="s">
        <v>393</v>
      </c>
      <c r="B28" s="18"/>
      <c r="C28" s="528"/>
      <c r="D28" s="528"/>
      <c r="E28" s="528"/>
      <c r="F28" s="528"/>
      <c r="G28" s="528"/>
      <c r="H28" s="533">
        <v>215</v>
      </c>
    </row>
    <row r="29" spans="1:10" ht="12" customHeight="1" thickTop="1" x14ac:dyDescent="0.55000000000000004">
      <c r="A29" s="482" t="s">
        <v>391</v>
      </c>
      <c r="B29" s="482"/>
      <c r="C29" s="529"/>
      <c r="D29" s="529"/>
      <c r="E29" s="529"/>
      <c r="F29" s="529"/>
      <c r="G29" s="529"/>
      <c r="H29" s="480">
        <f>H27-H28</f>
        <v>340</v>
      </c>
    </row>
    <row r="30" spans="1:10" ht="3" customHeight="1" x14ac:dyDescent="0.55000000000000004">
      <c r="A30" s="18"/>
      <c r="B30" s="18"/>
      <c r="C30" s="18"/>
      <c r="D30" s="18"/>
      <c r="E30" s="18"/>
      <c r="F30" s="18"/>
      <c r="G30" s="18"/>
      <c r="H30" s="514"/>
    </row>
    <row r="31" spans="1:10" ht="12" customHeight="1" x14ac:dyDescent="0.55000000000000004">
      <c r="A31" s="493" t="s">
        <v>398</v>
      </c>
      <c r="B31" s="519"/>
      <c r="C31" s="18"/>
      <c r="D31" s="18"/>
      <c r="E31" s="18"/>
      <c r="F31" s="18"/>
      <c r="G31" s="18"/>
      <c r="H31" s="514"/>
    </row>
    <row r="32" spans="1:10" ht="12" customHeight="1" x14ac:dyDescent="0.55000000000000004">
      <c r="A32" s="18" t="s">
        <v>395</v>
      </c>
      <c r="B32" s="18"/>
      <c r="C32" s="18"/>
      <c r="D32" s="18"/>
      <c r="E32" s="18"/>
      <c r="F32" s="18"/>
      <c r="G32" s="18"/>
      <c r="H32" s="481">
        <f>'Plan (Ex. 7)'!B5</f>
        <v>122.14285714285714</v>
      </c>
      <c r="J32" s="18"/>
    </row>
    <row r="33" spans="1:8" ht="12" customHeight="1" x14ac:dyDescent="0.55000000000000004">
      <c r="A33" s="18" t="s">
        <v>537</v>
      </c>
      <c r="B33" s="18"/>
      <c r="C33" s="18"/>
      <c r="D33" s="18"/>
      <c r="E33" s="18"/>
      <c r="F33" s="18"/>
      <c r="G33" s="18"/>
      <c r="H33" s="481">
        <f>+'Plan (Ex. 7)'!B6</f>
        <v>170</v>
      </c>
    </row>
    <row r="34" spans="1:8" ht="12" customHeight="1" thickBot="1" x14ac:dyDescent="0.6">
      <c r="A34" s="18" t="s">
        <v>396</v>
      </c>
      <c r="B34" s="18"/>
      <c r="C34" s="18"/>
      <c r="D34" s="18"/>
      <c r="E34" s="18"/>
      <c r="F34" s="18"/>
      <c r="G34" s="18"/>
      <c r="H34" s="533">
        <f>+'Exhibit 1'!K37</f>
        <v>79.878127399999997</v>
      </c>
    </row>
    <row r="35" spans="1:8" ht="12" customHeight="1" thickTop="1" x14ac:dyDescent="0.55000000000000004">
      <c r="A35" s="482" t="s">
        <v>394</v>
      </c>
      <c r="B35" s="482"/>
      <c r="C35" s="18"/>
      <c r="D35" s="18"/>
      <c r="E35" s="18"/>
      <c r="F35" s="18"/>
      <c r="G35" s="18"/>
      <c r="H35" s="480">
        <f>H32+H33+H34</f>
        <v>372.02098454285709</v>
      </c>
    </row>
    <row r="36" spans="1:8" ht="3" customHeight="1" x14ac:dyDescent="0.55000000000000004">
      <c r="A36" s="18"/>
      <c r="B36" s="18"/>
      <c r="C36" s="18"/>
      <c r="D36" s="18"/>
      <c r="E36" s="18"/>
      <c r="F36" s="18"/>
      <c r="G36" s="18"/>
      <c r="H36" s="523"/>
    </row>
    <row r="37" spans="1:8" ht="12" customHeight="1" x14ac:dyDescent="0.55000000000000004">
      <c r="A37" s="482" t="s">
        <v>400</v>
      </c>
      <c r="B37" s="18"/>
      <c r="C37" s="18"/>
      <c r="D37" s="18"/>
      <c r="E37" s="18"/>
      <c r="F37" s="18"/>
      <c r="G37" s="18"/>
      <c r="H37" s="536">
        <f>H29/H35</f>
        <v>0.91392693994881824</v>
      </c>
    </row>
    <row r="38" spans="1:8" ht="3.6" customHeight="1" x14ac:dyDescent="0.55000000000000004">
      <c r="A38" s="18"/>
      <c r="B38" s="18"/>
      <c r="C38" s="18"/>
      <c r="D38" s="18"/>
      <c r="E38" s="18"/>
      <c r="F38" s="18"/>
      <c r="G38" s="18"/>
      <c r="H38" s="450"/>
    </row>
    <row r="39" spans="1:8" ht="24" customHeight="1" thickBot="1" x14ac:dyDescent="0.6">
      <c r="A39" s="18"/>
      <c r="B39" s="535" t="s">
        <v>397</v>
      </c>
      <c r="C39" s="530"/>
      <c r="D39" s="535" t="s">
        <v>535</v>
      </c>
      <c r="E39" s="530"/>
      <c r="F39" s="535" t="s">
        <v>534</v>
      </c>
      <c r="G39" s="530"/>
      <c r="H39" s="535" t="s">
        <v>536</v>
      </c>
    </row>
    <row r="40" spans="1:8" ht="3" customHeight="1" thickTop="1" x14ac:dyDescent="0.55000000000000004">
      <c r="A40" s="186"/>
      <c r="B40" s="186"/>
      <c r="C40" s="186"/>
      <c r="D40" s="186"/>
      <c r="E40" s="186"/>
      <c r="F40" s="186"/>
      <c r="G40" s="186"/>
      <c r="H40" s="531"/>
    </row>
    <row r="41" spans="1:8" ht="12" customHeight="1" x14ac:dyDescent="0.55000000000000004">
      <c r="A41" s="186" t="s">
        <v>120</v>
      </c>
      <c r="B41" s="534">
        <f>H32</f>
        <v>122.14285714285714</v>
      </c>
      <c r="C41" s="513"/>
      <c r="D41" s="534">
        <f>B41*H37</f>
        <v>111.62964766517707</v>
      </c>
      <c r="E41" s="513"/>
      <c r="F41" s="534">
        <f>B41-D41</f>
        <v>10.513209477680064</v>
      </c>
      <c r="G41" s="534"/>
      <c r="H41" s="534">
        <f>D41+F41</f>
        <v>122.14285714285714</v>
      </c>
    </row>
    <row r="42" spans="1:8" ht="12" customHeight="1" x14ac:dyDescent="0.55000000000000004">
      <c r="A42" s="186" t="s">
        <v>181</v>
      </c>
      <c r="B42" s="534">
        <f>H33</f>
        <v>170</v>
      </c>
      <c r="C42" s="514"/>
      <c r="D42" s="534">
        <f>B42*H37</f>
        <v>155.36757979129911</v>
      </c>
      <c r="E42" s="514"/>
      <c r="F42" s="534">
        <f>-1*F41</f>
        <v>-10.513209477680064</v>
      </c>
      <c r="G42" s="534"/>
      <c r="H42" s="534">
        <f t="shared" ref="H42:H43" si="1">D42+F42</f>
        <v>144.85437031361903</v>
      </c>
    </row>
    <row r="43" spans="1:8" ht="12" customHeight="1" thickBot="1" x14ac:dyDescent="0.6">
      <c r="A43" s="186" t="s">
        <v>179</v>
      </c>
      <c r="B43" s="537">
        <f>H34</f>
        <v>79.878127399999997</v>
      </c>
      <c r="C43" s="513"/>
      <c r="D43" s="537">
        <f>B43*H37</f>
        <v>73.002772543523847</v>
      </c>
      <c r="E43" s="513"/>
      <c r="F43" s="534">
        <v>0</v>
      </c>
      <c r="G43" s="534"/>
      <c r="H43" s="540">
        <f t="shared" si="1"/>
        <v>73.002772543523847</v>
      </c>
    </row>
    <row r="44" spans="1:8" ht="12" customHeight="1" thickTop="1" x14ac:dyDescent="0.55000000000000004">
      <c r="A44" s="479" t="s">
        <v>48</v>
      </c>
      <c r="B44" s="539">
        <f>SUM(B41:B43)</f>
        <v>372.02098454285709</v>
      </c>
      <c r="C44" s="517"/>
      <c r="D44" s="539">
        <f>SUM(D41:D43)</f>
        <v>340.00000000000006</v>
      </c>
      <c r="E44" s="517"/>
      <c r="F44" s="534"/>
      <c r="G44" s="534"/>
      <c r="H44" s="539">
        <f>SUM(H41:H43)</f>
        <v>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5007-1560-4BC9-9004-58F0FFE9D7D9}">
  <dimension ref="A1:AR24"/>
  <sheetViews>
    <sheetView showGridLines="0" zoomScale="111" zoomScaleNormal="111" workbookViewId="0">
      <selection activeCell="I17" sqref="I17"/>
    </sheetView>
  </sheetViews>
  <sheetFormatPr baseColWidth="10" defaultColWidth="9.15625" defaultRowHeight="12.9" outlineLevelCol="1" x14ac:dyDescent="0.5"/>
  <cols>
    <col min="1" max="1" width="17.734375" style="18" customWidth="1"/>
    <col min="2" max="2" width="0.7890625" style="18" customWidth="1"/>
    <col min="3" max="3" width="6.15625" style="18" customWidth="1"/>
    <col min="4" max="4" width="0.578125" style="18" customWidth="1"/>
    <col min="5" max="5" width="6.15625" style="18" customWidth="1"/>
    <col min="6" max="6" width="1" style="18" customWidth="1"/>
    <col min="7" max="7" width="6.05078125" style="18" customWidth="1"/>
    <col min="8" max="8" width="0.578125" style="18" customWidth="1"/>
    <col min="9" max="9" width="6.5234375" style="18" customWidth="1"/>
    <col min="10" max="10" width="0.578125" style="18" customWidth="1"/>
    <col min="11" max="11" width="6.62890625" style="18" customWidth="1"/>
    <col min="12" max="12" width="0.578125" style="18" customWidth="1"/>
    <col min="13" max="13" width="6.5234375" style="18" customWidth="1"/>
    <col min="14" max="14" width="0.578125" style="18" customWidth="1"/>
    <col min="15" max="16" width="5.26171875" style="18" customWidth="1"/>
    <col min="17" max="17" width="1" style="18" customWidth="1"/>
    <col min="18" max="18" width="6.05078125" style="18" customWidth="1"/>
    <col min="19" max="19" width="0.578125" style="18" customWidth="1"/>
    <col min="20" max="20" width="6.5234375" style="18" customWidth="1"/>
    <col min="21" max="21" width="0.578125" style="18" customWidth="1"/>
    <col min="22" max="22" width="6.5234375" style="18" customWidth="1"/>
    <col min="23" max="23" width="0.578125" style="18" customWidth="1"/>
    <col min="24" max="24" width="6.62890625" style="18" customWidth="1"/>
    <col min="25" max="25" width="0.578125" style="18" customWidth="1"/>
    <col min="26" max="26" width="6.5234375" style="18" customWidth="1"/>
    <col min="27" max="27" width="0.578125" style="18" customWidth="1"/>
    <col min="28" max="29" width="5.26171875" style="18" customWidth="1"/>
    <col min="30" max="30" width="6.578125" style="18" customWidth="1"/>
    <col min="31" max="31" width="2.05078125" style="18" customWidth="1"/>
    <col min="32" max="32" width="5.734375" style="18" customWidth="1"/>
    <col min="33" max="33" width="7.3671875" style="18" customWidth="1"/>
    <col min="34" max="34" width="1.734375" style="18" customWidth="1"/>
    <col min="35" max="35" width="5.734375" style="18" customWidth="1"/>
    <col min="36" max="36" width="7.3671875" style="18" customWidth="1"/>
    <col min="37" max="37" width="1.734375" style="18" customWidth="1"/>
    <col min="38" max="38" width="5.734375" style="18" customWidth="1"/>
    <col min="39" max="39" width="7.3671875" style="18" customWidth="1"/>
    <col min="40" max="40" width="9.15625" style="18"/>
    <col min="41" max="43" width="0" style="18" hidden="1" customWidth="1" outlineLevel="1"/>
    <col min="44" max="44" width="9.15625" style="18" collapsed="1"/>
    <col min="45" max="16384" width="9.15625" style="18"/>
  </cols>
  <sheetData>
    <row r="1" spans="1:39" ht="15.9" thickBot="1" x14ac:dyDescent="0.65">
      <c r="A1" s="697" t="s">
        <v>506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39" ht="12" customHeight="1" thickTop="1" x14ac:dyDescent="0.5">
      <c r="A2" s="362"/>
      <c r="B2" s="694"/>
      <c r="C2" s="695"/>
      <c r="D2" s="695"/>
      <c r="E2" s="695"/>
      <c r="F2" s="695"/>
      <c r="G2" s="696"/>
      <c r="H2" s="696"/>
      <c r="I2" s="696"/>
      <c r="J2" s="696"/>
      <c r="K2" s="696"/>
      <c r="L2" s="696"/>
      <c r="M2" s="696"/>
      <c r="N2" s="696"/>
      <c r="O2" s="696"/>
      <c r="P2" s="696"/>
      <c r="Q2" s="695"/>
      <c r="R2" s="696"/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696"/>
    </row>
    <row r="3" spans="1:39" s="523" customFormat="1" ht="16.5" x14ac:dyDescent="0.55000000000000004">
      <c r="C3" s="698" t="s">
        <v>119</v>
      </c>
      <c r="D3" s="698"/>
      <c r="E3" s="698"/>
      <c r="G3" s="699" t="s">
        <v>508</v>
      </c>
      <c r="H3" s="699"/>
      <c r="I3" s="699"/>
      <c r="J3" s="699"/>
      <c r="K3" s="699"/>
      <c r="L3" s="699"/>
      <c r="M3" s="699"/>
      <c r="N3" s="699"/>
      <c r="O3" s="699"/>
      <c r="P3" s="699"/>
      <c r="R3" s="700" t="s">
        <v>509</v>
      </c>
      <c r="S3" s="701"/>
      <c r="T3" s="701"/>
      <c r="U3" s="701"/>
      <c r="V3" s="701"/>
      <c r="W3" s="701"/>
      <c r="X3" s="701"/>
      <c r="Y3" s="701"/>
      <c r="Z3" s="701"/>
      <c r="AA3" s="701"/>
      <c r="AB3" s="701"/>
      <c r="AC3" s="701"/>
    </row>
    <row r="4" spans="1:39" ht="4.5" customHeight="1" x14ac:dyDescent="0.5"/>
    <row r="5" spans="1:39" ht="13.2" thickBot="1" x14ac:dyDescent="0.55000000000000004">
      <c r="I5" s="691" t="s">
        <v>519</v>
      </c>
      <c r="O5" s="706" t="s">
        <v>510</v>
      </c>
      <c r="P5" s="707"/>
      <c r="T5" s="691" t="s">
        <v>519</v>
      </c>
      <c r="V5" s="691" t="s">
        <v>520</v>
      </c>
      <c r="AB5" s="706" t="s">
        <v>510</v>
      </c>
      <c r="AC5" s="707"/>
    </row>
    <row r="6" spans="1:39" ht="13.5" customHeight="1" thickBot="1" x14ac:dyDescent="0.6">
      <c r="C6" s="692" t="s">
        <v>504</v>
      </c>
      <c r="D6" s="691"/>
      <c r="E6" s="692" t="s">
        <v>513</v>
      </c>
      <c r="G6" s="692" t="s">
        <v>495</v>
      </c>
      <c r="I6" s="692" t="s">
        <v>514</v>
      </c>
      <c r="K6" s="692" t="s">
        <v>507</v>
      </c>
      <c r="M6" s="702" t="s">
        <v>48</v>
      </c>
      <c r="O6" s="702" t="s">
        <v>504</v>
      </c>
      <c r="P6" s="702" t="s">
        <v>436</v>
      </c>
      <c r="R6" s="692" t="s">
        <v>495</v>
      </c>
      <c r="T6" s="692" t="s">
        <v>514</v>
      </c>
      <c r="V6" s="692" t="s">
        <v>514</v>
      </c>
      <c r="X6" s="692" t="s">
        <v>507</v>
      </c>
      <c r="Z6" s="702" t="s">
        <v>48</v>
      </c>
      <c r="AB6" s="702" t="s">
        <v>504</v>
      </c>
      <c r="AC6" s="702" t="s">
        <v>436</v>
      </c>
    </row>
    <row r="7" spans="1:39" x14ac:dyDescent="0.5">
      <c r="M7" s="482"/>
      <c r="O7" s="482"/>
      <c r="P7" s="482"/>
      <c r="Z7" s="482"/>
      <c r="AB7" s="482"/>
      <c r="AC7" s="482"/>
    </row>
    <row r="8" spans="1:39" ht="16.5" customHeight="1" x14ac:dyDescent="0.5">
      <c r="A8" s="714" t="s">
        <v>170</v>
      </c>
      <c r="C8" s="690">
        <f>'Pro Forma (Ex. 8)'!C6</f>
        <v>215</v>
      </c>
      <c r="D8" s="690"/>
      <c r="E8" s="690">
        <f>'Plan Summary (Ex. 7)'!F6/100*C8</f>
        <v>215</v>
      </c>
      <c r="G8" s="690">
        <f>'Pro Forma (Ex. 8)'!E10</f>
        <v>225.75</v>
      </c>
      <c r="I8" s="690">
        <v>0</v>
      </c>
      <c r="K8" s="690">
        <v>0</v>
      </c>
      <c r="M8" s="703">
        <f>G8+I8+K8</f>
        <v>225.75</v>
      </c>
      <c r="O8" s="708">
        <f>M8/C8</f>
        <v>1.05</v>
      </c>
      <c r="P8" s="708">
        <f>M8/E8</f>
        <v>1.05</v>
      </c>
      <c r="R8" s="690">
        <f>'Pro Forma (Ex. 8)'!G10</f>
        <v>225.75</v>
      </c>
      <c r="T8" s="690">
        <v>0</v>
      </c>
      <c r="V8" s="690">
        <v>0</v>
      </c>
      <c r="X8" s="690">
        <v>0</v>
      </c>
      <c r="Z8" s="703">
        <f>R8+T8+V8+X8</f>
        <v>225.75</v>
      </c>
      <c r="AB8" s="708">
        <f>Z8/C8</f>
        <v>1.05</v>
      </c>
      <c r="AC8" s="708">
        <f>Z8/E8</f>
        <v>1.05</v>
      </c>
    </row>
    <row r="9" spans="1:39" ht="16.5" customHeight="1" x14ac:dyDescent="0.5">
      <c r="A9" s="714" t="s">
        <v>120</v>
      </c>
      <c r="C9" s="690">
        <f>'Pro Forma (Ex. 8)'!C7+'Pro Forma (Ex. 8)'!C11</f>
        <v>122.14285714285714</v>
      </c>
      <c r="D9" s="690"/>
      <c r="E9" s="690">
        <f>'Plan Summary (Ex. 7)'!F8/100*C9</f>
        <v>80.003571428571433</v>
      </c>
      <c r="G9" s="690">
        <f>'Pro Forma (Ex. 8)'!E11</f>
        <v>78.171428571428564</v>
      </c>
      <c r="I9" s="690">
        <f>('Pro Forma (Ex. 8)'!L7+'Pro Forma (Ex. 8)'!L11)*I24</f>
        <v>15.059395353660566</v>
      </c>
      <c r="K9" s="690">
        <v>0</v>
      </c>
      <c r="M9" s="703">
        <f>G9+I9+K9</f>
        <v>93.230823925089126</v>
      </c>
      <c r="O9" s="708">
        <f>M9/C9</f>
        <v>0.76329329529312739</v>
      </c>
      <c r="P9" s="708">
        <f>M9/E9</f>
        <v>1.165333275256683</v>
      </c>
      <c r="R9" s="690">
        <f>'Pro Forma (Ex. 8)'!G11</f>
        <v>78.659999999999982</v>
      </c>
      <c r="T9" s="690">
        <f>('Pro Forma (Ex. 8)'!O7+'Pro Forma (Ex. 8)'!O11)*T24</f>
        <v>15.110714521217012</v>
      </c>
      <c r="V9" s="690">
        <v>0</v>
      </c>
      <c r="X9" s="690">
        <v>0</v>
      </c>
      <c r="Z9" s="703">
        <f>R9+T9+V9+X9</f>
        <v>93.770714521217002</v>
      </c>
      <c r="AB9" s="708">
        <f>Z9/C9</f>
        <v>0.76771345222049014</v>
      </c>
      <c r="AC9" s="708">
        <f>Z9/E9</f>
        <v>1.1720816064434962</v>
      </c>
    </row>
    <row r="10" spans="1:39" ht="16.5" customHeight="1" thickBot="1" x14ac:dyDescent="0.55000000000000004">
      <c r="A10" s="714" t="s">
        <v>154</v>
      </c>
      <c r="C10" s="693">
        <f>'Pro Forma (Ex. 8)'!C12</f>
        <v>170</v>
      </c>
      <c r="D10" s="690"/>
      <c r="E10" s="693">
        <f>'Plan Summary (Ex. 7)'!F10/100*C10</f>
        <v>41.225000000000001</v>
      </c>
      <c r="G10" s="693">
        <f>'Pro Forma (Ex. 8)'!E12</f>
        <v>42.5</v>
      </c>
      <c r="I10" s="693">
        <f>'Pro Forma (Ex. 8)'!L12*I24</f>
        <v>26.108607289538867</v>
      </c>
      <c r="K10" s="693">
        <v>0</v>
      </c>
      <c r="M10" s="704">
        <f>G10+I10+K10</f>
        <v>68.608607289538867</v>
      </c>
      <c r="O10" s="709">
        <f>M10/C10</f>
        <v>0.40358004287964039</v>
      </c>
      <c r="P10" s="709">
        <f>M10/E10</f>
        <v>1.6642475995036716</v>
      </c>
      <c r="R10" s="693">
        <f>'Pro Forma (Ex. 8)'!G12</f>
        <v>61.625</v>
      </c>
      <c r="T10" s="693">
        <f>'Pro Forma (Ex. 8)'!O12*T24</f>
        <v>26.197579785491811</v>
      </c>
      <c r="V10" s="693">
        <v>0</v>
      </c>
      <c r="X10" s="693">
        <v>0</v>
      </c>
      <c r="Z10" s="704">
        <f>R10+T10+V10+X10</f>
        <v>87.822579785491811</v>
      </c>
      <c r="AB10" s="709">
        <f>Z10/C10</f>
        <v>0.51660341050289305</v>
      </c>
      <c r="AC10" s="709">
        <f>Z10/E10</f>
        <v>2.1303233422799712</v>
      </c>
    </row>
    <row r="11" spans="1:39" ht="16.5" customHeight="1" x14ac:dyDescent="0.5">
      <c r="A11" s="718" t="s">
        <v>512</v>
      </c>
      <c r="C11" s="703">
        <f>SUM(C8:C10)</f>
        <v>507.14285714285711</v>
      </c>
      <c r="D11" s="703"/>
      <c r="E11" s="703">
        <f>SUM(E8:E10)</f>
        <v>336.22857142857146</v>
      </c>
      <c r="F11" s="482"/>
      <c r="G11" s="703">
        <f>SUM(G8:G10)</f>
        <v>346.42142857142858</v>
      </c>
      <c r="H11" s="482"/>
      <c r="I11" s="703">
        <f>SUM(I8:I10)</f>
        <v>41.168002643199429</v>
      </c>
      <c r="J11" s="482"/>
      <c r="K11" s="703">
        <f>SUM(K8:K10)</f>
        <v>0</v>
      </c>
      <c r="M11" s="703">
        <f>SUM(M8:M10)</f>
        <v>387.58943121462801</v>
      </c>
      <c r="O11" s="708">
        <f>M11/C11</f>
        <v>0.76426085028236512</v>
      </c>
      <c r="P11" s="708">
        <f>M11/E11</f>
        <v>1.1527557862433702</v>
      </c>
      <c r="Q11" s="482"/>
      <c r="R11" s="703">
        <f>SUM(R8:R10)</f>
        <v>366.03499999999997</v>
      </c>
      <c r="S11" s="482"/>
      <c r="T11" s="703">
        <f>SUM(T8:T10)</f>
        <v>41.308294306708824</v>
      </c>
      <c r="U11" s="482"/>
      <c r="V11" s="703">
        <f>SUM(V8:V10)</f>
        <v>0</v>
      </c>
      <c r="W11" s="482"/>
      <c r="X11" s="703">
        <f>SUM(X8:X10)</f>
        <v>0</v>
      </c>
      <c r="Z11" s="703">
        <f>SUM(Z8:Z10)</f>
        <v>407.3432943067088</v>
      </c>
      <c r="AB11" s="708">
        <f>Z11/C11</f>
        <v>0.80321212961886246</v>
      </c>
      <c r="AC11" s="708">
        <f>Z11/E11</f>
        <v>1.211507078580456</v>
      </c>
    </row>
    <row r="12" spans="1:39" ht="15" customHeight="1" x14ac:dyDescent="0.5">
      <c r="A12" s="719"/>
      <c r="C12" s="690"/>
      <c r="D12" s="690"/>
      <c r="E12" s="690"/>
    </row>
    <row r="13" spans="1:39" ht="16.5" customHeight="1" x14ac:dyDescent="0.5">
      <c r="A13" s="714" t="s">
        <v>505</v>
      </c>
      <c r="C13" s="690">
        <f>'Pro Forma (Ex. 8)'!C17</f>
        <v>75</v>
      </c>
      <c r="D13" s="690"/>
      <c r="E13" s="690">
        <f>1.35*'Model 100% Accept'!K20</f>
        <v>33.75</v>
      </c>
      <c r="G13" s="690">
        <v>0</v>
      </c>
      <c r="I13" s="690">
        <f>'Pro Forma (Ex. 8)'!L17*I24</f>
        <v>14.010601737855392</v>
      </c>
      <c r="K13" s="690">
        <v>0</v>
      </c>
      <c r="M13" s="703">
        <f>G13+I13+K13</f>
        <v>14.010601737855392</v>
      </c>
      <c r="O13" s="708">
        <f>M13/C13</f>
        <v>0.18680802317140524</v>
      </c>
      <c r="P13" s="708">
        <f>M13/E13</f>
        <v>0.41512894038090054</v>
      </c>
      <c r="R13" s="690">
        <v>0</v>
      </c>
      <c r="T13" s="690">
        <f>'Pro Forma (Ex. 8)'!O17*T24</f>
        <v>11.081285158787223</v>
      </c>
      <c r="V13" s="690">
        <f>'Exhibit 1'!K16*(1-0.67)*1.35</f>
        <v>11.137499999999998</v>
      </c>
      <c r="X13" s="690">
        <v>0</v>
      </c>
      <c r="Z13" s="703">
        <f>R13+T13+V13+X13</f>
        <v>22.21878515878722</v>
      </c>
      <c r="AB13" s="708">
        <f>Z13/C13</f>
        <v>0.2962504687838296</v>
      </c>
      <c r="AC13" s="708">
        <f>Z13/E13</f>
        <v>0.65833437507517689</v>
      </c>
      <c r="AG13" s="717">
        <f>25*0.33*1.35-V13</f>
        <v>0</v>
      </c>
      <c r="AH13" s="492" t="s">
        <v>224</v>
      </c>
    </row>
    <row r="14" spans="1:39" ht="16.5" customHeight="1" thickBot="1" x14ac:dyDescent="0.55000000000000004">
      <c r="A14" s="714" t="s">
        <v>124</v>
      </c>
      <c r="C14" s="693">
        <f>'Pro Forma (Ex. 8)'!C18</f>
        <v>-8.1008907014204894</v>
      </c>
      <c r="D14" s="690"/>
      <c r="E14" s="693">
        <f>1.09*'Pro Forma (Ex. 8)'!I22</f>
        <v>70.632000000000005</v>
      </c>
      <c r="G14" s="693">
        <v>0</v>
      </c>
      <c r="I14" s="693">
        <f>'Pro Forma (Ex. 8)'!L18*I24</f>
        <v>15.453395618945182</v>
      </c>
      <c r="K14" s="693">
        <v>0</v>
      </c>
      <c r="M14" s="704">
        <f>G14+I14+K14</f>
        <v>15.453395618945182</v>
      </c>
      <c r="O14" s="713">
        <v>1</v>
      </c>
      <c r="P14" s="709">
        <f>M14/E14</f>
        <v>0.21878745637876856</v>
      </c>
      <c r="R14" s="693">
        <v>0</v>
      </c>
      <c r="T14" s="693">
        <f>'Pro Forma (Ex. 8)'!O18*T24</f>
        <v>18.242420534503957</v>
      </c>
      <c r="V14" s="693">
        <v>0</v>
      </c>
      <c r="X14" s="693">
        <v>0</v>
      </c>
      <c r="Z14" s="704">
        <f>R14+T14+V14+X14</f>
        <v>18.242420534503957</v>
      </c>
      <c r="AB14" s="709">
        <v>1</v>
      </c>
      <c r="AC14" s="709">
        <f>Z14/E14</f>
        <v>0.25827416092569877</v>
      </c>
    </row>
    <row r="15" spans="1:39" ht="16.5" customHeight="1" x14ac:dyDescent="0.5">
      <c r="A15" s="718" t="s">
        <v>511</v>
      </c>
      <c r="C15" s="703">
        <f>SUM(C13:C14)</f>
        <v>66.899109298579504</v>
      </c>
      <c r="E15" s="703">
        <f>SUM(E13:E14)</f>
        <v>104.38200000000001</v>
      </c>
      <c r="G15" s="703">
        <f>SUM(G13:G14)</f>
        <v>0</v>
      </c>
      <c r="H15" s="482"/>
      <c r="I15" s="703">
        <f>SUM(I13:I14)</f>
        <v>29.463997356800576</v>
      </c>
      <c r="J15" s="482"/>
      <c r="K15" s="703">
        <f>SUM(K13:K14)</f>
        <v>0</v>
      </c>
      <c r="M15" s="703">
        <f>SUM(M13:M14)</f>
        <v>29.463997356800576</v>
      </c>
      <c r="O15" s="708">
        <f>M15/C15</f>
        <v>0.44042435939317054</v>
      </c>
      <c r="P15" s="708">
        <f>M15/E15</f>
        <v>0.28227086429461568</v>
      </c>
      <c r="R15" s="703">
        <f>SUM(R13:R14)</f>
        <v>0</v>
      </c>
      <c r="S15" s="482"/>
      <c r="T15" s="703">
        <f>SUM(T13:T14)</f>
        <v>29.323705693291181</v>
      </c>
      <c r="U15" s="482"/>
      <c r="V15" s="703">
        <f>SUM(V13:V14)</f>
        <v>11.137499999999998</v>
      </c>
      <c r="W15" s="482"/>
      <c r="X15" s="703">
        <f>SUM(X13:X14)</f>
        <v>0</v>
      </c>
      <c r="Z15" s="703">
        <f>SUM(Z13:Z14)</f>
        <v>40.461205693291177</v>
      </c>
      <c r="AB15" s="708">
        <f>Z15/C15</f>
        <v>0.60480933330079933</v>
      </c>
      <c r="AC15" s="708">
        <f>Z15/E15</f>
        <v>0.38762627362276231</v>
      </c>
    </row>
    <row r="18" spans="1:22" x14ac:dyDescent="0.5">
      <c r="A18" s="710" t="s">
        <v>515</v>
      </c>
    </row>
    <row r="19" spans="1:22" x14ac:dyDescent="0.5">
      <c r="A19" s="710" t="s">
        <v>516</v>
      </c>
    </row>
    <row r="20" spans="1:22" x14ac:dyDescent="0.5">
      <c r="A20" s="710" t="s">
        <v>517</v>
      </c>
    </row>
    <row r="21" spans="1:22" x14ac:dyDescent="0.5">
      <c r="A21" s="710" t="s">
        <v>518</v>
      </c>
    </row>
    <row r="22" spans="1:22" x14ac:dyDescent="0.5">
      <c r="A22" s="710"/>
      <c r="G22" s="715" t="s">
        <v>223</v>
      </c>
      <c r="I22" s="716" t="s">
        <v>522</v>
      </c>
      <c r="R22" s="715" t="s">
        <v>223</v>
      </c>
      <c r="T22" s="716" t="s">
        <v>522</v>
      </c>
    </row>
    <row r="23" spans="1:22" x14ac:dyDescent="0.5">
      <c r="A23" s="720" t="s">
        <v>521</v>
      </c>
      <c r="B23" s="710"/>
      <c r="C23" s="710"/>
      <c r="D23" s="710"/>
      <c r="E23" s="710"/>
      <c r="F23" s="710"/>
      <c r="G23" s="711">
        <f>'Pro Forma (Ex. 8)'!I22</f>
        <v>64.8</v>
      </c>
      <c r="H23" s="710"/>
      <c r="I23" s="712">
        <v>1.0900000000000001</v>
      </c>
      <c r="Q23" s="710"/>
      <c r="R23" s="711">
        <f>'Pro Forma (Ex. 8)'!I22</f>
        <v>64.8</v>
      </c>
      <c r="S23" s="710"/>
      <c r="T23" s="712">
        <v>1.0900000000000001</v>
      </c>
      <c r="U23" s="710"/>
      <c r="V23" s="712"/>
    </row>
    <row r="24" spans="1:22" x14ac:dyDescent="0.5">
      <c r="A24" s="720" t="s">
        <v>523</v>
      </c>
      <c r="B24" s="710"/>
      <c r="C24" s="710"/>
      <c r="D24" s="710"/>
      <c r="E24" s="710"/>
      <c r="F24" s="710"/>
      <c r="G24" s="711">
        <f>'Pro Forma (Ex. 8)'!L22</f>
        <v>296.17785714285714</v>
      </c>
      <c r="H24" s="710"/>
      <c r="I24" s="712">
        <f>I23*G23/G24</f>
        <v>0.23847832745285774</v>
      </c>
      <c r="Q24" s="710"/>
      <c r="R24" s="711">
        <f>'Pro Forma (Ex. 8)'!O22</f>
        <v>250.89617857142858</v>
      </c>
      <c r="S24" s="710"/>
      <c r="T24" s="712">
        <f>T23*R23/R24</f>
        <v>0.28151883540901168</v>
      </c>
      <c r="U24" s="710"/>
      <c r="V24" s="7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2</vt:i4>
      </vt:variant>
    </vt:vector>
  </HeadingPairs>
  <TitlesOfParts>
    <vt:vector size="21" baseType="lpstr">
      <vt:lpstr>Exhibit 1</vt:lpstr>
      <vt:lpstr>Exhibit 2</vt:lpstr>
      <vt:lpstr>Plan Summary (Ex. 7)</vt:lpstr>
      <vt:lpstr>Pro Forma (Ex. 8)</vt:lpstr>
      <vt:lpstr>Model 100% Accept</vt:lpstr>
      <vt:lpstr>Model Min. Accept</vt:lpstr>
      <vt:lpstr>Distribution @ Liquid</vt:lpstr>
      <vt:lpstr>Distribution @ Sale</vt:lpstr>
      <vt:lpstr>Distribution @ DCF</vt:lpstr>
      <vt:lpstr>WACC</vt:lpstr>
      <vt:lpstr>DCF</vt:lpstr>
      <vt:lpstr>Comps (Ex. 6)</vt:lpstr>
      <vt:lpstr>Projections (Ex. 4)</vt:lpstr>
      <vt:lpstr>Cap Mkts (Ex. 5)</vt:lpstr>
      <vt:lpstr>Charts</vt:lpstr>
      <vt:lpstr>Plan (Ex. 7)</vt:lpstr>
      <vt:lpstr>Debt Payments 2011 (Ex. 3)</vt:lpstr>
      <vt:lpstr>Subordination (alternative)</vt:lpstr>
      <vt:lpstr>Recupero @ Mkt</vt:lpstr>
      <vt:lpstr>DCF!Área_de_impresión</vt:lpstr>
      <vt:lpstr>WACC!Área_de_impresión</vt:lpstr>
    </vt:vector>
  </TitlesOfParts>
  <Company>Queen's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usuario</cp:lastModifiedBy>
  <cp:lastPrinted>2014-06-26T02:11:20Z</cp:lastPrinted>
  <dcterms:created xsi:type="dcterms:W3CDTF">2012-01-08T23:54:51Z</dcterms:created>
  <dcterms:modified xsi:type="dcterms:W3CDTF">2020-07-29T03:55:20Z</dcterms:modified>
</cp:coreProperties>
</file>