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0-AV\UTDT\MFIN\2020 MFIN\Curso FC\FC - TRADICIONAL\9-Cash-Wkg Cap\Clase\"/>
    </mc:Choice>
  </mc:AlternateContent>
  <xr:revisionPtr revIDLastSave="0" documentId="13_ncr:1_{3A4CD936-485F-4F25-B115-CB50D88EF294}" xr6:coauthVersionLast="45" xr6:coauthVersionMax="45" xr10:uidLastSave="{00000000-0000-0000-0000-000000000000}"/>
  <bookViews>
    <workbookView xWindow="-96" yWindow="-96" windowWidth="23232" windowHeight="12552" tabRatio="763" firstSheet="1" activeTab="8" xr2:uid="{00000000-000D-0000-FFFF-FFFF00000000}"/>
  </bookViews>
  <sheets>
    <sheet name="Table 1" sheetId="2" r:id="rId1"/>
    <sheet name="Exhibit 1" sheetId="7" r:id="rId2"/>
    <sheet name="Exhibit 2" sheetId="6" r:id="rId3"/>
    <sheet name="Exhibit 3" sheetId="5" r:id="rId4"/>
    <sheet name="Exhibit 4" sheetId="4" r:id="rId5"/>
    <sheet name="Exhibit 5" sheetId="3" r:id="rId6"/>
    <sheet name="Uses - Sources" sheetId="19" r:id="rId7"/>
    <sheet name="Charts" sheetId="20" r:id="rId8"/>
    <sheet name="Exhibit 6 (Modelo)" sheetId="8" r:id="rId9"/>
    <sheet name="Exhibit 7 (Comps)" sheetId="14" r:id="rId10"/>
    <sheet name="Stock Price" sheetId="15" r:id="rId11"/>
    <sheet name="Stock chart case" sheetId="16" r:id="rId12"/>
    <sheet name="Stock chart post case" sheetId="17" r:id="rId13"/>
    <sheet name="Stock appreciation" sheetId="9" r:id="rId14"/>
    <sheet name="Stock chart full" sheetId="13" r:id="rId15"/>
    <sheet name="Stock data" sheetId="11" r:id="rId16"/>
    <sheet name="Stock splits 1988-1999" sheetId="18" r:id="rId17"/>
  </sheets>
  <externalReferences>
    <externalReference r:id="rId18"/>
  </externalReferences>
  <definedNames>
    <definedName name="_Fill" hidden="1">#REF!</definedName>
    <definedName name="Acquiror" localSheetId="7">#REF!</definedName>
    <definedName name="Acquiror">#REF!</definedName>
    <definedName name="amzn">'[1]Comps (Ex12)'!#REF!</definedName>
    <definedName name="_xlnm.Print_Area" localSheetId="9">'Exhibit 7 (Comps)'!$A$1:$AB$22</definedName>
    <definedName name="asset_write_up" localSheetId="7">#REF!</definedName>
    <definedName name="asset_write_up">#REF!</definedName>
    <definedName name="assets_acq" localSheetId="7">#REF!</definedName>
    <definedName name="assets_acq">#REF!</definedName>
    <definedName name="assets_adj" localSheetId="7">#REF!</definedName>
    <definedName name="assets_adj">#REF!</definedName>
    <definedName name="assets_targ">#REF!</definedName>
    <definedName name="assets_total">#REF!</definedName>
    <definedName name="baseyear">#REF!</definedName>
    <definedName name="book_acq">#REF!</definedName>
    <definedName name="book_new">#REF!</definedName>
    <definedName name="book_targ">#REF!</definedName>
    <definedName name="book_total">#REF!</definedName>
    <definedName name="cap_acq">#REF!</definedName>
    <definedName name="cash_acq">#REF!</definedName>
    <definedName name="cash_per">#REF!</definedName>
    <definedName name="cash_rate">#REF!</definedName>
    <definedName name="cash_targ">#REF!</definedName>
    <definedName name="cash_total">#REF!</definedName>
    <definedName name="CIQWBGuid" hidden="1">"afe9a56e-3065-4ad9-a438-fc9f48600bfd"</definedName>
    <definedName name="date" localSheetId="7">#REF!</definedName>
    <definedName name="date">#REF!</definedName>
    <definedName name="debt_acq">#REF!</definedName>
    <definedName name="debt_adj">#REF!</definedName>
    <definedName name="debt_issue">#REF!</definedName>
    <definedName name="debt_new">#REF!</definedName>
    <definedName name="debt_targ">#REF!</definedName>
    <definedName name="ebdiat_acq">#REF!</definedName>
    <definedName name="ebdiat_targ">#REF!</definedName>
    <definedName name="ebdiat_total">#REF!</definedName>
    <definedName name="ebit_acq">#REF!</definedName>
    <definedName name="ebit_targ">#REF!</definedName>
    <definedName name="ebit_total">#REF!</definedName>
    <definedName name="eps_new1">#REF!</definedName>
    <definedName name="eps_new2">#REF!</definedName>
    <definedName name="eps_new3">#REF!</definedName>
    <definedName name="eps_yr1_acq">#REF!</definedName>
    <definedName name="eps_yr1_targ">#REF!</definedName>
    <definedName name="eps_yr2_acq">#REF!</definedName>
    <definedName name="eps_yr2_targ">#REF!</definedName>
    <definedName name="eps_yr3_acq">#REF!</definedName>
    <definedName name="eps_yr3_targ">#REF!</definedName>
    <definedName name="EQUITY">#REF!</definedName>
    <definedName name="equity_acq">#REF!</definedName>
    <definedName name="equity_targ">#REF!</definedName>
    <definedName name="equity_total">#REF!</definedName>
    <definedName name="exchange">#REF!</definedName>
    <definedName name="fv_acq">#REF!</definedName>
    <definedName name="fv_targ">#REF!</definedName>
    <definedName name="fvcash_acq">#REF!</definedName>
    <definedName name="fvcash_targ">#REF!</definedName>
    <definedName name="gw_adj_1">#REF!</definedName>
    <definedName name="gw_adj_2">#REF!</definedName>
    <definedName name="gw_adj_3">#REF!</definedName>
    <definedName name="gw_new">#REF!</definedName>
    <definedName name="gw_targ">#REF!</definedName>
    <definedName name="gw_target">#REF!</definedName>
    <definedName name="gw_years">#REF!</definedName>
    <definedName name="gwtog">#REF!</definedName>
    <definedName name="int_adj_1">#REF!</definedName>
    <definedName name="int_adj_2">#REF!</definedName>
    <definedName name="int_adj_3">#REF!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"01/29/2013 00:05:37"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ni_acq">#REF!</definedName>
    <definedName name="ni_targ">#REF!</definedName>
    <definedName name="ni_total">#REF!</definedName>
    <definedName name="pref_acq">#REF!</definedName>
    <definedName name="pref_new">#REF!</definedName>
    <definedName name="pref_targ">#REF!</definedName>
    <definedName name="price_acq">#REF!</definedName>
    <definedName name="price_merg">#REF!</definedName>
    <definedName name="price_targ">#REF!</definedName>
    <definedName name="refin_int">#REF!</definedName>
    <definedName name="refin_rate">#REF!</definedName>
    <definedName name="refin_tog">#REF!</definedName>
    <definedName name="rev_acq">#REF!</definedName>
    <definedName name="rev_targ">#REF!</definedName>
    <definedName name="rev_total">#REF!</definedName>
    <definedName name="shos_acq">#REF!</definedName>
    <definedName name="shos_targ">#REF!</definedName>
    <definedName name="syn_adj_1" localSheetId="7">#REF!</definedName>
    <definedName name="syn_adj_1">#REF!</definedName>
    <definedName name="syn_adj_2">#REF!</definedName>
    <definedName name="syn_adj_3">#REF!</definedName>
    <definedName name="Target">#REF!</definedName>
    <definedName name="tax_rate">#REF!</definedName>
    <definedName name="trans_exp">#REF!</definedName>
    <definedName name="transtog">#REF!</definedName>
    <definedName name="VALUATION">#REF!</definedName>
    <definedName name="wacc">#REF!</definedName>
  </definedNames>
  <calcPr calcId="181029" iterate="1"/>
</workbook>
</file>

<file path=xl/calcChain.xml><?xml version="1.0" encoding="utf-8"?>
<calcChain xmlns="http://schemas.openxmlformats.org/spreadsheetml/2006/main">
  <c r="N178" i="8" l="1"/>
  <c r="N176" i="8"/>
  <c r="N175" i="8"/>
  <c r="Y15" i="14"/>
  <c r="Y12" i="14"/>
  <c r="Z12" i="14" s="1"/>
  <c r="P115" i="8"/>
  <c r="P113" i="8"/>
  <c r="P108" i="8"/>
  <c r="P107" i="8"/>
  <c r="P105" i="8"/>
  <c r="L32" i="20" l="1"/>
  <c r="K32" i="20"/>
  <c r="J32" i="20"/>
  <c r="M32" i="20" s="1"/>
  <c r="N172" i="8"/>
  <c r="N170" i="8"/>
  <c r="N169" i="8"/>
  <c r="N166" i="8"/>
  <c r="N167" i="8" s="1"/>
  <c r="N165" i="8"/>
  <c r="N164" i="8"/>
  <c r="N162" i="8"/>
  <c r="N161" i="8"/>
  <c r="N56" i="8"/>
  <c r="G153" i="8"/>
  <c r="F153" i="8"/>
  <c r="E153" i="8"/>
  <c r="D153" i="8"/>
  <c r="C153" i="8"/>
  <c r="I15" i="20"/>
  <c r="I16" i="20" s="1"/>
  <c r="I17" i="20" s="1"/>
  <c r="I18" i="20" s="1"/>
  <c r="N5" i="20"/>
  <c r="N6" i="20" s="1"/>
  <c r="N7" i="20" s="1"/>
  <c r="N8" i="20" s="1"/>
  <c r="N115" i="8"/>
  <c r="N116" i="8" s="1"/>
  <c r="N117" i="8"/>
  <c r="N118" i="8" s="1"/>
  <c r="AC96" i="19"/>
  <c r="AC95" i="19"/>
  <c r="E116" i="8"/>
  <c r="G117" i="8"/>
  <c r="G118" i="8" s="1"/>
  <c r="I118" i="8" s="1"/>
  <c r="G115" i="8"/>
  <c r="F115" i="8"/>
  <c r="F116" i="8" s="1"/>
  <c r="E115" i="8"/>
  <c r="C115" i="8"/>
  <c r="D115" i="8"/>
  <c r="D116" i="8" s="1"/>
  <c r="C117" i="8"/>
  <c r="C118" i="8" s="1"/>
  <c r="R18" i="20"/>
  <c r="R17" i="20"/>
  <c r="R16" i="20"/>
  <c r="R15" i="20"/>
  <c r="R14" i="20"/>
  <c r="R8" i="20"/>
  <c r="R7" i="20"/>
  <c r="R6" i="20"/>
  <c r="R5" i="20"/>
  <c r="R4" i="20"/>
  <c r="L4" i="20"/>
  <c r="J4" i="20"/>
  <c r="C8" i="20"/>
  <c r="C7" i="20"/>
  <c r="C6" i="20"/>
  <c r="C5" i="20"/>
  <c r="C4" i="20"/>
  <c r="I28" i="20"/>
  <c r="I29" i="20" s="1"/>
  <c r="I30" i="20" s="1"/>
  <c r="E15" i="20"/>
  <c r="E16" i="20" s="1"/>
  <c r="E17" i="20" s="1"/>
  <c r="E18" i="20" s="1"/>
  <c r="B15" i="20"/>
  <c r="B16" i="20" s="1"/>
  <c r="B17" i="20" s="1"/>
  <c r="B18" i="20" s="1"/>
  <c r="I5" i="20"/>
  <c r="I6" i="20" s="1"/>
  <c r="I7" i="20" s="1"/>
  <c r="I8" i="20" s="1"/>
  <c r="E5" i="20"/>
  <c r="E6" i="20" s="1"/>
  <c r="E7" i="20" s="1"/>
  <c r="E8" i="20" s="1"/>
  <c r="B5" i="20"/>
  <c r="B6" i="20" s="1"/>
  <c r="B7" i="20" s="1"/>
  <c r="B8" i="20" s="1"/>
  <c r="N119" i="8" l="1"/>
  <c r="N120" i="8" s="1"/>
  <c r="G119" i="8"/>
  <c r="C119" i="8"/>
  <c r="G116" i="8"/>
  <c r="I116" i="8" s="1"/>
  <c r="K18" i="20"/>
  <c r="C116" i="8"/>
  <c r="K14" i="20"/>
  <c r="K15" i="20"/>
  <c r="K16" i="20"/>
  <c r="K17" i="20"/>
  <c r="O4" i="20"/>
  <c r="G120" i="8" l="1"/>
  <c r="N121" i="8"/>
  <c r="N122" i="8" s="1"/>
  <c r="C120" i="8"/>
  <c r="C121" i="8"/>
  <c r="N107" i="8"/>
  <c r="N104" i="8"/>
  <c r="N103" i="8"/>
  <c r="N100" i="8"/>
  <c r="N99" i="8"/>
  <c r="N24" i="8"/>
  <c r="N32" i="8"/>
  <c r="N21" i="8"/>
  <c r="N12" i="8"/>
  <c r="N16" i="8" s="1"/>
  <c r="N58" i="8"/>
  <c r="N44" i="8"/>
  <c r="N108" i="8" s="1"/>
  <c r="N41" i="8"/>
  <c r="N42" i="8" s="1"/>
  <c r="N39" i="8"/>
  <c r="AD97" i="19"/>
  <c r="AD92" i="19"/>
  <c r="AC97" i="19"/>
  <c r="AC92" i="19"/>
  <c r="AC91" i="19"/>
  <c r="AC90" i="19"/>
  <c r="AC89" i="19"/>
  <c r="AC88" i="19"/>
  <c r="AC30" i="19"/>
  <c r="AC24" i="19"/>
  <c r="AC9" i="19"/>
  <c r="AC15" i="19"/>
  <c r="N105" i="8" l="1"/>
  <c r="N111" i="8"/>
  <c r="N101" i="8"/>
  <c r="N109" i="8"/>
  <c r="N25" i="8"/>
  <c r="N33" i="8" s="1"/>
  <c r="N34" i="8" s="1"/>
  <c r="N49" i="8"/>
  <c r="N50" i="8" s="1"/>
  <c r="AC66" i="19"/>
  <c r="AD67" i="19"/>
  <c r="I82" i="19"/>
  <c r="N59" i="8" l="1"/>
  <c r="N52" i="8"/>
  <c r="N53" i="8" s="1"/>
  <c r="X34" i="19"/>
  <c r="U34" i="19"/>
  <c r="N61" i="8" l="1"/>
  <c r="N63" i="8" s="1"/>
  <c r="G77" i="8"/>
  <c r="G86" i="8" s="1"/>
  <c r="F77" i="8"/>
  <c r="F86" i="8" s="1"/>
  <c r="E77" i="8"/>
  <c r="E86" i="8" s="1"/>
  <c r="D77" i="8"/>
  <c r="D86" i="8" s="1"/>
  <c r="C77" i="8"/>
  <c r="C86" i="8" s="1"/>
  <c r="K31" i="19"/>
  <c r="U31" i="19" s="1"/>
  <c r="AC65" i="19" s="1"/>
  <c r="J31" i="19"/>
  <c r="H31" i="19"/>
  <c r="G31" i="19"/>
  <c r="K29" i="19"/>
  <c r="U29" i="19" s="1"/>
  <c r="J29" i="19"/>
  <c r="I29" i="19"/>
  <c r="H29" i="19"/>
  <c r="G29" i="19"/>
  <c r="M30" i="19"/>
  <c r="X30" i="19" s="1"/>
  <c r="K30" i="19"/>
  <c r="J30" i="19"/>
  <c r="I30" i="19"/>
  <c r="H30" i="19"/>
  <c r="G30" i="19"/>
  <c r="K24" i="19"/>
  <c r="U24" i="19" s="1"/>
  <c r="J24" i="19"/>
  <c r="I24" i="19"/>
  <c r="H24" i="19"/>
  <c r="G24" i="19"/>
  <c r="K14" i="19"/>
  <c r="U14" i="19" s="1"/>
  <c r="J14" i="19"/>
  <c r="H14" i="19"/>
  <c r="G14" i="19"/>
  <c r="K15" i="19"/>
  <c r="J15" i="19"/>
  <c r="J25" i="19" s="1"/>
  <c r="I15" i="19"/>
  <c r="I25" i="19" s="1"/>
  <c r="H15" i="19"/>
  <c r="H25" i="19" s="1"/>
  <c r="G15" i="19"/>
  <c r="G25" i="19" s="1"/>
  <c r="M16" i="19"/>
  <c r="X16" i="19" s="1"/>
  <c r="H74" i="19" s="1"/>
  <c r="K8" i="19"/>
  <c r="U8" i="19" s="1"/>
  <c r="AC62" i="19" s="1"/>
  <c r="J8" i="19"/>
  <c r="I8" i="19"/>
  <c r="H8" i="19"/>
  <c r="G8" i="19"/>
  <c r="L32" i="19"/>
  <c r="AC32" i="19"/>
  <c r="AD98" i="19"/>
  <c r="AC17" i="19"/>
  <c r="L12" i="19"/>
  <c r="H6" i="19"/>
  <c r="I6" i="19" s="1"/>
  <c r="J6" i="19" s="1"/>
  <c r="K6" i="19" s="1"/>
  <c r="O15" i="19" l="1"/>
  <c r="H32" i="19"/>
  <c r="K32" i="19"/>
  <c r="U30" i="19"/>
  <c r="K25" i="19"/>
  <c r="U25" i="19" s="1"/>
  <c r="U15" i="19"/>
  <c r="AC58" i="19"/>
  <c r="AC27" i="19"/>
  <c r="J32" i="19"/>
  <c r="O30" i="19"/>
  <c r="O29" i="19"/>
  <c r="O24" i="19"/>
  <c r="AC93" i="19"/>
  <c r="G32" i="19"/>
  <c r="O8" i="19"/>
  <c r="H62" i="19" s="1"/>
  <c r="AC12" i="19"/>
  <c r="AC21" i="19" s="1"/>
  <c r="AD8" i="19" s="1"/>
  <c r="O25" i="19" l="1"/>
  <c r="AC36" i="19"/>
  <c r="AD34" i="19" s="1"/>
  <c r="AC98" i="19"/>
  <c r="AC99" i="19" s="1"/>
  <c r="AD29" i="19" l="1"/>
  <c r="AD31" i="19"/>
  <c r="AD14" i="19"/>
  <c r="AC38" i="19"/>
  <c r="AD25" i="19"/>
  <c r="AD24" i="19"/>
  <c r="AD9" i="19"/>
  <c r="AD16" i="19"/>
  <c r="AD30" i="19"/>
  <c r="AD23" i="19"/>
  <c r="AD15" i="19"/>
  <c r="AD19" i="19"/>
  <c r="AD10" i="19"/>
  <c r="F213" i="8"/>
  <c r="F210" i="8"/>
  <c r="G213" i="8"/>
  <c r="G210" i="8"/>
  <c r="I224" i="8"/>
  <c r="K27" i="13"/>
  <c r="J27" i="13"/>
  <c r="I27" i="13"/>
  <c r="H27" i="13"/>
  <c r="K26" i="13"/>
  <c r="J26" i="13"/>
  <c r="I26" i="13"/>
  <c r="H26" i="13"/>
  <c r="K25" i="13"/>
  <c r="J25" i="13"/>
  <c r="I25" i="13"/>
  <c r="H25" i="13"/>
  <c r="K24" i="13"/>
  <c r="J24" i="13"/>
  <c r="I24" i="13"/>
  <c r="H24" i="13"/>
  <c r="K23" i="13"/>
  <c r="J23" i="13"/>
  <c r="I23" i="13"/>
  <c r="H23" i="13"/>
  <c r="K22" i="13"/>
  <c r="J22" i="13"/>
  <c r="I22" i="13"/>
  <c r="H22" i="13"/>
  <c r="K21" i="13"/>
  <c r="J21" i="13"/>
  <c r="I21" i="13"/>
  <c r="H21" i="13"/>
  <c r="K20" i="13"/>
  <c r="J20" i="13"/>
  <c r="I20" i="13"/>
  <c r="H20" i="13"/>
  <c r="K19" i="13"/>
  <c r="J19" i="13"/>
  <c r="I19" i="13"/>
  <c r="H19" i="13"/>
  <c r="K18" i="13"/>
  <c r="J18" i="13"/>
  <c r="I18" i="13"/>
  <c r="H18" i="13"/>
  <c r="K17" i="13"/>
  <c r="J17" i="13"/>
  <c r="I17" i="13"/>
  <c r="H17" i="13"/>
  <c r="K16" i="13"/>
  <c r="J16" i="13"/>
  <c r="I16" i="13"/>
  <c r="H16" i="13"/>
  <c r="K15" i="13"/>
  <c r="J15" i="13"/>
  <c r="I15" i="13"/>
  <c r="H15" i="13"/>
  <c r="K14" i="13"/>
  <c r="J14" i="13"/>
  <c r="I14" i="13"/>
  <c r="H14" i="13"/>
  <c r="K13" i="13"/>
  <c r="J13" i="13"/>
  <c r="I13" i="13"/>
  <c r="H13" i="13"/>
  <c r="K12" i="13"/>
  <c r="J12" i="13"/>
  <c r="I12" i="13"/>
  <c r="H12" i="13"/>
  <c r="K11" i="13"/>
  <c r="J11" i="13"/>
  <c r="I11" i="13"/>
  <c r="H11" i="13"/>
  <c r="K10" i="13"/>
  <c r="J10" i="13"/>
  <c r="I10" i="13"/>
  <c r="H10" i="13"/>
  <c r="K9" i="13"/>
  <c r="J9" i="13"/>
  <c r="I9" i="13"/>
  <c r="H9" i="13"/>
  <c r="K8" i="13"/>
  <c r="J8" i="13"/>
  <c r="I8" i="13"/>
  <c r="H8" i="13"/>
  <c r="K7" i="13"/>
  <c r="J7" i="13"/>
  <c r="I7" i="13"/>
  <c r="H7" i="13"/>
  <c r="K6" i="13"/>
  <c r="J6" i="13"/>
  <c r="I6" i="13"/>
  <c r="H6" i="13"/>
  <c r="K5" i="13"/>
  <c r="J5" i="13"/>
  <c r="I5" i="13"/>
  <c r="H5" i="13"/>
  <c r="K4" i="13"/>
  <c r="J4" i="13"/>
  <c r="I4" i="13"/>
  <c r="H4" i="13"/>
  <c r="K3" i="13"/>
  <c r="J3" i="13"/>
  <c r="I3" i="13"/>
  <c r="F40" i="9"/>
  <c r="E40" i="9"/>
  <c r="D40" i="9"/>
  <c r="C40" i="9"/>
  <c r="B40" i="9"/>
  <c r="C36" i="9"/>
  <c r="B36" i="9"/>
  <c r="F39" i="9"/>
  <c r="E39" i="9"/>
  <c r="D39" i="9"/>
  <c r="C39" i="9"/>
  <c r="C35" i="9"/>
  <c r="B39" i="9"/>
  <c r="B35" i="9"/>
  <c r="F35" i="9"/>
  <c r="E35" i="9"/>
  <c r="D35" i="9"/>
  <c r="C14" i="16"/>
  <c r="B14" i="16"/>
  <c r="A14" i="16"/>
  <c r="F38" i="9"/>
  <c r="E38" i="9"/>
  <c r="D38" i="9"/>
  <c r="C38" i="9"/>
  <c r="B38" i="9"/>
  <c r="B34" i="9"/>
  <c r="E9" i="18"/>
  <c r="E10" i="18"/>
  <c r="E11" i="18"/>
  <c r="E12" i="18"/>
  <c r="E13" i="18"/>
  <c r="F13" i="18"/>
  <c r="G13" i="18"/>
  <c r="E8" i="18"/>
  <c r="E7" i="18"/>
  <c r="F7" i="18"/>
  <c r="F6" i="18"/>
  <c r="E12" i="17"/>
  <c r="D12" i="17"/>
  <c r="C12" i="17"/>
  <c r="B12" i="17"/>
  <c r="A12" i="17"/>
  <c r="K10" i="17"/>
  <c r="J10" i="17"/>
  <c r="I10" i="17"/>
  <c r="H10" i="17"/>
  <c r="K9" i="17"/>
  <c r="J9" i="17"/>
  <c r="I9" i="17"/>
  <c r="H9" i="17"/>
  <c r="K8" i="17"/>
  <c r="J8" i="17"/>
  <c r="I8" i="17"/>
  <c r="H8" i="17"/>
  <c r="K7" i="17"/>
  <c r="J7" i="17"/>
  <c r="I7" i="17"/>
  <c r="H7" i="17"/>
  <c r="K6" i="17"/>
  <c r="J6" i="17"/>
  <c r="I6" i="17"/>
  <c r="H6" i="17"/>
  <c r="K5" i="17"/>
  <c r="J5" i="17"/>
  <c r="I5" i="17"/>
  <c r="H5" i="17"/>
  <c r="K4" i="17"/>
  <c r="J4" i="17"/>
  <c r="I4" i="17"/>
  <c r="H4" i="17"/>
  <c r="K3" i="17"/>
  <c r="J3" i="17"/>
  <c r="I3" i="17"/>
  <c r="H3" i="17"/>
  <c r="D12" i="14"/>
  <c r="C12" i="14" s="1"/>
  <c r="G10" i="16"/>
  <c r="N10" i="14"/>
  <c r="N12" i="14"/>
  <c r="N8" i="14"/>
  <c r="M15" i="14"/>
  <c r="N15" i="14"/>
  <c r="S8" i="14"/>
  <c r="Z17" i="14" s="1"/>
  <c r="Z10" i="14"/>
  <c r="D8" i="14"/>
  <c r="C8" i="14" s="1"/>
  <c r="P8" i="14"/>
  <c r="Q8" i="14" s="1"/>
  <c r="H8" i="14"/>
  <c r="W8" i="14" s="1"/>
  <c r="I8" i="14"/>
  <c r="D10" i="14"/>
  <c r="C10" i="14" s="1"/>
  <c r="T10" i="14"/>
  <c r="P10" i="14"/>
  <c r="Q10" i="14" s="1"/>
  <c r="H10" i="14"/>
  <c r="I10" i="14"/>
  <c r="T12" i="14"/>
  <c r="P12" i="14"/>
  <c r="P13" i="15"/>
  <c r="P14" i="15"/>
  <c r="P15" i="15"/>
  <c r="P16" i="15"/>
  <c r="P17" i="15"/>
  <c r="P18" i="15"/>
  <c r="P19" i="15"/>
  <c r="P20" i="15"/>
  <c r="P21" i="15"/>
  <c r="P22" i="15"/>
  <c r="F6" i="15"/>
  <c r="F60" i="15"/>
  <c r="E60" i="15"/>
  <c r="D60" i="15"/>
  <c r="F59" i="15"/>
  <c r="E59" i="15"/>
  <c r="D59" i="15"/>
  <c r="F58" i="15"/>
  <c r="E58" i="15"/>
  <c r="D58" i="15"/>
  <c r="F57" i="15"/>
  <c r="E57" i="15"/>
  <c r="D57" i="15"/>
  <c r="F56" i="15"/>
  <c r="E56" i="15"/>
  <c r="D56" i="15"/>
  <c r="F55" i="15"/>
  <c r="E55" i="15"/>
  <c r="D55" i="15"/>
  <c r="F54" i="15"/>
  <c r="E54" i="15"/>
  <c r="D54" i="15"/>
  <c r="F53" i="15"/>
  <c r="E53" i="15"/>
  <c r="D53" i="15"/>
  <c r="F52" i="15"/>
  <c r="E52" i="15"/>
  <c r="D52" i="15"/>
  <c r="F51" i="15"/>
  <c r="E51" i="15"/>
  <c r="D51" i="15"/>
  <c r="F50" i="15"/>
  <c r="E50" i="15"/>
  <c r="D50" i="15"/>
  <c r="F49" i="15"/>
  <c r="E49" i="15"/>
  <c r="D49" i="15"/>
  <c r="F48" i="15"/>
  <c r="E48" i="15"/>
  <c r="D48" i="15"/>
  <c r="F47" i="15"/>
  <c r="E47" i="15"/>
  <c r="D47" i="15"/>
  <c r="F46" i="15"/>
  <c r="E46" i="15"/>
  <c r="D46" i="15"/>
  <c r="F45" i="15"/>
  <c r="E45" i="15"/>
  <c r="D45" i="15"/>
  <c r="F44" i="15"/>
  <c r="E44" i="15"/>
  <c r="D44" i="15"/>
  <c r="F43" i="15"/>
  <c r="E43" i="15"/>
  <c r="D43" i="15"/>
  <c r="F42" i="15"/>
  <c r="E42" i="15"/>
  <c r="D42" i="15"/>
  <c r="F41" i="15"/>
  <c r="E41" i="15"/>
  <c r="D41" i="15"/>
  <c r="F40" i="15"/>
  <c r="E40" i="15"/>
  <c r="D40" i="15"/>
  <c r="F39" i="15"/>
  <c r="E39" i="15"/>
  <c r="D39" i="15"/>
  <c r="F38" i="15"/>
  <c r="E38" i="15"/>
  <c r="D38" i="15"/>
  <c r="F37" i="15"/>
  <c r="E37" i="15"/>
  <c r="D37" i="15"/>
  <c r="F36" i="15"/>
  <c r="E36" i="15"/>
  <c r="D36" i="15"/>
  <c r="E8" i="15"/>
  <c r="E7" i="15"/>
  <c r="C34" i="9"/>
  <c r="F9" i="18"/>
  <c r="G9" i="18"/>
  <c r="F12" i="18"/>
  <c r="G12" i="18"/>
  <c r="F11" i="18"/>
  <c r="G11" i="18"/>
  <c r="F10" i="18"/>
  <c r="G10" i="18"/>
  <c r="F8" i="18"/>
  <c r="G7" i="18"/>
  <c r="G6" i="18"/>
  <c r="G11" i="16"/>
  <c r="G22" i="16"/>
  <c r="G4" i="16"/>
  <c r="G5" i="16"/>
  <c r="G6" i="16"/>
  <c r="G3" i="16"/>
  <c r="G12" i="16"/>
  <c r="G7" i="16"/>
  <c r="G8" i="16"/>
  <c r="G9" i="16"/>
  <c r="G20" i="16"/>
  <c r="F7" i="15"/>
  <c r="R52" i="15"/>
  <c r="Q52" i="15"/>
  <c r="F8" i="15"/>
  <c r="R55" i="15"/>
  <c r="Q55" i="15"/>
  <c r="R54" i="15"/>
  <c r="Q54" i="15"/>
  <c r="G7" i="15"/>
  <c r="R47" i="15"/>
  <c r="Q47" i="15"/>
  <c r="R39" i="15"/>
  <c r="Q39" i="15"/>
  <c r="R38" i="15"/>
  <c r="Q38" i="15"/>
  <c r="R50" i="15"/>
  <c r="Q50" i="15"/>
  <c r="R42" i="15"/>
  <c r="Q42" i="15"/>
  <c r="R45" i="15"/>
  <c r="Q45" i="15"/>
  <c r="R46" i="15"/>
  <c r="Q46" i="15"/>
  <c r="R41" i="15"/>
  <c r="Q41" i="15"/>
  <c r="R48" i="15"/>
  <c r="Q48" i="15"/>
  <c r="R40" i="15"/>
  <c r="Q40" i="15"/>
  <c r="R49" i="15"/>
  <c r="Q49" i="15"/>
  <c r="R51" i="15"/>
  <c r="Q51" i="15"/>
  <c r="R56" i="15"/>
  <c r="Q56" i="15"/>
  <c r="G8" i="15"/>
  <c r="C18" i="15"/>
  <c r="B8" i="16"/>
  <c r="R59" i="15"/>
  <c r="Q59" i="15"/>
  <c r="G18" i="16"/>
  <c r="G16" i="16"/>
  <c r="G17" i="16"/>
  <c r="G19" i="16"/>
  <c r="G23" i="16"/>
  <c r="G21" i="16"/>
  <c r="C15" i="15"/>
  <c r="B5" i="16"/>
  <c r="G15" i="16"/>
  <c r="G8" i="18"/>
  <c r="R43" i="15"/>
  <c r="Q43" i="15"/>
  <c r="R53" i="15"/>
  <c r="Q53" i="15"/>
  <c r="R44" i="15"/>
  <c r="Q44" i="15"/>
  <c r="C16" i="15"/>
  <c r="B6" i="16"/>
  <c r="R58" i="15"/>
  <c r="Q58" i="15"/>
  <c r="C13" i="15"/>
  <c r="B3" i="16"/>
  <c r="C17" i="15"/>
  <c r="C19" i="15"/>
  <c r="B9" i="16"/>
  <c r="R57" i="15"/>
  <c r="Q57" i="15"/>
  <c r="C21" i="15"/>
  <c r="B11" i="16"/>
  <c r="C14" i="15"/>
  <c r="B4" i="16"/>
  <c r="C20" i="15"/>
  <c r="B10" i="16"/>
  <c r="C22" i="15"/>
  <c r="B12" i="16"/>
  <c r="R36" i="15"/>
  <c r="Q36" i="15"/>
  <c r="G6" i="15"/>
  <c r="R37" i="15"/>
  <c r="Q37" i="15"/>
  <c r="R60" i="15"/>
  <c r="Q60" i="15"/>
  <c r="B7" i="16"/>
  <c r="F7" i="16"/>
  <c r="F9" i="16"/>
  <c r="F12" i="16"/>
  <c r="F6" i="16"/>
  <c r="F3" i="16"/>
  <c r="F10" i="16"/>
  <c r="F21" i="16"/>
  <c r="F4" i="16"/>
  <c r="F8" i="16"/>
  <c r="D15" i="14"/>
  <c r="C15" i="14" s="1"/>
  <c r="F11" i="16"/>
  <c r="F5" i="16"/>
  <c r="I15" i="14"/>
  <c r="H15" i="14"/>
  <c r="G12" i="14"/>
  <c r="H3" i="13"/>
  <c r="F30" i="9"/>
  <c r="F36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S9" i="11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I31" i="8"/>
  <c r="G32" i="8"/>
  <c r="G175" i="8" s="1"/>
  <c r="C69" i="8"/>
  <c r="D69" i="8"/>
  <c r="E69" i="8"/>
  <c r="I72" i="8"/>
  <c r="M9" i="19" s="1"/>
  <c r="X9" i="19" s="1"/>
  <c r="C199" i="8"/>
  <c r="C202" i="8" s="1"/>
  <c r="G57" i="8"/>
  <c r="E56" i="8"/>
  <c r="D56" i="8"/>
  <c r="D57" i="8" s="1"/>
  <c r="C56" i="8"/>
  <c r="C57" i="8" s="1"/>
  <c r="G194" i="8"/>
  <c r="I192" i="8" s="1"/>
  <c r="I194" i="8" s="1"/>
  <c r="I196" i="8" s="1"/>
  <c r="I56" i="8" s="1"/>
  <c r="F194" i="8"/>
  <c r="G192" i="8" s="1"/>
  <c r="E194" i="8"/>
  <c r="D194" i="8"/>
  <c r="E192" i="8" s="1"/>
  <c r="C194" i="8"/>
  <c r="B194" i="8"/>
  <c r="C192" i="8" s="1"/>
  <c r="I88" i="8"/>
  <c r="M31" i="19" s="1"/>
  <c r="X31" i="19" s="1"/>
  <c r="H80" i="19" s="1"/>
  <c r="I28" i="8"/>
  <c r="I24" i="8"/>
  <c r="I15" i="8"/>
  <c r="G187" i="8"/>
  <c r="F187" i="8"/>
  <c r="E187" i="8"/>
  <c r="D187" i="8"/>
  <c r="C187" i="8"/>
  <c r="G183" i="8"/>
  <c r="F183" i="8"/>
  <c r="E183" i="8"/>
  <c r="D183" i="8"/>
  <c r="C183" i="8"/>
  <c r="G184" i="8"/>
  <c r="I181" i="8" s="1"/>
  <c r="F184" i="8"/>
  <c r="G181" i="8" s="1"/>
  <c r="E184" i="8"/>
  <c r="F181" i="8" s="1"/>
  <c r="D184" i="8"/>
  <c r="E181" i="8" s="1"/>
  <c r="C184" i="8"/>
  <c r="D181" i="8" s="1"/>
  <c r="B184" i="8"/>
  <c r="C181" i="8" s="1"/>
  <c r="C175" i="8"/>
  <c r="G108" i="8"/>
  <c r="G200" i="8" s="1"/>
  <c r="G158" i="8"/>
  <c r="F158" i="8"/>
  <c r="E158" i="8"/>
  <c r="D158" i="8"/>
  <c r="C158" i="8"/>
  <c r="B25" i="8"/>
  <c r="B33" i="8" s="1"/>
  <c r="B34" i="8" s="1"/>
  <c r="C25" i="8"/>
  <c r="C39" i="8"/>
  <c r="C149" i="8" s="1"/>
  <c r="I74" i="8"/>
  <c r="M8" i="19" s="1"/>
  <c r="X8" i="19" s="1"/>
  <c r="H77" i="19" s="1"/>
  <c r="I38" i="8"/>
  <c r="I149" i="8"/>
  <c r="C135" i="8"/>
  <c r="C136" i="8" s="1"/>
  <c r="D135" i="8"/>
  <c r="D136" i="8" s="1"/>
  <c r="D172" i="8" s="1"/>
  <c r="E135" i="8"/>
  <c r="E136" i="8" s="1"/>
  <c r="E172" i="8" s="1"/>
  <c r="F135" i="8"/>
  <c r="F136" i="8" s="1"/>
  <c r="F172" i="8" s="1"/>
  <c r="G135" i="8"/>
  <c r="G136" i="8" s="1"/>
  <c r="G172" i="8" s="1"/>
  <c r="F34" i="9"/>
  <c r="E34" i="9"/>
  <c r="E36" i="9"/>
  <c r="D36" i="9"/>
  <c r="D34" i="9"/>
  <c r="F15" i="16"/>
  <c r="F17" i="16"/>
  <c r="F23" i="16"/>
  <c r="F18" i="16"/>
  <c r="F19" i="16"/>
  <c r="F16" i="16"/>
  <c r="F22" i="16"/>
  <c r="F20" i="16"/>
  <c r="I29" i="8"/>
  <c r="D127" i="8"/>
  <c r="E127" i="8"/>
  <c r="G127" i="8"/>
  <c r="G129" i="8" s="1"/>
  <c r="C132" i="8"/>
  <c r="C133" i="8" s="1"/>
  <c r="D132" i="8"/>
  <c r="D133" i="8" s="1"/>
  <c r="E132" i="8"/>
  <c r="F132" i="8"/>
  <c r="F133" i="8" s="1"/>
  <c r="G132" i="8"/>
  <c r="G133" i="8" s="1"/>
  <c r="D125" i="8"/>
  <c r="E125" i="8"/>
  <c r="F125" i="8"/>
  <c r="I143" i="8"/>
  <c r="G45" i="8"/>
  <c r="G47" i="8" s="1"/>
  <c r="G48" i="8" s="1"/>
  <c r="I48" i="8" s="1"/>
  <c r="C90" i="8"/>
  <c r="G16" i="19" s="1"/>
  <c r="D90" i="8"/>
  <c r="H16" i="19" s="1"/>
  <c r="E88" i="8"/>
  <c r="E87" i="8"/>
  <c r="E90" i="8"/>
  <c r="I16" i="19" s="1"/>
  <c r="E83" i="8"/>
  <c r="I14" i="19" s="1"/>
  <c r="D75" i="8"/>
  <c r="E75" i="8"/>
  <c r="C44" i="8"/>
  <c r="C108" i="8" s="1"/>
  <c r="C200" i="8" s="1"/>
  <c r="D44" i="8"/>
  <c r="D108" i="8" s="1"/>
  <c r="E44" i="8"/>
  <c r="E108" i="8" s="1"/>
  <c r="F44" i="8"/>
  <c r="F108" i="8" s="1"/>
  <c r="F200" i="8" s="1"/>
  <c r="F31" i="8"/>
  <c r="F29" i="8"/>
  <c r="F28" i="8"/>
  <c r="F20" i="8"/>
  <c r="F117" i="8" s="1"/>
  <c r="F118" i="8" s="1"/>
  <c r="C92" i="8"/>
  <c r="G42" i="19" s="1"/>
  <c r="G43" i="19" s="1"/>
  <c r="G19" i="19" s="1"/>
  <c r="D93" i="8"/>
  <c r="D94" i="8"/>
  <c r="E94" i="8"/>
  <c r="E199" i="8" s="1"/>
  <c r="E202" i="8" s="1"/>
  <c r="F94" i="8"/>
  <c r="F199" i="8" s="1"/>
  <c r="G94" i="8"/>
  <c r="G199" i="8" s="1"/>
  <c r="G202" i="8" s="1"/>
  <c r="F90" i="8"/>
  <c r="J16" i="19" s="1"/>
  <c r="G90" i="8"/>
  <c r="K16" i="19" s="1"/>
  <c r="U16" i="19" s="1"/>
  <c r="AC59" i="19" s="1"/>
  <c r="C112" i="8"/>
  <c r="C104" i="8"/>
  <c r="C100" i="8"/>
  <c r="G39" i="8"/>
  <c r="G224" i="8" s="1"/>
  <c r="F39" i="8"/>
  <c r="F224" i="8" s="1"/>
  <c r="E39" i="8"/>
  <c r="E149" i="8" s="1"/>
  <c r="D39" i="8"/>
  <c r="D149" i="8" s="1"/>
  <c r="G104" i="8"/>
  <c r="G103" i="8"/>
  <c r="F104" i="8"/>
  <c r="F103" i="8"/>
  <c r="E104" i="8"/>
  <c r="E103" i="8"/>
  <c r="D104" i="8"/>
  <c r="D103" i="8"/>
  <c r="D107" i="8"/>
  <c r="E107" i="8"/>
  <c r="F107" i="8"/>
  <c r="G107" i="8"/>
  <c r="G100" i="8"/>
  <c r="F100" i="8"/>
  <c r="E100" i="8"/>
  <c r="D100" i="8"/>
  <c r="D99" i="8"/>
  <c r="G99" i="8"/>
  <c r="F99" i="8"/>
  <c r="E99" i="8"/>
  <c r="G69" i="8"/>
  <c r="F69" i="8"/>
  <c r="F75" i="8"/>
  <c r="G75" i="8"/>
  <c r="E58" i="8"/>
  <c r="G41" i="8"/>
  <c r="G42" i="8" s="1"/>
  <c r="I42" i="8" s="1"/>
  <c r="F41" i="8"/>
  <c r="F42" i="8" s="1"/>
  <c r="F150" i="8" s="1"/>
  <c r="E41" i="8"/>
  <c r="E42" i="8" s="1"/>
  <c r="E150" i="8" s="1"/>
  <c r="D41" i="8"/>
  <c r="D42" i="8" s="1"/>
  <c r="D150" i="8" s="1"/>
  <c r="C41" i="8"/>
  <c r="C42" i="8" s="1"/>
  <c r="C150" i="8" s="1"/>
  <c r="E28" i="8"/>
  <c r="E31" i="8"/>
  <c r="E29" i="8"/>
  <c r="E20" i="8"/>
  <c r="E117" i="8" s="1"/>
  <c r="E118" i="8" s="1"/>
  <c r="D29" i="8"/>
  <c r="D32" i="8" s="1"/>
  <c r="G21" i="8"/>
  <c r="G25" i="8" s="1"/>
  <c r="K8" i="20" s="1"/>
  <c r="D20" i="8"/>
  <c r="D117" i="8" s="1"/>
  <c r="D118" i="8" s="1"/>
  <c r="D12" i="8"/>
  <c r="D16" i="8" s="1"/>
  <c r="J5" i="20" s="1"/>
  <c r="G12" i="8"/>
  <c r="F12" i="8"/>
  <c r="F16" i="8" s="1"/>
  <c r="J7" i="20" s="1"/>
  <c r="E12" i="8"/>
  <c r="E16" i="8" s="1"/>
  <c r="J6" i="20" s="1"/>
  <c r="G49" i="8"/>
  <c r="G10" i="14" l="1"/>
  <c r="K10" i="14" s="1"/>
  <c r="AB10" i="14" s="1"/>
  <c r="W10" i="14"/>
  <c r="Q12" i="14"/>
  <c r="W12" i="14"/>
  <c r="V10" i="14"/>
  <c r="V15" i="14"/>
  <c r="G8" i="14"/>
  <c r="K8" i="14" s="1"/>
  <c r="AB8" i="14" s="1"/>
  <c r="V8" i="14"/>
  <c r="AD12" i="14"/>
  <c r="V12" i="14"/>
  <c r="K12" i="14"/>
  <c r="AB12" i="14" s="1"/>
  <c r="AD8" i="14"/>
  <c r="AD17" i="14" s="1"/>
  <c r="AD10" i="14"/>
  <c r="Z8" i="14"/>
  <c r="T8" i="14"/>
  <c r="C70" i="8"/>
  <c r="G10" i="19" s="1"/>
  <c r="C113" i="8"/>
  <c r="G109" i="8"/>
  <c r="I100" i="8"/>
  <c r="I115" i="8"/>
  <c r="I11" i="8" s="1"/>
  <c r="I117" i="8"/>
  <c r="I20" i="8" s="1"/>
  <c r="C45" i="8"/>
  <c r="C47" i="8" s="1"/>
  <c r="C48" i="8" s="1"/>
  <c r="D182" i="8"/>
  <c r="D185" i="8" s="1"/>
  <c r="I119" i="8"/>
  <c r="D119" i="8"/>
  <c r="E119" i="8"/>
  <c r="F119" i="8"/>
  <c r="G15" i="14"/>
  <c r="K15" i="14" s="1"/>
  <c r="E193" i="8"/>
  <c r="E72" i="8" s="1"/>
  <c r="I9" i="19" s="1"/>
  <c r="F32" i="8"/>
  <c r="L7" i="20" s="1"/>
  <c r="O7" i="20" s="1"/>
  <c r="C49" i="8"/>
  <c r="C59" i="8" s="1"/>
  <c r="C61" i="8" s="1"/>
  <c r="C14" i="20" s="1"/>
  <c r="E105" i="8"/>
  <c r="G149" i="8"/>
  <c r="F111" i="8"/>
  <c r="G111" i="8"/>
  <c r="N112" i="8" s="1"/>
  <c r="N113" i="8" s="1"/>
  <c r="F105" i="8"/>
  <c r="F165" i="8" s="1"/>
  <c r="K29" i="20" s="1"/>
  <c r="E21" i="8"/>
  <c r="E25" i="8" s="1"/>
  <c r="E131" i="8"/>
  <c r="G101" i="8"/>
  <c r="F109" i="8"/>
  <c r="D92" i="8"/>
  <c r="H42" i="19" s="1"/>
  <c r="H44" i="19" s="1"/>
  <c r="H34" i="19" s="1"/>
  <c r="F21" i="8"/>
  <c r="F25" i="8" s="1"/>
  <c r="K7" i="20" s="1"/>
  <c r="D21" i="8"/>
  <c r="D25" i="8" s="1"/>
  <c r="E45" i="8"/>
  <c r="E47" i="8" s="1"/>
  <c r="E48" i="8" s="1"/>
  <c r="E101" i="8"/>
  <c r="E164" i="8" s="1"/>
  <c r="J28" i="20" s="1"/>
  <c r="D188" i="8"/>
  <c r="E197" i="8"/>
  <c r="G197" i="8" s="1"/>
  <c r="G196" i="8" s="1"/>
  <c r="I45" i="8"/>
  <c r="D101" i="8"/>
  <c r="D164" i="8" s="1"/>
  <c r="J27" i="20" s="1"/>
  <c r="G105" i="8"/>
  <c r="G165" i="8" s="1"/>
  <c r="K30" i="20" s="1"/>
  <c r="F93" i="8"/>
  <c r="F92" i="8" s="1"/>
  <c r="J42" i="19" s="1"/>
  <c r="J43" i="19" s="1"/>
  <c r="J19" i="19" s="1"/>
  <c r="I75" i="8"/>
  <c r="I213" i="8"/>
  <c r="C9" i="20"/>
  <c r="C11" i="20" s="1"/>
  <c r="G59" i="8"/>
  <c r="G61" i="8" s="1"/>
  <c r="C18" i="20" s="1"/>
  <c r="F8" i="20"/>
  <c r="C33" i="8"/>
  <c r="C34" i="8" s="1"/>
  <c r="K4" i="20"/>
  <c r="I47" i="8"/>
  <c r="F192" i="8"/>
  <c r="F193" i="8" s="1"/>
  <c r="F72" i="8" s="1"/>
  <c r="J9" i="19" s="1"/>
  <c r="D175" i="8"/>
  <c r="L5" i="20"/>
  <c r="O5" i="20" s="1"/>
  <c r="G162" i="8"/>
  <c r="I136" i="8"/>
  <c r="I172" i="8" s="1"/>
  <c r="E188" i="8"/>
  <c r="I218" i="8"/>
  <c r="L8" i="20"/>
  <c r="O8" i="20" s="1"/>
  <c r="E49" i="8"/>
  <c r="E155" i="8" s="1"/>
  <c r="E57" i="8"/>
  <c r="D45" i="8"/>
  <c r="D46" i="8" s="1"/>
  <c r="F91" i="8"/>
  <c r="J40" i="19" s="1"/>
  <c r="C188" i="8"/>
  <c r="AD12" i="19"/>
  <c r="AD27" i="19"/>
  <c r="AD32" i="19"/>
  <c r="AD21" i="19"/>
  <c r="AD36" i="19"/>
  <c r="AD17" i="19"/>
  <c r="F45" i="8"/>
  <c r="I93" i="8"/>
  <c r="E91" i="8"/>
  <c r="E133" i="8"/>
  <c r="G50" i="8"/>
  <c r="G151" i="8" s="1"/>
  <c r="F49" i="8"/>
  <c r="F7" i="20" s="1"/>
  <c r="G7" i="20" s="1"/>
  <c r="G16" i="8"/>
  <c r="J8" i="20" s="1"/>
  <c r="S8" i="20" s="1"/>
  <c r="E32" i="8"/>
  <c r="L6" i="20" s="1"/>
  <c r="O6" i="20" s="1"/>
  <c r="D111" i="8"/>
  <c r="D131" i="8"/>
  <c r="E182" i="8"/>
  <c r="E185" i="8" s="1"/>
  <c r="G33" i="8"/>
  <c r="D91" i="8"/>
  <c r="H40" i="19" s="1"/>
  <c r="F101" i="8"/>
  <c r="F164" i="8" s="1"/>
  <c r="J29" i="20" s="1"/>
  <c r="I210" i="8"/>
  <c r="G131" i="8"/>
  <c r="I138" i="8" s="1"/>
  <c r="I139" i="8" s="1"/>
  <c r="I132" i="8"/>
  <c r="C182" i="8"/>
  <c r="C185" i="8" s="1"/>
  <c r="G52" i="8"/>
  <c r="P15" i="14" s="1"/>
  <c r="Q15" i="14" s="1"/>
  <c r="G150" i="8"/>
  <c r="F149" i="8"/>
  <c r="E93" i="8"/>
  <c r="E92" i="8" s="1"/>
  <c r="I42" i="19" s="1"/>
  <c r="I44" i="19" s="1"/>
  <c r="I34" i="19" s="1"/>
  <c r="G125" i="8"/>
  <c r="I142" i="8" s="1"/>
  <c r="G201" i="8"/>
  <c r="I201" i="8" s="1"/>
  <c r="I150" i="8"/>
  <c r="I41" i="8"/>
  <c r="I40" i="8" s="1"/>
  <c r="I104" i="8" s="1"/>
  <c r="E200" i="8"/>
  <c r="E201" i="8" s="1"/>
  <c r="E109" i="8"/>
  <c r="E166" i="8" s="1"/>
  <c r="L28" i="20" s="1"/>
  <c r="G155" i="8"/>
  <c r="G214" i="8"/>
  <c r="G212" i="8" s="1"/>
  <c r="G217" i="8"/>
  <c r="G188" i="8"/>
  <c r="I188" i="8" s="1"/>
  <c r="G182" i="8"/>
  <c r="G185" i="8" s="1"/>
  <c r="E161" i="8"/>
  <c r="D109" i="8"/>
  <c r="D166" i="8" s="1"/>
  <c r="L27" i="20" s="1"/>
  <c r="D200" i="8"/>
  <c r="F175" i="8"/>
  <c r="G218" i="8"/>
  <c r="F202" i="8"/>
  <c r="F201" i="8"/>
  <c r="C193" i="8"/>
  <c r="C72" i="8" s="1"/>
  <c r="G9" i="19" s="1"/>
  <c r="G193" i="8"/>
  <c r="G72" i="8" s="1"/>
  <c r="K9" i="19" s="1"/>
  <c r="U9" i="19" s="1"/>
  <c r="G166" i="8"/>
  <c r="L30" i="20" s="1"/>
  <c r="G161" i="8"/>
  <c r="F182" i="8"/>
  <c r="F185" i="8" s="1"/>
  <c r="H17" i="19"/>
  <c r="D105" i="8"/>
  <c r="D165" i="8" s="1"/>
  <c r="K27" i="20" s="1"/>
  <c r="G91" i="8"/>
  <c r="K40" i="19" s="1"/>
  <c r="C91" i="8"/>
  <c r="G40" i="19" s="1"/>
  <c r="D199" i="8"/>
  <c r="F188" i="8"/>
  <c r="E111" i="8"/>
  <c r="J17" i="19"/>
  <c r="I17" i="19"/>
  <c r="O14" i="19"/>
  <c r="H58" i="19" s="1"/>
  <c r="C201" i="8"/>
  <c r="G17" i="19"/>
  <c r="O16" i="19"/>
  <c r="H59" i="19" s="1"/>
  <c r="G93" i="8"/>
  <c r="G92" i="8" s="1"/>
  <c r="K42" i="19" s="1"/>
  <c r="K43" i="19" s="1"/>
  <c r="K19" i="19" s="1"/>
  <c r="U19" i="19" s="1"/>
  <c r="AD62" i="19" s="1"/>
  <c r="K17" i="19"/>
  <c r="D49" i="8"/>
  <c r="F5" i="20" s="1"/>
  <c r="D47" i="8"/>
  <c r="D48" i="8" s="1"/>
  <c r="I31" i="19"/>
  <c r="D192" i="8"/>
  <c r="D193" i="8" s="1"/>
  <c r="D72" i="8" s="1"/>
  <c r="H9" i="19" s="1"/>
  <c r="I214" i="8"/>
  <c r="I8" i="8"/>
  <c r="W19" i="14" l="1"/>
  <c r="W17" i="14"/>
  <c r="W15" i="14"/>
  <c r="AD18" i="14"/>
  <c r="W18" i="14"/>
  <c r="AB17" i="14"/>
  <c r="AD19" i="14"/>
  <c r="Z18" i="14"/>
  <c r="Z19" i="14"/>
  <c r="AB19" i="14"/>
  <c r="AB18" i="14"/>
  <c r="E165" i="8"/>
  <c r="K28" i="20" s="1"/>
  <c r="I105" i="8"/>
  <c r="I165" i="8" s="1"/>
  <c r="K31" i="20" s="1"/>
  <c r="G164" i="8"/>
  <c r="J30" i="20" s="1"/>
  <c r="M30" i="20" s="1"/>
  <c r="I101" i="8"/>
  <c r="M28" i="20"/>
  <c r="F166" i="8"/>
  <c r="L29" i="20" s="1"/>
  <c r="M29" i="20" s="1"/>
  <c r="I109" i="8"/>
  <c r="I166" i="8" s="1"/>
  <c r="L31" i="20" s="1"/>
  <c r="C71" i="8"/>
  <c r="F196" i="8"/>
  <c r="F56" i="8" s="1"/>
  <c r="F57" i="8" s="1"/>
  <c r="M27" i="20"/>
  <c r="F4" i="20"/>
  <c r="D120" i="8"/>
  <c r="E121" i="8"/>
  <c r="E122" i="8" s="1"/>
  <c r="E170" i="8" s="1"/>
  <c r="D121" i="8"/>
  <c r="D122" i="8" s="1"/>
  <c r="D170" i="8" s="1"/>
  <c r="E120" i="8"/>
  <c r="F121" i="8"/>
  <c r="F122" i="8" s="1"/>
  <c r="F170" i="8" s="1"/>
  <c r="I73" i="8"/>
  <c r="C50" i="8"/>
  <c r="C151" i="8" s="1"/>
  <c r="C63" i="8"/>
  <c r="F120" i="8"/>
  <c r="G121" i="8"/>
  <c r="G122" i="8" s="1"/>
  <c r="G170" i="8" s="1"/>
  <c r="I120" i="8"/>
  <c r="I121" i="8"/>
  <c r="I122" i="8" s="1"/>
  <c r="I170" i="8" s="1"/>
  <c r="D162" i="8"/>
  <c r="D161" i="8"/>
  <c r="G178" i="8"/>
  <c r="O18" i="20" s="1"/>
  <c r="E162" i="8"/>
  <c r="E167" i="8"/>
  <c r="I217" i="8"/>
  <c r="I216" i="8" s="1"/>
  <c r="O34" i="19"/>
  <c r="I67" i="19" s="1"/>
  <c r="E175" i="8"/>
  <c r="C67" i="8"/>
  <c r="C156" i="8"/>
  <c r="C52" i="8"/>
  <c r="C176" i="8" s="1"/>
  <c r="N14" i="20" s="1"/>
  <c r="I44" i="8"/>
  <c r="F112" i="8"/>
  <c r="F113" i="8" s="1"/>
  <c r="F52" i="8"/>
  <c r="F53" i="8" s="1"/>
  <c r="F152" i="8" s="1"/>
  <c r="I99" i="8"/>
  <c r="I9" i="8" s="1"/>
  <c r="G112" i="8"/>
  <c r="G113" i="8" s="1"/>
  <c r="E46" i="8"/>
  <c r="F217" i="8"/>
  <c r="F214" i="8"/>
  <c r="F212" i="8" s="1"/>
  <c r="F46" i="8"/>
  <c r="C155" i="8"/>
  <c r="E112" i="8"/>
  <c r="I40" i="19"/>
  <c r="F33" i="8"/>
  <c r="F34" i="8" s="1"/>
  <c r="G156" i="8"/>
  <c r="E59" i="8"/>
  <c r="E61" i="8" s="1"/>
  <c r="C16" i="20" s="1"/>
  <c r="E52" i="8"/>
  <c r="E53" i="8" s="1"/>
  <c r="E152" i="8" s="1"/>
  <c r="S15" i="14"/>
  <c r="G63" i="8"/>
  <c r="G209" i="8" s="1"/>
  <c r="G208" i="8" s="1"/>
  <c r="F162" i="8"/>
  <c r="D112" i="8"/>
  <c r="F161" i="8"/>
  <c r="G67" i="8"/>
  <c r="G221" i="8" s="1"/>
  <c r="G220" i="8" s="1"/>
  <c r="G46" i="8"/>
  <c r="I144" i="8"/>
  <c r="I68" i="8" s="1"/>
  <c r="I69" i="8" s="1"/>
  <c r="G5" i="20"/>
  <c r="J15" i="20"/>
  <c r="M4" i="20"/>
  <c r="S4" i="20"/>
  <c r="J14" i="20"/>
  <c r="G4" i="20"/>
  <c r="AB15" i="14"/>
  <c r="I103" i="8"/>
  <c r="I10" i="8" s="1"/>
  <c r="I212" i="8"/>
  <c r="F218" i="8"/>
  <c r="E33" i="8"/>
  <c r="E34" i="8" s="1"/>
  <c r="K6" i="20"/>
  <c r="M7" i="20"/>
  <c r="S7" i="20"/>
  <c r="O9" i="19"/>
  <c r="H60" i="19" s="1"/>
  <c r="D33" i="8"/>
  <c r="D34" i="8" s="1"/>
  <c r="K5" i="20"/>
  <c r="F167" i="8"/>
  <c r="E50" i="8"/>
  <c r="E151" i="8" s="1"/>
  <c r="F6" i="20"/>
  <c r="F47" i="8"/>
  <c r="F48" i="8" s="1"/>
  <c r="J18" i="20"/>
  <c r="G8" i="20"/>
  <c r="J17" i="20"/>
  <c r="M8" i="20"/>
  <c r="F59" i="8"/>
  <c r="F61" i="8" s="1"/>
  <c r="C17" i="20" s="1"/>
  <c r="F50" i="8"/>
  <c r="F151" i="8" s="1"/>
  <c r="D167" i="8"/>
  <c r="F155" i="8"/>
  <c r="G216" i="8"/>
  <c r="I49" i="8"/>
  <c r="F9" i="20" s="1"/>
  <c r="G53" i="8"/>
  <c r="G152" i="8" s="1"/>
  <c r="G176" i="8"/>
  <c r="N18" i="20" s="1"/>
  <c r="G34" i="8"/>
  <c r="G70" i="8"/>
  <c r="G169" i="8"/>
  <c r="O17" i="19"/>
  <c r="D155" i="8"/>
  <c r="D52" i="8"/>
  <c r="D50" i="8"/>
  <c r="D151" i="8" s="1"/>
  <c r="D59" i="8"/>
  <c r="D61" i="8" s="1"/>
  <c r="C15" i="20" s="1"/>
  <c r="D202" i="8"/>
  <c r="D201" i="8"/>
  <c r="G12" i="19"/>
  <c r="G21" i="19" s="1"/>
  <c r="O19" i="19"/>
  <c r="I62" i="19" s="1"/>
  <c r="G167" i="8"/>
  <c r="I32" i="19"/>
  <c r="O31" i="19"/>
  <c r="H66" i="19" s="1"/>
  <c r="F70" i="8"/>
  <c r="F169" i="8"/>
  <c r="G23" i="19"/>
  <c r="C76" i="8"/>
  <c r="T15" i="14" l="1"/>
  <c r="Z15" i="14"/>
  <c r="E113" i="8"/>
  <c r="E169" i="8" s="1"/>
  <c r="D113" i="8"/>
  <c r="D169" i="8" s="1"/>
  <c r="I164" i="8"/>
  <c r="D70" i="8"/>
  <c r="H10" i="19" s="1"/>
  <c r="E178" i="8"/>
  <c r="O16" i="20" s="1"/>
  <c r="E176" i="8"/>
  <c r="N16" i="20" s="1"/>
  <c r="F216" i="8"/>
  <c r="E67" i="8"/>
  <c r="F176" i="8"/>
  <c r="N17" i="20" s="1"/>
  <c r="C178" i="8"/>
  <c r="O14" i="20" s="1"/>
  <c r="C53" i="8"/>
  <c r="C152" i="8" s="1"/>
  <c r="F178" i="8"/>
  <c r="O17" i="20" s="1"/>
  <c r="I50" i="8"/>
  <c r="I151" i="8" s="1"/>
  <c r="M24" i="19"/>
  <c r="X24" i="19" s="1"/>
  <c r="I145" i="8"/>
  <c r="I125" i="8" s="1"/>
  <c r="I14" i="8" s="1"/>
  <c r="AD15" i="14"/>
  <c r="K23" i="19"/>
  <c r="U23" i="19" s="1"/>
  <c r="I108" i="8"/>
  <c r="I107" i="8" s="1"/>
  <c r="I19" i="8" s="1"/>
  <c r="I21" i="8" s="1"/>
  <c r="E63" i="8"/>
  <c r="E156" i="8"/>
  <c r="G76" i="8"/>
  <c r="G177" i="8" s="1"/>
  <c r="G223" i="8"/>
  <c r="F11" i="20"/>
  <c r="G9" i="20"/>
  <c r="G6" i="20"/>
  <c r="J16" i="20"/>
  <c r="M6" i="20"/>
  <c r="S6" i="20"/>
  <c r="I52" i="8"/>
  <c r="I53" i="8" s="1"/>
  <c r="I152" i="8" s="1"/>
  <c r="S5" i="20"/>
  <c r="M5" i="20"/>
  <c r="E70" i="8"/>
  <c r="I10" i="19" s="1"/>
  <c r="I12" i="19" s="1"/>
  <c r="I21" i="19" s="1"/>
  <c r="C177" i="8"/>
  <c r="C78" i="8"/>
  <c r="F156" i="8"/>
  <c r="F63" i="8"/>
  <c r="F209" i="8" s="1"/>
  <c r="F208" i="8" s="1"/>
  <c r="F67" i="8"/>
  <c r="F76" i="8" s="1"/>
  <c r="K27" i="19"/>
  <c r="K36" i="19" s="1"/>
  <c r="G27" i="19"/>
  <c r="G36" i="19" s="1"/>
  <c r="G41" i="19" s="1"/>
  <c r="K10" i="19"/>
  <c r="G71" i="8"/>
  <c r="O32" i="19"/>
  <c r="I23" i="19"/>
  <c r="J10" i="19"/>
  <c r="J12" i="19" s="1"/>
  <c r="J21" i="19" s="1"/>
  <c r="F71" i="8"/>
  <c r="D63" i="8"/>
  <c r="D156" i="8"/>
  <c r="D67" i="8"/>
  <c r="I68" i="19"/>
  <c r="H65" i="19" s="1"/>
  <c r="D176" i="8"/>
  <c r="N15" i="20" s="1"/>
  <c r="D178" i="8"/>
  <c r="O15" i="20" s="1"/>
  <c r="D53" i="8"/>
  <c r="D152" i="8" s="1"/>
  <c r="I167" i="8" l="1"/>
  <c r="J31" i="20"/>
  <c r="M31" i="20" s="1"/>
  <c r="D71" i="8"/>
  <c r="I200" i="8"/>
  <c r="I203" i="8" s="1"/>
  <c r="I202" i="8" s="1"/>
  <c r="I111" i="8"/>
  <c r="I112" i="8" s="1"/>
  <c r="I113" i="8" s="1"/>
  <c r="I169" i="8" s="1"/>
  <c r="G78" i="8"/>
  <c r="F18" i="20" s="1"/>
  <c r="E76" i="8"/>
  <c r="E177" i="8" s="1"/>
  <c r="F14" i="20"/>
  <c r="G39" i="19"/>
  <c r="K12" i="19"/>
  <c r="K21" i="19" s="1"/>
  <c r="K41" i="19" s="1"/>
  <c r="U10" i="19"/>
  <c r="C95" i="8"/>
  <c r="F177" i="8"/>
  <c r="F78" i="8"/>
  <c r="G38" i="19"/>
  <c r="E71" i="8"/>
  <c r="F221" i="8"/>
  <c r="F220" i="8" s="1"/>
  <c r="F223" i="8" s="1"/>
  <c r="J23" i="19"/>
  <c r="I27" i="19"/>
  <c r="I36" i="19" s="1"/>
  <c r="I41" i="19" s="1"/>
  <c r="H12" i="19"/>
  <c r="H21" i="19" s="1"/>
  <c r="O10" i="19"/>
  <c r="H61" i="19" s="1"/>
  <c r="H23" i="19"/>
  <c r="D76" i="8"/>
  <c r="G95" i="8" l="1"/>
  <c r="E78" i="8"/>
  <c r="K39" i="19"/>
  <c r="I70" i="8"/>
  <c r="J39" i="19"/>
  <c r="F17" i="20"/>
  <c r="I39" i="19"/>
  <c r="F16" i="20"/>
  <c r="AC61" i="19"/>
  <c r="U12" i="19"/>
  <c r="K38" i="19"/>
  <c r="F95" i="8"/>
  <c r="E95" i="8"/>
  <c r="D177" i="8"/>
  <c r="D78" i="8"/>
  <c r="J27" i="19"/>
  <c r="J36" i="19" s="1"/>
  <c r="H27" i="19"/>
  <c r="H36" i="19" s="1"/>
  <c r="H41" i="19" s="1"/>
  <c r="O23" i="19"/>
  <c r="I38" i="19"/>
  <c r="I71" i="8"/>
  <c r="H63" i="19"/>
  <c r="O12" i="19"/>
  <c r="O21" i="19" s="1"/>
  <c r="F15" i="20" l="1"/>
  <c r="H39" i="19"/>
  <c r="D95" i="8"/>
  <c r="H38" i="19"/>
  <c r="J41" i="19"/>
  <c r="J38" i="19"/>
  <c r="O27" i="19"/>
  <c r="H67" i="19" s="1"/>
  <c r="P8" i="19"/>
  <c r="H68" i="19" l="1"/>
  <c r="H69" i="19" s="1"/>
  <c r="O36" i="19"/>
  <c r="P15" i="19" l="1"/>
  <c r="P30" i="19"/>
  <c r="P24" i="19"/>
  <c r="P29" i="19"/>
  <c r="P34" i="19"/>
  <c r="P9" i="19"/>
  <c r="P25" i="19"/>
  <c r="P16" i="19"/>
  <c r="P14" i="19"/>
  <c r="P19" i="19"/>
  <c r="P31" i="19"/>
  <c r="P10" i="19"/>
  <c r="P23" i="19"/>
  <c r="O38" i="19"/>
  <c r="P12" i="19" l="1"/>
  <c r="P21" i="19"/>
  <c r="P27" i="19"/>
  <c r="P36" i="19"/>
  <c r="P32" i="19"/>
  <c r="P17" i="19"/>
  <c r="J73" i="8" l="1"/>
  <c r="M10" i="19"/>
  <c r="M12" i="19" l="1"/>
  <c r="X10" i="19"/>
  <c r="H81" i="19" s="1"/>
  <c r="U17" i="19"/>
  <c r="U21" i="19" s="1"/>
  <c r="V8" i="19" s="1"/>
  <c r="U27" i="19"/>
  <c r="AC67" i="19" s="1"/>
  <c r="U32" i="19"/>
  <c r="U36" i="19" l="1"/>
  <c r="V34" i="19" s="1"/>
  <c r="X12" i="19"/>
  <c r="V14" i="19" l="1"/>
  <c r="V25" i="19"/>
  <c r="V15" i="19"/>
  <c r="V10" i="19"/>
  <c r="V29" i="19"/>
  <c r="V16" i="19"/>
  <c r="V31" i="19"/>
  <c r="V24" i="19"/>
  <c r="V27" i="19" s="1"/>
  <c r="V30" i="19"/>
  <c r="V19" i="19"/>
  <c r="V9" i="19"/>
  <c r="V23" i="19"/>
  <c r="U38" i="19"/>
  <c r="AD68" i="19"/>
  <c r="AC60" i="19" s="1"/>
  <c r="AC63" i="19" s="1"/>
  <c r="AC68" i="19"/>
  <c r="V21" i="19" l="1"/>
  <c r="V32" i="19"/>
  <c r="V12" i="19"/>
  <c r="V36" i="19"/>
  <c r="V17" i="19"/>
  <c r="AC69" i="19"/>
  <c r="J9" i="20"/>
  <c r="K9" i="20"/>
  <c r="L9" i="20"/>
  <c r="M9" i="20"/>
  <c r="O9" i="20"/>
  <c r="R9" i="20"/>
  <c r="S9" i="20"/>
  <c r="J11" i="20"/>
  <c r="K11" i="20"/>
  <c r="L11" i="20"/>
  <c r="R11" i="20"/>
  <c r="C19" i="20"/>
  <c r="F19" i="20"/>
  <c r="J19" i="20"/>
  <c r="K19" i="20"/>
  <c r="N19" i="20"/>
  <c r="O19" i="20"/>
  <c r="R19" i="20"/>
  <c r="C21" i="20"/>
  <c r="I7" i="8"/>
  <c r="I12" i="8"/>
  <c r="I16" i="8"/>
  <c r="I23" i="8"/>
  <c r="I25" i="8"/>
  <c r="I30" i="8"/>
  <c r="I32" i="8"/>
  <c r="I33" i="8"/>
  <c r="I34" i="8"/>
  <c r="I55" i="8"/>
  <c r="I58" i="8"/>
  <c r="I59" i="8"/>
  <c r="I60" i="8"/>
  <c r="I61" i="8"/>
  <c r="I63" i="8"/>
  <c r="O63" i="8"/>
  <c r="I67" i="8"/>
  <c r="I76" i="8"/>
  <c r="I77" i="8"/>
  <c r="I78" i="8"/>
  <c r="I80" i="8"/>
  <c r="I81" i="8"/>
  <c r="I86" i="8"/>
  <c r="I91" i="8"/>
  <c r="I92" i="8"/>
  <c r="I94" i="8"/>
  <c r="I95" i="8"/>
  <c r="P114" i="8"/>
  <c r="I153" i="8"/>
  <c r="I155" i="8"/>
  <c r="I156" i="8"/>
  <c r="I158" i="8"/>
  <c r="I161" i="8"/>
  <c r="I162" i="8"/>
  <c r="I175" i="8"/>
  <c r="I176" i="8"/>
  <c r="I177" i="8"/>
  <c r="I178" i="8"/>
  <c r="I182" i="8"/>
  <c r="I183" i="8"/>
  <c r="I184" i="8"/>
  <c r="I187" i="8"/>
  <c r="I199" i="8"/>
  <c r="I204" i="8"/>
  <c r="I208" i="8"/>
  <c r="I209" i="8"/>
  <c r="I220" i="8"/>
  <c r="I221" i="8"/>
  <c r="I223" i="8"/>
  <c r="Y8" i="19"/>
  <c r="Y9" i="19"/>
  <c r="Y10" i="19"/>
  <c r="Y12" i="19"/>
  <c r="M14" i="19"/>
  <c r="X14" i="19"/>
  <c r="Y14" i="19"/>
  <c r="M15" i="19"/>
  <c r="X15" i="19"/>
  <c r="Y15" i="19"/>
  <c r="Y16" i="19"/>
  <c r="M17" i="19"/>
  <c r="X17" i="19"/>
  <c r="Y17" i="19"/>
  <c r="M19" i="19"/>
  <c r="X19" i="19"/>
  <c r="Y19" i="19"/>
  <c r="M21" i="19"/>
  <c r="X21" i="19"/>
  <c r="Y21" i="19"/>
  <c r="M23" i="19"/>
  <c r="X23" i="19"/>
  <c r="Y23" i="19"/>
  <c r="Y24" i="19"/>
  <c r="M25" i="19"/>
  <c r="X25" i="19"/>
  <c r="Y25" i="19"/>
  <c r="M27" i="19"/>
  <c r="X27" i="19"/>
  <c r="Y27" i="19"/>
  <c r="M29" i="19"/>
  <c r="X29" i="19"/>
  <c r="Y29" i="19"/>
  <c r="Y30" i="19"/>
  <c r="Y31" i="19"/>
  <c r="M32" i="19"/>
  <c r="X32" i="19"/>
  <c r="Y32" i="19"/>
  <c r="Y34" i="19"/>
  <c r="M36" i="19"/>
  <c r="X36" i="19"/>
  <c r="Y36" i="19"/>
  <c r="M38" i="19"/>
  <c r="X38" i="19"/>
  <c r="M39" i="19"/>
  <c r="M40" i="19"/>
  <c r="M41" i="19"/>
  <c r="M42" i="19"/>
  <c r="M43" i="19"/>
  <c r="H73" i="19"/>
  <c r="H75" i="19"/>
  <c r="I77" i="19"/>
  <c r="H78" i="19"/>
  <c r="H82" i="19"/>
  <c r="H83" i="19"/>
  <c r="I83" i="19"/>
  <c r="H84" i="19"/>
</calcChain>
</file>

<file path=xl/sharedStrings.xml><?xml version="1.0" encoding="utf-8"?>
<sst xmlns="http://schemas.openxmlformats.org/spreadsheetml/2006/main" count="769" uniqueCount="491">
  <si>
    <r>
      <t>Table A</t>
    </r>
    <r>
      <rPr>
        <sz val="10"/>
        <rFont val="Arial"/>
        <family val="2"/>
      </rPr>
      <t xml:space="preserve">     Days Supply of Inventory (DSI)</t>
    </r>
    <r>
      <rPr>
        <vertAlign val="superscript"/>
        <sz val="10"/>
        <rFont val="Arial"/>
        <family val="2"/>
      </rPr>
      <t>a</t>
    </r>
  </si>
  <si>
    <r>
      <t>1993</t>
    </r>
    <r>
      <rPr>
        <b/>
        <vertAlign val="superscript"/>
        <sz val="10"/>
        <rFont val="Arial"/>
        <family val="2"/>
      </rPr>
      <t>b</t>
    </r>
  </si>
  <si>
    <r>
      <t>1994</t>
    </r>
    <r>
      <rPr>
        <b/>
        <vertAlign val="superscript"/>
        <sz val="10"/>
        <rFont val="Arial"/>
        <family val="2"/>
      </rPr>
      <t>b</t>
    </r>
  </si>
  <si>
    <r>
      <t>1995</t>
    </r>
    <r>
      <rPr>
        <b/>
        <vertAlign val="superscript"/>
        <sz val="10"/>
        <rFont val="Arial"/>
        <family val="2"/>
      </rPr>
      <t>b</t>
    </r>
  </si>
  <si>
    <t>Dell Computer</t>
  </si>
  <si>
    <t>Apple Computer</t>
  </si>
  <si>
    <t>Compaq Computer</t>
  </si>
  <si>
    <t>IBM</t>
  </si>
  <si>
    <r>
      <t>a</t>
    </r>
    <r>
      <rPr>
        <sz val="8"/>
        <rFont val="Arial"/>
        <family val="2"/>
      </rPr>
      <t xml:space="preserve"> DSI = (Net Ending Inventory)/(Quarterly COGS/90 Days)</t>
    </r>
  </si>
  <si>
    <r>
      <t>b</t>
    </r>
    <r>
      <rPr>
        <sz val="8"/>
        <rFont val="Arial"/>
        <family val="2"/>
      </rPr>
      <t>Dell’s fiscal calendar ends in January; Apple’s in September; Compaq and IBM’s in December. The DSI for 1995 represents Dell’s DSI for the quarter ended on 1/29/95, Apple’s on 9/30/94, and Compaq’s and IBM’s on 12/31/94.</t>
    </r>
  </si>
  <si>
    <t>Source:  Dell Computer Corporation Fiscal 1993-1995 Annual Reports; case writer estimates from Apple Computer, Compaq Computer, and IBM Fiscal 1992-1994 Annual Reports.</t>
  </si>
  <si>
    <t>Calendar Year</t>
  </si>
  <si>
    <t>Industry</t>
  </si>
  <si>
    <t>Source: Dell Computer Corporation Fiscal 1996 Annual Report; case writer estimates from industry market share data from International Data Corporation.</t>
  </si>
  <si>
    <r>
      <t>a</t>
    </r>
    <r>
      <rPr>
        <sz val="8"/>
        <rFont val="Arial"/>
        <family val="2"/>
      </rPr>
      <t>Dell’s fiscal year closest in alignment to calendar year stated.</t>
    </r>
  </si>
  <si>
    <r>
      <t xml:space="preserve">Exhibit 1    </t>
    </r>
    <r>
      <rPr>
        <sz val="10"/>
        <rFont val="Arial"/>
        <family val="2"/>
      </rPr>
      <t xml:space="preserve"> Dell’s annual worldwide sales dollar growth versus industry.</t>
    </r>
  </si>
  <si>
    <r>
      <t>Dell</t>
    </r>
    <r>
      <rPr>
        <b/>
        <vertAlign val="superscript"/>
        <sz val="10"/>
        <rFont val="Arial"/>
        <family val="2"/>
      </rPr>
      <t>a</t>
    </r>
  </si>
  <si>
    <t>Q193</t>
  </si>
  <si>
    <t>Q293</t>
  </si>
  <si>
    <t>Q393</t>
  </si>
  <si>
    <t>Q493</t>
  </si>
  <si>
    <t>Q194</t>
  </si>
  <si>
    <t>Q294</t>
  </si>
  <si>
    <t>Q394</t>
  </si>
  <si>
    <t>Q494</t>
  </si>
  <si>
    <t>Q195</t>
  </si>
  <si>
    <t>Q295</t>
  </si>
  <si>
    <t>Q395</t>
  </si>
  <si>
    <t>Q495</t>
  </si>
  <si>
    <t>Q196</t>
  </si>
  <si>
    <t>Q296</t>
  </si>
  <si>
    <t>Q396</t>
  </si>
  <si>
    <t>Q496</t>
  </si>
  <si>
    <t>Source:  Dell Computer Corporation fiscal 1993-1996 annual and quarterly reports.</t>
  </si>
  <si>
    <r>
      <t>Exhibit 2</t>
    </r>
    <r>
      <rPr>
        <sz val="10"/>
        <rFont val="Arial"/>
        <family val="2"/>
      </rPr>
      <t xml:space="preserve">     Working Capital Financial Ratios for Dell.</t>
    </r>
  </si>
  <si>
    <r>
      <t>DSI</t>
    </r>
    <r>
      <rPr>
        <b/>
        <vertAlign val="superscript"/>
        <sz val="10"/>
        <rFont val="Arial"/>
        <family val="2"/>
      </rPr>
      <t>a</t>
    </r>
  </si>
  <si>
    <r>
      <t>DSO</t>
    </r>
    <r>
      <rPr>
        <b/>
        <vertAlign val="superscript"/>
        <sz val="10"/>
        <rFont val="Arial"/>
        <family val="2"/>
      </rPr>
      <t>b</t>
    </r>
  </si>
  <si>
    <r>
      <t>DPO</t>
    </r>
    <r>
      <rPr>
        <b/>
        <vertAlign val="superscript"/>
        <sz val="10"/>
        <rFont val="Arial"/>
        <family val="2"/>
      </rPr>
      <t>c</t>
    </r>
  </si>
  <si>
    <r>
      <t>a</t>
    </r>
    <r>
      <rPr>
        <sz val="8"/>
        <rFont val="Arial"/>
        <family val="2"/>
      </rPr>
      <t>DSI (Days Sales of Inventory) = Net Inventory / (Quarterly COGS/90).</t>
    </r>
  </si>
  <si>
    <r>
      <t>b</t>
    </r>
    <r>
      <rPr>
        <sz val="8"/>
        <rFont val="Arial"/>
        <family val="2"/>
      </rPr>
      <t>DSO (Days Sales Outstanding) = Net Accounts Receivables / (Quarterly Sales/90).</t>
    </r>
  </si>
  <si>
    <r>
      <t>c</t>
    </r>
    <r>
      <rPr>
        <sz val="8"/>
        <rFont val="Arial"/>
        <family val="2"/>
      </rPr>
      <t xml:space="preserve"> DPO (Days Payables Outstanding) = Accounts Payables / (Quarterly COGS/90).</t>
    </r>
  </si>
  <si>
    <r>
      <t>d</t>
    </r>
    <r>
      <rPr>
        <sz val="8"/>
        <rFont val="Arial"/>
        <family val="2"/>
      </rPr>
      <t>CCC (Cash Conversion Cycle) = DSI + DSO – DPO.</t>
    </r>
  </si>
  <si>
    <t>Computer Systems</t>
  </si>
  <si>
    <t>FY94</t>
  </si>
  <si>
    <t>FY95</t>
  </si>
  <si>
    <t>FY96</t>
  </si>
  <si>
    <t>486 models</t>
  </si>
  <si>
    <t>Pentium models</t>
  </si>
  <si>
    <t>Source:  Dell Computer Corporation Fiscal 1994-96 Annual Reports.</t>
  </si>
  <si>
    <r>
      <t>Exhibit 3</t>
    </r>
    <r>
      <rPr>
        <sz val="10"/>
        <rFont val="Arial"/>
        <family val="2"/>
      </rPr>
      <t xml:space="preserve">     Percent of Dell Computer Systems Sales by Microprocessor.</t>
    </r>
  </si>
  <si>
    <t>386 models</t>
  </si>
  <si>
    <t>Fiscal Year</t>
  </si>
  <si>
    <t>Sales</t>
  </si>
  <si>
    <t>Cost of Sales</t>
  </si>
  <si>
    <t>Gross Margin</t>
  </si>
  <si>
    <t>Operating Expenses</t>
  </si>
  <si>
    <t>Operating Income</t>
  </si>
  <si>
    <t>Financing &amp; Other Income</t>
  </si>
  <si>
    <t>Income Taxes</t>
  </si>
  <si>
    <t>Net Profit</t>
  </si>
  <si>
    <t>Source:  Dell Computer Corporation Fiscal 1996 Annual Report.</t>
  </si>
  <si>
    <r>
      <t>Exhibit 4</t>
    </r>
    <r>
      <rPr>
        <sz val="10"/>
        <rFont val="Arial"/>
        <family val="2"/>
      </rPr>
      <t xml:space="preserve">     Profit &amp; Loss Statements for Dell Computer Corporation (millions of dollars).</t>
    </r>
  </si>
  <si>
    <t>Year Ended</t>
  </si>
  <si>
    <t>January 28,</t>
  </si>
  <si>
    <t>January 29,</t>
  </si>
  <si>
    <t>January 30,</t>
  </si>
  <si>
    <t>Current Assets:</t>
  </si>
  <si>
    <t>Cash</t>
  </si>
  <si>
    <t>Short Term Investments</t>
  </si>
  <si>
    <t>Accounts Receivables, net</t>
  </si>
  <si>
    <t>Inventories</t>
  </si>
  <si>
    <t>Other</t>
  </si>
  <si>
    <t>Total Current Assets</t>
  </si>
  <si>
    <t>Property, Plant &amp; Equipment, net</t>
  </si>
  <si>
    <t>Total Assets</t>
  </si>
  <si>
    <t>Current Liabilities:</t>
  </si>
  <si>
    <t>Accounts Payable</t>
  </si>
  <si>
    <t>NA</t>
  </si>
  <si>
    <t>Accrued and Other Liabilities</t>
  </si>
  <si>
    <t>Total Current Liabilities</t>
  </si>
  <si>
    <t>Long Term Debt</t>
  </si>
  <si>
    <t>Other Liabilities</t>
  </si>
  <si>
    <t>Total Liabilities</t>
  </si>
  <si>
    <t>Stockholders’ Equity:</t>
  </si>
  <si>
    <t>Retained Earnings</t>
  </si>
  <si>
    <t>Total Stockholders’ Equity</t>
  </si>
  <si>
    <t>Source:  Dell Computer Corporation Fiscal 1994-1996 Annual Reports.</t>
  </si>
  <si>
    <r>
      <t>Exhibit 5</t>
    </r>
    <r>
      <rPr>
        <sz val="10"/>
        <rFont val="Arial"/>
        <family val="2"/>
      </rPr>
      <t xml:space="preserve">     Balance Sheets for Dell Computer Corporation (millions of dollars).</t>
    </r>
  </si>
  <si>
    <r>
      <t>Preferred Stock</t>
    </r>
    <r>
      <rPr>
        <vertAlign val="superscript"/>
        <sz val="10"/>
        <rFont val="Arial"/>
        <family val="2"/>
      </rPr>
      <t>a</t>
    </r>
  </si>
  <si>
    <r>
      <t>Common Stock</t>
    </r>
    <r>
      <rPr>
        <vertAlign val="superscript"/>
        <sz val="10"/>
        <rFont val="Arial"/>
        <family val="2"/>
      </rPr>
      <t>a</t>
    </r>
  </si>
  <si>
    <r>
      <t>CCC</t>
    </r>
    <r>
      <rPr>
        <b/>
        <vertAlign val="superscript"/>
        <sz val="10"/>
        <rFont val="Arial"/>
        <family val="2"/>
      </rPr>
      <t>d</t>
    </r>
  </si>
  <si>
    <t>(In US$ millions)</t>
  </si>
  <si>
    <t>Dell Financial Model</t>
  </si>
  <si>
    <t>Balance Sheet</t>
  </si>
  <si>
    <t>Preferred Stock</t>
  </si>
  <si>
    <t>Common Stock</t>
  </si>
  <si>
    <t>P&amp;L</t>
  </si>
  <si>
    <t>Non-current Assets:</t>
  </si>
  <si>
    <t>Non-current Liabilities:</t>
  </si>
  <si>
    <t>Cash Flow</t>
  </si>
  <si>
    <t>Gross Margin %</t>
  </si>
  <si>
    <t>Pre-tax Result</t>
  </si>
  <si>
    <t>Operating Result (EBIT)</t>
  </si>
  <si>
    <t>Financing &amp; Other Income, Net</t>
  </si>
  <si>
    <t>Interest Expense</t>
  </si>
  <si>
    <t>Net Income</t>
  </si>
  <si>
    <t>Preferred Stock Dividends</t>
  </si>
  <si>
    <t>Net Income Available to Common Stockholders</t>
  </si>
  <si>
    <t>Depreciation and amortization</t>
  </si>
  <si>
    <t>Changes in Working Capital</t>
  </si>
  <si>
    <t>Capital Expenditures</t>
  </si>
  <si>
    <t>Cash Flow from Operations</t>
  </si>
  <si>
    <t xml:space="preserve">   Gross Margin %</t>
  </si>
  <si>
    <t xml:space="preserve">   Operating Margin %</t>
  </si>
  <si>
    <t>Working Capital</t>
  </si>
  <si>
    <t>DSO</t>
  </si>
  <si>
    <t>DPO</t>
  </si>
  <si>
    <t>Accounts Receivable</t>
  </si>
  <si>
    <t>Change in Working Capital</t>
  </si>
  <si>
    <t>COGS</t>
  </si>
  <si>
    <t xml:space="preserve">   Sales growth %</t>
  </si>
  <si>
    <t>Equity Issuance</t>
  </si>
  <si>
    <t>Dividends</t>
  </si>
  <si>
    <t>Cash Flow from Financings</t>
  </si>
  <si>
    <t>Net Cash Flow</t>
  </si>
  <si>
    <t>Beginning Cash Balance</t>
  </si>
  <si>
    <t>Ending Cash Balance</t>
  </si>
  <si>
    <t>New Long-term Debt Issuance</t>
  </si>
  <si>
    <t>New Long-term Debt Repayments</t>
  </si>
  <si>
    <t>Long-term Debt Issuance</t>
  </si>
  <si>
    <t>Long-term Debt Repayments</t>
  </si>
  <si>
    <t>Short-term Debt Repayments</t>
  </si>
  <si>
    <t>Equity Issuance under Employee Plans</t>
  </si>
  <si>
    <t>Control</t>
  </si>
  <si>
    <t>Total Liabilities + Stockholders’ Equity</t>
  </si>
  <si>
    <t>DIO</t>
  </si>
  <si>
    <t xml:space="preserve">    Fixed Operating Costs</t>
  </si>
  <si>
    <t xml:space="preserve">    Variable Operating Costs</t>
  </si>
  <si>
    <t xml:space="preserve">   D&amp;A % of Sales</t>
  </si>
  <si>
    <t xml:space="preserve">   Changes in Wor. Cap. % of Sales</t>
  </si>
  <si>
    <t xml:space="preserve">   Capex % of Sales</t>
  </si>
  <si>
    <t>1997E</t>
  </si>
  <si>
    <t>Capex</t>
  </si>
  <si>
    <t>PP&amp;E - balance</t>
  </si>
  <si>
    <t>Useful life -Years - (assumption)</t>
  </si>
  <si>
    <t>Depreciation expense - existing PP&amp;E</t>
  </si>
  <si>
    <t>Capex (assumption)</t>
  </si>
  <si>
    <t>Depreciation expense - Capex</t>
  </si>
  <si>
    <t>PP&amp;E - beginning balance</t>
  </si>
  <si>
    <t>Plus: Capex</t>
  </si>
  <si>
    <t>Less: Depreciation</t>
  </si>
  <si>
    <t>PP&amp;E - ending balance</t>
  </si>
  <si>
    <t>Land</t>
  </si>
  <si>
    <t>Depreciable PP&amp;E</t>
  </si>
  <si>
    <t>Accumulated Depreciation of PP&amp;E</t>
  </si>
  <si>
    <t>% Depreciated</t>
  </si>
  <si>
    <t xml:space="preserve">   Depreciation % of Sales</t>
  </si>
  <si>
    <t>Ratios</t>
  </si>
  <si>
    <t>Profitability</t>
  </si>
  <si>
    <t>Leverage</t>
  </si>
  <si>
    <t>EBITDA Margin %</t>
  </si>
  <si>
    <t>EBIT Margin %</t>
  </si>
  <si>
    <t>Revenue growth %</t>
  </si>
  <si>
    <t>ROA</t>
  </si>
  <si>
    <t>ROE</t>
  </si>
  <si>
    <t>Debt / Total Capital</t>
  </si>
  <si>
    <t>Cash Conversion Cycle</t>
  </si>
  <si>
    <t>EBITDA/Interest</t>
  </si>
  <si>
    <t>Operating Cash Flow/Interest</t>
  </si>
  <si>
    <t>Debt / EBITDA</t>
  </si>
  <si>
    <t>Current Assets / Current Liabilities</t>
  </si>
  <si>
    <t>(Current Assets - Inventories) / Current Liabilities</t>
  </si>
  <si>
    <t>Note: EBITDA</t>
  </si>
  <si>
    <t xml:space="preserve">   EBITDA Margin %</t>
  </si>
  <si>
    <t>Liquidity &amp; Cash Flow</t>
  </si>
  <si>
    <t>Change in Working Capital % of Sales</t>
  </si>
  <si>
    <t>Capex % of Sales</t>
  </si>
  <si>
    <t>Cost of Debt (Average)</t>
  </si>
  <si>
    <t>Cash Operating Costs</t>
  </si>
  <si>
    <t>Short-term Debt Raised</t>
  </si>
  <si>
    <t>Stock Repurchases</t>
  </si>
  <si>
    <t>Debt and Interest Expense</t>
  </si>
  <si>
    <t>Debt Repayments</t>
  </si>
  <si>
    <t>Debt Issuances</t>
  </si>
  <si>
    <t>Long-term Debt - Beginning Balance</t>
  </si>
  <si>
    <t>Long-term Debt - Ending Balance</t>
  </si>
  <si>
    <t>Short-term Investments</t>
  </si>
  <si>
    <t>Short-term Investments - Beginning Balance</t>
  </si>
  <si>
    <t>Short-term Investments - Ending Balance</t>
  </si>
  <si>
    <t>Short-term Investments Income</t>
  </si>
  <si>
    <t>Other Financial Results</t>
  </si>
  <si>
    <t>Income on Short-term Investments</t>
  </si>
  <si>
    <t>Short-term Investments - Additions/(Sales)</t>
  </si>
  <si>
    <t>Cash Balance</t>
  </si>
  <si>
    <t># of Months</t>
  </si>
  <si>
    <t>Cash Operating Expenses / Month</t>
  </si>
  <si>
    <t>% of Sales</t>
  </si>
  <si>
    <t>Cash Balance Assumption for 1997E …..........................................................................................................................................................................................................</t>
  </si>
  <si>
    <t>Changes in Short-term Investments</t>
  </si>
  <si>
    <t>Changes Other Assets/Liabilities, Other Adjustments</t>
  </si>
  <si>
    <t>Interest Income (Average)</t>
  </si>
  <si>
    <t xml:space="preserve">         Variable Oper. Costs % of Sales</t>
  </si>
  <si>
    <t xml:space="preserve">         Fixed Oper. Costs growth %</t>
  </si>
  <si>
    <t>Useful life -Years - (estimated based on annual depreciation)</t>
  </si>
  <si>
    <t>PP&amp;E Summary</t>
  </si>
  <si>
    <t>3-for-2 Split</t>
  </si>
  <si>
    <t xml:space="preserve"> 4/9/1992</t>
  </si>
  <si>
    <t>2-for-1 Split</t>
  </si>
  <si>
    <t xml:space="preserve"> 10/27/1995</t>
  </si>
  <si>
    <r>
      <t xml:space="preserve">Exhibit 6    </t>
    </r>
    <r>
      <rPr>
        <sz val="10"/>
        <rFont val="Arial"/>
        <family val="2"/>
      </rPr>
      <t xml:space="preserve"> Dell’s historical stock price</t>
    </r>
  </si>
  <si>
    <t>Note: additional Exhibit included by Instructor, not included in original case</t>
  </si>
  <si>
    <t>Date</t>
  </si>
  <si>
    <t>Cumulative Split-adjusted Price</t>
  </si>
  <si>
    <t>Stock Split Factor</t>
  </si>
  <si>
    <t>Cumulative Stock Split Factor</t>
  </si>
  <si>
    <t>Market 
Price</t>
  </si>
  <si>
    <t>Market 
Price 
(End of Period)</t>
  </si>
  <si>
    <t>Quarter</t>
  </si>
  <si>
    <t>4Q 1991</t>
  </si>
  <si>
    <t>1Q 1992</t>
  </si>
  <si>
    <t>2Q 1992</t>
  </si>
  <si>
    <t>3Q 1992</t>
  </si>
  <si>
    <t>4Q 1992</t>
  </si>
  <si>
    <t>1Q 1993</t>
  </si>
  <si>
    <t>2Q 1993</t>
  </si>
  <si>
    <t>3Q 1993</t>
  </si>
  <si>
    <t>4Q 1993</t>
  </si>
  <si>
    <t>1Q 1994</t>
  </si>
  <si>
    <t>2Q 1994</t>
  </si>
  <si>
    <t>3Q 1994</t>
  </si>
  <si>
    <t>4Q 1994</t>
  </si>
  <si>
    <t>1Q 1995</t>
  </si>
  <si>
    <t>2Q 1995</t>
  </si>
  <si>
    <t>3Q 1995</t>
  </si>
  <si>
    <t>4Q 1995</t>
  </si>
  <si>
    <t>1Q 1996</t>
  </si>
  <si>
    <t>2Q 1996</t>
  </si>
  <si>
    <t>3Q 1996</t>
  </si>
  <si>
    <t>4Q 1996</t>
  </si>
  <si>
    <t>Se muestra hasta antes de la crisis de internet del 2000</t>
  </si>
  <si>
    <t>Transaction</t>
  </si>
  <si>
    <t>Transaction 
Date</t>
  </si>
  <si>
    <t>2Q 1997</t>
  </si>
  <si>
    <t>3Q 1997</t>
  </si>
  <si>
    <t>4Q 1998</t>
  </si>
  <si>
    <t>1Q 1999</t>
  </si>
  <si>
    <t>2Q 1998</t>
  </si>
  <si>
    <t>4Q 1997</t>
  </si>
  <si>
    <t>1Q 1998</t>
  </si>
  <si>
    <t>3Q 1998</t>
  </si>
  <si>
    <t>?</t>
  </si>
  <si>
    <t>Vigente</t>
  </si>
  <si>
    <t>Desde</t>
  </si>
  <si>
    <t>Hasta</t>
  </si>
  <si>
    <t>NASDAQ</t>
  </si>
  <si>
    <t>1Q 1997</t>
  </si>
  <si>
    <t>IXIC</t>
  </si>
  <si>
    <t>IPO</t>
  </si>
  <si>
    <t>CPQ      Revenue  EPS   Price   P/E      P/E</t>
  </si>
  <si>
    <t xml:space="preserve">                                Trailing Forward</t>
  </si>
  <si>
    <t xml:space="preserve">                                        </t>
  </si>
  <si>
    <t xml:space="preserve">         0.8625  0.8275         0.4709  0.3793</t>
  </si>
  <si>
    <t>3/31/92   783.00 0.07   3.5000  12.50   17.50</t>
  </si>
  <si>
    <t>6/30/92   827.00 0.05   3.3250  16.63   10.39</t>
  </si>
  <si>
    <t>9/30/92  1067.00 0.08   4.4500  13.91    7.42</t>
  </si>
  <si>
    <t>12/31/92 1423.00 0.15   6.5000  10.83   10.16</t>
  </si>
  <si>
    <t>3/31/93  1611.00 0.16   6.6750  10.43   10.43</t>
  </si>
  <si>
    <t>6/30/93  1632.00 0.16   6.5250  10.20    9.60</t>
  </si>
  <si>
    <t>9/30/93  1746.00 0.17   7.8250  11.51    8.51</t>
  </si>
  <si>
    <t>12/31/93 2202.00 0.23   9.8500  10.71    7.70</t>
  </si>
  <si>
    <t>3/31/94  2278.00 0.32   13.0500 10.20   10.52</t>
  </si>
  <si>
    <t>6/30/94  2499.00 0.31   12.9500 10.44   10.79</t>
  </si>
  <si>
    <t>9/30/94  2838.00 0.30   13.0500 10.88    9.06</t>
  </si>
  <si>
    <t>12/31/94 3251.00 0.36   15.8000 10.97   12.34</t>
  </si>
  <si>
    <t>3/31/95  2959.00 0.32   13.7500 10.74    9.55</t>
  </si>
  <si>
    <t>6/30/95  3501.00 0.36   18.1000 12.57   12.57</t>
  </si>
  <si>
    <t>9/30/95  3594.00 0.36   19.3500 13.44   40.31</t>
  </si>
  <si>
    <t>12/31/95 4701.00 0.12   19.2000 40.00   14.12</t>
  </si>
  <si>
    <t>3/31/96  4205.00 0.34   15.4500 11.36    9.90</t>
  </si>
  <si>
    <t>6/30/96  4001.00 0.39   19.6500 12.60    9.83</t>
  </si>
  <si>
    <t>9/30/96  4481.00 0.50   25.6500 12.83    9.72</t>
  </si>
  <si>
    <t>12/31/96 5422.00 0.66   29.7000 11.25   13.75</t>
  </si>
  <si>
    <t>3/31/97  4805.00 0.54   30.6500 14.19   12.99</t>
  </si>
  <si>
    <t>6/30/97  5012.00 0.59   39.8000 16.86   15.08</t>
  </si>
  <si>
    <t>9/30/97  6474.00 0.66   74.8750 28.36   22.28</t>
  </si>
  <si>
    <t>12/31/97         0.84</t>
  </si>
  <si>
    <t>Apple</t>
  </si>
  <si>
    <t>Compaq</t>
  </si>
  <si>
    <t>CPQ</t>
  </si>
  <si>
    <t>Price</t>
  </si>
  <si>
    <t>AAPL</t>
  </si>
  <si>
    <t>P/E</t>
  </si>
  <si>
    <t>Dell</t>
  </si>
  <si>
    <t>A. Stock Split History</t>
  </si>
  <si>
    <t>A. Stock Price History (Split-Adjusted)</t>
  </si>
  <si>
    <t>EBITDA</t>
  </si>
  <si>
    <t>Equity Market Cap</t>
  </si>
  <si>
    <t>Firm Value</t>
  </si>
  <si>
    <t>(In US$ MM)</t>
  </si>
  <si>
    <t># Shares (MM)</t>
  </si>
  <si>
    <t>Stock Price</t>
  </si>
  <si>
    <t>Net 
Debt</t>
  </si>
  <si>
    <t>AVERAGE</t>
  </si>
  <si>
    <t>MIN</t>
  </si>
  <si>
    <t>MAX</t>
  </si>
  <si>
    <t>Source: Companies' public filings, annual reports, 10K filings.</t>
  </si>
  <si>
    <r>
      <t xml:space="preserve">Exhibit 7    </t>
    </r>
    <r>
      <rPr>
        <sz val="10"/>
        <rFont val="Arial"/>
        <family val="2"/>
      </rPr>
      <t xml:space="preserve"> Publicly traded Comparable Companies</t>
    </r>
  </si>
  <si>
    <t>DELL</t>
  </si>
  <si>
    <t>sacar para alumnos</t>
  </si>
  <si>
    <t>esto sirve solo para el stock chart indexado "base 100"</t>
  </si>
  <si>
    <t>A. Stock Price History</t>
  </si>
  <si>
    <t>este chart pueda dar mal porque los datos split adjusted de Dell se hacen a fecha distinta a la de las comps, lo cual hace que puedan perderse los splits desde 2014 en adelante, que Dell no los refleja, mientras q las comps si ya que las saque de Yahoo en abril 2020</t>
  </si>
  <si>
    <t>base</t>
  </si>
  <si>
    <t>Debt</t>
  </si>
  <si>
    <t>Market Value (as of 29/12/1996)</t>
  </si>
  <si>
    <t>P&amp;L Metrics</t>
  </si>
  <si>
    <t xml:space="preserve">      IBM also paid $1.00 per share of dividends to common stockholders in 1995 and 1994 ($572 and $585 million, respectively).</t>
  </si>
  <si>
    <t xml:space="preserve">(2) IBM repurchased in 1995, $4.864 million of 50.906.300 of its common stock, as part of a $7.5 million stock repurchase program. </t>
  </si>
  <si>
    <t>(1) Apple paid $0.48 per share of dividends to common stockholders in 1995 and 1994 ($58 and $56 million, respectively).</t>
  </si>
  <si>
    <t>Pay-out %</t>
  </si>
  <si>
    <t xml:space="preserve">Factor </t>
  </si>
  <si>
    <t>Stock-splitted</t>
  </si>
  <si>
    <t>NASDAQ Composite</t>
  </si>
  <si>
    <t>A partir de aca cae + que el NASDAQ</t>
  </si>
  <si>
    <t>Comments</t>
  </si>
  <si>
    <t>DELL alcanza pico en Sep 1995</t>
  </si>
  <si>
    <t>Tal vez esto dispara decision dividendo</t>
  </si>
  <si>
    <t>Oct. 16, 1997--Compaq Computer</t>
  </si>
  <si>
    <t>Corporation (NYSE:CPQ) today announced two measures with the goal of</t>
  </si>
  <si>
    <t>enhancing shareholder value. First, the Board of Directors approved</t>
  </si>
  <si>
    <t>Second, the Board of Directors approved a two-for-one stock split,</t>
  </si>
  <si>
    <t>subject to shareholder approval to increase the number of authorized</t>
  </si>
  <si>
    <t>common shares. Stockholder approval will be solicited by written</t>
  </si>
  <si>
    <t>consent of stockholders of record on October 31, 1997. After the stock</t>
  </si>
  <si>
    <t>split, the quarterly dividend becomes $.015 per common share.</t>
  </si>
  <si>
    <t>"The dividend and stock split allow us to share our success with</t>
  </si>
  <si>
    <t>our shareholders," said Benjamin M. Rosen, Chairman. "These actions</t>
  </si>
  <si>
    <t>reflect our confidence in Compaq's long-term growth. In addition, the</t>
  </si>
  <si>
    <t>cash dividend payments and lower post-split share price will make it</t>
  </si>
  <si>
    <t>easier for individual investors to purchase the stock, thus broadening</t>
  </si>
  <si>
    <t>the Company's ownership base."</t>
  </si>
  <si>
    <t>The dividend is payable on January 20, 1998, to shareholders of</t>
  </si>
  <si>
    <t>record on December 31, 1997. The Company will institute a dividend</t>
  </si>
  <si>
    <t>reinvestment plan and a direct purchase plan that will be available to</t>
  </si>
  <si>
    <t>stockholders prior to the first dividend payment date.</t>
  </si>
  <si>
    <t>Nota post case: Decision de Compaq de pagar dividendos (parece hacer catch up con DELL)</t>
  </si>
  <si>
    <t>Periodo</t>
  </si>
  <si>
    <t>Años</t>
  </si>
  <si>
    <t>Dic '91 - Dic '97</t>
  </si>
  <si>
    <t>Dic '93 - Mar '96</t>
  </si>
  <si>
    <t>Dic '91 - Mar '96</t>
  </si>
  <si>
    <t>Stock Price History (Split-Adjusted)</t>
  </si>
  <si>
    <t>Stock return - DELL vs. Nasdaq, IBM y Apple</t>
  </si>
  <si>
    <t>Mar '96 - Dic '97</t>
  </si>
  <si>
    <t>Dic '93 - Dic '97</t>
  </si>
  <si>
    <r>
      <t xml:space="preserve">a </t>
    </r>
    <r>
      <rPr>
        <sz val="8"/>
        <rFont val="Arial"/>
        <family val="2"/>
      </rPr>
      <t>1,190,000 shares of preferred stock converted to common stock in fiscal year 1996.</t>
    </r>
  </si>
  <si>
    <r>
      <t>Long Term Debt</t>
    </r>
    <r>
      <rPr>
        <vertAlign val="superscript"/>
        <sz val="10"/>
        <rFont val="Arial"/>
        <family val="2"/>
      </rPr>
      <t>b</t>
    </r>
  </si>
  <si>
    <t>Sustainable Growth Rate</t>
  </si>
  <si>
    <r>
      <t xml:space="preserve">b </t>
    </r>
    <r>
      <rPr>
        <sz val="8"/>
        <rFont val="Arial"/>
        <family val="2"/>
      </rPr>
      <t>11% Senior Notes Due August 15, 2000. The Company entered into interest rate swap agreements</t>
    </r>
  </si>
  <si>
    <t xml:space="preserve">  expiring on August 15, 1998. At January 28, 1996, the Company had outstanding receive</t>
  </si>
  <si>
    <t xml:space="preserve">  fixed/pay floating interest rate swaps for an amount of $100 million, offset by receive</t>
  </si>
  <si>
    <t xml:space="preserve">  floating/pay fixed interest rate swaps for an amount of $100 million. The weighted average</t>
  </si>
  <si>
    <t xml:space="preserve">  interest rate on the Senior Notes, adjusted by the swaps, was 13.8% and 12.1% for</t>
  </si>
  <si>
    <t xml:space="preserve">  fiscal years 1996 and 1995.</t>
  </si>
  <si>
    <t>Dividend Pay-out %</t>
  </si>
  <si>
    <t>Assets</t>
  </si>
  <si>
    <t>Actual Sales Growth %</t>
  </si>
  <si>
    <t>Equity (Excluding Short-term Investments &amp; After-tax Income on Short-term Investments)</t>
  </si>
  <si>
    <t>Sales Sustainable Growth Rate % ( 1 x 2 x 3 x 4 )</t>
  </si>
  <si>
    <t>4) Earnings Retention [ 1 - Dividend Pay-out % (t) ]</t>
  </si>
  <si>
    <t>1) Net Cash Profit Margin [ Net Income (t) / Sales (t) ]</t>
  </si>
  <si>
    <t>Net Income (Excluding After-tax Income on Short-term Investments)</t>
  </si>
  <si>
    <t>2) Asset Turnover [ Sales (t) / Assets (t-1) ]</t>
  </si>
  <si>
    <t>3) Asset to Equity Multiple - Previous FY [ Assets (t-1) / Equity (t-1) ]</t>
  </si>
  <si>
    <t>Assets - Previous FY (Excluding Short-term Investments and Income on ST Investments)</t>
  </si>
  <si>
    <t>Vale - Sources and Uses of Funds</t>
  </si>
  <si>
    <t>(in millions of U.S. dollars)</t>
  </si>
  <si>
    <t>Actuals</t>
  </si>
  <si>
    <t>REAL</t>
  </si>
  <si>
    <t>USES</t>
  </si>
  <si>
    <t>OPERATING</t>
  </si>
  <si>
    <t>Working Capital &amp; Other Assets</t>
  </si>
  <si>
    <t>Total Operating</t>
  </si>
  <si>
    <t>FINANCING</t>
  </si>
  <si>
    <t>Debt Principal Repayments</t>
  </si>
  <si>
    <t>Dividend Payments</t>
  </si>
  <si>
    <t>Total Financing</t>
  </si>
  <si>
    <t>CASH EXCESS</t>
  </si>
  <si>
    <t>Excess Cash/Liquidity</t>
  </si>
  <si>
    <t>TOTAL USES</t>
  </si>
  <si>
    <t>SOURCES</t>
  </si>
  <si>
    <r>
      <t>D&amp;A Expense (</t>
    </r>
    <r>
      <rPr>
        <i/>
        <sz val="11"/>
        <color theme="1"/>
        <rFont val="Calibri"/>
        <family val="2"/>
        <scheme val="minor"/>
      </rPr>
      <t>Add Back</t>
    </r>
    <r>
      <rPr>
        <sz val="10"/>
        <rFont val="Arial"/>
        <family val="2"/>
      </rPr>
      <t>)</t>
    </r>
  </si>
  <si>
    <r>
      <t>Interest Expense (</t>
    </r>
    <r>
      <rPr>
        <i/>
        <sz val="11"/>
        <color theme="1"/>
        <rFont val="Calibri"/>
        <family val="2"/>
        <scheme val="minor"/>
      </rPr>
      <t>Add Back</t>
    </r>
    <r>
      <rPr>
        <sz val="10"/>
        <rFont val="Arial"/>
        <family val="2"/>
      </rPr>
      <t>)</t>
    </r>
  </si>
  <si>
    <t>Long-Term Debt/Bond Issuance</t>
  </si>
  <si>
    <t>Bank/Other Debt Issuance</t>
  </si>
  <si>
    <t>Equity Capital Raises</t>
  </si>
  <si>
    <t>CASH BALANCE</t>
  </si>
  <si>
    <t>Own Cash Used</t>
  </si>
  <si>
    <t>TOTAL SOURCES</t>
  </si>
  <si>
    <t>Check Sources vs Uses</t>
  </si>
  <si>
    <t>Check CF Operations</t>
  </si>
  <si>
    <t>Check CF Financings (vs. Change in Cash)</t>
  </si>
  <si>
    <t>Check Change in Cash</t>
  </si>
  <si>
    <t xml:space="preserve">    From Model</t>
  </si>
  <si>
    <t xml:space="preserve">       Presented as Investment of Excess Cash (in OPER. USES)</t>
  </si>
  <si>
    <t xml:space="preserve">       Presented as Funding with Own Cash (in OPER. SOURCES)</t>
  </si>
  <si>
    <t>Budget</t>
  </si>
  <si>
    <t>Debt Service</t>
  </si>
  <si>
    <t>Excess Cash</t>
  </si>
  <si>
    <t>total</t>
  </si>
  <si>
    <t>Equity</t>
  </si>
  <si>
    <t>Oper. Profit</t>
  </si>
  <si>
    <t>Net Excess Cash</t>
  </si>
  <si>
    <t>Net Own Cash Used</t>
  </si>
  <si>
    <t>Check</t>
  </si>
  <si>
    <t>Real</t>
  </si>
  <si>
    <t>Operating Cash Flow</t>
  </si>
  <si>
    <t>1992-1996</t>
  </si>
  <si>
    <t>'92-'96</t>
  </si>
  <si>
    <t>ST Invest,</t>
  </si>
  <si>
    <t>'96</t>
  </si>
  <si>
    <t>'97E</t>
  </si>
  <si>
    <t>ST Invest.</t>
  </si>
  <si>
    <t>Actual 1997 (Real)</t>
  </si>
  <si>
    <t>Debt Repurchase</t>
  </si>
  <si>
    <t>Stock Repurchase</t>
  </si>
  <si>
    <t>ST Investments</t>
  </si>
  <si>
    <t>'97A</t>
  </si>
  <si>
    <t>1997A</t>
  </si>
  <si>
    <t>Extraord. Loss</t>
  </si>
  <si>
    <t>Debt/</t>
  </si>
  <si>
    <t>Liabilities/</t>
  </si>
  <si>
    <t>Revenue</t>
  </si>
  <si>
    <t>EBIT</t>
  </si>
  <si>
    <t>Margin %</t>
  </si>
  <si>
    <t>Liabilities</t>
  </si>
  <si>
    <t>(Debt+Equity)</t>
  </si>
  <si>
    <t>CAGR</t>
  </si>
  <si>
    <t>Debt Cost</t>
  </si>
  <si>
    <t>Debt/EBITDA</t>
  </si>
  <si>
    <t>NM</t>
  </si>
  <si>
    <t>Dell 1992-1997</t>
  </si>
  <si>
    <t>Oper CF (Before ST Investments)</t>
  </si>
  <si>
    <t>Interest</t>
  </si>
  <si>
    <t>CCC</t>
  </si>
  <si>
    <t>Other Current Assets - Other Current Liabilities</t>
  </si>
  <si>
    <t>Other Current Assets</t>
  </si>
  <si>
    <t xml:space="preserve">   Changes in Working Capital % of Sales</t>
  </si>
  <si>
    <t>Other Current Liabilities</t>
  </si>
  <si>
    <t xml:space="preserve">   Other Current Liabilities as % of Sales</t>
  </si>
  <si>
    <t xml:space="preserve">   Other Current Assets as % of Sales</t>
  </si>
  <si>
    <t>Change in Other Current Assets/Liabilities</t>
  </si>
  <si>
    <t xml:space="preserve">   Changes in Other Curr. Assets/Liabilities % of Sales</t>
  </si>
  <si>
    <t>Change in Other Current Assets/Liabilities % of Sales</t>
  </si>
  <si>
    <t>target volver a mejor marca (1994)</t>
  </si>
  <si>
    <t>target alcanzar reduccion % DSO de 1996</t>
  </si>
  <si>
    <t>target volver a marca 1995</t>
  </si>
  <si>
    <t>Actuals 1992-1996</t>
  </si>
  <si>
    <t>Actuals 1996</t>
  </si>
  <si>
    <t>Net Profit Margin %</t>
  </si>
  <si>
    <t>Check - cambiando celda "I193" (Short-term Investments Additions/Sales) tiene que dar " 0 " ---&gt;</t>
  </si>
  <si>
    <t>target cash balance = se asume misma # meses de gastos que en 1996</t>
  </si>
  <si>
    <t>Que implica haber mejorado el DIO?</t>
  </si>
  <si>
    <t>days</t>
  </si>
  <si>
    <t>Menor inversion en Inventarios</t>
  </si>
  <si>
    <t>1) mejora de flujo de caja</t>
  </si>
  <si>
    <t>2) menores cargos por obsolescencia de inventario</t>
  </si>
  <si>
    <t>costo de componentes como % de COGS (pag. 2 del caso, parrafo 1)</t>
  </si>
  <si>
    <t>caida en precios de componentes (pag. 2 del caso, parrafo 1)</t>
  </si>
  <si>
    <t>Ahorro en cargo x obsolescencia</t>
  </si>
  <si>
    <t>Se asume que la mayor parte de los inventarios es de componentes e insumos (es aprox 90%)</t>
  </si>
  <si>
    <t>de Net Income</t>
  </si>
  <si>
    <t>de Ventas</t>
  </si>
  <si>
    <t>Dell’s historical stock price</t>
  </si>
  <si>
    <t>% Growth</t>
  </si>
  <si>
    <t>EV/
EBITDA</t>
  </si>
  <si>
    <t>Valuation</t>
  </si>
  <si>
    <t>Multiples</t>
  </si>
  <si>
    <t>the initiation of a quarterly dividend of $0.03 per common share.</t>
  </si>
  <si>
    <t>Total Dividend</t>
  </si>
  <si>
    <t>DELL es la q mas crece, no es la mas rentable</t>
  </si>
  <si>
    <t>Pero Apple e IBM pagan dividendos!! Y tienen cash en el balance</t>
  </si>
  <si>
    <t>Debt/
Capital</t>
  </si>
  <si>
    <t>Debt/
EBITDA</t>
  </si>
  <si>
    <t>DELL cotiza con multiplo + alto … crece y encima genera caja en lugar de consumo de caja x working capital</t>
  </si>
  <si>
    <t>(3) Compaq historically has not paid any dividends, but Oct. 1997 decided to pay a quarterly dividend of $0.03/share.</t>
  </si>
  <si>
    <t>(4) DELL paid preferred dividends in 1994, 1995 and 1996 and then converted all preferred shares to common stock in 1996.</t>
  </si>
  <si>
    <r>
      <t>Compaq</t>
    </r>
    <r>
      <rPr>
        <b/>
        <vertAlign val="superscript"/>
        <sz val="11"/>
        <rFont val="Arial"/>
        <family val="2"/>
      </rPr>
      <t>(3)</t>
    </r>
  </si>
  <si>
    <r>
      <t>IBM</t>
    </r>
    <r>
      <rPr>
        <b/>
        <vertAlign val="superscript"/>
        <sz val="11"/>
        <rFont val="Arial"/>
        <family val="2"/>
      </rPr>
      <t>(2)</t>
    </r>
  </si>
  <si>
    <r>
      <t>Apple</t>
    </r>
    <r>
      <rPr>
        <b/>
        <vertAlign val="superscript"/>
        <sz val="11"/>
        <rFont val="Arial"/>
        <family val="2"/>
      </rPr>
      <t>(1)</t>
    </r>
  </si>
  <si>
    <r>
      <t>DELL</t>
    </r>
    <r>
      <rPr>
        <b/>
        <vertAlign val="superscript"/>
        <sz val="11"/>
        <rFont val="Arial"/>
        <family val="2"/>
      </rPr>
      <t>(4)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</si>
</sst>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8" formatCode="&quot;$&quot;#,##0.00_);[Red]\(&quot;$&quot;#,##0.00\)"/>
    <numFmt numFmtId="43" formatCode="_(* #,##0.00_);_(* \(#,##0.00\);_(* &quot;-&quot;??_);_(@_)"/>
    <numFmt numFmtId="164" formatCode="0_);\(0\)"/>
    <numFmt numFmtId="165" formatCode="&quot;$&quot;#,##0;[Red]&quot;$&quot;#,##0"/>
    <numFmt numFmtId="166" formatCode="_(* #,##0_);_(* \(#,##0\);_(* &quot;-&quot;??_);_(@_)"/>
    <numFmt numFmtId="167" formatCode="_(* #,##0.0_);_(* \(#,##0.0\);_(* &quot;-&quot;??_);_(@_)"/>
    <numFmt numFmtId="168" formatCode="0.0%"/>
    <numFmt numFmtId="169" formatCode="&quot;$&quot;\ #,##0.0;&quot;$&quot;\ \-#,##0.0"/>
    <numFmt numFmtId="170" formatCode="&quot;$&quot;\ #,##0.00;&quot;$&quot;\ \-#,##0.00"/>
    <numFmt numFmtId="171" formatCode="&quot;$&quot;\ #,##0;&quot;$&quot;\ \-#,##0"/>
    <numFmt numFmtId="172" formatCode="0.0\x"/>
    <numFmt numFmtId="173" formatCode="&quot;$&quot;#,##0_);&quot;$&quot;\(#,##0\)"/>
    <numFmt numFmtId="174" formatCode="&quot;$&quot;#,##0.00_);&quot;$&quot;\(#,##0.00\)"/>
    <numFmt numFmtId="175" formatCode="&quot;$&quot;#,##0\ ;&quot;$&quot;\(#,##0\)"/>
    <numFmt numFmtId="176" formatCode="&quot;$&quot;#,##0.0\ ;&quot;$&quot;\(#,##0.0\)"/>
    <numFmt numFmtId="177" formatCode="0.0%;\(0.0%\);\-"/>
    <numFmt numFmtId="178" formatCode="0.0\x;\(0.0\x\);\-"/>
    <numFmt numFmtId="179" formatCode="#,##0.0_);\(#,##0.0\)"/>
    <numFmt numFmtId="180" formatCode="0%;\(0%\);\-"/>
  </numFmts>
  <fonts count="7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vertAlign val="superscript"/>
      <sz val="8"/>
      <name val="Arial"/>
      <family val="2"/>
    </font>
    <font>
      <vertAlign val="superscript"/>
      <sz val="8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i/>
      <sz val="1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ourier new"/>
      <family val="3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0"/>
      <color rgb="FF0070C0"/>
      <name val="Arial"/>
      <family val="2"/>
    </font>
    <font>
      <sz val="11"/>
      <color rgb="FF0070C0"/>
      <name val="Arial"/>
      <family val="2"/>
    </font>
    <font>
      <sz val="10"/>
      <color rgb="FF0070C0"/>
      <name val="Arial"/>
      <family val="2"/>
    </font>
    <font>
      <sz val="10"/>
      <color rgb="FF0070C0"/>
      <name val="Times New Roman"/>
      <family val="1"/>
    </font>
    <font>
      <b/>
      <u/>
      <sz val="11"/>
      <name val="Calibri"/>
      <family val="2"/>
      <scheme val="minor"/>
    </font>
    <font>
      <sz val="10"/>
      <color rgb="FF0070C0"/>
      <name val="Calibri"/>
      <family val="2"/>
      <scheme val="minor"/>
    </font>
    <font>
      <b/>
      <u/>
      <sz val="10"/>
      <color rgb="FF0070C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b/>
      <sz val="12"/>
      <color rgb="FF0070C0"/>
      <name val="Calibri"/>
      <family val="2"/>
      <scheme val="minor"/>
    </font>
    <font>
      <b/>
      <u/>
      <sz val="12"/>
      <name val="Calibri"/>
      <family val="2"/>
    </font>
    <font>
      <sz val="10"/>
      <color theme="1"/>
      <name val="Arial"/>
      <family val="2"/>
    </font>
    <font>
      <b/>
      <u/>
      <sz val="11"/>
      <color rgb="FF0070C0"/>
      <name val="Calibri"/>
      <family val="2"/>
      <scheme val="minor"/>
    </font>
    <font>
      <b/>
      <u/>
      <sz val="12"/>
      <name val="Arial"/>
      <family val="2"/>
    </font>
    <font>
      <b/>
      <sz val="10"/>
      <color rgb="FF0070C0"/>
      <name val="Times New Roman"/>
      <family val="1"/>
    </font>
    <font>
      <i/>
      <sz val="8"/>
      <name val="Arial"/>
      <family val="2"/>
    </font>
    <font>
      <b/>
      <i/>
      <sz val="10"/>
      <name val="Arial"/>
      <family val="2"/>
    </font>
    <font>
      <b/>
      <vertAlign val="superscript"/>
      <sz val="11"/>
      <name val="Arial"/>
      <family val="2"/>
    </font>
    <font>
      <sz val="10"/>
      <color rgb="FFC0000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7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49998474074526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13">
    <xf numFmtId="0" fontId="0" fillId="0" borderId="0">
      <alignment horizontal="right"/>
    </xf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9">
    <xf numFmtId="0" fontId="0" fillId="0" borderId="0" xfId="0">
      <alignment horizontal="righ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>
      <alignment horizontal="right"/>
    </xf>
    <xf numFmtId="0" fontId="5" fillId="0" borderId="1" xfId="0" applyFont="1" applyBorder="1" applyAlignment="1">
      <alignment horizontal="left"/>
    </xf>
    <xf numFmtId="0" fontId="0" fillId="0" borderId="0" xfId="0" applyBorder="1">
      <alignment horizontal="right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9" fontId="0" fillId="0" borderId="0" xfId="0" applyNumberFormat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left"/>
    </xf>
    <xf numFmtId="0" fontId="5" fillId="0" borderId="1" xfId="0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Border="1" applyAlignment="1">
      <alignment horizontal="right"/>
    </xf>
    <xf numFmtId="0" fontId="11" fillId="0" borderId="0" xfId="0" applyFont="1" applyAlignment="1">
      <alignment horizontal="right"/>
    </xf>
    <xf numFmtId="3" fontId="11" fillId="0" borderId="0" xfId="0" applyNumberFormat="1" applyFont="1" applyAlignment="1">
      <alignment horizontal="right"/>
    </xf>
    <xf numFmtId="164" fontId="11" fillId="0" borderId="0" xfId="0" applyNumberFormat="1" applyFont="1" applyAlignment="1">
      <alignment horizontal="right"/>
    </xf>
    <xf numFmtId="0" fontId="0" fillId="0" borderId="2" xfId="0" applyBorder="1">
      <alignment horizontal="righ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3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3" fontId="0" fillId="0" borderId="1" xfId="0" applyNumberForma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13" fillId="0" borderId="0" xfId="0" applyFont="1" applyAlignment="1">
      <alignment horizontal="right"/>
    </xf>
    <xf numFmtId="0" fontId="8" fillId="0" borderId="0" xfId="0" applyFont="1" applyAlignment="1">
      <alignment horizontal="left" indent="1"/>
    </xf>
    <xf numFmtId="0" fontId="21" fillId="0" borderId="3" xfId="0" applyFont="1" applyBorder="1" applyAlignment="1">
      <alignment horizontal="left"/>
    </xf>
    <xf numFmtId="0" fontId="22" fillId="0" borderId="0" xfId="0" applyFont="1">
      <alignment horizontal="right"/>
    </xf>
    <xf numFmtId="0" fontId="21" fillId="0" borderId="0" xfId="0" applyFont="1" applyBorder="1" applyAlignment="1">
      <alignment horizontal="left"/>
    </xf>
    <xf numFmtId="0" fontId="22" fillId="0" borderId="0" xfId="0" applyFont="1" applyAlignment="1">
      <alignment horizontal="right"/>
    </xf>
    <xf numFmtId="0" fontId="21" fillId="0" borderId="0" xfId="0" applyFont="1" applyAlignment="1">
      <alignment horizontal="right"/>
    </xf>
    <xf numFmtId="0" fontId="22" fillId="0" borderId="0" xfId="0" applyFont="1" applyBorder="1" applyAlignment="1">
      <alignment horizontal="right"/>
    </xf>
    <xf numFmtId="0" fontId="23" fillId="0" borderId="0" xfId="0" applyFont="1" applyBorder="1" applyAlignment="1">
      <alignment horizontal="left"/>
    </xf>
    <xf numFmtId="0" fontId="24" fillId="0" borderId="0" xfId="0" applyFont="1" applyAlignment="1">
      <alignment horizontal="left"/>
    </xf>
    <xf numFmtId="0" fontId="24" fillId="0" borderId="0" xfId="0" applyFont="1">
      <alignment horizontal="right"/>
    </xf>
    <xf numFmtId="0" fontId="24" fillId="0" borderId="0" xfId="0" applyFont="1" applyAlignment="1">
      <alignment horizontal="right"/>
    </xf>
    <xf numFmtId="0" fontId="24" fillId="0" borderId="0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right"/>
    </xf>
    <xf numFmtId="0" fontId="26" fillId="0" borderId="1" xfId="0" applyFont="1" applyBorder="1" applyAlignment="1">
      <alignment horizontal="center"/>
    </xf>
    <xf numFmtId="0" fontId="24" fillId="0" borderId="1" xfId="0" applyFont="1" applyBorder="1" applyAlignment="1">
      <alignment horizontal="right"/>
    </xf>
    <xf numFmtId="0" fontId="27" fillId="0" borderId="3" xfId="0" applyFont="1" applyBorder="1" applyAlignment="1">
      <alignment horizontal="left"/>
    </xf>
    <xf numFmtId="0" fontId="22" fillId="0" borderId="3" xfId="0" applyFont="1" applyBorder="1" applyAlignment="1">
      <alignment horizontal="right"/>
    </xf>
    <xf numFmtId="0" fontId="28" fillId="0" borderId="0" xfId="0" applyFont="1" applyBorder="1" applyAlignment="1">
      <alignment horizontal="left"/>
    </xf>
    <xf numFmtId="0" fontId="28" fillId="0" borderId="0" xfId="0" applyFont="1" applyAlignment="1">
      <alignment horizontal="left"/>
    </xf>
    <xf numFmtId="37" fontId="24" fillId="0" borderId="0" xfId="0" applyNumberFormat="1" applyFont="1" applyAlignment="1">
      <alignment horizontal="right"/>
    </xf>
    <xf numFmtId="37" fontId="29" fillId="0" borderId="0" xfId="0" applyNumberFormat="1" applyFont="1" applyAlignment="1">
      <alignment horizontal="right"/>
    </xf>
    <xf numFmtId="37" fontId="30" fillId="0" borderId="0" xfId="0" applyNumberFormat="1" applyFont="1" applyAlignment="1">
      <alignment horizontal="right"/>
    </xf>
    <xf numFmtId="37" fontId="28" fillId="0" borderId="0" xfId="0" applyNumberFormat="1" applyFont="1" applyAlignment="1">
      <alignment horizontal="right"/>
    </xf>
    <xf numFmtId="37" fontId="29" fillId="0" borderId="1" xfId="0" applyNumberFormat="1" applyFont="1" applyBorder="1" applyAlignment="1">
      <alignment horizontal="right"/>
    </xf>
    <xf numFmtId="37" fontId="24" fillId="0" borderId="1" xfId="0" applyNumberFormat="1" applyFont="1" applyBorder="1" applyAlignment="1">
      <alignment horizontal="right"/>
    </xf>
    <xf numFmtId="37" fontId="25" fillId="0" borderId="0" xfId="0" applyNumberFormat="1" applyFont="1" applyAlignment="1">
      <alignment horizontal="right"/>
    </xf>
    <xf numFmtId="37" fontId="22" fillId="0" borderId="0" xfId="0" applyNumberFormat="1" applyFont="1" applyAlignment="1">
      <alignment horizontal="right"/>
    </xf>
    <xf numFmtId="37" fontId="25" fillId="0" borderId="1" xfId="0" applyNumberFormat="1" applyFont="1" applyBorder="1" applyAlignment="1">
      <alignment horizontal="right"/>
    </xf>
    <xf numFmtId="37" fontId="21" fillId="0" borderId="0" xfId="0" applyNumberFormat="1" applyFont="1" applyBorder="1" applyAlignment="1">
      <alignment horizontal="right"/>
    </xf>
    <xf numFmtId="37" fontId="24" fillId="0" borderId="0" xfId="0" applyNumberFormat="1" applyFont="1" applyBorder="1" applyAlignment="1">
      <alignment horizontal="right"/>
    </xf>
    <xf numFmtId="43" fontId="31" fillId="0" borderId="0" xfId="1" applyFont="1" applyAlignment="1">
      <alignment horizontal="left"/>
    </xf>
    <xf numFmtId="0" fontId="25" fillId="0" borderId="0" xfId="0" applyFont="1" applyAlignment="1">
      <alignment horizontal="left"/>
    </xf>
    <xf numFmtId="37" fontId="26" fillId="0" borderId="0" xfId="0" applyNumberFormat="1" applyFont="1" applyAlignment="1">
      <alignment horizontal="right"/>
    </xf>
    <xf numFmtId="0" fontId="32" fillId="0" borderId="0" xfId="0" applyFont="1" applyAlignment="1">
      <alignment horizontal="left"/>
    </xf>
    <xf numFmtId="9" fontId="24" fillId="0" borderId="0" xfId="4" applyFont="1" applyAlignment="1">
      <alignment horizontal="right"/>
    </xf>
    <xf numFmtId="9" fontId="32" fillId="0" borderId="0" xfId="4" applyFont="1" applyAlignment="1">
      <alignment horizontal="right"/>
    </xf>
    <xf numFmtId="0" fontId="33" fillId="0" borderId="0" xfId="0" applyFont="1" applyAlignment="1">
      <alignment horizontal="left"/>
    </xf>
    <xf numFmtId="0" fontId="25" fillId="0" borderId="0" xfId="0" applyFont="1" applyBorder="1" applyAlignment="1">
      <alignment horizontal="left"/>
    </xf>
    <xf numFmtId="37" fontId="25" fillId="0" borderId="0" xfId="0" applyNumberFormat="1" applyFont="1" applyBorder="1" applyAlignment="1">
      <alignment horizontal="right"/>
    </xf>
    <xf numFmtId="0" fontId="31" fillId="0" borderId="0" xfId="0" applyFont="1" applyAlignment="1">
      <alignment horizontal="left"/>
    </xf>
    <xf numFmtId="0" fontId="34" fillId="0" borderId="0" xfId="0" applyFont="1" applyAlignment="1">
      <alignment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166" fontId="20" fillId="0" borderId="0" xfId="1" applyNumberFormat="1" applyFont="1" applyAlignment="1">
      <alignment vertical="center"/>
    </xf>
    <xf numFmtId="0" fontId="24" fillId="0" borderId="0" xfId="0" applyFont="1" applyAlignment="1">
      <alignment vertical="center"/>
    </xf>
    <xf numFmtId="166" fontId="24" fillId="0" borderId="0" xfId="0" applyNumberFormat="1" applyFont="1" applyAlignment="1">
      <alignment vertical="center"/>
    </xf>
    <xf numFmtId="166" fontId="24" fillId="0" borderId="1" xfId="0" applyNumberFormat="1" applyFont="1" applyBorder="1" applyAlignment="1">
      <alignment vertical="center"/>
    </xf>
    <xf numFmtId="166" fontId="25" fillId="0" borderId="0" xfId="1" applyNumberFormat="1" applyFont="1" applyAlignment="1">
      <alignment vertical="center"/>
    </xf>
    <xf numFmtId="9" fontId="32" fillId="0" borderId="1" xfId="4" applyFont="1" applyBorder="1" applyAlignment="1">
      <alignment horizontal="right"/>
    </xf>
    <xf numFmtId="0" fontId="24" fillId="0" borderId="1" xfId="0" applyFont="1" applyBorder="1" applyAlignment="1">
      <alignment vertical="center"/>
    </xf>
    <xf numFmtId="166" fontId="24" fillId="0" borderId="0" xfId="0" applyNumberFormat="1" applyFont="1" applyAlignment="1">
      <alignment horizontal="right"/>
    </xf>
    <xf numFmtId="37" fontId="25" fillId="0" borderId="2" xfId="0" applyNumberFormat="1" applyFont="1" applyBorder="1" applyAlignment="1">
      <alignment horizontal="right"/>
    </xf>
    <xf numFmtId="43" fontId="22" fillId="0" borderId="0" xfId="1" applyFont="1" applyAlignment="1">
      <alignment horizontal="right"/>
    </xf>
    <xf numFmtId="37" fontId="26" fillId="0" borderId="1" xfId="0" applyNumberFormat="1" applyFont="1" applyBorder="1" applyAlignment="1">
      <alignment horizontal="right"/>
    </xf>
    <xf numFmtId="37" fontId="35" fillId="0" borderId="0" xfId="0" applyNumberFormat="1" applyFont="1" applyBorder="1" applyAlignment="1">
      <alignment horizontal="right"/>
    </xf>
    <xf numFmtId="0" fontId="35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9" fontId="35" fillId="0" borderId="0" xfId="4" applyFont="1" applyAlignment="1">
      <alignment horizontal="right"/>
    </xf>
    <xf numFmtId="0" fontId="25" fillId="0" borderId="0" xfId="0" applyFont="1" applyAlignment="1">
      <alignment vertical="center"/>
    </xf>
    <xf numFmtId="166" fontId="26" fillId="0" borderId="1" xfId="0" applyNumberFormat="1" applyFont="1" applyBorder="1" applyAlignment="1">
      <alignment vertical="center"/>
    </xf>
    <xf numFmtId="166" fontId="25" fillId="0" borderId="1" xfId="0" applyNumberFormat="1" applyFont="1" applyBorder="1" applyAlignment="1">
      <alignment vertical="center"/>
    </xf>
    <xf numFmtId="166" fontId="25" fillId="0" borderId="0" xfId="0" applyNumberFormat="1" applyFont="1" applyAlignment="1">
      <alignment vertical="center"/>
    </xf>
    <xf numFmtId="167" fontId="26" fillId="0" borderId="0" xfId="1" applyNumberFormat="1" applyFont="1" applyAlignment="1">
      <alignment vertical="center"/>
    </xf>
    <xf numFmtId="0" fontId="36" fillId="0" borderId="0" xfId="0" applyFont="1" applyAlignment="1">
      <alignment vertical="center"/>
    </xf>
    <xf numFmtId="9" fontId="24" fillId="0" borderId="0" xfId="0" applyNumberFormat="1" applyFont="1" applyAlignment="1">
      <alignment horizontal="right"/>
    </xf>
    <xf numFmtId="37" fontId="33" fillId="0" borderId="0" xfId="0" applyNumberFormat="1" applyFont="1" applyAlignment="1">
      <alignment horizontal="right"/>
    </xf>
    <xf numFmtId="9" fontId="35" fillId="0" borderId="1" xfId="4" applyNumberFormat="1" applyFont="1" applyBorder="1" applyAlignment="1">
      <alignment horizontal="right"/>
    </xf>
    <xf numFmtId="0" fontId="24" fillId="0" borderId="1" xfId="0" applyFont="1" applyBorder="1" applyAlignment="1">
      <alignment horizontal="left"/>
    </xf>
    <xf numFmtId="166" fontId="24" fillId="0" borderId="1" xfId="0" applyNumberFormat="1" applyFont="1" applyBorder="1" applyAlignment="1">
      <alignment horizontal="right"/>
    </xf>
    <xf numFmtId="168" fontId="24" fillId="0" borderId="0" xfId="0" applyNumberFormat="1" applyFont="1" applyAlignment="1">
      <alignment horizontal="right"/>
    </xf>
    <xf numFmtId="166" fontId="25" fillId="0" borderId="0" xfId="0" applyNumberFormat="1" applyFont="1" applyAlignment="1">
      <alignment horizontal="right"/>
    </xf>
    <xf numFmtId="0" fontId="27" fillId="0" borderId="3" xfId="0" applyFont="1" applyBorder="1" applyAlignment="1"/>
    <xf numFmtId="0" fontId="21" fillId="0" borderId="0" xfId="0" applyFont="1" applyBorder="1" applyAlignment="1"/>
    <xf numFmtId="0" fontId="24" fillId="0" borderId="0" xfId="0" applyFont="1" applyBorder="1" applyAlignment="1"/>
    <xf numFmtId="0" fontId="23" fillId="0" borderId="0" xfId="0" applyFont="1" applyBorder="1" applyAlignment="1"/>
    <xf numFmtId="0" fontId="28" fillId="0" borderId="0" xfId="0" applyFont="1" applyBorder="1" applyAlignment="1"/>
    <xf numFmtId="0" fontId="24" fillId="0" borderId="0" xfId="0" applyFont="1" applyAlignment="1"/>
    <xf numFmtId="0" fontId="25" fillId="0" borderId="0" xfId="0" applyFont="1" applyAlignment="1"/>
    <xf numFmtId="0" fontId="28" fillId="0" borderId="0" xfId="0" applyFont="1" applyAlignment="1"/>
    <xf numFmtId="0" fontId="31" fillId="0" borderId="0" xfId="0" applyFont="1" applyAlignment="1"/>
    <xf numFmtId="0" fontId="22" fillId="0" borderId="0" xfId="0" applyFont="1" applyAlignment="1"/>
    <xf numFmtId="0" fontId="32" fillId="0" borderId="0" xfId="0" applyFont="1" applyAlignment="1"/>
    <xf numFmtId="0" fontId="35" fillId="0" borderId="0" xfId="0" applyFont="1" applyAlignment="1"/>
    <xf numFmtId="0" fontId="33" fillId="0" borderId="0" xfId="0" applyFont="1" applyAlignment="1"/>
    <xf numFmtId="0" fontId="29" fillId="0" borderId="0" xfId="0" applyFont="1" applyAlignment="1"/>
    <xf numFmtId="0" fontId="25" fillId="0" borderId="0" xfId="0" applyFont="1" applyBorder="1" applyAlignment="1"/>
    <xf numFmtId="43" fontId="24" fillId="0" borderId="0" xfId="1" applyFont="1" applyAlignment="1">
      <alignment horizontal="right"/>
    </xf>
    <xf numFmtId="9" fontId="29" fillId="0" borderId="0" xfId="0" applyNumberFormat="1" applyFont="1" applyAlignment="1">
      <alignment horizontal="right"/>
    </xf>
    <xf numFmtId="0" fontId="24" fillId="0" borderId="3" xfId="0" applyFont="1" applyBorder="1" applyAlignment="1">
      <alignment horizontal="right"/>
    </xf>
    <xf numFmtId="37" fontId="29" fillId="3" borderId="0" xfId="0" applyNumberFormat="1" applyFont="1" applyFill="1" applyAlignment="1">
      <alignment horizontal="right"/>
    </xf>
    <xf numFmtId="168" fontId="24" fillId="0" borderId="0" xfId="4" applyNumberFormat="1" applyFont="1" applyAlignment="1">
      <alignment horizontal="right"/>
    </xf>
    <xf numFmtId="37" fontId="29" fillId="3" borderId="1" xfId="0" applyNumberFormat="1" applyFont="1" applyFill="1" applyBorder="1" applyAlignment="1">
      <alignment horizontal="right"/>
    </xf>
    <xf numFmtId="37" fontId="35" fillId="0" borderId="0" xfId="0" applyNumberFormat="1" applyFont="1" applyAlignment="1">
      <alignment horizontal="right"/>
    </xf>
    <xf numFmtId="9" fontId="35" fillId="0" borderId="0" xfId="0" applyNumberFormat="1" applyFont="1" applyAlignment="1">
      <alignment horizontal="right"/>
    </xf>
    <xf numFmtId="43" fontId="24" fillId="0" borderId="0" xfId="0" applyNumberFormat="1" applyFont="1" applyAlignment="1">
      <alignment horizontal="right"/>
    </xf>
    <xf numFmtId="0" fontId="21" fillId="0" borderId="0" xfId="0" applyFont="1" applyAlignment="1"/>
    <xf numFmtId="0" fontId="24" fillId="3" borderId="0" xfId="0" applyFont="1" applyFill="1" applyAlignment="1">
      <alignment horizontal="right"/>
    </xf>
    <xf numFmtId="0" fontId="19" fillId="3" borderId="0" xfId="0" applyFont="1" applyFill="1" applyAlignment="1">
      <alignment horizontal="right"/>
    </xf>
    <xf numFmtId="9" fontId="32" fillId="0" borderId="0" xfId="4" applyNumberFormat="1" applyFont="1" applyAlignment="1">
      <alignment horizontal="right"/>
    </xf>
    <xf numFmtId="166" fontId="29" fillId="3" borderId="0" xfId="0" applyNumberFormat="1" applyFont="1" applyFill="1" applyAlignment="1">
      <alignment vertical="center"/>
    </xf>
    <xf numFmtId="167" fontId="24" fillId="0" borderId="0" xfId="0" applyNumberFormat="1" applyFont="1" applyAlignment="1">
      <alignment vertical="center"/>
    </xf>
    <xf numFmtId="9" fontId="35" fillId="0" borderId="0" xfId="4" applyFont="1" applyBorder="1" applyAlignment="1">
      <alignment horizontal="right"/>
    </xf>
    <xf numFmtId="9" fontId="22" fillId="0" borderId="0" xfId="4" applyFont="1" applyAlignment="1">
      <alignment horizontal="right"/>
    </xf>
    <xf numFmtId="0" fontId="28" fillId="0" borderId="0" xfId="0" applyFont="1" applyAlignment="1">
      <alignment vertical="center"/>
    </xf>
    <xf numFmtId="43" fontId="31" fillId="0" borderId="0" xfId="1" applyFont="1" applyFill="1" applyAlignment="1">
      <alignment horizontal="left"/>
    </xf>
    <xf numFmtId="0" fontId="22" fillId="3" borderId="0" xfId="0" applyFont="1" applyFill="1" applyAlignment="1"/>
    <xf numFmtId="37" fontId="29" fillId="0" borderId="0" xfId="0" applyNumberFormat="1" applyFont="1" applyFill="1" applyAlignment="1">
      <alignment horizontal="right"/>
    </xf>
    <xf numFmtId="0" fontId="24" fillId="0" borderId="0" xfId="0" applyFont="1" applyFill="1" applyAlignment="1">
      <alignment horizontal="right"/>
    </xf>
    <xf numFmtId="37" fontId="24" fillId="3" borderId="0" xfId="0" applyNumberFormat="1" applyFont="1" applyFill="1" applyAlignment="1">
      <alignment horizontal="right"/>
    </xf>
    <xf numFmtId="0" fontId="8" fillId="0" borderId="0" xfId="0" applyFont="1">
      <alignment horizontal="right"/>
    </xf>
    <xf numFmtId="14" fontId="0" fillId="0" borderId="0" xfId="0" applyNumberFormat="1">
      <alignment horizontal="right"/>
    </xf>
    <xf numFmtId="8" fontId="0" fillId="0" borderId="0" xfId="0" applyNumberFormat="1">
      <alignment horizontal="right"/>
    </xf>
    <xf numFmtId="0" fontId="8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5" fillId="0" borderId="2" xfId="0" applyFont="1" applyBorder="1" applyAlignment="1">
      <alignment horizontal="center" wrapText="1"/>
    </xf>
    <xf numFmtId="43" fontId="0" fillId="0" borderId="0" xfId="1" applyFont="1" applyAlignment="1">
      <alignment horizontal="right"/>
    </xf>
    <xf numFmtId="0" fontId="8" fillId="0" borderId="2" xfId="0" applyFont="1" applyBorder="1" applyAlignment="1">
      <alignment horizontal="center" wrapText="1"/>
    </xf>
    <xf numFmtId="43" fontId="0" fillId="0" borderId="0" xfId="0" applyNumberFormat="1">
      <alignment horizontal="right"/>
    </xf>
    <xf numFmtId="0" fontId="8" fillId="0" borderId="1" xfId="0" applyFont="1" applyBorder="1" applyAlignment="1">
      <alignment horizontal="centerContinuous"/>
    </xf>
    <xf numFmtId="0" fontId="0" fillId="0" borderId="1" xfId="0" applyBorder="1" applyAlignment="1">
      <alignment horizontal="centerContinuous"/>
    </xf>
    <xf numFmtId="0" fontId="8" fillId="0" borderId="1" xfId="0" applyFont="1" applyBorder="1" applyAlignment="1">
      <alignment horizontal="center"/>
    </xf>
    <xf numFmtId="14" fontId="0" fillId="0" borderId="0" xfId="0" applyNumberFormat="1" applyAlignment="1"/>
    <xf numFmtId="0" fontId="0" fillId="0" borderId="0" xfId="0" applyFont="1" applyAlignment="1"/>
    <xf numFmtId="43" fontId="0" fillId="0" borderId="0" xfId="1" applyFont="1" applyAlignment="1"/>
    <xf numFmtId="0" fontId="13" fillId="0" borderId="0" xfId="0" applyFont="1" applyAlignment="1">
      <alignment horizontal="center"/>
    </xf>
    <xf numFmtId="43" fontId="13" fillId="0" borderId="0" xfId="1" applyFont="1" applyAlignment="1">
      <alignment horizontal="center"/>
    </xf>
    <xf numFmtId="0" fontId="13" fillId="0" borderId="0" xfId="0" applyFont="1">
      <alignment horizontal="right"/>
    </xf>
    <xf numFmtId="0" fontId="38" fillId="0" borderId="0" xfId="0" applyFont="1" applyAlignment="1">
      <alignment horizontal="left" vertical="center"/>
    </xf>
    <xf numFmtId="0" fontId="14" fillId="0" borderId="0" xfId="0" applyFont="1">
      <alignment horizontal="right"/>
    </xf>
    <xf numFmtId="0" fontId="14" fillId="0" borderId="0" xfId="0" applyFont="1" applyAlignment="1">
      <alignment horizontal="left" vertical="center"/>
    </xf>
    <xf numFmtId="43" fontId="5" fillId="0" borderId="0" xfId="1" applyFont="1" applyAlignment="1">
      <alignment horizontal="right"/>
    </xf>
    <xf numFmtId="0" fontId="39" fillId="0" borderId="2" xfId="0" applyFont="1" applyBorder="1" applyAlignment="1">
      <alignment horizontal="center" wrapText="1"/>
    </xf>
    <xf numFmtId="0" fontId="12" fillId="0" borderId="0" xfId="0" applyFont="1" applyAlignment="1">
      <alignment horizontal="left"/>
    </xf>
    <xf numFmtId="0" fontId="5" fillId="0" borderId="0" xfId="3" applyFont="1" applyAlignment="1">
      <alignment horizontal="left"/>
    </xf>
    <xf numFmtId="0" fontId="8" fillId="0" borderId="0" xfId="3" applyAlignment="1">
      <alignment horizontal="left"/>
    </xf>
    <xf numFmtId="0" fontId="8" fillId="0" borderId="0" xfId="3"/>
    <xf numFmtId="0" fontId="5" fillId="0" borderId="3" xfId="3" applyFont="1" applyBorder="1" applyAlignment="1">
      <alignment horizontal="centerContinuous"/>
    </xf>
    <xf numFmtId="0" fontId="5" fillId="0" borderId="0" xfId="3" applyFont="1" applyAlignment="1">
      <alignment horizontal="center"/>
    </xf>
    <xf numFmtId="0" fontId="5" fillId="0" borderId="0" xfId="3" applyFont="1" applyAlignment="1">
      <alignment horizontal="centerContinuous"/>
    </xf>
    <xf numFmtId="0" fontId="5" fillId="0" borderId="1" xfId="3" applyFont="1" applyBorder="1" applyAlignment="1">
      <alignment horizontal="centerContinuous"/>
    </xf>
    <xf numFmtId="0" fontId="5" fillId="0" borderId="1" xfId="3" applyFont="1" applyBorder="1" applyAlignment="1">
      <alignment horizontal="center"/>
    </xf>
    <xf numFmtId="0" fontId="5" fillId="0" borderId="1" xfId="3" applyFont="1" applyBorder="1" applyAlignment="1">
      <alignment horizontal="left"/>
    </xf>
    <xf numFmtId="0" fontId="8" fillId="0" borderId="2" xfId="3" applyBorder="1" applyAlignment="1">
      <alignment horizontal="center" wrapText="1"/>
    </xf>
    <xf numFmtId="0" fontId="15" fillId="0" borderId="0" xfId="3" applyFont="1" applyAlignment="1">
      <alignment horizontal="center"/>
    </xf>
    <xf numFmtId="0" fontId="5" fillId="0" borderId="0" xfId="3" applyFont="1" applyAlignment="1">
      <alignment horizontal="left" vertical="top"/>
    </xf>
    <xf numFmtId="169" fontId="8" fillId="0" borderId="0" xfId="3" applyNumberFormat="1" applyAlignment="1">
      <alignment horizontal="right" vertical="top"/>
    </xf>
    <xf numFmtId="0" fontId="8" fillId="0" borderId="1" xfId="3" applyBorder="1"/>
    <xf numFmtId="0" fontId="16" fillId="0" borderId="0" xfId="3" applyFont="1" applyAlignment="1">
      <alignment horizontal="left"/>
    </xf>
    <xf numFmtId="14" fontId="0" fillId="4" borderId="0" xfId="0" applyNumberFormat="1" applyFill="1">
      <alignment horizontal="right"/>
    </xf>
    <xf numFmtId="8" fontId="0" fillId="4" borderId="0" xfId="0" applyNumberFormat="1" applyFill="1">
      <alignment horizontal="right"/>
    </xf>
    <xf numFmtId="43" fontId="0" fillId="4" borderId="0" xfId="0" applyNumberFormat="1" applyFill="1">
      <alignment horizontal="right"/>
    </xf>
    <xf numFmtId="8" fontId="40" fillId="4" borderId="0" xfId="0" applyNumberFormat="1" applyFont="1" applyFill="1">
      <alignment horizontal="right"/>
    </xf>
    <xf numFmtId="0" fontId="5" fillId="2" borderId="0" xfId="3" applyFont="1" applyFill="1" applyAlignment="1">
      <alignment vertical="center"/>
    </xf>
    <xf numFmtId="169" fontId="8" fillId="0" borderId="0" xfId="3" applyNumberFormat="1" applyFont="1" applyAlignment="1">
      <alignment horizontal="right" vertical="center"/>
    </xf>
    <xf numFmtId="174" fontId="41" fillId="0" borderId="0" xfId="0" applyNumberFormat="1" applyFont="1" applyAlignment="1">
      <alignment vertical="center"/>
    </xf>
    <xf numFmtId="173" fontId="42" fillId="0" borderId="0" xfId="0" applyNumberFormat="1" applyFont="1" applyAlignment="1">
      <alignment vertical="center"/>
    </xf>
    <xf numFmtId="0" fontId="8" fillId="0" borderId="0" xfId="3" applyFont="1" applyAlignment="1">
      <alignment vertical="center"/>
    </xf>
    <xf numFmtId="0" fontId="8" fillId="0" borderId="0" xfId="3" applyFont="1" applyAlignment="1">
      <alignment horizontal="left" vertical="center"/>
    </xf>
    <xf numFmtId="0" fontId="8" fillId="2" borderId="0" xfId="3" applyFont="1" applyFill="1" applyAlignment="1">
      <alignment vertical="center"/>
    </xf>
    <xf numFmtId="0" fontId="17" fillId="0" borderId="0" xfId="3" applyFont="1" applyAlignment="1">
      <alignment horizontal="left" vertical="center"/>
    </xf>
    <xf numFmtId="169" fontId="14" fillId="0" borderId="0" xfId="3" applyNumberFormat="1" applyFont="1" applyAlignment="1">
      <alignment horizontal="right" vertical="center"/>
    </xf>
    <xf numFmtId="166" fontId="14" fillId="0" borderId="0" xfId="2" applyNumberFormat="1" applyFont="1" applyFill="1" applyBorder="1" applyAlignment="1" applyProtection="1">
      <alignment horizontal="right" vertical="center"/>
    </xf>
    <xf numFmtId="171" fontId="17" fillId="0" borderId="0" xfId="3" applyNumberFormat="1" applyFont="1" applyAlignment="1">
      <alignment horizontal="right" vertical="center"/>
    </xf>
    <xf numFmtId="171" fontId="14" fillId="0" borderId="0" xfId="3" applyNumberFormat="1" applyFont="1" applyAlignment="1">
      <alignment horizontal="right" vertical="center"/>
    </xf>
    <xf numFmtId="171" fontId="17" fillId="0" borderId="0" xfId="3" applyNumberFormat="1" applyFont="1" applyAlignment="1">
      <alignment vertical="center"/>
    </xf>
    <xf numFmtId="171" fontId="14" fillId="0" borderId="0" xfId="3" applyNumberFormat="1" applyFont="1" applyAlignment="1">
      <alignment vertical="center"/>
    </xf>
    <xf numFmtId="0" fontId="14" fillId="0" borderId="0" xfId="3" applyFont="1" applyAlignment="1">
      <alignment vertical="center"/>
    </xf>
    <xf numFmtId="172" fontId="14" fillId="0" borderId="0" xfId="3" applyNumberFormat="1" applyFont="1" applyAlignment="1">
      <alignment horizontal="right" vertical="center"/>
    </xf>
    <xf numFmtId="168" fontId="14" fillId="0" borderId="0" xfId="5" applyNumberFormat="1" applyFont="1" applyAlignment="1">
      <alignment vertical="center"/>
    </xf>
    <xf numFmtId="167" fontId="14" fillId="0" borderId="0" xfId="2" applyNumberFormat="1" applyFont="1" applyFill="1" applyBorder="1" applyAlignment="1" applyProtection="1">
      <alignment horizontal="right" vertical="center"/>
    </xf>
    <xf numFmtId="0" fontId="17" fillId="0" borderId="1" xfId="3" applyFont="1" applyBorder="1" applyAlignment="1">
      <alignment horizontal="left" vertical="center"/>
    </xf>
    <xf numFmtId="169" fontId="14" fillId="0" borderId="1" xfId="3" applyNumberFormat="1" applyFont="1" applyBorder="1" applyAlignment="1">
      <alignment horizontal="right" vertical="center"/>
    </xf>
    <xf numFmtId="166" fontId="14" fillId="0" borderId="1" xfId="2" applyNumberFormat="1" applyFont="1" applyFill="1" applyBorder="1" applyAlignment="1" applyProtection="1">
      <alignment horizontal="right" vertical="center"/>
    </xf>
    <xf numFmtId="170" fontId="14" fillId="0" borderId="1" xfId="3" applyNumberFormat="1" applyFont="1" applyBorder="1" applyAlignment="1">
      <alignment horizontal="right" vertical="center"/>
    </xf>
    <xf numFmtId="171" fontId="17" fillId="0" borderId="1" xfId="3" applyNumberFormat="1" applyFont="1" applyBorder="1" applyAlignment="1">
      <alignment horizontal="right" vertical="center"/>
    </xf>
    <xf numFmtId="171" fontId="14" fillId="0" borderId="1" xfId="3" applyNumberFormat="1" applyFont="1" applyBorder="1" applyAlignment="1">
      <alignment horizontal="right" vertical="center"/>
    </xf>
    <xf numFmtId="171" fontId="17" fillId="0" borderId="1" xfId="3" applyNumberFormat="1" applyFont="1" applyBorder="1" applyAlignment="1">
      <alignment vertical="center"/>
    </xf>
    <xf numFmtId="171" fontId="14" fillId="0" borderId="1" xfId="3" applyNumberFormat="1" applyFont="1" applyBorder="1" applyAlignment="1">
      <alignment vertical="center"/>
    </xf>
    <xf numFmtId="0" fontId="14" fillId="0" borderId="1" xfId="3" applyFont="1" applyBorder="1" applyAlignment="1">
      <alignment vertical="center"/>
    </xf>
    <xf numFmtId="172" fontId="14" fillId="0" borderId="1" xfId="3" applyNumberFormat="1" applyFont="1" applyBorder="1" applyAlignment="1">
      <alignment horizontal="right" vertical="center"/>
    </xf>
    <xf numFmtId="170" fontId="14" fillId="0" borderId="0" xfId="3" applyNumberFormat="1" applyFont="1" applyAlignment="1">
      <alignment horizontal="right" vertical="center"/>
    </xf>
    <xf numFmtId="0" fontId="40" fillId="0" borderId="0" xfId="0" applyFont="1" applyAlignment="1">
      <alignment horizontal="left"/>
    </xf>
    <xf numFmtId="0" fontId="5" fillId="0" borderId="1" xfId="3" applyFont="1" applyBorder="1" applyAlignment="1">
      <alignment horizontal="centerContinuous" wrapText="1"/>
    </xf>
    <xf numFmtId="9" fontId="8" fillId="0" borderId="0" xfId="5" applyNumberFormat="1" applyFont="1" applyAlignment="1">
      <alignment vertical="center"/>
    </xf>
    <xf numFmtId="0" fontId="16" fillId="0" borderId="0" xfId="3" applyFont="1" applyAlignment="1"/>
    <xf numFmtId="9" fontId="14" fillId="0" borderId="0" xfId="4" applyFont="1" applyAlignment="1">
      <alignment vertical="center"/>
    </xf>
    <xf numFmtId="9" fontId="15" fillId="0" borderId="0" xfId="5" applyNumberFormat="1" applyFont="1" applyAlignment="1">
      <alignment vertical="center"/>
    </xf>
    <xf numFmtId="171" fontId="18" fillId="0" borderId="0" xfId="3" applyNumberFormat="1" applyFont="1" applyAlignment="1">
      <alignment horizontal="right" vertical="center"/>
    </xf>
    <xf numFmtId="171" fontId="18" fillId="0" borderId="1" xfId="3" applyNumberFormat="1" applyFont="1" applyBorder="1" applyAlignment="1">
      <alignment horizontal="right" vertical="center"/>
    </xf>
    <xf numFmtId="8" fontId="5" fillId="0" borderId="0" xfId="0" applyNumberFormat="1" applyFont="1">
      <alignment horizontal="right"/>
    </xf>
    <xf numFmtId="0" fontId="43" fillId="0" borderId="0" xfId="0" applyFont="1" applyAlignment="1">
      <alignment horizontal="left"/>
    </xf>
    <xf numFmtId="0" fontId="44" fillId="0" borderId="0" xfId="3" applyFont="1" applyAlignment="1">
      <alignment vertical="center"/>
    </xf>
    <xf numFmtId="0" fontId="45" fillId="0" borderId="0" xfId="3" applyFont="1" applyAlignment="1">
      <alignment vertical="center"/>
    </xf>
    <xf numFmtId="0" fontId="45" fillId="0" borderId="0" xfId="3" applyFont="1"/>
    <xf numFmtId="0" fontId="46" fillId="0" borderId="0" xfId="0" applyFont="1" applyAlignment="1"/>
    <xf numFmtId="0" fontId="0" fillId="0" borderId="0" xfId="0" applyFill="1">
      <alignment horizontal="right"/>
    </xf>
    <xf numFmtId="0" fontId="8" fillId="0" borderId="0" xfId="0" applyFont="1" applyFill="1" applyAlignment="1">
      <alignment horizontal="left"/>
    </xf>
    <xf numFmtId="14" fontId="0" fillId="0" borderId="0" xfId="0" applyNumberFormat="1" applyFill="1">
      <alignment horizontal="right"/>
    </xf>
    <xf numFmtId="8" fontId="0" fillId="0" borderId="0" xfId="0" applyNumberFormat="1" applyFill="1">
      <alignment horizontal="right"/>
    </xf>
    <xf numFmtId="43" fontId="0" fillId="0" borderId="0" xfId="1" applyFont="1" applyFill="1" applyAlignment="1">
      <alignment horizontal="right"/>
    </xf>
    <xf numFmtId="0" fontId="8" fillId="0" borderId="0" xfId="0" applyFont="1" applyFill="1">
      <alignment horizontal="right"/>
    </xf>
    <xf numFmtId="0" fontId="8" fillId="0" borderId="0" xfId="0" applyFont="1" applyFill="1" applyAlignment="1">
      <alignment horizontal="center"/>
    </xf>
    <xf numFmtId="0" fontId="21" fillId="0" borderId="2" xfId="0" applyFont="1" applyBorder="1" applyAlignment="1">
      <alignment horizontal="center" wrapText="1"/>
    </xf>
    <xf numFmtId="14" fontId="22" fillId="0" borderId="0" xfId="0" applyNumberFormat="1" applyFont="1">
      <alignment horizontal="right"/>
    </xf>
    <xf numFmtId="8" fontId="22" fillId="0" borderId="0" xfId="0" applyNumberFormat="1" applyFont="1">
      <alignment horizontal="right"/>
    </xf>
    <xf numFmtId="43" fontId="22" fillId="0" borderId="0" xfId="0" applyNumberFormat="1" applyFont="1">
      <alignment horizontal="right"/>
    </xf>
    <xf numFmtId="0" fontId="47" fillId="0" borderId="0" xfId="0" applyFont="1" applyAlignment="1">
      <alignment horizontal="left"/>
    </xf>
    <xf numFmtId="0" fontId="25" fillId="0" borderId="2" xfId="0" applyFont="1" applyBorder="1" applyAlignment="1">
      <alignment horizontal="center"/>
    </xf>
    <xf numFmtId="0" fontId="25" fillId="0" borderId="2" xfId="0" applyFont="1" applyBorder="1" applyAlignment="1">
      <alignment horizontal="center" wrapText="1"/>
    </xf>
    <xf numFmtId="14" fontId="24" fillId="0" borderId="0" xfId="0" applyNumberFormat="1" applyFont="1">
      <alignment horizontal="right"/>
    </xf>
    <xf numFmtId="8" fontId="24" fillId="0" borderId="0" xfId="0" applyNumberFormat="1" applyFont="1">
      <alignment horizontal="right"/>
    </xf>
    <xf numFmtId="43" fontId="24" fillId="0" borderId="0" xfId="0" applyNumberFormat="1" applyFont="1">
      <alignment horizontal="right"/>
    </xf>
    <xf numFmtId="14" fontId="24" fillId="5" borderId="0" xfId="0" applyNumberFormat="1" applyFont="1" applyFill="1">
      <alignment horizontal="right"/>
    </xf>
    <xf numFmtId="0" fontId="24" fillId="5" borderId="0" xfId="0" applyFont="1" applyFill="1">
      <alignment horizontal="right"/>
    </xf>
    <xf numFmtId="8" fontId="24" fillId="5" borderId="0" xfId="0" applyNumberFormat="1" applyFont="1" applyFill="1">
      <alignment horizontal="right"/>
    </xf>
    <xf numFmtId="43" fontId="24" fillId="5" borderId="0" xfId="0" applyNumberFormat="1" applyFont="1" applyFill="1">
      <alignment horizontal="right"/>
    </xf>
    <xf numFmtId="8" fontId="24" fillId="0" borderId="0" xfId="0" applyNumberFormat="1" applyFont="1" applyFill="1">
      <alignment horizontal="right"/>
    </xf>
    <xf numFmtId="0" fontId="24" fillId="0" borderId="0" xfId="0" applyFont="1" applyFill="1">
      <alignment horizontal="right"/>
    </xf>
    <xf numFmtId="14" fontId="24" fillId="6" borderId="0" xfId="0" applyNumberFormat="1" applyFont="1" applyFill="1">
      <alignment horizontal="right"/>
    </xf>
    <xf numFmtId="0" fontId="24" fillId="6" borderId="0" xfId="0" applyFont="1" applyFill="1">
      <alignment horizontal="right"/>
    </xf>
    <xf numFmtId="8" fontId="24" fillId="6" borderId="0" xfId="0" applyNumberFormat="1" applyFont="1" applyFill="1">
      <alignment horizontal="right"/>
    </xf>
    <xf numFmtId="43" fontId="24" fillId="6" borderId="0" xfId="0" applyNumberFormat="1" applyFont="1" applyFill="1">
      <alignment horizontal="right"/>
    </xf>
    <xf numFmtId="0" fontId="47" fillId="0" borderId="0" xfId="0" applyFont="1" applyAlignment="1">
      <alignment horizontal="center"/>
    </xf>
    <xf numFmtId="166" fontId="24" fillId="0" borderId="0" xfId="1" applyNumberFormat="1" applyFont="1" applyAlignment="1">
      <alignment horizontal="right"/>
    </xf>
    <xf numFmtId="43" fontId="48" fillId="0" borderId="0" xfId="1" applyFont="1" applyAlignment="1">
      <alignment horizontal="right"/>
    </xf>
    <xf numFmtId="43" fontId="21" fillId="0" borderId="0" xfId="1" applyFont="1" applyAlignment="1">
      <alignment horizontal="right"/>
    </xf>
    <xf numFmtId="0" fontId="49" fillId="0" borderId="0" xfId="0" applyFont="1" applyAlignment="1">
      <alignment horizontal="left"/>
    </xf>
    <xf numFmtId="0" fontId="48" fillId="0" borderId="0" xfId="0" applyFont="1" applyAlignment="1">
      <alignment horizontal="left"/>
    </xf>
    <xf numFmtId="8" fontId="48" fillId="0" borderId="0" xfId="0" applyNumberFormat="1" applyFont="1" applyAlignment="1">
      <alignment horizontal="left"/>
    </xf>
    <xf numFmtId="9" fontId="48" fillId="0" borderId="0" xfId="4" applyFont="1" applyAlignment="1">
      <alignment horizontal="right"/>
    </xf>
    <xf numFmtId="0" fontId="50" fillId="0" borderId="3" xfId="0" applyFont="1" applyBorder="1" applyAlignment="1">
      <alignment horizontal="left"/>
    </xf>
    <xf numFmtId="0" fontId="24" fillId="0" borderId="3" xfId="0" applyFont="1" applyBorder="1">
      <alignment horizontal="right"/>
    </xf>
    <xf numFmtId="0" fontId="24" fillId="0" borderId="3" xfId="0" applyFont="1" applyBorder="1" applyAlignment="1">
      <alignment horizontal="left"/>
    </xf>
    <xf numFmtId="166" fontId="24" fillId="0" borderId="3" xfId="1" applyNumberFormat="1" applyFont="1" applyBorder="1" applyAlignment="1">
      <alignment horizontal="right"/>
    </xf>
    <xf numFmtId="9" fontId="24" fillId="0" borderId="3" xfId="4" applyFont="1" applyBorder="1" applyAlignment="1">
      <alignment horizontal="right"/>
    </xf>
    <xf numFmtId="14" fontId="8" fillId="0" borderId="0" xfId="0" applyNumberFormat="1" applyFont="1">
      <alignment horizontal="right"/>
    </xf>
    <xf numFmtId="14" fontId="8" fillId="5" borderId="0" xfId="0" applyNumberFormat="1" applyFont="1" applyFill="1">
      <alignment horizontal="right"/>
    </xf>
    <xf numFmtId="14" fontId="8" fillId="6" borderId="0" xfId="0" applyNumberFormat="1" applyFont="1" applyFill="1">
      <alignment horizontal="right"/>
    </xf>
    <xf numFmtId="0" fontId="16" fillId="0" borderId="0" xfId="0" applyFont="1" applyAlignment="1">
      <alignment horizontal="left"/>
    </xf>
    <xf numFmtId="9" fontId="24" fillId="0" borderId="0" xfId="4" applyNumberFormat="1" applyFont="1" applyAlignment="1">
      <alignment horizontal="right"/>
    </xf>
    <xf numFmtId="9" fontId="25" fillId="0" borderId="0" xfId="4" applyNumberFormat="1" applyFont="1" applyAlignment="1">
      <alignment horizontal="right"/>
    </xf>
    <xf numFmtId="9" fontId="25" fillId="0" borderId="0" xfId="4" applyFont="1" applyAlignment="1">
      <alignment horizontal="right"/>
    </xf>
    <xf numFmtId="9" fontId="22" fillId="0" borderId="0" xfId="0" applyNumberFormat="1" applyFont="1" applyAlignment="1">
      <alignment horizontal="right"/>
    </xf>
    <xf numFmtId="37" fontId="32" fillId="0" borderId="0" xfId="0" applyNumberFormat="1" applyFont="1" applyBorder="1" applyAlignment="1">
      <alignment horizontal="right"/>
    </xf>
    <xf numFmtId="9" fontId="32" fillId="0" borderId="0" xfId="4" applyFont="1" applyBorder="1" applyAlignment="1">
      <alignment horizontal="right"/>
    </xf>
    <xf numFmtId="9" fontId="32" fillId="0" borderId="1" xfId="4" applyNumberFormat="1" applyFont="1" applyBorder="1" applyAlignment="1">
      <alignment horizontal="right"/>
    </xf>
    <xf numFmtId="43" fontId="37" fillId="3" borderId="0" xfId="1" applyFont="1" applyFill="1" applyAlignment="1">
      <alignment horizontal="right"/>
    </xf>
    <xf numFmtId="0" fontId="27" fillId="0" borderId="3" xfId="6" applyFont="1" applyBorder="1"/>
    <xf numFmtId="0" fontId="53" fillId="0" borderId="3" xfId="6" applyFont="1" applyBorder="1"/>
    <xf numFmtId="0" fontId="2" fillId="0" borderId="3" xfId="6" applyBorder="1"/>
    <xf numFmtId="0" fontId="2" fillId="0" borderId="0" xfId="6"/>
    <xf numFmtId="0" fontId="53" fillId="0" borderId="0" xfId="6" applyFont="1"/>
    <xf numFmtId="0" fontId="2" fillId="0" borderId="0" xfId="6" applyAlignment="1">
      <alignment horizontal="left"/>
    </xf>
    <xf numFmtId="0" fontId="2" fillId="0" borderId="1" xfId="6" applyBorder="1" applyAlignment="1">
      <alignment horizontal="centerContinuous"/>
    </xf>
    <xf numFmtId="0" fontId="51" fillId="7" borderId="1" xfId="6" applyFont="1" applyFill="1" applyBorder="1" applyAlignment="1">
      <alignment horizontal="centerContinuous"/>
    </xf>
    <xf numFmtId="0" fontId="52" fillId="7" borderId="1" xfId="6" applyFont="1" applyFill="1" applyBorder="1" applyAlignment="1">
      <alignment horizontal="centerContinuous"/>
    </xf>
    <xf numFmtId="1" fontId="20" fillId="0" borderId="5" xfId="6" applyNumberFormat="1" applyFont="1" applyBorder="1"/>
    <xf numFmtId="1" fontId="20" fillId="0" borderId="5" xfId="6" applyNumberFormat="1" applyFont="1" applyBorder="1" applyAlignment="1">
      <alignment horizontal="centerContinuous"/>
    </xf>
    <xf numFmtId="37" fontId="2" fillId="0" borderId="0" xfId="6" applyNumberFormat="1"/>
    <xf numFmtId="9" fontId="0" fillId="0" borderId="0" xfId="7" applyFont="1"/>
    <xf numFmtId="37" fontId="2" fillId="0" borderId="5" xfId="6" applyNumberFormat="1" applyBorder="1"/>
    <xf numFmtId="37" fontId="29" fillId="0" borderId="5" xfId="6" applyNumberFormat="1" applyFont="1" applyBorder="1"/>
    <xf numFmtId="9" fontId="0" fillId="0" borderId="5" xfId="7" applyFont="1" applyBorder="1"/>
    <xf numFmtId="0" fontId="20" fillId="0" borderId="0" xfId="6" applyFont="1"/>
    <xf numFmtId="37" fontId="20" fillId="0" borderId="0" xfId="6" applyNumberFormat="1" applyFont="1"/>
    <xf numFmtId="9" fontId="20" fillId="0" borderId="0" xfId="6" applyNumberFormat="1" applyFont="1"/>
    <xf numFmtId="37" fontId="29" fillId="0" borderId="0" xfId="6" applyNumberFormat="1" applyFont="1"/>
    <xf numFmtId="37" fontId="24" fillId="0" borderId="0" xfId="6" applyNumberFormat="1" applyFont="1"/>
    <xf numFmtId="0" fontId="24" fillId="0" borderId="0" xfId="6" applyFont="1"/>
    <xf numFmtId="0" fontId="55" fillId="9" borderId="0" xfId="6" applyFont="1" applyFill="1" applyAlignment="1">
      <alignment horizontal="center" vertical="center" wrapText="1"/>
    </xf>
    <xf numFmtId="0" fontId="2" fillId="0" borderId="5" xfId="6" applyBorder="1"/>
    <xf numFmtId="0" fontId="55" fillId="10" borderId="0" xfId="6" applyFont="1" applyFill="1" applyAlignment="1">
      <alignment horizontal="center" vertical="center" wrapText="1"/>
    </xf>
    <xf numFmtId="9" fontId="20" fillId="0" borderId="0" xfId="7" applyFont="1"/>
    <xf numFmtId="0" fontId="57" fillId="0" borderId="0" xfId="6" applyFont="1"/>
    <xf numFmtId="43" fontId="0" fillId="0" borderId="0" xfId="8" applyFont="1"/>
    <xf numFmtId="37" fontId="57" fillId="0" borderId="0" xfId="6" applyNumberFormat="1" applyFont="1"/>
    <xf numFmtId="37" fontId="58" fillId="0" borderId="0" xfId="6" applyNumberFormat="1" applyFont="1"/>
    <xf numFmtId="0" fontId="58" fillId="0" borderId="0" xfId="6" applyFont="1"/>
    <xf numFmtId="0" fontId="35" fillId="0" borderId="0" xfId="6" applyFont="1"/>
    <xf numFmtId="0" fontId="34" fillId="0" borderId="0" xfId="6" applyFont="1"/>
    <xf numFmtId="0" fontId="59" fillId="0" borderId="0" xfId="6" applyFont="1"/>
    <xf numFmtId="0" fontId="59" fillId="0" borderId="0" xfId="6" applyFont="1" applyAlignment="1">
      <alignment horizontal="right"/>
    </xf>
    <xf numFmtId="0" fontId="59" fillId="0" borderId="0" xfId="6" applyFont="1" applyAlignment="1">
      <alignment horizontal="left"/>
    </xf>
    <xf numFmtId="0" fontId="2" fillId="0" borderId="0" xfId="6" applyAlignment="1">
      <alignment horizontal="right"/>
    </xf>
    <xf numFmtId="0" fontId="59" fillId="0" borderId="0" xfId="6" quotePrefix="1" applyFont="1" applyAlignment="1">
      <alignment horizontal="right"/>
    </xf>
    <xf numFmtId="37" fontId="59" fillId="0" borderId="0" xfId="6" applyNumberFormat="1" applyFont="1"/>
    <xf numFmtId="43" fontId="57" fillId="0" borderId="0" xfId="8" applyFont="1"/>
    <xf numFmtId="43" fontId="31" fillId="0" borderId="0" xfId="1" applyFont="1" applyAlignment="1">
      <alignment horizontal="right"/>
    </xf>
    <xf numFmtId="0" fontId="0" fillId="0" borderId="0" xfId="0" applyAlignment="1"/>
    <xf numFmtId="0" fontId="59" fillId="0" borderId="0" xfId="6" quotePrefix="1" applyFont="1" applyAlignment="1">
      <alignment horizontal="center"/>
    </xf>
    <xf numFmtId="0" fontId="59" fillId="0" borderId="0" xfId="6" quotePrefix="1" applyFont="1" applyAlignment="1">
      <alignment horizontal="left"/>
    </xf>
    <xf numFmtId="0" fontId="34" fillId="0" borderId="0" xfId="9" applyFont="1"/>
    <xf numFmtId="0" fontId="1" fillId="0" borderId="0" xfId="9"/>
    <xf numFmtId="175" fontId="60" fillId="0" borderId="0" xfId="10" applyNumberFormat="1" applyFont="1"/>
    <xf numFmtId="175" fontId="61" fillId="0" borderId="0" xfId="10" applyNumberFormat="1" applyFont="1"/>
    <xf numFmtId="0" fontId="20" fillId="0" borderId="0" xfId="9" applyFont="1"/>
    <xf numFmtId="0" fontId="20" fillId="0" borderId="0" xfId="9" applyFont="1" applyAlignment="1">
      <alignment horizontal="center"/>
    </xf>
    <xf numFmtId="0" fontId="34" fillId="0" borderId="0" xfId="9" applyFont="1" applyAlignment="1">
      <alignment horizontal="center"/>
    </xf>
    <xf numFmtId="0" fontId="59" fillId="0" borderId="0" xfId="9" applyFont="1" applyAlignment="1">
      <alignment horizontal="center"/>
    </xf>
    <xf numFmtId="176" fontId="60" fillId="0" borderId="0" xfId="10" applyNumberFormat="1" applyFont="1"/>
    <xf numFmtId="177" fontId="50" fillId="0" borderId="0" xfId="11" applyNumberFormat="1" applyFont="1" applyAlignment="1">
      <alignment horizontal="right"/>
    </xf>
    <xf numFmtId="43" fontId="0" fillId="0" borderId="0" xfId="12" applyFont="1"/>
    <xf numFmtId="9" fontId="60" fillId="0" borderId="0" xfId="11" applyFont="1" applyAlignment="1"/>
    <xf numFmtId="176" fontId="61" fillId="0" borderId="0" xfId="10" applyNumberFormat="1" applyFont="1"/>
    <xf numFmtId="0" fontId="58" fillId="0" borderId="0" xfId="9" applyFont="1" applyAlignment="1">
      <alignment horizontal="right"/>
    </xf>
    <xf numFmtId="9" fontId="58" fillId="0" borderId="0" xfId="11" applyFont="1"/>
    <xf numFmtId="176" fontId="60" fillId="0" borderId="0" xfId="10" applyNumberFormat="1" applyFont="1" applyAlignment="1">
      <alignment horizontal="right"/>
    </xf>
    <xf numFmtId="178" fontId="50" fillId="0" borderId="0" xfId="11" applyNumberFormat="1" applyFont="1" applyAlignment="1">
      <alignment horizontal="right"/>
    </xf>
    <xf numFmtId="178" fontId="62" fillId="0" borderId="0" xfId="11" applyNumberFormat="1" applyFont="1" applyAlignment="1">
      <alignment horizontal="right"/>
    </xf>
    <xf numFmtId="179" fontId="50" fillId="0" borderId="0" xfId="11" applyNumberFormat="1" applyFont="1" applyAlignment="1">
      <alignment horizontal="right"/>
    </xf>
    <xf numFmtId="179" fontId="62" fillId="0" borderId="0" xfId="11" applyNumberFormat="1" applyFont="1" applyAlignment="1">
      <alignment horizontal="right"/>
    </xf>
    <xf numFmtId="9" fontId="58" fillId="0" borderId="0" xfId="11" applyFont="1" applyAlignment="1">
      <alignment horizontal="right"/>
    </xf>
    <xf numFmtId="180" fontId="50" fillId="0" borderId="0" xfId="11" applyNumberFormat="1" applyFont="1" applyAlignment="1">
      <alignment horizontal="right"/>
    </xf>
    <xf numFmtId="37" fontId="60" fillId="0" borderId="0" xfId="10" applyNumberFormat="1" applyFont="1"/>
    <xf numFmtId="37" fontId="1" fillId="0" borderId="0" xfId="6" applyNumberFormat="1" applyFont="1"/>
    <xf numFmtId="166" fontId="26" fillId="3" borderId="0" xfId="1" applyNumberFormat="1" applyFont="1" applyFill="1" applyAlignment="1">
      <alignment vertical="center"/>
    </xf>
    <xf numFmtId="179" fontId="60" fillId="0" borderId="0" xfId="10" applyNumberFormat="1" applyFont="1"/>
    <xf numFmtId="43" fontId="29" fillId="3" borderId="0" xfId="0" applyNumberFormat="1" applyFont="1" applyFill="1" applyAlignment="1">
      <alignment horizontal="right"/>
    </xf>
    <xf numFmtId="43" fontId="24" fillId="3" borderId="0" xfId="0" applyNumberFormat="1" applyFont="1" applyFill="1" applyAlignment="1">
      <alignment horizontal="right"/>
    </xf>
    <xf numFmtId="175" fontId="63" fillId="0" borderId="0" xfId="10" applyNumberFormat="1" applyFont="1"/>
    <xf numFmtId="0" fontId="20" fillId="0" borderId="0" xfId="9" applyFont="1" applyAlignment="1">
      <alignment horizontal="right"/>
    </xf>
    <xf numFmtId="0" fontId="29" fillId="0" borderId="0" xfId="0" applyFont="1" applyAlignment="1">
      <alignment horizontal="right"/>
    </xf>
    <xf numFmtId="0" fontId="30" fillId="0" borderId="0" xfId="0" applyFont="1" applyAlignment="1">
      <alignment horizontal="left"/>
    </xf>
    <xf numFmtId="0" fontId="29" fillId="3" borderId="0" xfId="0" applyFont="1" applyFill="1" applyAlignment="1">
      <alignment horizontal="left"/>
    </xf>
    <xf numFmtId="0" fontId="65" fillId="0" borderId="0" xfId="0" applyFont="1" applyAlignment="1">
      <alignment horizontal="left"/>
    </xf>
    <xf numFmtId="9" fontId="29" fillId="0" borderId="0" xfId="4" applyFont="1" applyAlignment="1">
      <alignment horizontal="right"/>
    </xf>
    <xf numFmtId="0" fontId="29" fillId="0" borderId="0" xfId="0" applyFont="1" applyFill="1" applyAlignment="1">
      <alignment horizontal="left"/>
    </xf>
    <xf numFmtId="0" fontId="66" fillId="0" borderId="0" xfId="0" applyFont="1" applyAlignment="1">
      <alignment horizontal="left"/>
    </xf>
    <xf numFmtId="0" fontId="17" fillId="5" borderId="0" xfId="3" applyFont="1" applyFill="1" applyAlignment="1">
      <alignment horizontal="left" vertical="center"/>
    </xf>
    <xf numFmtId="171" fontId="17" fillId="5" borderId="0" xfId="3" applyNumberFormat="1" applyFont="1" applyFill="1" applyAlignment="1">
      <alignment horizontal="right" vertical="center"/>
    </xf>
    <xf numFmtId="173" fontId="42" fillId="5" borderId="0" xfId="0" applyNumberFormat="1" applyFont="1" applyFill="1" applyAlignment="1">
      <alignment vertical="center"/>
    </xf>
    <xf numFmtId="0" fontId="5" fillId="0" borderId="0" xfId="3" applyFont="1" applyBorder="1" applyAlignment="1">
      <alignment horizontal="centerContinuous"/>
    </xf>
    <xf numFmtId="0" fontId="67" fillId="0" borderId="0" xfId="0" applyFont="1" applyAlignment="1"/>
    <xf numFmtId="0" fontId="4" fillId="0" borderId="0" xfId="3" applyFont="1" applyAlignment="1"/>
    <xf numFmtId="172" fontId="17" fillId="2" borderId="0" xfId="3" applyNumberFormat="1" applyFont="1" applyFill="1" applyAlignment="1">
      <alignment horizontal="right" vertical="center"/>
    </xf>
    <xf numFmtId="169" fontId="14" fillId="2" borderId="0" xfId="3" applyNumberFormat="1" applyFont="1" applyFill="1" applyAlignment="1">
      <alignment horizontal="right" vertical="center"/>
    </xf>
    <xf numFmtId="0" fontId="17" fillId="2" borderId="0" xfId="3" applyFont="1" applyFill="1" applyAlignment="1">
      <alignment vertical="center"/>
    </xf>
    <xf numFmtId="0" fontId="68" fillId="0" borderId="1" xfId="3" applyFont="1" applyBorder="1" applyAlignment="1">
      <alignment horizontal="centerContinuous" wrapText="1"/>
    </xf>
    <xf numFmtId="9" fontId="17" fillId="2" borderId="0" xfId="4" applyFont="1" applyFill="1" applyAlignment="1">
      <alignment horizontal="right" vertical="center"/>
    </xf>
    <xf numFmtId="169" fontId="17" fillId="5" borderId="0" xfId="3" applyNumberFormat="1" applyFont="1" applyFill="1" applyAlignment="1">
      <alignment horizontal="right" vertical="center"/>
    </xf>
    <xf numFmtId="174" fontId="42" fillId="5" borderId="0" xfId="0" applyNumberFormat="1" applyFont="1" applyFill="1" applyAlignment="1">
      <alignment vertical="center"/>
    </xf>
    <xf numFmtId="166" fontId="17" fillId="5" borderId="0" xfId="2" applyNumberFormat="1" applyFont="1" applyFill="1" applyBorder="1" applyAlignment="1" applyProtection="1">
      <alignment horizontal="right" vertical="center"/>
    </xf>
    <xf numFmtId="0" fontId="17" fillId="5" borderId="0" xfId="3" applyFont="1" applyFill="1" applyAlignment="1">
      <alignment vertical="center"/>
    </xf>
    <xf numFmtId="9" fontId="69" fillId="5" borderId="0" xfId="5" applyNumberFormat="1" applyFont="1" applyFill="1" applyAlignment="1">
      <alignment vertical="center"/>
    </xf>
    <xf numFmtId="9" fontId="5" fillId="5" borderId="0" xfId="5" applyNumberFormat="1" applyFont="1" applyFill="1" applyAlignment="1">
      <alignment vertical="center"/>
    </xf>
    <xf numFmtId="172" fontId="17" fillId="5" borderId="0" xfId="3" applyNumberFormat="1" applyFont="1" applyFill="1" applyAlignment="1">
      <alignment horizontal="right" vertical="center"/>
    </xf>
    <xf numFmtId="0" fontId="17" fillId="0" borderId="0" xfId="3" applyFont="1" applyAlignment="1">
      <alignment vertical="center"/>
    </xf>
    <xf numFmtId="173" fontId="64" fillId="0" borderId="0" xfId="0" applyNumberFormat="1" applyFont="1" applyAlignment="1">
      <alignment vertical="center"/>
    </xf>
    <xf numFmtId="9" fontId="71" fillId="0" borderId="0" xfId="4" applyFont="1" applyAlignment="1">
      <alignment horizontal="right"/>
    </xf>
    <xf numFmtId="9" fontId="72" fillId="0" borderId="0" xfId="4" applyFont="1" applyAlignment="1">
      <alignment horizontal="right"/>
    </xf>
    <xf numFmtId="9" fontId="73" fillId="0" borderId="0" xfId="4" applyFont="1" applyAlignment="1">
      <alignment horizontal="right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0" fontId="4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4" fillId="8" borderId="0" xfId="6" applyFont="1" applyFill="1" applyAlignment="1">
      <alignment horizontal="center" vertical="center" wrapText="1"/>
    </xf>
    <xf numFmtId="0" fontId="56" fillId="0" borderId="0" xfId="6" applyFont="1" applyAlignment="1">
      <alignment horizontal="center" vertical="center" wrapText="1"/>
    </xf>
    <xf numFmtId="0" fontId="2" fillId="0" borderId="0" xfId="6" applyAlignment="1">
      <alignment horizontal="center" vertical="center" wrapText="1"/>
    </xf>
    <xf numFmtId="0" fontId="2" fillId="0" borderId="0" xfId="6" applyAlignment="1">
      <alignment wrapText="1"/>
    </xf>
    <xf numFmtId="0" fontId="55" fillId="9" borderId="0" xfId="6" applyFont="1" applyFill="1" applyAlignment="1">
      <alignment horizontal="center" vertical="center" wrapText="1"/>
    </xf>
    <xf numFmtId="0" fontId="54" fillId="11" borderId="0" xfId="6" applyFont="1" applyFill="1" applyAlignment="1">
      <alignment horizontal="center" vertical="center" wrapText="1"/>
    </xf>
    <xf numFmtId="0" fontId="56" fillId="11" borderId="0" xfId="6" applyFont="1" applyFill="1" applyAlignment="1">
      <alignment horizontal="center" vertical="center" wrapText="1"/>
    </xf>
    <xf numFmtId="0" fontId="5" fillId="0" borderId="0" xfId="3" applyFont="1" applyAlignment="1">
      <alignment horizontal="center" wrapText="1"/>
    </xf>
    <xf numFmtId="0" fontId="8" fillId="0" borderId="1" xfId="3" applyBorder="1" applyAlignment="1">
      <alignment horizontal="center" wrapText="1"/>
    </xf>
    <xf numFmtId="0" fontId="5" fillId="0" borderId="6" xfId="3" applyFont="1" applyBorder="1" applyAlignment="1">
      <alignment horizontal="center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/>
    </xf>
  </cellXfs>
  <cellStyles count="13">
    <cellStyle name="Millares" xfId="1" builtinId="3"/>
    <cellStyle name="Millares 2" xfId="2" xr:uid="{00000000-0005-0000-0000-000001000000}"/>
    <cellStyle name="Millares 3" xfId="8" xr:uid="{978357BA-D514-4143-A033-7813CB1EE467}"/>
    <cellStyle name="Millares 4" xfId="12" xr:uid="{1D84A2C0-6E93-4CC9-885C-33D05CD9B929}"/>
    <cellStyle name="Normal" xfId="0" builtinId="0"/>
    <cellStyle name="Normal 2" xfId="3" xr:uid="{00000000-0005-0000-0000-000003000000}"/>
    <cellStyle name="Normal 2 3" xfId="10" xr:uid="{3A42F844-79CF-483C-865F-938FB806FDDF}"/>
    <cellStyle name="Normal 3" xfId="6" xr:uid="{F430D7EA-608B-4782-83CF-0778AFE0DC92}"/>
    <cellStyle name="Normal 4" xfId="9" xr:uid="{3723B236-1920-48AB-86CD-75AAA8362F17}"/>
    <cellStyle name="Porcentaje" xfId="4" builtinId="5"/>
    <cellStyle name="Porcentaje 2" xfId="5" xr:uid="{00000000-0005-0000-0000-000005000000}"/>
    <cellStyle name="Porcentaje 3" xfId="7" xr:uid="{B732BE0C-F665-4585-BB84-29BC8AB67E6C}"/>
    <cellStyle name="Porcentaje 4" xfId="11" xr:uid="{B6682373-A897-46D3-8F61-D90FE0F93C2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092655276474163E-2"/>
          <c:y val="1.760962120640466E-2"/>
          <c:w val="0.89981468944705179"/>
          <c:h val="0.9574868880606917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'Uses - Sources'!$G$58</c:f>
              <c:strCache>
                <c:ptCount val="1"/>
                <c:pt idx="0">
                  <c:v>Debt Service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'Uses - Sources'!$H$58</c:f>
              <c:numCache>
                <c:formatCode>#,##0_);\(#,##0\)</c:formatCode>
                <c:ptCount val="1"/>
                <c:pt idx="0">
                  <c:v>108.84399999999999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1-4835-B182-AE079C22727A}"/>
            </c:ext>
          </c:extLst>
        </c:ser>
        <c:ser>
          <c:idx val="1"/>
          <c:order val="1"/>
          <c:tx>
            <c:strRef>
              <c:f>'Uses - Sources'!$G$59</c:f>
              <c:strCache>
                <c:ptCount val="1"/>
                <c:pt idx="0">
                  <c:v>Dividends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761-4835-B182-AE079C2272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'Uses - Sources'!$H$59</c:f>
              <c:numCache>
                <c:formatCode>#,##0_);\(#,##0\)</c:formatCode>
                <c:ptCount val="1"/>
                <c:pt idx="0">
                  <c:v>24.493000000000002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61-4835-B182-AE079C22727A}"/>
            </c:ext>
          </c:extLst>
        </c:ser>
        <c:ser>
          <c:idx val="2"/>
          <c:order val="2"/>
          <c:tx>
            <c:strRef>
              <c:f>'Uses - Sources'!$G$60</c:f>
              <c:strCache>
                <c:ptCount val="1"/>
                <c:pt idx="0">
                  <c:v>ST Invest,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'Uses - Sources'!$H$60</c:f>
              <c:numCache>
                <c:formatCode>#,##0_);\(#,##0\)</c:formatCode>
                <c:ptCount val="1"/>
                <c:pt idx="0">
                  <c:v>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61-4835-B182-AE079C22727A}"/>
            </c:ext>
          </c:extLst>
        </c:ser>
        <c:ser>
          <c:idx val="3"/>
          <c:order val="3"/>
          <c:tx>
            <c:strRef>
              <c:f>'Uses - Sources'!$G$61</c:f>
              <c:strCache>
                <c:ptCount val="1"/>
                <c:pt idx="0">
                  <c:v>Working Capital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761-4835-B182-AE079C2272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'Uses - Sources'!$H$61</c:f>
              <c:numCache>
                <c:formatCode>#,##0_);\(#,##0\)</c:formatCode>
                <c:ptCount val="1"/>
                <c:pt idx="0">
                  <c:v>199.65599999999958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61-4835-B182-AE079C22727A}"/>
            </c:ext>
          </c:extLst>
        </c:ser>
        <c:ser>
          <c:idx val="4"/>
          <c:order val="4"/>
          <c:tx>
            <c:strRef>
              <c:f>'Uses - Sources'!$G$62</c:f>
              <c:strCache>
                <c:ptCount val="1"/>
                <c:pt idx="0">
                  <c:v>Capex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761-4835-B182-AE079C2272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'Uses - Sources'!$H$62</c:f>
              <c:numCache>
                <c:formatCode>#,##0_);\(#,##0\)</c:formatCode>
                <c:ptCount val="1"/>
                <c:pt idx="0">
                  <c:v>292.57600000000002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761-4835-B182-AE079C227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9834512"/>
        <c:axId val="2007485472"/>
      </c:barChart>
      <c:catAx>
        <c:axId val="339834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7485472"/>
        <c:crosses val="autoZero"/>
        <c:auto val="1"/>
        <c:lblAlgn val="ctr"/>
        <c:lblOffset val="100"/>
        <c:noMultiLvlLbl val="0"/>
      </c:catAx>
      <c:valAx>
        <c:axId val="20074854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398345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Dell vs. NASDAQ</a:t>
            </a:r>
          </a:p>
        </c:rich>
      </c:tx>
      <c:layout>
        <c:manualLayout>
          <c:xMode val="edge"/>
          <c:yMode val="edge"/>
          <c:x val="0.40581631032775706"/>
          <c:y val="8.029088956473034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683980783540846E-2"/>
          <c:y val="8.9617991373998784E-2"/>
          <c:w val="0.933240395662286"/>
          <c:h val="0.73989161705988238"/>
        </c:manualLayout>
      </c:layout>
      <c:lineChart>
        <c:grouping val="standard"/>
        <c:varyColors val="0"/>
        <c:ser>
          <c:idx val="0"/>
          <c:order val="0"/>
          <c:tx>
            <c:strRef>
              <c:f>'Stock chart case'!$F$2</c:f>
              <c:strCache>
                <c:ptCount val="1"/>
                <c:pt idx="0">
                  <c:v>Dell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chart case'!$E$3:$E$12</c:f>
              <c:numCache>
                <c:formatCode>m/d/yyyy</c:formatCode>
                <c:ptCount val="10"/>
                <c:pt idx="0">
                  <c:v>34334</c:v>
                </c:pt>
                <c:pt idx="1">
                  <c:v>34424</c:v>
                </c:pt>
                <c:pt idx="2">
                  <c:v>34515</c:v>
                </c:pt>
                <c:pt idx="3">
                  <c:v>34607</c:v>
                </c:pt>
                <c:pt idx="4">
                  <c:v>34699</c:v>
                </c:pt>
                <c:pt idx="5">
                  <c:v>34789</c:v>
                </c:pt>
                <c:pt idx="6">
                  <c:v>34880</c:v>
                </c:pt>
                <c:pt idx="7">
                  <c:v>34971</c:v>
                </c:pt>
                <c:pt idx="8">
                  <c:v>35062</c:v>
                </c:pt>
                <c:pt idx="9">
                  <c:v>35155</c:v>
                </c:pt>
              </c:numCache>
            </c:numRef>
          </c:cat>
          <c:val>
            <c:numRef>
              <c:f>'Stock chart case'!$F$3:$F$12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1.1159337521416335</c:v>
                </c:pt>
                <c:pt idx="2">
                  <c:v>1.1656196459166193</c:v>
                </c:pt>
                <c:pt idx="3">
                  <c:v>1.6547687035979444</c:v>
                </c:pt>
                <c:pt idx="4">
                  <c:v>1.8121073672187327</c:v>
                </c:pt>
                <c:pt idx="5">
                  <c:v>1.9448886350656771</c:v>
                </c:pt>
                <c:pt idx="6">
                  <c:v>2.6573386636207883</c:v>
                </c:pt>
                <c:pt idx="7">
                  <c:v>3.7569960022844096</c:v>
                </c:pt>
                <c:pt idx="8">
                  <c:v>3.060822387207311</c:v>
                </c:pt>
                <c:pt idx="9">
                  <c:v>2.961450599657339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7-4A93-BDD9-13CCAEAE155E}"/>
            </c:ext>
          </c:extLst>
        </c:ser>
        <c:ser>
          <c:idx val="1"/>
          <c:order val="1"/>
          <c:tx>
            <c:strRef>
              <c:f>'Stock chart case'!$G$2</c:f>
              <c:strCache>
                <c:ptCount val="1"/>
                <c:pt idx="0">
                  <c:v>NASDAQ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'Stock chart case'!$E$3:$E$12</c:f>
              <c:numCache>
                <c:formatCode>m/d/yyyy</c:formatCode>
                <c:ptCount val="10"/>
                <c:pt idx="0">
                  <c:v>34334</c:v>
                </c:pt>
                <c:pt idx="1">
                  <c:v>34424</c:v>
                </c:pt>
                <c:pt idx="2">
                  <c:v>34515</c:v>
                </c:pt>
                <c:pt idx="3">
                  <c:v>34607</c:v>
                </c:pt>
                <c:pt idx="4">
                  <c:v>34699</c:v>
                </c:pt>
                <c:pt idx="5">
                  <c:v>34789</c:v>
                </c:pt>
                <c:pt idx="6">
                  <c:v>34880</c:v>
                </c:pt>
                <c:pt idx="7">
                  <c:v>34971</c:v>
                </c:pt>
                <c:pt idx="8">
                  <c:v>35062</c:v>
                </c:pt>
                <c:pt idx="9">
                  <c:v>35155</c:v>
                </c:pt>
              </c:numCache>
            </c:numRef>
          </c:cat>
          <c:val>
            <c:numRef>
              <c:f>'Stock chart case'!$G$3:$G$12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0.95708037266344548</c:v>
                </c:pt>
                <c:pt idx="2">
                  <c:v>0.90880539766434698</c:v>
                </c:pt>
                <c:pt idx="3">
                  <c:v>0.9838954554669741</c:v>
                </c:pt>
                <c:pt idx="4">
                  <c:v>0.96802270032990778</c:v>
                </c:pt>
                <c:pt idx="5">
                  <c:v>1.0520211568283391</c:v>
                </c:pt>
                <c:pt idx="6">
                  <c:v>1.2016606931255513</c:v>
                </c:pt>
                <c:pt idx="7">
                  <c:v>1.3433831811542201</c:v>
                </c:pt>
                <c:pt idx="8">
                  <c:v>1.3544413249913696</c:v>
                </c:pt>
                <c:pt idx="9">
                  <c:v>1.4178682299361725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97-4A93-BDD9-13CCAEAE155E}"/>
            </c:ext>
          </c:extLst>
        </c:ser>
        <c:ser>
          <c:idx val="2"/>
          <c:order val="2"/>
          <c:tx>
            <c:strRef>
              <c:f>'Stock chart vs NASDAQ'!#REF!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'Stock chart case'!$E$3:$E$12</c:f>
              <c:numCache>
                <c:formatCode>m/d/yyyy</c:formatCode>
                <c:ptCount val="10"/>
                <c:pt idx="0">
                  <c:v>34334</c:v>
                </c:pt>
                <c:pt idx="1">
                  <c:v>34424</c:v>
                </c:pt>
                <c:pt idx="2">
                  <c:v>34515</c:v>
                </c:pt>
                <c:pt idx="3">
                  <c:v>34607</c:v>
                </c:pt>
                <c:pt idx="4">
                  <c:v>34699</c:v>
                </c:pt>
                <c:pt idx="5">
                  <c:v>34789</c:v>
                </c:pt>
                <c:pt idx="6">
                  <c:v>34880</c:v>
                </c:pt>
                <c:pt idx="7">
                  <c:v>34971</c:v>
                </c:pt>
                <c:pt idx="8">
                  <c:v>35062</c:v>
                </c:pt>
                <c:pt idx="9">
                  <c:v>35155</c:v>
                </c:pt>
              </c:numCache>
            </c:numRef>
          </c:cat>
          <c:val>
            <c:numRef>
              <c:f>'Stock chart vs NASDAQ'!#REF!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97-4A93-BDD9-13CCAEAE155E}"/>
            </c:ext>
          </c:extLst>
        </c:ser>
        <c:ser>
          <c:idx val="3"/>
          <c:order val="3"/>
          <c:tx>
            <c:strRef>
              <c:f>'Stock chart vs NASDAQ'!#REF!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'Stock chart case'!$E$3:$E$12</c:f>
              <c:numCache>
                <c:formatCode>m/d/yyyy</c:formatCode>
                <c:ptCount val="10"/>
                <c:pt idx="0">
                  <c:v>34334</c:v>
                </c:pt>
                <c:pt idx="1">
                  <c:v>34424</c:v>
                </c:pt>
                <c:pt idx="2">
                  <c:v>34515</c:v>
                </c:pt>
                <c:pt idx="3">
                  <c:v>34607</c:v>
                </c:pt>
                <c:pt idx="4">
                  <c:v>34699</c:v>
                </c:pt>
                <c:pt idx="5">
                  <c:v>34789</c:v>
                </c:pt>
                <c:pt idx="6">
                  <c:v>34880</c:v>
                </c:pt>
                <c:pt idx="7">
                  <c:v>34971</c:v>
                </c:pt>
                <c:pt idx="8">
                  <c:v>35062</c:v>
                </c:pt>
                <c:pt idx="9">
                  <c:v>35155</c:v>
                </c:pt>
              </c:numCache>
            </c:numRef>
          </c:cat>
          <c:val>
            <c:numRef>
              <c:f>'Stock chart vs NASDAQ'!#REF!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97-4A93-BDD9-13CCAEAE155E}"/>
            </c:ext>
          </c:extLst>
        </c:ser>
        <c:ser>
          <c:idx val="4"/>
          <c:order val="4"/>
          <c:tx>
            <c:strRef>
              <c:f>'Stock chart vs NASDAQ'!#REF!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'Stock chart case'!$E$3:$E$12</c:f>
              <c:numCache>
                <c:formatCode>m/d/yyyy</c:formatCode>
                <c:ptCount val="10"/>
                <c:pt idx="0">
                  <c:v>34334</c:v>
                </c:pt>
                <c:pt idx="1">
                  <c:v>34424</c:v>
                </c:pt>
                <c:pt idx="2">
                  <c:v>34515</c:v>
                </c:pt>
                <c:pt idx="3">
                  <c:v>34607</c:v>
                </c:pt>
                <c:pt idx="4">
                  <c:v>34699</c:v>
                </c:pt>
                <c:pt idx="5">
                  <c:v>34789</c:v>
                </c:pt>
                <c:pt idx="6">
                  <c:v>34880</c:v>
                </c:pt>
                <c:pt idx="7">
                  <c:v>34971</c:v>
                </c:pt>
                <c:pt idx="8">
                  <c:v>35062</c:v>
                </c:pt>
                <c:pt idx="9">
                  <c:v>35155</c:v>
                </c:pt>
              </c:numCache>
            </c:numRef>
          </c:cat>
          <c:val>
            <c:numRef>
              <c:f>'Stock chart vs NASDAQ'!#REF!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97-4A93-BDD9-13CCAEAE1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247999"/>
        <c:axId val="1"/>
      </c:lineChart>
      <c:dateAx>
        <c:axId val="49824799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crossAx val="498247999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9.5786514230205202E-3"/>
          <c:y val="0.11139001143375597"/>
          <c:w val="0.73735689622427092"/>
          <c:h val="7.2013452022200927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Dell vs. NASDAQ, Apple y IBM</a:t>
            </a:r>
          </a:p>
        </c:rich>
      </c:tx>
      <c:layout>
        <c:manualLayout>
          <c:xMode val="edge"/>
          <c:yMode val="edge"/>
          <c:x val="0.27928412931736685"/>
          <c:y val="1.41905390168474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683980783540846E-2"/>
          <c:y val="8.9617991373998784E-2"/>
          <c:w val="0.933240395662286"/>
          <c:h val="0.74239953659848235"/>
        </c:manualLayout>
      </c:layout>
      <c:lineChart>
        <c:grouping val="standard"/>
        <c:varyColors val="0"/>
        <c:ser>
          <c:idx val="0"/>
          <c:order val="0"/>
          <c:tx>
            <c:strRef>
              <c:f>'Stock chart post case'!$H$2</c:f>
              <c:strCache>
                <c:ptCount val="1"/>
                <c:pt idx="0">
                  <c:v>Dell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chart post case'!$G$3:$G$10</c:f>
              <c:numCache>
                <c:formatCode>m/d/yyyy</c:formatCode>
                <c:ptCount val="8"/>
                <c:pt idx="0">
                  <c:v>35155</c:v>
                </c:pt>
                <c:pt idx="1">
                  <c:v>35246</c:v>
                </c:pt>
                <c:pt idx="2">
                  <c:v>35338</c:v>
                </c:pt>
                <c:pt idx="3">
                  <c:v>35430</c:v>
                </c:pt>
                <c:pt idx="4">
                  <c:v>35520</c:v>
                </c:pt>
                <c:pt idx="5">
                  <c:v>35611</c:v>
                </c:pt>
                <c:pt idx="6">
                  <c:v>35703</c:v>
                </c:pt>
                <c:pt idx="7">
                  <c:v>35795</c:v>
                </c:pt>
              </c:numCache>
            </c:numRef>
          </c:cat>
          <c:val>
            <c:numRef>
              <c:f>'Stock chart post case'!$H$3:$H$10</c:f>
              <c:numCache>
                <c:formatCode>_(* #,##0.00_);_(* \(#,##0.00\);_(* "-"??_);_(@_)</c:formatCode>
                <c:ptCount val="8"/>
                <c:pt idx="0">
                  <c:v>1</c:v>
                </c:pt>
                <c:pt idx="1">
                  <c:v>1.5185613730594929</c:v>
                </c:pt>
                <c:pt idx="2">
                  <c:v>2.3207983800983514</c:v>
                </c:pt>
                <c:pt idx="3">
                  <c:v>3.1715360138848716</c:v>
                </c:pt>
                <c:pt idx="4">
                  <c:v>4.0323016102593776</c:v>
                </c:pt>
                <c:pt idx="5">
                  <c:v>7.0108957670427161</c:v>
                </c:pt>
                <c:pt idx="6">
                  <c:v>11.566676308938385</c:v>
                </c:pt>
                <c:pt idx="7">
                  <c:v>10.029408928743614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2-4B7B-97CF-84A813CABCE8}"/>
            </c:ext>
          </c:extLst>
        </c:ser>
        <c:ser>
          <c:idx val="1"/>
          <c:order val="1"/>
          <c:tx>
            <c:strRef>
              <c:f>'Stock chart post case'!$I$2</c:f>
              <c:strCache>
                <c:ptCount val="1"/>
                <c:pt idx="0">
                  <c:v>NASDAQ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'Stock chart post case'!$G$3:$G$10</c:f>
              <c:numCache>
                <c:formatCode>m/d/yyyy</c:formatCode>
                <c:ptCount val="8"/>
                <c:pt idx="0">
                  <c:v>35155</c:v>
                </c:pt>
                <c:pt idx="1">
                  <c:v>35246</c:v>
                </c:pt>
                <c:pt idx="2">
                  <c:v>35338</c:v>
                </c:pt>
                <c:pt idx="3">
                  <c:v>35430</c:v>
                </c:pt>
                <c:pt idx="4">
                  <c:v>35520</c:v>
                </c:pt>
                <c:pt idx="5">
                  <c:v>35611</c:v>
                </c:pt>
                <c:pt idx="6">
                  <c:v>35703</c:v>
                </c:pt>
                <c:pt idx="7">
                  <c:v>35795</c:v>
                </c:pt>
              </c:numCache>
            </c:numRef>
          </c:cat>
          <c:val>
            <c:numRef>
              <c:f>'Stock chart post case'!$I$3:$I$10</c:f>
              <c:numCache>
                <c:formatCode>_(* #,##0.00_);_(* \(#,##0.00\);_(* "-"??_);_(@_)</c:formatCode>
                <c:ptCount val="8"/>
                <c:pt idx="0">
                  <c:v>1</c:v>
                </c:pt>
                <c:pt idx="1">
                  <c:v>1.0759215490992216</c:v>
                </c:pt>
                <c:pt idx="2">
                  <c:v>1.113964061435321</c:v>
                </c:pt>
                <c:pt idx="3">
                  <c:v>1.1721717821571429</c:v>
                </c:pt>
                <c:pt idx="4">
                  <c:v>1.1092245545474948</c:v>
                </c:pt>
                <c:pt idx="5">
                  <c:v>1.3093062598298981</c:v>
                </c:pt>
                <c:pt idx="6">
                  <c:v>1.5304974616561295</c:v>
                </c:pt>
                <c:pt idx="7">
                  <c:v>1.4257762318697751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2-4B7B-97CF-84A813CABCE8}"/>
            </c:ext>
          </c:extLst>
        </c:ser>
        <c:ser>
          <c:idx val="2"/>
          <c:order val="2"/>
          <c:tx>
            <c:strRef>
              <c:f>'Stock chart post case'!$J$2</c:f>
              <c:strCache>
                <c:ptCount val="1"/>
                <c:pt idx="0">
                  <c:v>IBM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'Stock chart post case'!$G$3:$G$10</c:f>
              <c:numCache>
                <c:formatCode>m/d/yyyy</c:formatCode>
                <c:ptCount val="8"/>
                <c:pt idx="0">
                  <c:v>35155</c:v>
                </c:pt>
                <c:pt idx="1">
                  <c:v>35246</c:v>
                </c:pt>
                <c:pt idx="2">
                  <c:v>35338</c:v>
                </c:pt>
                <c:pt idx="3">
                  <c:v>35430</c:v>
                </c:pt>
                <c:pt idx="4">
                  <c:v>35520</c:v>
                </c:pt>
                <c:pt idx="5">
                  <c:v>35611</c:v>
                </c:pt>
                <c:pt idx="6">
                  <c:v>35703</c:v>
                </c:pt>
                <c:pt idx="7">
                  <c:v>35795</c:v>
                </c:pt>
              </c:numCache>
            </c:numRef>
          </c:cat>
          <c:val>
            <c:numRef>
              <c:f>'Stock chart post case'!$J$3:$J$10</c:f>
              <c:numCache>
                <c:formatCode>_(* #,##0.00_);_(* \(#,##0.00\);_(* "-"??_);_(@_)</c:formatCode>
                <c:ptCount val="8"/>
                <c:pt idx="0">
                  <c:v>1</c:v>
                </c:pt>
                <c:pt idx="1">
                  <c:v>0.9018124067845672</c:v>
                </c:pt>
                <c:pt idx="2">
                  <c:v>1.1487677921931296</c:v>
                </c:pt>
                <c:pt idx="3">
                  <c:v>1.4130864783986419</c:v>
                </c:pt>
                <c:pt idx="4">
                  <c:v>1.2923359085590198</c:v>
                </c:pt>
                <c:pt idx="5">
                  <c:v>1.7161667501920985</c:v>
                </c:pt>
                <c:pt idx="6">
                  <c:v>2.023165440709505</c:v>
                </c:pt>
                <c:pt idx="7">
                  <c:v>2.0047251873166658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C2-4B7B-97CF-84A813CABCE8}"/>
            </c:ext>
          </c:extLst>
        </c:ser>
        <c:ser>
          <c:idx val="3"/>
          <c:order val="3"/>
          <c:tx>
            <c:strRef>
              <c:f>'Stock chart post case'!$K$2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'Stock chart post case'!$G$3:$G$10</c:f>
              <c:numCache>
                <c:formatCode>m/d/yyyy</c:formatCode>
                <c:ptCount val="8"/>
                <c:pt idx="0">
                  <c:v>35155</c:v>
                </c:pt>
                <c:pt idx="1">
                  <c:v>35246</c:v>
                </c:pt>
                <c:pt idx="2">
                  <c:v>35338</c:v>
                </c:pt>
                <c:pt idx="3">
                  <c:v>35430</c:v>
                </c:pt>
                <c:pt idx="4">
                  <c:v>35520</c:v>
                </c:pt>
                <c:pt idx="5">
                  <c:v>35611</c:v>
                </c:pt>
                <c:pt idx="6">
                  <c:v>35703</c:v>
                </c:pt>
                <c:pt idx="7">
                  <c:v>35795</c:v>
                </c:pt>
              </c:numCache>
            </c:numRef>
          </c:cat>
          <c:val>
            <c:numRef>
              <c:f>'Stock chart post case'!$K$3:$K$10</c:f>
              <c:numCache>
                <c:formatCode>_(* #,##0.00_);_(* \(#,##0.00\);_(* "-"??_);_(@_)</c:formatCode>
                <c:ptCount val="8"/>
                <c:pt idx="0">
                  <c:v>1</c:v>
                </c:pt>
                <c:pt idx="1">
                  <c:v>0.85496268416608345</c:v>
                </c:pt>
                <c:pt idx="2">
                  <c:v>0.9033084561107223</c:v>
                </c:pt>
                <c:pt idx="3">
                  <c:v>0.8498725496504802</c:v>
                </c:pt>
                <c:pt idx="4">
                  <c:v>0.74300336321839389</c:v>
                </c:pt>
                <c:pt idx="5">
                  <c:v>0.58015320306826379</c:v>
                </c:pt>
                <c:pt idx="6">
                  <c:v>0.88295185778090635</c:v>
                </c:pt>
                <c:pt idx="7">
                  <c:v>0.53435118513722746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C2-4B7B-97CF-84A813CABCE8}"/>
            </c:ext>
          </c:extLst>
        </c:ser>
        <c:ser>
          <c:idx val="4"/>
          <c:order val="4"/>
          <c:tx>
            <c:strRef>
              <c:f>'Stock chart post case'!#REF!</c:f>
              <c:strCache>
                <c:ptCount val="1"/>
                <c:pt idx="0">
                  <c:v>#¡REF!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'Stock chart post case'!$G$3:$G$10</c:f>
              <c:numCache>
                <c:formatCode>m/d/yyyy</c:formatCode>
                <c:ptCount val="8"/>
                <c:pt idx="0">
                  <c:v>35155</c:v>
                </c:pt>
                <c:pt idx="1">
                  <c:v>35246</c:v>
                </c:pt>
                <c:pt idx="2">
                  <c:v>35338</c:v>
                </c:pt>
                <c:pt idx="3">
                  <c:v>35430</c:v>
                </c:pt>
                <c:pt idx="4">
                  <c:v>35520</c:v>
                </c:pt>
                <c:pt idx="5">
                  <c:v>35611</c:v>
                </c:pt>
                <c:pt idx="6">
                  <c:v>35703</c:v>
                </c:pt>
                <c:pt idx="7">
                  <c:v>35795</c:v>
                </c:pt>
              </c:numCache>
            </c:numRef>
          </c:cat>
          <c:val>
            <c:numRef>
              <c:f>'Stock chart post case'!#REF!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C2-4B7B-97CF-84A813CAB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241599"/>
        <c:axId val="1"/>
      </c:lineChart>
      <c:dateAx>
        <c:axId val="49824159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crossAx val="49824159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6.8348516483002053E-2"/>
          <c:y val="0.12344660126040392"/>
          <c:w val="0.53034897837532502"/>
          <c:h val="5.138321613541622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Dell vs. NASDAQ, Apple and IBM</a:t>
            </a:r>
          </a:p>
        </c:rich>
      </c:tx>
      <c:layout>
        <c:manualLayout>
          <c:xMode val="edge"/>
          <c:yMode val="edge"/>
          <c:x val="0.27928408415140277"/>
          <c:y val="1.41904512398057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683980783540846E-2"/>
          <c:y val="8.9617991373998784E-2"/>
          <c:w val="0.933240395662286"/>
          <c:h val="0.69368089617263651"/>
        </c:manualLayout>
      </c:layout>
      <c:lineChart>
        <c:grouping val="standard"/>
        <c:varyColors val="0"/>
        <c:ser>
          <c:idx val="0"/>
          <c:order val="0"/>
          <c:tx>
            <c:strRef>
              <c:f>'Stock chart full'!$H$2</c:f>
              <c:strCache>
                <c:ptCount val="1"/>
                <c:pt idx="0">
                  <c:v>Dell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chart full'!$G$3:$G$27</c:f>
              <c:numCache>
                <c:formatCode>m/d/yyyy</c:formatCode>
                <c:ptCount val="25"/>
                <c:pt idx="0">
                  <c:v>33603</c:v>
                </c:pt>
                <c:pt idx="1">
                  <c:v>33694</c:v>
                </c:pt>
                <c:pt idx="2">
                  <c:v>33785</c:v>
                </c:pt>
                <c:pt idx="3">
                  <c:v>33877</c:v>
                </c:pt>
                <c:pt idx="4">
                  <c:v>33969</c:v>
                </c:pt>
                <c:pt idx="5">
                  <c:v>34059</c:v>
                </c:pt>
                <c:pt idx="6">
                  <c:v>34150</c:v>
                </c:pt>
                <c:pt idx="7">
                  <c:v>34242</c:v>
                </c:pt>
                <c:pt idx="8">
                  <c:v>34334</c:v>
                </c:pt>
                <c:pt idx="9">
                  <c:v>34424</c:v>
                </c:pt>
                <c:pt idx="10">
                  <c:v>34515</c:v>
                </c:pt>
                <c:pt idx="11">
                  <c:v>34607</c:v>
                </c:pt>
                <c:pt idx="12">
                  <c:v>34699</c:v>
                </c:pt>
                <c:pt idx="13">
                  <c:v>34789</c:v>
                </c:pt>
                <c:pt idx="14">
                  <c:v>34880</c:v>
                </c:pt>
                <c:pt idx="15">
                  <c:v>34971</c:v>
                </c:pt>
                <c:pt idx="16">
                  <c:v>35062</c:v>
                </c:pt>
                <c:pt idx="17">
                  <c:v>35155</c:v>
                </c:pt>
                <c:pt idx="18">
                  <c:v>35246</c:v>
                </c:pt>
                <c:pt idx="19">
                  <c:v>35338</c:v>
                </c:pt>
                <c:pt idx="20">
                  <c:v>35430</c:v>
                </c:pt>
                <c:pt idx="21">
                  <c:v>35520</c:v>
                </c:pt>
                <c:pt idx="22">
                  <c:v>35611</c:v>
                </c:pt>
                <c:pt idx="23">
                  <c:v>35703</c:v>
                </c:pt>
                <c:pt idx="24">
                  <c:v>35795</c:v>
                </c:pt>
              </c:numCache>
            </c:numRef>
          </c:cat>
          <c:val>
            <c:numRef>
              <c:f>'Stock chart full'!$H$3:$H$27</c:f>
              <c:numCache>
                <c:formatCode>_(* #,##0.00_);_(* \(#,##0.00\);_(* "-"??_);_(@_)</c:formatCode>
                <c:ptCount val="25"/>
                <c:pt idx="0">
                  <c:v>1</c:v>
                </c:pt>
                <c:pt idx="1">
                  <c:v>1.4198184568835097</c:v>
                </c:pt>
                <c:pt idx="2">
                  <c:v>1.0608925869894099</c:v>
                </c:pt>
                <c:pt idx="3">
                  <c:v>1.6758698940998484</c:v>
                </c:pt>
                <c:pt idx="4">
                  <c:v>2.8101361573373675</c:v>
                </c:pt>
                <c:pt idx="5">
                  <c:v>2.0559757942511343</c:v>
                </c:pt>
                <c:pt idx="6">
                  <c:v>1.0975794251134643</c:v>
                </c:pt>
                <c:pt idx="7">
                  <c:v>0.97314674735249607</c:v>
                </c:pt>
                <c:pt idx="8">
                  <c:v>1.3245083207261723</c:v>
                </c:pt>
                <c:pt idx="9">
                  <c:v>1.4780635400907713</c:v>
                </c:pt>
                <c:pt idx="10">
                  <c:v>1.5438729198184569</c:v>
                </c:pt>
                <c:pt idx="11">
                  <c:v>2.1917549167927382</c:v>
                </c:pt>
                <c:pt idx="12">
                  <c:v>2.4001512859304084</c:v>
                </c:pt>
                <c:pt idx="13">
                  <c:v>2.5760211800302573</c:v>
                </c:pt>
                <c:pt idx="14">
                  <c:v>3.5196671709531011</c:v>
                </c:pt>
                <c:pt idx="15">
                  <c:v>4.9761724659606656</c:v>
                </c:pt>
                <c:pt idx="16">
                  <c:v>4.0540847201210291</c:v>
                </c:pt>
                <c:pt idx="17">
                  <c:v>3.9224659606656576</c:v>
                </c:pt>
                <c:pt idx="18">
                  <c:v>5.9565052950075632</c:v>
                </c:pt>
                <c:pt idx="19">
                  <c:v>9.1032526475037798</c:v>
                </c:pt>
                <c:pt idx="20">
                  <c:v>12.440242057488653</c:v>
                </c:pt>
                <c:pt idx="21">
                  <c:v>15.816565809379725</c:v>
                </c:pt>
                <c:pt idx="22">
                  <c:v>27.499999999999996</c:v>
                </c:pt>
                <c:pt idx="23">
                  <c:v>45.369894099848707</c:v>
                </c:pt>
                <c:pt idx="24">
                  <c:v>39.340015128593038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0-4F8B-A07A-298568E05F65}"/>
            </c:ext>
          </c:extLst>
        </c:ser>
        <c:ser>
          <c:idx val="1"/>
          <c:order val="1"/>
          <c:tx>
            <c:strRef>
              <c:f>'Stock chart full'!$I$2</c:f>
              <c:strCache>
                <c:ptCount val="1"/>
                <c:pt idx="0">
                  <c:v>NASDAQ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'Stock chart full'!$G$3:$G$27</c:f>
              <c:numCache>
                <c:formatCode>m/d/yyyy</c:formatCode>
                <c:ptCount val="25"/>
                <c:pt idx="0">
                  <c:v>33603</c:v>
                </c:pt>
                <c:pt idx="1">
                  <c:v>33694</c:v>
                </c:pt>
                <c:pt idx="2">
                  <c:v>33785</c:v>
                </c:pt>
                <c:pt idx="3">
                  <c:v>33877</c:v>
                </c:pt>
                <c:pt idx="4">
                  <c:v>33969</c:v>
                </c:pt>
                <c:pt idx="5">
                  <c:v>34059</c:v>
                </c:pt>
                <c:pt idx="6">
                  <c:v>34150</c:v>
                </c:pt>
                <c:pt idx="7">
                  <c:v>34242</c:v>
                </c:pt>
                <c:pt idx="8">
                  <c:v>34334</c:v>
                </c:pt>
                <c:pt idx="9">
                  <c:v>34424</c:v>
                </c:pt>
                <c:pt idx="10">
                  <c:v>34515</c:v>
                </c:pt>
                <c:pt idx="11">
                  <c:v>34607</c:v>
                </c:pt>
                <c:pt idx="12">
                  <c:v>34699</c:v>
                </c:pt>
                <c:pt idx="13">
                  <c:v>34789</c:v>
                </c:pt>
                <c:pt idx="14">
                  <c:v>34880</c:v>
                </c:pt>
                <c:pt idx="15">
                  <c:v>34971</c:v>
                </c:pt>
                <c:pt idx="16">
                  <c:v>35062</c:v>
                </c:pt>
                <c:pt idx="17">
                  <c:v>35155</c:v>
                </c:pt>
                <c:pt idx="18">
                  <c:v>35246</c:v>
                </c:pt>
                <c:pt idx="19">
                  <c:v>35338</c:v>
                </c:pt>
                <c:pt idx="20">
                  <c:v>35430</c:v>
                </c:pt>
                <c:pt idx="21">
                  <c:v>35520</c:v>
                </c:pt>
                <c:pt idx="22">
                  <c:v>35611</c:v>
                </c:pt>
                <c:pt idx="23">
                  <c:v>35703</c:v>
                </c:pt>
                <c:pt idx="24">
                  <c:v>35795</c:v>
                </c:pt>
              </c:numCache>
            </c:numRef>
          </c:cat>
          <c:val>
            <c:numRef>
              <c:f>'Stock chart full'!$I$3:$I$27</c:f>
              <c:numCache>
                <c:formatCode>_(* #,##0.00_);_(* \(#,##0.00\);_(* "-"??_);_(@_)</c:formatCode>
                <c:ptCount val="25"/>
                <c:pt idx="0">
                  <c:v>1</c:v>
                </c:pt>
                <c:pt idx="1">
                  <c:v>1.0297267663768077</c:v>
                </c:pt>
                <c:pt idx="2">
                  <c:v>0.96121695611273694</c:v>
                </c:pt>
                <c:pt idx="3">
                  <c:v>0.994764118329585</c:v>
                </c:pt>
                <c:pt idx="4">
                  <c:v>1.1545348787862986</c:v>
                </c:pt>
                <c:pt idx="5">
                  <c:v>1.1770132912996574</c:v>
                </c:pt>
                <c:pt idx="6">
                  <c:v>1.2005832445070308</c:v>
                </c:pt>
                <c:pt idx="7">
                  <c:v>1.3009175459208417</c:v>
                </c:pt>
                <c:pt idx="8">
                  <c:v>1.3248285162697924</c:v>
                </c:pt>
                <c:pt idx="9">
                  <c:v>1.2679673700666525</c:v>
                </c:pt>
                <c:pt idx="10">
                  <c:v>1.2040113065656355</c:v>
                </c:pt>
                <c:pt idx="11">
                  <c:v>1.3034927564309029</c:v>
                </c:pt>
                <c:pt idx="12">
                  <c:v>1.2824640777935497</c:v>
                </c:pt>
                <c:pt idx="13">
                  <c:v>1.3937476282853192</c:v>
                </c:pt>
                <c:pt idx="14">
                  <c:v>1.5919943531332548</c:v>
                </c:pt>
                <c:pt idx="15">
                  <c:v>1.7797523466703391</c:v>
                </c:pt>
                <c:pt idx="16">
                  <c:v>1.794402490962808</c:v>
                </c:pt>
                <c:pt idx="17">
                  <c:v>1.8784322633324164</c:v>
                </c:pt>
                <c:pt idx="18">
                  <c:v>2.0210457506425703</c:v>
                </c:pt>
                <c:pt idx="19">
                  <c:v>2.0925060331929206</c:v>
                </c:pt>
                <c:pt idx="20">
                  <c:v>2.201845293771834</c:v>
                </c:pt>
                <c:pt idx="21">
                  <c:v>2.0836031905425418</c:v>
                </c:pt>
                <c:pt idx="22">
                  <c:v>2.4594431210475762</c:v>
                </c:pt>
                <c:pt idx="23">
                  <c:v>2.8749358109232412</c:v>
                </c:pt>
                <c:pt idx="24">
                  <c:v>2.6782240742367058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0-4F8B-A07A-298568E05F65}"/>
            </c:ext>
          </c:extLst>
        </c:ser>
        <c:ser>
          <c:idx val="2"/>
          <c:order val="2"/>
          <c:tx>
            <c:strRef>
              <c:f>'Stock chart full'!$J$2</c:f>
              <c:strCache>
                <c:ptCount val="1"/>
                <c:pt idx="0">
                  <c:v>IBM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'Stock chart full'!$G$3:$G$27</c:f>
              <c:numCache>
                <c:formatCode>m/d/yyyy</c:formatCode>
                <c:ptCount val="25"/>
                <c:pt idx="0">
                  <c:v>33603</c:v>
                </c:pt>
                <c:pt idx="1">
                  <c:v>33694</c:v>
                </c:pt>
                <c:pt idx="2">
                  <c:v>33785</c:v>
                </c:pt>
                <c:pt idx="3">
                  <c:v>33877</c:v>
                </c:pt>
                <c:pt idx="4">
                  <c:v>33969</c:v>
                </c:pt>
                <c:pt idx="5">
                  <c:v>34059</c:v>
                </c:pt>
                <c:pt idx="6">
                  <c:v>34150</c:v>
                </c:pt>
                <c:pt idx="7">
                  <c:v>34242</c:v>
                </c:pt>
                <c:pt idx="8">
                  <c:v>34334</c:v>
                </c:pt>
                <c:pt idx="9">
                  <c:v>34424</c:v>
                </c:pt>
                <c:pt idx="10">
                  <c:v>34515</c:v>
                </c:pt>
                <c:pt idx="11">
                  <c:v>34607</c:v>
                </c:pt>
                <c:pt idx="12">
                  <c:v>34699</c:v>
                </c:pt>
                <c:pt idx="13">
                  <c:v>34789</c:v>
                </c:pt>
                <c:pt idx="14">
                  <c:v>34880</c:v>
                </c:pt>
                <c:pt idx="15">
                  <c:v>34971</c:v>
                </c:pt>
                <c:pt idx="16">
                  <c:v>35062</c:v>
                </c:pt>
                <c:pt idx="17">
                  <c:v>35155</c:v>
                </c:pt>
                <c:pt idx="18">
                  <c:v>35246</c:v>
                </c:pt>
                <c:pt idx="19">
                  <c:v>35338</c:v>
                </c:pt>
                <c:pt idx="20">
                  <c:v>35430</c:v>
                </c:pt>
                <c:pt idx="21">
                  <c:v>35520</c:v>
                </c:pt>
                <c:pt idx="22">
                  <c:v>35611</c:v>
                </c:pt>
                <c:pt idx="23">
                  <c:v>35703</c:v>
                </c:pt>
                <c:pt idx="24">
                  <c:v>35795</c:v>
                </c:pt>
              </c:numCache>
            </c:numRef>
          </c:cat>
          <c:val>
            <c:numRef>
              <c:f>'Stock chart full'!$J$3:$J$27</c:f>
              <c:numCache>
                <c:formatCode>_(* #,##0.00_);_(* \(#,##0.00\);_(* "-"??_);_(@_)</c:formatCode>
                <c:ptCount val="25"/>
                <c:pt idx="0">
                  <c:v>1</c:v>
                </c:pt>
                <c:pt idx="1">
                  <c:v>0.99075302469817561</c:v>
                </c:pt>
                <c:pt idx="2">
                  <c:v>1.2248034565682946</c:v>
                </c:pt>
                <c:pt idx="3">
                  <c:v>1.066857461612188</c:v>
                </c:pt>
                <c:pt idx="4">
                  <c:v>0.71634779362242551</c:v>
                </c:pt>
                <c:pt idx="5">
                  <c:v>0.75537178529735927</c:v>
                </c:pt>
                <c:pt idx="6">
                  <c:v>0.76663841232433227</c:v>
                </c:pt>
                <c:pt idx="7">
                  <c:v>0.66716234548951969</c:v>
                </c:pt>
                <c:pt idx="8">
                  <c:v>0.91553250505613104</c:v>
                </c:pt>
                <c:pt idx="9">
                  <c:v>0.90131676762692881</c:v>
                </c:pt>
                <c:pt idx="10">
                  <c:v>0.98646117345588769</c:v>
                </c:pt>
                <c:pt idx="11">
                  <c:v>1.187917840869807</c:v>
                </c:pt>
                <c:pt idx="12">
                  <c:v>1.2713280202505826</c:v>
                </c:pt>
                <c:pt idx="13">
                  <c:v>1.4398089355402814</c:v>
                </c:pt>
                <c:pt idx="14">
                  <c:v>1.701112975927471</c:v>
                </c:pt>
                <c:pt idx="15">
                  <c:v>1.6900560341935587</c:v>
                </c:pt>
                <c:pt idx="16">
                  <c:v>1.6508857985947192</c:v>
                </c:pt>
                <c:pt idx="17">
                  <c:v>2.0276415628397721</c:v>
                </c:pt>
                <c:pt idx="18">
                  <c:v>1.8285523178809562</c:v>
                </c:pt>
                <c:pt idx="19">
                  <c:v>2.3292893215024719</c:v>
                </c:pt>
                <c:pt idx="20">
                  <c:v>2.8652328754879721</c:v>
                </c:pt>
                <c:pt idx="21">
                  <c:v>2.6203940013445677</c:v>
                </c:pt>
                <c:pt idx="22">
                  <c:v>3.47977103145316</c:v>
                </c:pt>
                <c:pt idx="23">
                  <c:v>4.1022543360836368</c:v>
                </c:pt>
                <c:pt idx="24">
                  <c:v>4.0648641118750195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10-4F8B-A07A-298568E05F65}"/>
            </c:ext>
          </c:extLst>
        </c:ser>
        <c:ser>
          <c:idx val="3"/>
          <c:order val="3"/>
          <c:tx>
            <c:strRef>
              <c:f>'Stock chart full'!$K$2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'Stock chart full'!$G$3:$G$27</c:f>
              <c:numCache>
                <c:formatCode>m/d/yyyy</c:formatCode>
                <c:ptCount val="25"/>
                <c:pt idx="0">
                  <c:v>33603</c:v>
                </c:pt>
                <c:pt idx="1">
                  <c:v>33694</c:v>
                </c:pt>
                <c:pt idx="2">
                  <c:v>33785</c:v>
                </c:pt>
                <c:pt idx="3">
                  <c:v>33877</c:v>
                </c:pt>
                <c:pt idx="4">
                  <c:v>33969</c:v>
                </c:pt>
                <c:pt idx="5">
                  <c:v>34059</c:v>
                </c:pt>
                <c:pt idx="6">
                  <c:v>34150</c:v>
                </c:pt>
                <c:pt idx="7">
                  <c:v>34242</c:v>
                </c:pt>
                <c:pt idx="8">
                  <c:v>34334</c:v>
                </c:pt>
                <c:pt idx="9">
                  <c:v>34424</c:v>
                </c:pt>
                <c:pt idx="10">
                  <c:v>34515</c:v>
                </c:pt>
                <c:pt idx="11">
                  <c:v>34607</c:v>
                </c:pt>
                <c:pt idx="12">
                  <c:v>34699</c:v>
                </c:pt>
                <c:pt idx="13">
                  <c:v>34789</c:v>
                </c:pt>
                <c:pt idx="14">
                  <c:v>34880</c:v>
                </c:pt>
                <c:pt idx="15">
                  <c:v>34971</c:v>
                </c:pt>
                <c:pt idx="16">
                  <c:v>35062</c:v>
                </c:pt>
                <c:pt idx="17">
                  <c:v>35155</c:v>
                </c:pt>
                <c:pt idx="18">
                  <c:v>35246</c:v>
                </c:pt>
                <c:pt idx="19">
                  <c:v>35338</c:v>
                </c:pt>
                <c:pt idx="20">
                  <c:v>35430</c:v>
                </c:pt>
                <c:pt idx="21">
                  <c:v>35520</c:v>
                </c:pt>
                <c:pt idx="22">
                  <c:v>35611</c:v>
                </c:pt>
                <c:pt idx="23">
                  <c:v>35703</c:v>
                </c:pt>
                <c:pt idx="24">
                  <c:v>35795</c:v>
                </c:pt>
              </c:numCache>
            </c:numRef>
          </c:cat>
          <c:val>
            <c:numRef>
              <c:f>'Stock chart full'!$K$3:$K$27</c:f>
              <c:numCache>
                <c:formatCode>_(* #,##0.00_);_(* \(#,##0.00\);_(* "-"??_);_(@_)</c:formatCode>
                <c:ptCount val="25"/>
                <c:pt idx="0">
                  <c:v>1</c:v>
                </c:pt>
                <c:pt idx="1">
                  <c:v>1.035194807529801</c:v>
                </c:pt>
                <c:pt idx="2">
                  <c:v>0.85475407085108801</c:v>
                </c:pt>
                <c:pt idx="3">
                  <c:v>0.80572046722642732</c:v>
                </c:pt>
                <c:pt idx="4">
                  <c:v>1.0691280557603215</c:v>
                </c:pt>
                <c:pt idx="5">
                  <c:v>0.92351954068453812</c:v>
                </c:pt>
                <c:pt idx="6">
                  <c:v>0.70981379264879507</c:v>
                </c:pt>
                <c:pt idx="7">
                  <c:v>0.42189899135187614</c:v>
                </c:pt>
                <c:pt idx="8">
                  <c:v>0.52983812486140824</c:v>
                </c:pt>
                <c:pt idx="9">
                  <c:v>0.6044619045050551</c:v>
                </c:pt>
                <c:pt idx="10">
                  <c:v>0.48365666408960967</c:v>
                </c:pt>
                <c:pt idx="11">
                  <c:v>0.61696902137758669</c:v>
                </c:pt>
                <c:pt idx="12">
                  <c:v>0.71641645241134622</c:v>
                </c:pt>
                <c:pt idx="13">
                  <c:v>0.64931288468568882</c:v>
                </c:pt>
                <c:pt idx="14">
                  <c:v>0.85776503233307555</c:v>
                </c:pt>
                <c:pt idx="15">
                  <c:v>0.68993988864716493</c:v>
                </c:pt>
                <c:pt idx="16">
                  <c:v>0.59222687690657272</c:v>
                </c:pt>
                <c:pt idx="17">
                  <c:v>0.45636263387211801</c:v>
                </c:pt>
                <c:pt idx="18">
                  <c:v>0.39017302240840956</c:v>
                </c:pt>
                <c:pt idx="19">
                  <c:v>0.41223622622964573</c:v>
                </c:pt>
                <c:pt idx="20">
                  <c:v>0.38785007521410547</c:v>
                </c:pt>
                <c:pt idx="21">
                  <c:v>0.33907897181418817</c:v>
                </c:pt>
                <c:pt idx="22">
                  <c:v>0.26476024380157859</c:v>
                </c:pt>
                <c:pt idx="23">
                  <c:v>0.40294623539917412</c:v>
                </c:pt>
                <c:pt idx="24">
                  <c:v>0.24385791426191286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10-4F8B-A07A-298568E05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249999"/>
        <c:axId val="1"/>
      </c:lineChart>
      <c:dateAx>
        <c:axId val="49824999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crossAx val="49824999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9301706503768876E-2"/>
          <c:y val="0.16859174950635791"/>
          <c:w val="0.42271726710317797"/>
          <c:h val="5.1987424862095566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092655276474163E-2"/>
          <c:y val="1.760962120640466E-2"/>
          <c:w val="0.89981468944705179"/>
          <c:h val="0.9574868880606917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'Uses - Sources'!$G$65</c:f>
              <c:strCache>
                <c:ptCount val="1"/>
                <c:pt idx="0">
                  <c:v>Debt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'Uses - Sources'!$H$65</c:f>
              <c:numCache>
                <c:formatCode>#,##0_);\(#,##0\)</c:formatCode>
                <c:ptCount val="1"/>
                <c:pt idx="0">
                  <c:v>149.43099999999998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1-470D-B321-6E0D510BFD76}"/>
            </c:ext>
          </c:extLst>
        </c:ser>
        <c:ser>
          <c:idx val="1"/>
          <c:order val="1"/>
          <c:tx>
            <c:strRef>
              <c:f>'Uses - Sources'!$G$66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0B1-470D-B321-6E0D510BFD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'Uses - Sources'!$H$66</c:f>
              <c:numCache>
                <c:formatCode>#,##0_);\(#,##0\)</c:formatCode>
                <c:ptCount val="1"/>
                <c:pt idx="0">
                  <c:v>349.05700000000002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B1-470D-B321-6E0D510BFD76}"/>
            </c:ext>
          </c:extLst>
        </c:ser>
        <c:ser>
          <c:idx val="2"/>
          <c:order val="2"/>
          <c:tx>
            <c:strRef>
              <c:f>'Uses - Sources'!$G$67</c:f>
              <c:strCache>
                <c:ptCount val="1"/>
                <c:pt idx="0">
                  <c:v>Oper. Profit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0B1-470D-B321-6E0D510BFD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'Uses - Sources'!$H$67</c:f>
              <c:numCache>
                <c:formatCode>#,##0_);\(#,##0\)</c:formatCode>
                <c:ptCount val="1"/>
                <c:pt idx="0">
                  <c:v>718.08099999999956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B1-470D-B321-6E0D510BF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9834512"/>
        <c:axId val="2007485472"/>
      </c:barChart>
      <c:catAx>
        <c:axId val="339834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7485472"/>
        <c:crosses val="autoZero"/>
        <c:auto val="1"/>
        <c:lblAlgn val="ctr"/>
        <c:lblOffset val="100"/>
        <c:noMultiLvlLbl val="0"/>
      </c:catAx>
      <c:valAx>
        <c:axId val="20074854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398345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092655276474163E-2"/>
          <c:y val="1.760962120640466E-2"/>
          <c:w val="0.89981468944705179"/>
          <c:h val="0.9574868880606917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'Uses - Sources'!$G$65</c:f>
              <c:strCache>
                <c:ptCount val="1"/>
                <c:pt idx="0">
                  <c:v>Debt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'Uses - Sources'!$H$65</c:f>
              <c:numCache>
                <c:formatCode>#,##0_);\(#,##0\)</c:formatCode>
                <c:ptCount val="1"/>
                <c:pt idx="0">
                  <c:v>149.43099999999998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D-47ED-8B2E-AD564F66693F}"/>
            </c:ext>
          </c:extLst>
        </c:ser>
        <c:ser>
          <c:idx val="1"/>
          <c:order val="1"/>
          <c:tx>
            <c:strRef>
              <c:f>'Uses - Sources'!$G$66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CCD-47ED-8B2E-AD564F6669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'Uses - Sources'!$H$66</c:f>
              <c:numCache>
                <c:formatCode>#,##0_);\(#,##0\)</c:formatCode>
                <c:ptCount val="1"/>
                <c:pt idx="0">
                  <c:v>349.05700000000002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CD-47ED-8B2E-AD564F66693F}"/>
            </c:ext>
          </c:extLst>
        </c:ser>
        <c:ser>
          <c:idx val="2"/>
          <c:order val="2"/>
          <c:tx>
            <c:strRef>
              <c:f>'Uses - Sources'!$G$67</c:f>
              <c:strCache>
                <c:ptCount val="1"/>
                <c:pt idx="0">
                  <c:v>Oper. Profit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CD-47ED-8B2E-AD564F6669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'Uses - Sources'!$H$67</c:f>
              <c:numCache>
                <c:formatCode>#,##0_);\(#,##0\)</c:formatCode>
                <c:ptCount val="1"/>
                <c:pt idx="0">
                  <c:v>718.08099999999956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CD-47ED-8B2E-AD564F666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9834512"/>
        <c:axId val="2007485472"/>
      </c:barChart>
      <c:catAx>
        <c:axId val="339834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7485472"/>
        <c:crosses val="autoZero"/>
        <c:auto val="1"/>
        <c:lblAlgn val="ctr"/>
        <c:lblOffset val="100"/>
        <c:noMultiLvlLbl val="0"/>
      </c:catAx>
      <c:valAx>
        <c:axId val="20074854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398345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092655276474163E-2"/>
          <c:y val="1.760962120640466E-2"/>
          <c:w val="0.89981468944705179"/>
          <c:h val="0.9574868880606917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'Uses - Sources'!$G$73</c:f>
              <c:strCache>
                <c:ptCount val="1"/>
                <c:pt idx="0">
                  <c:v>Debt Service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'Uses - Sources'!$H$73</c:f>
              <c:numCache>
                <c:formatCode>#,##0_);\(#,##0\)</c:formatCode>
                <c:ptCount val="1"/>
                <c:pt idx="0">
                  <c:v>14.971580495431239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2-4C11-9CD8-C6E097CC656F}"/>
            </c:ext>
          </c:extLst>
        </c:ser>
        <c:ser>
          <c:idx val="1"/>
          <c:order val="1"/>
          <c:tx>
            <c:strRef>
              <c:f>'Uses - Sources'!$G$74</c:f>
              <c:strCache>
                <c:ptCount val="1"/>
                <c:pt idx="0">
                  <c:v>Dividends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262-4C11-9CD8-C6E097CC656F}"/>
              </c:ext>
            </c:extLst>
          </c:dPt>
          <c:val>
            <c:numRef>
              <c:f>'Uses - Sources'!$H$74</c:f>
              <c:numCache>
                <c:formatCode>#,##0_);\(#,##0\)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62-4C11-9CD8-C6E097CC656F}"/>
            </c:ext>
          </c:extLst>
        </c:ser>
        <c:ser>
          <c:idx val="2"/>
          <c:order val="2"/>
          <c:tx>
            <c:strRef>
              <c:f>'Uses - Sources'!$G$75</c:f>
              <c:strCache>
                <c:ptCount val="1"/>
                <c:pt idx="0">
                  <c:v>ST Invest.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'Uses - Sources'!$H$75</c:f>
              <c:numCache>
                <c:formatCode>#,##0_);\(#,##0\)</c:formatCode>
                <c:ptCount val="1"/>
                <c:pt idx="0">
                  <c:v>808.2051202084624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62-4C11-9CD8-C6E097CC656F}"/>
            </c:ext>
          </c:extLst>
        </c:ser>
        <c:ser>
          <c:idx val="3"/>
          <c:order val="3"/>
          <c:tx>
            <c:strRef>
              <c:f>'Uses - Sources'!$G$76</c:f>
              <c:strCache>
                <c:ptCount val="1"/>
                <c:pt idx="0">
                  <c:v>Working Capital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62-4C11-9CD8-C6E097CC656F}"/>
              </c:ext>
            </c:extLst>
          </c:dPt>
          <c:val>
            <c:numRef>
              <c:f>'Uses - Sources'!$H$76</c:f>
              <c:numCache>
                <c:formatCode>#,##0_);\(#,##0\)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62-4C11-9CD8-C6E097CC656F}"/>
            </c:ext>
          </c:extLst>
        </c:ser>
        <c:ser>
          <c:idx val="4"/>
          <c:order val="4"/>
          <c:tx>
            <c:strRef>
              <c:f>'Uses - Sources'!$G$77</c:f>
              <c:strCache>
                <c:ptCount val="1"/>
                <c:pt idx="0">
                  <c:v>Capex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262-4C11-9CD8-C6E097CC65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'Uses - Sources'!$H$77</c:f>
              <c:numCache>
                <c:formatCode>#,##0_);\(#,##0\)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62-4C11-9CD8-C6E097CC6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9834512"/>
        <c:axId val="2007485472"/>
      </c:barChart>
      <c:catAx>
        <c:axId val="339834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7485472"/>
        <c:crosses val="autoZero"/>
        <c:auto val="1"/>
        <c:lblAlgn val="ctr"/>
        <c:lblOffset val="100"/>
        <c:noMultiLvlLbl val="0"/>
      </c:catAx>
      <c:valAx>
        <c:axId val="20074854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398345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092655276474163E-2"/>
          <c:y val="1.760962120640466E-2"/>
          <c:w val="0.89981468944705179"/>
          <c:h val="0.9574868880606917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'Uses - Sources'!$G$80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D3C-430A-A242-B3280531F4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'Uses - Sources'!$H$80</c:f>
              <c:numCache>
                <c:formatCode>#,##0_);\(#,##0\)</c:formatCode>
                <c:ptCount val="1"/>
                <c:pt idx="0">
                  <c:v>57.599999999999994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C-430A-A242-B3280531F468}"/>
            </c:ext>
          </c:extLst>
        </c:ser>
        <c:ser>
          <c:idx val="1"/>
          <c:order val="1"/>
          <c:tx>
            <c:strRef>
              <c:f>'Uses - Sources'!#REF!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D3C-430A-A242-B3280531F4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'Uses - Sources'!$H$81</c:f>
              <c:numCache>
                <c:formatCode>#,##0_);\(#,##0\)</c:formatCode>
                <c:ptCount val="1"/>
                <c:pt idx="0">
                  <c:v>319.65939455526427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3C-430A-A242-B3280531F468}"/>
            </c:ext>
          </c:extLst>
        </c:ser>
        <c:ser>
          <c:idx val="2"/>
          <c:order val="2"/>
          <c:tx>
            <c:strRef>
              <c:f>'Uses - Sources'!$G$82</c:f>
              <c:strCache>
                <c:ptCount val="1"/>
                <c:pt idx="0">
                  <c:v>Oper. Profit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D3C-430A-A242-B3280531F4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'Uses - Sources'!$H$82</c:f>
              <c:numCache>
                <c:formatCode>#,##0_);\(#,##0\)</c:formatCode>
                <c:ptCount val="1"/>
                <c:pt idx="0">
                  <c:v>565.91730614862934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3C-430A-A242-B3280531F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9834512"/>
        <c:axId val="2007485472"/>
      </c:barChart>
      <c:catAx>
        <c:axId val="339834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7485472"/>
        <c:crosses val="autoZero"/>
        <c:auto val="1"/>
        <c:lblAlgn val="ctr"/>
        <c:lblOffset val="100"/>
        <c:noMultiLvlLbl val="0"/>
      </c:catAx>
      <c:valAx>
        <c:axId val="20074854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398345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092655276474163E-2"/>
          <c:y val="1.760962120640466E-2"/>
          <c:w val="0.89981468944705179"/>
          <c:h val="0.9574868880606917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'Uses - Sources'!$AB$58</c:f>
              <c:strCache>
                <c:ptCount val="1"/>
                <c:pt idx="0">
                  <c:v>Debt Service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'Uses - Sources'!$AC$58</c:f>
              <c:numCache>
                <c:formatCode>#,##0_);\(#,##0\)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8-4684-B83B-9A7B13A6512D}"/>
            </c:ext>
          </c:extLst>
        </c:ser>
        <c:ser>
          <c:idx val="1"/>
          <c:order val="1"/>
          <c:tx>
            <c:strRef>
              <c:f>'Uses - Sources'!$AB$59</c:f>
              <c:strCache>
                <c:ptCount val="1"/>
                <c:pt idx="0">
                  <c:v>Dividends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0C8-4684-B83B-9A7B13A651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'Uses - Sources'!$AC$59</c:f>
              <c:numCache>
                <c:formatCode>#,##0_);\(#,##0\)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C8-4684-B83B-9A7B13A6512D}"/>
            </c:ext>
          </c:extLst>
        </c:ser>
        <c:ser>
          <c:idx val="2"/>
          <c:order val="2"/>
          <c:tx>
            <c:strRef>
              <c:f>'Uses - Sources'!$AB$60</c:f>
              <c:strCache>
                <c:ptCount val="1"/>
                <c:pt idx="0">
                  <c:v>ST Investments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0C8-4684-B83B-9A7B13A651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'Uses - Sources'!$AC$60</c:f>
              <c:numCache>
                <c:formatCode>#,##0_);\(#,##0\)</c:formatCode>
                <c:ptCount val="1"/>
                <c:pt idx="0">
                  <c:v>118.75300000000001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C8-4684-B83B-9A7B13A6512D}"/>
            </c:ext>
          </c:extLst>
        </c:ser>
        <c:ser>
          <c:idx val="3"/>
          <c:order val="3"/>
          <c:tx>
            <c:strRef>
              <c:f>'Uses - Sources'!$AB$61</c:f>
              <c:strCache>
                <c:ptCount val="1"/>
                <c:pt idx="0">
                  <c:v>Working Capital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0C8-4684-B83B-9A7B13A651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'Uses - Sources'!$AC$61</c:f>
              <c:numCache>
                <c:formatCode>#,##0_);\(#,##0\)</c:formatCode>
                <c:ptCount val="1"/>
                <c:pt idx="0">
                  <c:v>125.24699999999996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C8-4684-B83B-9A7B13A6512D}"/>
            </c:ext>
          </c:extLst>
        </c:ser>
        <c:ser>
          <c:idx val="4"/>
          <c:order val="4"/>
          <c:tx>
            <c:strRef>
              <c:f>'Uses - Sources'!$AB$62</c:f>
              <c:strCache>
                <c:ptCount val="1"/>
                <c:pt idx="0">
                  <c:v>Capex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0C8-4684-B83B-9A7B13A651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'Uses - Sources'!$AC$62</c:f>
              <c:numCache>
                <c:formatCode>#,##0_);\(#,##0\)</c:formatCode>
                <c:ptCount val="1"/>
                <c:pt idx="0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C8-4684-B83B-9A7B13A65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9834512"/>
        <c:axId val="2007485472"/>
      </c:barChart>
      <c:catAx>
        <c:axId val="339834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7485472"/>
        <c:crosses val="autoZero"/>
        <c:auto val="1"/>
        <c:lblAlgn val="ctr"/>
        <c:lblOffset val="100"/>
        <c:noMultiLvlLbl val="0"/>
      </c:catAx>
      <c:valAx>
        <c:axId val="20074854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398345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092655276474163E-2"/>
          <c:y val="1.760962120640466E-2"/>
          <c:w val="0.89981468944705179"/>
          <c:h val="0.9574868880606917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'Uses - Sources'!$AB$65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DC4-400D-9652-48656444A7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'Uses - Sources'!$AC$65</c:f>
              <c:numCache>
                <c:formatCode>#,##0_);\(#,##0\)</c:formatCode>
                <c:ptCount val="1"/>
                <c:pt idx="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4-400D-9652-48656444A76C}"/>
            </c:ext>
          </c:extLst>
        </c:ser>
        <c:ser>
          <c:idx val="1"/>
          <c:order val="1"/>
          <c:tx>
            <c:strRef>
              <c:f>'Uses - Sources'!$AB$66</c:f>
              <c:strCache>
                <c:ptCount val="1"/>
                <c:pt idx="0">
                  <c:v>Cash Balance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DC4-400D-9652-48656444A76C}"/>
              </c:ext>
            </c:extLst>
          </c:dPt>
          <c:val>
            <c:numRef>
              <c:f>'Uses - Sources'!$AC$66</c:f>
              <c:numCache>
                <c:formatCode>#,##0_);\(#,##0\)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C4-400D-9652-48656444A76C}"/>
            </c:ext>
          </c:extLst>
        </c:ser>
        <c:ser>
          <c:idx val="2"/>
          <c:order val="2"/>
          <c:tx>
            <c:strRef>
              <c:f>'Uses - Sources'!$AB$67</c:f>
              <c:strCache>
                <c:ptCount val="1"/>
                <c:pt idx="0">
                  <c:v>Oper. Profit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DC4-400D-9652-48656444A7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'Uses - Sources'!$AC$67</c:f>
              <c:numCache>
                <c:formatCode>#,##0_);\(#,##0\)</c:formatCode>
                <c:ptCount val="1"/>
                <c:pt idx="0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C4-400D-9652-48656444A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9834512"/>
        <c:axId val="2007485472"/>
      </c:barChart>
      <c:catAx>
        <c:axId val="339834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7485472"/>
        <c:crosses val="autoZero"/>
        <c:auto val="1"/>
        <c:lblAlgn val="ctr"/>
        <c:lblOffset val="100"/>
        <c:noMultiLvlLbl val="0"/>
      </c:catAx>
      <c:valAx>
        <c:axId val="20074854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398345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092655276474163E-2"/>
          <c:y val="1.760962120640466E-2"/>
          <c:w val="0.89981468944705179"/>
          <c:h val="0.9574868880606917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'Uses - Sources'!$AB$88</c:f>
              <c:strCache>
                <c:ptCount val="1"/>
                <c:pt idx="0">
                  <c:v>Debt Service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'Uses - Sources'!$AC$88</c:f>
              <c:numCache>
                <c:formatCode>#,##0_);\(#,##0\)</c:formatCode>
                <c:ptCount val="1"/>
                <c:pt idx="0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1-4703-8ADD-3FF5DAC7A5A1}"/>
            </c:ext>
          </c:extLst>
        </c:ser>
        <c:ser>
          <c:idx val="1"/>
          <c:order val="1"/>
          <c:tx>
            <c:strRef>
              <c:f>'Uses - Sources'!$AB$89</c:f>
              <c:strCache>
                <c:ptCount val="1"/>
                <c:pt idx="0">
                  <c:v>Stock Repurchase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6C1-4703-8ADD-3FF5DAC7A5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'Uses - Sources'!$AC$89</c:f>
              <c:numCache>
                <c:formatCode>#,##0_);\(#,##0\)</c:formatCode>
                <c:ptCount val="1"/>
                <c:pt idx="0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C1-4703-8ADD-3FF5DAC7A5A1}"/>
            </c:ext>
          </c:extLst>
        </c:ser>
        <c:ser>
          <c:idx val="2"/>
          <c:order val="2"/>
          <c:tx>
            <c:strRef>
              <c:f>'Uses - Sources'!$AB$90</c:f>
              <c:strCache>
                <c:ptCount val="1"/>
                <c:pt idx="0">
                  <c:v>ST Investments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6C1-4703-8ADD-3FF5DAC7A5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'Uses - Sources'!$AC$90</c:f>
              <c:numCache>
                <c:formatCode>#,##0_);\(#,##0\)</c:formatCode>
                <c:ptCount val="1"/>
                <c:pt idx="0">
                  <c:v>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C1-4703-8ADD-3FF5DAC7A5A1}"/>
            </c:ext>
          </c:extLst>
        </c:ser>
        <c:ser>
          <c:idx val="3"/>
          <c:order val="3"/>
          <c:tx>
            <c:strRef>
              <c:f>'Uses - Sources'!$AB$91</c:f>
              <c:strCache>
                <c:ptCount val="1"/>
                <c:pt idx="0">
                  <c:v>Working Capital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6C1-4703-8ADD-3FF5DAC7A5A1}"/>
              </c:ext>
            </c:extLst>
          </c:dPt>
          <c:val>
            <c:numRef>
              <c:f>'Uses - Sources'!$AC$91</c:f>
              <c:numCache>
                <c:formatCode>#,##0_);\(#,##0\)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C1-4703-8ADD-3FF5DAC7A5A1}"/>
            </c:ext>
          </c:extLst>
        </c:ser>
        <c:ser>
          <c:idx val="4"/>
          <c:order val="4"/>
          <c:tx>
            <c:strRef>
              <c:f>'Uses - Sources'!$AB$92</c:f>
              <c:strCache>
                <c:ptCount val="1"/>
                <c:pt idx="0">
                  <c:v>Capex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6C1-4703-8ADD-3FF5DAC7A5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'Uses - Sources'!$AC$92</c:f>
              <c:numCache>
                <c:formatCode>#,##0_);\(#,##0\)</c:formatCode>
                <c:ptCount val="1"/>
                <c:pt idx="0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6C1-4703-8ADD-3FF5DAC7A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9834512"/>
        <c:axId val="2007485472"/>
      </c:barChart>
      <c:catAx>
        <c:axId val="339834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7485472"/>
        <c:crosses val="autoZero"/>
        <c:auto val="1"/>
        <c:lblAlgn val="ctr"/>
        <c:lblOffset val="100"/>
        <c:noMultiLvlLbl val="0"/>
      </c:catAx>
      <c:valAx>
        <c:axId val="20074854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398345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092655276474163E-2"/>
          <c:y val="1.760962120640466E-2"/>
          <c:w val="0.89981468944705179"/>
          <c:h val="0.9574868880606917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'Uses - Sources'!$AB$96</c:f>
              <c:strCache>
                <c:ptCount val="1"/>
                <c:pt idx="0">
                  <c:v>Working Capital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B43-46FA-8ECF-446EE35EF0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'Uses - Sources'!$AC$95</c:f>
              <c:numCache>
                <c:formatCode>#,##0_);\(#,##0\)</c:formatCode>
                <c:ptCount val="1"/>
                <c:pt idx="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8-444C-A9BA-788168790B66}"/>
            </c:ext>
          </c:extLst>
        </c:ser>
        <c:ser>
          <c:idx val="1"/>
          <c:order val="1"/>
          <c:tx>
            <c:strRef>
              <c:f>'Uses - Sources'!$AB$95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EB8-444C-A9BA-788168790B66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B8-444C-A9BA-788168790B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'Uses - Sources'!$AC$96</c:f>
              <c:numCache>
                <c:formatCode>#,##0_);\(#,##0\)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B8-444C-A9BA-788168790B66}"/>
            </c:ext>
          </c:extLst>
        </c:ser>
        <c:ser>
          <c:idx val="2"/>
          <c:order val="2"/>
          <c:tx>
            <c:strRef>
              <c:f>'Uses - Sources'!$AB$97</c:f>
              <c:strCache>
                <c:ptCount val="1"/>
                <c:pt idx="0">
                  <c:v>Oper. Profit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EB8-444C-A9BA-788168790B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'Uses - Sources'!$AC$97</c:f>
              <c:numCache>
                <c:formatCode>#,##0_);\(#,##0\)</c:formatCode>
                <c:ptCount val="1"/>
                <c:pt idx="0">
                  <c:v>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B8-444C-A9BA-788168790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9834512"/>
        <c:axId val="2007485472"/>
      </c:barChart>
      <c:catAx>
        <c:axId val="339834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7485472"/>
        <c:crosses val="autoZero"/>
        <c:auto val="1"/>
        <c:lblAlgn val="ctr"/>
        <c:lblOffset val="100"/>
        <c:noMultiLvlLbl val="0"/>
      </c:catAx>
      <c:valAx>
        <c:axId val="20074854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398345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551565</xdr:colOff>
      <xdr:row>46</xdr:row>
      <xdr:rowOff>178982</xdr:rowOff>
    </xdr:from>
    <xdr:to>
      <xdr:col>16</xdr:col>
      <xdr:colOff>159490</xdr:colOff>
      <xdr:row>67</xdr:row>
      <xdr:rowOff>35443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99945E-0AD6-416F-A138-A53A3E6D3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307903</xdr:colOff>
      <xdr:row>46</xdr:row>
      <xdr:rowOff>178982</xdr:rowOff>
    </xdr:from>
    <xdr:to>
      <xdr:col>24</xdr:col>
      <xdr:colOff>225944</xdr:colOff>
      <xdr:row>67</xdr:row>
      <xdr:rowOff>35443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69415B6-6B23-4F03-BF10-FEDE7088E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511694</xdr:colOff>
      <xdr:row>46</xdr:row>
      <xdr:rowOff>178982</xdr:rowOff>
    </xdr:from>
    <xdr:to>
      <xdr:col>25</xdr:col>
      <xdr:colOff>22153</xdr:colOff>
      <xdr:row>67</xdr:row>
      <xdr:rowOff>35443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DBDD7C8-57CA-40E8-A805-1C56F92FC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557767</xdr:colOff>
      <xdr:row>69</xdr:row>
      <xdr:rowOff>154144</xdr:rowOff>
    </xdr:from>
    <xdr:to>
      <xdr:col>16</xdr:col>
      <xdr:colOff>165692</xdr:colOff>
      <xdr:row>90</xdr:row>
      <xdr:rowOff>10605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701DB72-5D79-4E9B-9DDC-DB7460E3D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517896</xdr:colOff>
      <xdr:row>69</xdr:row>
      <xdr:rowOff>154144</xdr:rowOff>
    </xdr:from>
    <xdr:to>
      <xdr:col>25</xdr:col>
      <xdr:colOff>28355</xdr:colOff>
      <xdr:row>90</xdr:row>
      <xdr:rowOff>10605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FF3FBAA-F6BA-4D29-8396-58AD768E1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371992</xdr:colOff>
      <xdr:row>47</xdr:row>
      <xdr:rowOff>13782</xdr:rowOff>
    </xdr:from>
    <xdr:to>
      <xdr:col>35</xdr:col>
      <xdr:colOff>71495</xdr:colOff>
      <xdr:row>67</xdr:row>
      <xdr:rowOff>52806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DC09042-FED1-4979-8F98-55760DBF4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509014</xdr:colOff>
      <xdr:row>47</xdr:row>
      <xdr:rowOff>13782</xdr:rowOff>
    </xdr:from>
    <xdr:to>
      <xdr:col>39</xdr:col>
      <xdr:colOff>249464</xdr:colOff>
      <xdr:row>67</xdr:row>
      <xdr:rowOff>52806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1425741-1E29-4C17-8AAB-FF0EECB36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371992</xdr:colOff>
      <xdr:row>77</xdr:row>
      <xdr:rowOff>13782</xdr:rowOff>
    </xdr:from>
    <xdr:to>
      <xdr:col>34</xdr:col>
      <xdr:colOff>773667</xdr:colOff>
      <xdr:row>97</xdr:row>
      <xdr:rowOff>52806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A1D2C15-709F-418E-AA96-2FC907667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509014</xdr:colOff>
      <xdr:row>77</xdr:row>
      <xdr:rowOff>13782</xdr:rowOff>
    </xdr:from>
    <xdr:to>
      <xdr:col>39</xdr:col>
      <xdr:colOff>178382</xdr:colOff>
      <xdr:row>97</xdr:row>
      <xdr:rowOff>52806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5DFFDBB-3C7F-425D-B700-856E04C08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</xdr:row>
      <xdr:rowOff>7620</xdr:rowOff>
    </xdr:from>
    <xdr:to>
      <xdr:col>15</xdr:col>
      <xdr:colOff>666750</xdr:colOff>
      <xdr:row>27</xdr:row>
      <xdr:rowOff>68580</xdr:rowOff>
    </xdr:to>
    <xdr:graphicFrame macro="">
      <xdr:nvGraphicFramePr>
        <xdr:cNvPr id="36058" name="Gráfico 1">
          <a:extLst>
            <a:ext uri="{FF2B5EF4-FFF2-40B4-BE49-F238E27FC236}">
              <a16:creationId xmlns:a16="http://schemas.microsoft.com/office/drawing/2014/main" id="{695E69E9-FD8A-49B2-9A0C-88D4C5D41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3</xdr:row>
      <xdr:rowOff>156210</xdr:rowOff>
    </xdr:from>
    <xdr:to>
      <xdr:col>13</xdr:col>
      <xdr:colOff>312420</xdr:colOff>
      <xdr:row>5</xdr:row>
      <xdr:rowOff>102870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493E8BF7-54C3-43C2-AF14-1E3D7C950F11}"/>
            </a:ext>
          </a:extLst>
        </xdr:cNvPr>
        <xdr:cNvSpPr/>
      </xdr:nvSpPr>
      <xdr:spPr>
        <a:xfrm>
          <a:off x="6259830" y="647700"/>
          <a:ext cx="2491740" cy="27432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1</xdr:row>
      <xdr:rowOff>7620</xdr:rowOff>
    </xdr:from>
    <xdr:to>
      <xdr:col>19</xdr:col>
      <xdr:colOff>666750</xdr:colOff>
      <xdr:row>27</xdr:row>
      <xdr:rowOff>68580</xdr:rowOff>
    </xdr:to>
    <xdr:graphicFrame macro="">
      <xdr:nvGraphicFramePr>
        <xdr:cNvPr id="190545" name="Gráfico 1">
          <a:extLst>
            <a:ext uri="{FF2B5EF4-FFF2-40B4-BE49-F238E27FC236}">
              <a16:creationId xmlns:a16="http://schemas.microsoft.com/office/drawing/2014/main" id="{829D3DC2-32C9-44F2-80B0-B411E9CB9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0.49117</cdr:x>
      <cdr:y>0.12183</cdr:y>
    </cdr:from>
    <cdr:to>
      <cdr:x>0.63599</cdr:x>
      <cdr:y>0.18598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3147439" y="520970"/>
          <a:ext cx="928045" cy="27432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1</xdr:row>
      <xdr:rowOff>7620</xdr:rowOff>
    </xdr:from>
    <xdr:to>
      <xdr:col>19</xdr:col>
      <xdr:colOff>666750</xdr:colOff>
      <xdr:row>27</xdr:row>
      <xdr:rowOff>68580</xdr:rowOff>
    </xdr:to>
    <xdr:graphicFrame macro="">
      <xdr:nvGraphicFramePr>
        <xdr:cNvPr id="5303" name="Gráfico 1">
          <a:extLst>
            <a:ext uri="{FF2B5EF4-FFF2-40B4-BE49-F238E27FC236}">
              <a16:creationId xmlns:a16="http://schemas.microsoft.com/office/drawing/2014/main" id="{90EFBC0A-48B4-4E9D-B6F0-AFED192DE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-AV/UTDT/MFIN/2020%20MFIN/Curso%20FC/5-IPO/Clase/Facebook%20IPO_anali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1"/>
      <sheetName val="Ex3 "/>
      <sheetName val="Ex4"/>
      <sheetName val="Ex5"/>
      <sheetName val="Ex6"/>
      <sheetName val="Shareholders (Ex8)"/>
      <sheetName val="Ex9"/>
      <sheetName val="Ex10"/>
      <sheetName val="DCF (Ex11)"/>
      <sheetName val="Comps (Ex12)"/>
      <sheetName val="Financials (Ex2)"/>
      <sheetName val="Model"/>
      <sheetName val="DCF"/>
      <sheetName val="WACC"/>
      <sheetName val="AVP"/>
      <sheetName val="Anex I. IPO terms"/>
      <sheetName val="Anex II. Prospectus--&gt;"/>
      <sheetName val="IPO Cash Flow"/>
      <sheetName val="IPO P&amp;L"/>
      <sheetName val="IPO Bce Sheet"/>
      <sheetName val="IPO Equ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>
        <row r="250">
          <cell r="E250">
            <v>0.39880952380952384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B4" sqref="B4"/>
    </sheetView>
  </sheetViews>
  <sheetFormatPr baseColWidth="10" defaultColWidth="8.88671875" defaultRowHeight="12.3" x14ac:dyDescent="0.4"/>
  <cols>
    <col min="1" max="1" width="37.5546875" customWidth="1"/>
    <col min="2" max="4" width="14.71875" customWidth="1"/>
  </cols>
  <sheetData>
    <row r="1" spans="1:5" ht="13.8" x14ac:dyDescent="0.4">
      <c r="A1" s="397" t="s">
        <v>0</v>
      </c>
      <c r="B1" s="397"/>
      <c r="C1" s="397"/>
      <c r="D1" s="397"/>
    </row>
    <row r="2" spans="1:5" x14ac:dyDescent="0.4">
      <c r="A2" s="398"/>
      <c r="B2" s="398"/>
      <c r="C2" s="398"/>
      <c r="D2" s="398"/>
      <c r="E2" s="7"/>
    </row>
    <row r="3" spans="1:5" ht="14.1" x14ac:dyDescent="0.4">
      <c r="A3" s="5"/>
      <c r="B3" s="8" t="s">
        <v>1</v>
      </c>
      <c r="C3" s="8" t="s">
        <v>2</v>
      </c>
      <c r="D3" s="8" t="s">
        <v>3</v>
      </c>
      <c r="E3" s="7"/>
    </row>
    <row r="4" spans="1:5" x14ac:dyDescent="0.4">
      <c r="A4" s="1" t="s">
        <v>4</v>
      </c>
      <c r="B4" s="9">
        <v>55</v>
      </c>
      <c r="C4" s="9">
        <v>33</v>
      </c>
      <c r="D4" s="9">
        <v>32</v>
      </c>
    </row>
    <row r="5" spans="1:5" x14ac:dyDescent="0.4">
      <c r="A5" s="1"/>
      <c r="B5" s="9"/>
      <c r="C5" s="9"/>
      <c r="D5" s="9"/>
    </row>
    <row r="6" spans="1:5" x14ac:dyDescent="0.4">
      <c r="A6" s="1" t="s">
        <v>5</v>
      </c>
      <c r="B6" s="9">
        <v>52</v>
      </c>
      <c r="C6" s="9">
        <v>85</v>
      </c>
      <c r="D6" s="9">
        <v>54</v>
      </c>
    </row>
    <row r="7" spans="1:5" x14ac:dyDescent="0.4">
      <c r="A7" s="1"/>
      <c r="B7" s="9"/>
      <c r="C7" s="9"/>
      <c r="D7" s="9"/>
    </row>
    <row r="8" spans="1:5" x14ac:dyDescent="0.4">
      <c r="A8" s="1" t="s">
        <v>6</v>
      </c>
      <c r="B8" s="9">
        <v>72</v>
      </c>
      <c r="C8" s="9">
        <v>60</v>
      </c>
      <c r="D8" s="9">
        <v>73</v>
      </c>
    </row>
    <row r="9" spans="1:5" x14ac:dyDescent="0.4">
      <c r="A9" s="1"/>
      <c r="B9" s="9"/>
      <c r="C9" s="9"/>
      <c r="D9" s="9"/>
    </row>
    <row r="10" spans="1:5" x14ac:dyDescent="0.4">
      <c r="A10" s="1" t="s">
        <v>7</v>
      </c>
      <c r="B10" s="9">
        <v>64</v>
      </c>
      <c r="C10" s="9">
        <v>57</v>
      </c>
      <c r="D10" s="9">
        <v>48</v>
      </c>
    </row>
    <row r="11" spans="1:5" x14ac:dyDescent="0.4">
      <c r="A11" s="4"/>
      <c r="B11" s="5"/>
      <c r="C11" s="5"/>
      <c r="D11" s="5"/>
      <c r="E11" s="7"/>
    </row>
    <row r="12" spans="1:5" x14ac:dyDescent="0.4">
      <c r="A12" s="396"/>
      <c r="B12" s="396"/>
      <c r="C12" s="396"/>
      <c r="D12" s="396"/>
    </row>
    <row r="13" spans="1:5" ht="25.5" customHeight="1" x14ac:dyDescent="0.4">
      <c r="A13" s="399" t="s">
        <v>10</v>
      </c>
      <c r="B13" s="399"/>
      <c r="C13" s="399"/>
      <c r="D13" s="399"/>
      <c r="E13" s="10"/>
    </row>
    <row r="14" spans="1:5" x14ac:dyDescent="0.4">
      <c r="A14" s="394" t="s">
        <v>8</v>
      </c>
      <c r="B14" s="395"/>
      <c r="C14" s="395"/>
      <c r="D14" s="395"/>
      <c r="E14" s="11"/>
    </row>
    <row r="15" spans="1:5" ht="25.5" customHeight="1" x14ac:dyDescent="0.4">
      <c r="A15" s="394" t="s">
        <v>9</v>
      </c>
      <c r="B15" s="395"/>
      <c r="C15" s="395"/>
      <c r="D15" s="395"/>
      <c r="E15" s="11"/>
    </row>
  </sheetData>
  <mergeCells count="6">
    <mergeCell ref="A14:D14"/>
    <mergeCell ref="A15:D15"/>
    <mergeCell ref="A12:D12"/>
    <mergeCell ref="A1:D1"/>
    <mergeCell ref="A2:D2"/>
    <mergeCell ref="A13:D13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F48"/>
  <sheetViews>
    <sheetView showGridLines="0" zoomScale="99" zoomScaleNormal="99" workbookViewId="0">
      <selection activeCell="T18" sqref="T18"/>
    </sheetView>
  </sheetViews>
  <sheetFormatPr baseColWidth="10" defaultColWidth="9.1640625" defaultRowHeight="12.3" outlineLevelCol="1" x14ac:dyDescent="0.4"/>
  <cols>
    <col min="1" max="1" width="10.21875" style="178" customWidth="1"/>
    <col min="2" max="2" width="0.71875" style="178" customWidth="1"/>
    <col min="3" max="3" width="9.21875" style="178" customWidth="1"/>
    <col min="4" max="4" width="7.71875" style="178" hidden="1" customWidth="1" outlineLevel="1"/>
    <col min="5" max="5" width="9.27734375" style="178" hidden="1" customWidth="1" outlineLevel="1"/>
    <col min="6" max="6" width="1.27734375" style="178" customWidth="1" collapsed="1"/>
    <col min="7" max="7" width="9.109375" style="178" customWidth="1"/>
    <col min="8" max="8" width="9.0546875" style="178" customWidth="1" outlineLevel="1"/>
    <col min="9" max="9" width="7.609375" style="178" customWidth="1" outlineLevel="1"/>
    <col min="10" max="10" width="0.609375" style="178" customWidth="1"/>
    <col min="11" max="11" width="9.27734375" style="178" customWidth="1"/>
    <col min="12" max="12" width="0.71875" style="178" customWidth="1"/>
    <col min="13" max="13" width="9" style="178" customWidth="1"/>
    <col min="14" max="14" width="5.33203125" style="178" customWidth="1"/>
    <col min="15" max="15" width="0.609375" style="178" customWidth="1"/>
    <col min="16" max="16" width="8.27734375" style="178" customWidth="1"/>
    <col min="17" max="17" width="4.77734375" style="178" customWidth="1"/>
    <col min="18" max="18" width="0.71875" style="178" customWidth="1"/>
    <col min="19" max="19" width="7.33203125" style="178" customWidth="1"/>
    <col min="20" max="20" width="4.77734375" style="178" customWidth="1"/>
    <col min="21" max="21" width="0.609375" style="178" customWidth="1"/>
    <col min="22" max="22" width="7.109375" style="178" customWidth="1"/>
    <col min="23" max="23" width="7.38671875" style="178" customWidth="1"/>
    <col min="24" max="24" width="0.5546875" style="178" customWidth="1"/>
    <col min="25" max="25" width="8.6640625" style="178" customWidth="1"/>
    <col min="26" max="26" width="7.6640625" style="178" customWidth="1"/>
    <col min="27" max="27" width="1.109375" style="178" customWidth="1"/>
    <col min="28" max="28" width="7.5" style="178" customWidth="1"/>
    <col min="29" max="29" width="1.109375" style="178" customWidth="1"/>
    <col min="30" max="30" width="6.0546875" style="178" customWidth="1"/>
    <col min="31" max="31" width="2.6640625" style="178" customWidth="1"/>
    <col min="32" max="16384" width="9.1640625" style="178"/>
  </cols>
  <sheetData>
    <row r="1" spans="1:32" x14ac:dyDescent="0.4">
      <c r="A1" s="2" t="s">
        <v>306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7"/>
      <c r="O1" s="177"/>
      <c r="S1" s="177"/>
      <c r="T1" s="177"/>
      <c r="X1" s="177"/>
      <c r="AA1" s="176"/>
      <c r="AC1" s="177"/>
    </row>
    <row r="2" spans="1:32" x14ac:dyDescent="0.4">
      <c r="A2" s="177"/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O2" s="177"/>
      <c r="S2" s="177"/>
      <c r="T2" s="177"/>
      <c r="W2" s="374"/>
      <c r="X2" s="177"/>
      <c r="AA2" s="177"/>
      <c r="AB2" s="374" t="s">
        <v>476</v>
      </c>
      <c r="AC2" s="374"/>
      <c r="AD2" s="374"/>
    </row>
    <row r="3" spans="1:32" ht="12.6" thickBot="1" x14ac:dyDescent="0.45">
      <c r="C3" s="179" t="s">
        <v>314</v>
      </c>
      <c r="D3" s="179"/>
      <c r="E3" s="179"/>
      <c r="F3" s="179"/>
      <c r="G3" s="179"/>
      <c r="H3" s="179"/>
      <c r="I3" s="179"/>
      <c r="J3" s="179"/>
      <c r="K3" s="179"/>
      <c r="M3" s="179" t="s">
        <v>315</v>
      </c>
      <c r="N3" s="179"/>
      <c r="O3" s="179"/>
      <c r="P3" s="179"/>
      <c r="Q3" s="179"/>
      <c r="R3" s="179"/>
      <c r="S3" s="179"/>
      <c r="T3" s="179"/>
      <c r="V3" s="179" t="s">
        <v>159</v>
      </c>
      <c r="W3" s="179"/>
      <c r="Y3" s="179" t="s">
        <v>122</v>
      </c>
      <c r="Z3" s="179"/>
      <c r="AB3" s="179" t="s">
        <v>477</v>
      </c>
      <c r="AC3" s="179"/>
      <c r="AD3" s="179"/>
    </row>
    <row r="4" spans="1:32" ht="14.4" customHeight="1" x14ac:dyDescent="0.4">
      <c r="A4" s="176"/>
      <c r="B4" s="180"/>
      <c r="C4" s="416" t="s">
        <v>296</v>
      </c>
      <c r="D4" s="182"/>
      <c r="E4" s="182"/>
      <c r="F4" s="180"/>
      <c r="G4" s="416" t="s">
        <v>301</v>
      </c>
      <c r="H4" s="182"/>
      <c r="I4" s="182"/>
      <c r="J4" s="180"/>
      <c r="K4" s="414" t="s">
        <v>297</v>
      </c>
      <c r="L4" s="181"/>
    </row>
    <row r="5" spans="1:32" ht="27.6" customHeight="1" x14ac:dyDescent="0.4">
      <c r="A5" s="184" t="s">
        <v>298</v>
      </c>
      <c r="B5" s="183"/>
      <c r="C5" s="417"/>
      <c r="D5" s="185" t="s">
        <v>300</v>
      </c>
      <c r="E5" s="185" t="s">
        <v>299</v>
      </c>
      <c r="F5" s="183"/>
      <c r="G5" s="418"/>
      <c r="H5" s="185" t="s">
        <v>313</v>
      </c>
      <c r="I5" s="185" t="s">
        <v>67</v>
      </c>
      <c r="J5" s="183"/>
      <c r="K5" s="415"/>
      <c r="L5" s="181"/>
      <c r="M5" s="182" t="s">
        <v>52</v>
      </c>
      <c r="N5" s="380" t="s">
        <v>474</v>
      </c>
      <c r="O5" s="183"/>
      <c r="P5" s="182" t="s">
        <v>295</v>
      </c>
      <c r="Q5" s="380" t="s">
        <v>196</v>
      </c>
      <c r="R5" s="189"/>
      <c r="S5" s="225" t="s">
        <v>105</v>
      </c>
      <c r="T5" s="380" t="s">
        <v>196</v>
      </c>
      <c r="U5" s="181"/>
      <c r="V5" s="225" t="s">
        <v>482</v>
      </c>
      <c r="W5" s="225" t="s">
        <v>483</v>
      </c>
      <c r="X5" s="181"/>
      <c r="Y5" s="225" t="s">
        <v>479</v>
      </c>
      <c r="Z5" s="225" t="s">
        <v>319</v>
      </c>
      <c r="AA5" s="181"/>
      <c r="AB5" s="225" t="s">
        <v>475</v>
      </c>
      <c r="AC5" s="183"/>
      <c r="AD5" s="225" t="s">
        <v>291</v>
      </c>
    </row>
    <row r="6" spans="1:32" ht="15.9" customHeight="1" x14ac:dyDescent="0.45">
      <c r="D6" s="186"/>
    </row>
    <row r="7" spans="1:32" ht="15.9" customHeight="1" x14ac:dyDescent="0.4">
      <c r="A7" s="187"/>
      <c r="B7" s="188"/>
      <c r="E7" s="188"/>
      <c r="F7" s="188"/>
      <c r="H7" s="188"/>
      <c r="J7" s="188"/>
      <c r="M7" s="188"/>
      <c r="O7" s="188"/>
      <c r="S7" s="188"/>
      <c r="T7" s="188"/>
      <c r="X7" s="188"/>
      <c r="AC7" s="188"/>
    </row>
    <row r="8" spans="1:32" s="209" customFormat="1" ht="15.9" customHeight="1" x14ac:dyDescent="0.4">
      <c r="A8" s="202" t="s">
        <v>489</v>
      </c>
      <c r="B8" s="203"/>
      <c r="C8" s="198">
        <f>E8*D8</f>
        <v>4549.0475900000001</v>
      </c>
      <c r="D8" s="197">
        <f>(31.44+42.5)/2</f>
        <v>36.97</v>
      </c>
      <c r="E8" s="204">
        <v>123.047</v>
      </c>
      <c r="F8" s="206"/>
      <c r="G8" s="198">
        <f>H8-I8</f>
        <v>-188</v>
      </c>
      <c r="H8" s="390">
        <f>461+303</f>
        <v>764</v>
      </c>
      <c r="I8" s="390">
        <f>756+196</f>
        <v>952</v>
      </c>
      <c r="J8" s="206"/>
      <c r="K8" s="198">
        <f>C8+G8</f>
        <v>4361.0475900000001</v>
      </c>
      <c r="L8" s="208"/>
      <c r="M8" s="390">
        <v>11062</v>
      </c>
      <c r="N8" s="229">
        <f>M8/9189-1</f>
        <v>0.20383066710196984</v>
      </c>
      <c r="O8" s="206"/>
      <c r="P8" s="390">
        <f>684+23+127</f>
        <v>834</v>
      </c>
      <c r="Q8" s="226">
        <f>P8/$M8</f>
        <v>7.5393238112457059E-2</v>
      </c>
      <c r="R8" s="206"/>
      <c r="S8" s="390">
        <f>424</f>
        <v>424</v>
      </c>
      <c r="T8" s="226">
        <f>S8/$M8</f>
        <v>3.832941601880311E-2</v>
      </c>
      <c r="V8" s="228">
        <f>H8/(C8+H8)</f>
        <v>0.14379694272604848</v>
      </c>
      <c r="W8" s="210">
        <f>H8/P8</f>
        <v>0.91606714628297359</v>
      </c>
      <c r="X8" s="206"/>
      <c r="Y8" s="390">
        <v>58</v>
      </c>
      <c r="Z8" s="228">
        <f>Y8/S8</f>
        <v>0.13679245283018868</v>
      </c>
      <c r="AB8" s="210">
        <f>$K8/P8</f>
        <v>5.229073848920863</v>
      </c>
      <c r="AC8" s="210"/>
      <c r="AD8" s="210">
        <f>C8/S8</f>
        <v>10.728885825471698</v>
      </c>
    </row>
    <row r="9" spans="1:32" s="209" customFormat="1" ht="15.9" customHeight="1" x14ac:dyDescent="0.4">
      <c r="A9" s="202"/>
      <c r="B9" s="203"/>
      <c r="C9" s="198"/>
      <c r="D9" s="197"/>
      <c r="E9" s="203"/>
      <c r="F9" s="206"/>
      <c r="G9" s="198"/>
      <c r="H9" s="390"/>
      <c r="I9" s="390"/>
      <c r="J9" s="206"/>
      <c r="K9" s="198"/>
      <c r="L9" s="208"/>
      <c r="M9" s="390"/>
      <c r="N9" s="230"/>
      <c r="O9" s="206"/>
      <c r="P9" s="390"/>
      <c r="Q9" s="206"/>
      <c r="R9" s="206"/>
      <c r="S9" s="390"/>
      <c r="T9" s="206"/>
      <c r="W9" s="210"/>
      <c r="X9" s="206"/>
      <c r="Y9" s="390"/>
      <c r="AB9" s="210"/>
      <c r="AC9" s="210"/>
      <c r="AD9" s="210"/>
    </row>
    <row r="10" spans="1:32" s="209" customFormat="1" ht="15.9" customHeight="1" x14ac:dyDescent="0.4">
      <c r="A10" s="202" t="s">
        <v>488</v>
      </c>
      <c r="B10" s="203"/>
      <c r="C10" s="198">
        <f>E10*D10</f>
        <v>54403.559423018371</v>
      </c>
      <c r="D10" s="197">
        <f>4864/50.9063</f>
        <v>95.548095225934702</v>
      </c>
      <c r="E10" s="204">
        <v>569.38402900000006</v>
      </c>
      <c r="F10" s="206"/>
      <c r="G10" s="198">
        <f>H10-I10</f>
        <v>13928</v>
      </c>
      <c r="H10" s="390">
        <f>11569+10060</f>
        <v>21629</v>
      </c>
      <c r="I10" s="390">
        <f>1746+5513+442</f>
        <v>7701</v>
      </c>
      <c r="J10" s="206"/>
      <c r="K10" s="198">
        <f>C10+G10</f>
        <v>68331.559423018363</v>
      </c>
      <c r="L10" s="208"/>
      <c r="M10" s="390">
        <v>71940</v>
      </c>
      <c r="N10" s="229">
        <f>M10/64052-1</f>
        <v>0.12314994067320306</v>
      </c>
      <c r="O10" s="206"/>
      <c r="P10" s="390">
        <f>7591+3955+1647</f>
        <v>13193</v>
      </c>
      <c r="Q10" s="226">
        <f>P10/$M10</f>
        <v>0.18338893522379762</v>
      </c>
      <c r="R10" s="206"/>
      <c r="S10" s="390">
        <v>4178</v>
      </c>
      <c r="T10" s="226">
        <f>S10/$M10</f>
        <v>5.807617458993606E-2</v>
      </c>
      <c r="V10" s="228">
        <f>H10/(C10+H10)</f>
        <v>0.2844702343855593</v>
      </c>
      <c r="W10" s="210">
        <f>H10/P10</f>
        <v>1.6394300007579776</v>
      </c>
      <c r="X10" s="206"/>
      <c r="Y10" s="390">
        <v>572</v>
      </c>
      <c r="Z10" s="228">
        <f>Y10/S10</f>
        <v>0.13690761129727141</v>
      </c>
      <c r="AB10" s="210">
        <f>$K10/P10</f>
        <v>5.1793799304948358</v>
      </c>
      <c r="AC10" s="210"/>
      <c r="AD10" s="210">
        <f>C10/S10</f>
        <v>13.021435955724838</v>
      </c>
    </row>
    <row r="11" spans="1:32" s="209" customFormat="1" ht="15.9" customHeight="1" x14ac:dyDescent="0.4">
      <c r="A11" s="202"/>
      <c r="B11" s="203"/>
      <c r="C11" s="198"/>
      <c r="D11" s="197"/>
      <c r="E11" s="212"/>
      <c r="F11" s="206"/>
      <c r="G11" s="198"/>
      <c r="H11" s="390"/>
      <c r="I11" s="390"/>
      <c r="J11" s="206"/>
      <c r="K11" s="198"/>
      <c r="L11" s="208"/>
      <c r="M11" s="390"/>
      <c r="N11" s="230"/>
      <c r="O11" s="206"/>
      <c r="P11" s="390"/>
      <c r="Q11" s="206"/>
      <c r="R11" s="206"/>
      <c r="S11" s="390"/>
      <c r="T11" s="208"/>
      <c r="W11" s="210"/>
      <c r="X11" s="206"/>
      <c r="Y11" s="390"/>
      <c r="AB11" s="210"/>
      <c r="AC11" s="210"/>
      <c r="AD11" s="210"/>
    </row>
    <row r="12" spans="1:32" s="209" customFormat="1" ht="15.9" customHeight="1" x14ac:dyDescent="0.4">
      <c r="A12" s="202" t="s">
        <v>487</v>
      </c>
      <c r="B12" s="203"/>
      <c r="C12" s="198">
        <f>E12*D12</f>
        <v>13288.225</v>
      </c>
      <c r="D12" s="197">
        <f>(56.75+42.75)/2</f>
        <v>49.75</v>
      </c>
      <c r="E12" s="204">
        <v>267.10000000000002</v>
      </c>
      <c r="F12" s="206"/>
      <c r="G12" s="198">
        <f>H12-I12</f>
        <v>-445</v>
      </c>
      <c r="H12" s="390">
        <v>300</v>
      </c>
      <c r="I12" s="390">
        <v>745</v>
      </c>
      <c r="J12" s="206"/>
      <c r="K12" s="198">
        <f>C12+G12</f>
        <v>12843.225</v>
      </c>
      <c r="L12" s="208"/>
      <c r="M12" s="390">
        <v>14755</v>
      </c>
      <c r="N12" s="229">
        <f>M12/10866-1</f>
        <v>0.35790539296889379</v>
      </c>
      <c r="O12" s="206"/>
      <c r="P12" s="390">
        <f>2200+214</f>
        <v>2414</v>
      </c>
      <c r="Q12" s="226">
        <f>P12/$M12</f>
        <v>0.16360555743815655</v>
      </c>
      <c r="R12" s="211"/>
      <c r="S12" s="390">
        <v>789</v>
      </c>
      <c r="T12" s="226">
        <f>S12/$M12</f>
        <v>5.3473398847848186E-2</v>
      </c>
      <c r="V12" s="228">
        <f>H12/(C12+H12)</f>
        <v>2.2077938803633294E-2</v>
      </c>
      <c r="W12" s="210">
        <f>H12/P12</f>
        <v>0.12427506213753108</v>
      </c>
      <c r="X12" s="206"/>
      <c r="Y12" s="390">
        <f>E12*0.03*4</f>
        <v>32.052</v>
      </c>
      <c r="Z12" s="228">
        <f>Y12/S12</f>
        <v>4.0623574144486689E-2</v>
      </c>
      <c r="AB12" s="210">
        <f>$K12/P12</f>
        <v>5.3203086164043087</v>
      </c>
      <c r="AC12" s="210"/>
      <c r="AD12" s="210">
        <f>C12/S12</f>
        <v>16.841856780735107</v>
      </c>
    </row>
    <row r="13" spans="1:32" s="209" customFormat="1" ht="15.9" customHeight="1" x14ac:dyDescent="0.4">
      <c r="A13" s="213"/>
      <c r="B13" s="214"/>
      <c r="C13" s="217"/>
      <c r="D13" s="216"/>
      <c r="E13" s="215"/>
      <c r="F13" s="218"/>
      <c r="G13" s="219"/>
      <c r="H13" s="218"/>
      <c r="I13" s="218"/>
      <c r="J13" s="218"/>
      <c r="K13" s="219"/>
      <c r="L13" s="220"/>
      <c r="M13" s="218"/>
      <c r="N13" s="231"/>
      <c r="O13" s="218"/>
      <c r="P13" s="218"/>
      <c r="Q13" s="218"/>
      <c r="R13" s="218"/>
      <c r="S13" s="218"/>
      <c r="T13" s="218"/>
      <c r="U13" s="218"/>
      <c r="V13" s="218"/>
      <c r="W13" s="222"/>
      <c r="X13" s="218"/>
      <c r="Y13" s="222"/>
      <c r="Z13" s="218"/>
      <c r="AA13" s="221"/>
      <c r="AB13" s="222"/>
      <c r="AC13" s="222"/>
      <c r="AD13" s="222"/>
    </row>
    <row r="14" spans="1:32" s="209" customFormat="1" ht="15.9" customHeight="1" x14ac:dyDescent="0.4">
      <c r="A14" s="202"/>
      <c r="B14" s="203"/>
      <c r="C14" s="205"/>
      <c r="D14" s="223"/>
      <c r="E14" s="204"/>
      <c r="F14" s="206"/>
      <c r="G14" s="207"/>
      <c r="H14" s="206"/>
      <c r="I14" s="206"/>
      <c r="J14" s="206"/>
      <c r="K14" s="207"/>
      <c r="L14" s="208"/>
      <c r="M14" s="206"/>
      <c r="N14" s="230"/>
      <c r="O14" s="206"/>
      <c r="P14" s="206"/>
      <c r="Q14" s="206"/>
      <c r="R14" s="206"/>
      <c r="S14" s="206"/>
      <c r="T14" s="206"/>
      <c r="U14" s="206"/>
      <c r="V14" s="206"/>
      <c r="W14" s="210"/>
      <c r="X14" s="206"/>
      <c r="Y14" s="210"/>
      <c r="Z14" s="206"/>
      <c r="AB14" s="210"/>
      <c r="AC14" s="210"/>
      <c r="AD14" s="210"/>
    </row>
    <row r="15" spans="1:32" s="389" customFormat="1" ht="15.9" customHeight="1" x14ac:dyDescent="0.4">
      <c r="A15" s="371" t="s">
        <v>490</v>
      </c>
      <c r="B15" s="382"/>
      <c r="C15" s="373">
        <f>E15*D15</f>
        <v>4607.3772162802388</v>
      </c>
      <c r="D15" s="383">
        <f>'Stock Price'!C21</f>
        <v>23.08305218577274</v>
      </c>
      <c r="E15" s="384">
        <v>199.6</v>
      </c>
      <c r="F15" s="372"/>
      <c r="G15" s="373">
        <f>H15-I15</f>
        <v>-533</v>
      </c>
      <c r="H15" s="373">
        <f>'Exhibit 6 (Modelo)'!G23</f>
        <v>113</v>
      </c>
      <c r="I15" s="373">
        <f>'Exhibit 6 (Modelo)'!G7+'Exhibit 6 (Modelo)'!G8</f>
        <v>646</v>
      </c>
      <c r="J15" s="373"/>
      <c r="K15" s="373">
        <f>C15+G15</f>
        <v>4074.3772162802388</v>
      </c>
      <c r="L15" s="373"/>
      <c r="M15" s="373">
        <f>'Exhibit 6 (Modelo)'!G38</f>
        <v>5296</v>
      </c>
      <c r="N15" s="386">
        <f>1/'Exhibit 6 (Modelo)'!F38*'Exhibit 6 (Modelo)'!G38-1</f>
        <v>0.52387836250983</v>
      </c>
      <c r="O15" s="372"/>
      <c r="P15" s="372">
        <f>'Exhibit 6 (Modelo)'!G52</f>
        <v>415</v>
      </c>
      <c r="Q15" s="387">
        <f>P15/$M15</f>
        <v>7.8361027190332333E-2</v>
      </c>
      <c r="R15" s="372"/>
      <c r="S15" s="372">
        <f>'Exhibit 6 (Modelo)'!G61</f>
        <v>272</v>
      </c>
      <c r="T15" s="387">
        <f>S15/$M15</f>
        <v>5.1359516616314202E-2</v>
      </c>
      <c r="U15" s="372"/>
      <c r="V15" s="387">
        <f>H15/(C15+H15)</f>
        <v>2.3938764811056029E-2</v>
      </c>
      <c r="W15" s="388">
        <f>H15/P15</f>
        <v>0.27228915662650605</v>
      </c>
      <c r="X15" s="372"/>
      <c r="Y15" s="372">
        <f>-'Exhibit 6 (Modelo)'!G62</f>
        <v>12</v>
      </c>
      <c r="Z15" s="387">
        <f>Y15/S15</f>
        <v>4.4117647058823532E-2</v>
      </c>
      <c r="AA15" s="385"/>
      <c r="AB15" s="388">
        <f>$K15/P15</f>
        <v>9.8177764247716599</v>
      </c>
      <c r="AC15" s="388"/>
      <c r="AD15" s="388">
        <f>C15/S15</f>
        <v>16.938886824559702</v>
      </c>
    </row>
    <row r="16" spans="1:32" s="199" customFormat="1" ht="15.9" customHeight="1" x14ac:dyDescent="0.4">
      <c r="A16" s="200"/>
      <c r="B16" s="196"/>
      <c r="C16" s="196"/>
      <c r="D16" s="196"/>
      <c r="F16" s="196"/>
      <c r="G16" s="196"/>
      <c r="H16" s="196"/>
      <c r="J16" s="196"/>
      <c r="M16" s="196"/>
      <c r="N16" s="196"/>
      <c r="O16" s="196"/>
      <c r="P16" s="196"/>
      <c r="Q16" s="196"/>
      <c r="R16" s="196"/>
      <c r="S16" s="196"/>
      <c r="T16" s="196"/>
      <c r="W16" s="196"/>
      <c r="X16" s="196"/>
      <c r="AB16" s="196"/>
      <c r="AC16" s="196"/>
      <c r="AD16" s="196"/>
      <c r="AF16" s="233" t="s">
        <v>324</v>
      </c>
    </row>
    <row r="17" spans="1:32" s="199" customFormat="1" ht="15.9" customHeight="1" x14ac:dyDescent="0.45">
      <c r="A17" s="156" t="s">
        <v>210</v>
      </c>
      <c r="B17" s="196"/>
      <c r="C17" s="196"/>
      <c r="D17" s="196"/>
      <c r="F17" s="196"/>
      <c r="G17" s="196"/>
      <c r="H17" s="196"/>
      <c r="J17" s="196"/>
      <c r="M17" s="196"/>
      <c r="N17" s="196"/>
      <c r="O17" s="196"/>
      <c r="S17" s="379" t="s">
        <v>302</v>
      </c>
      <c r="T17" s="195"/>
      <c r="U17" s="377"/>
      <c r="V17" s="377"/>
      <c r="W17" s="377">
        <f>AVERAGE(W8,W10,W12)</f>
        <v>0.89325740305949408</v>
      </c>
      <c r="X17" s="201"/>
      <c r="Y17" s="377"/>
      <c r="Z17" s="381">
        <f>(Y8+Y10+Y12)/(S8+S10+S12)</f>
        <v>0.12280690038953812</v>
      </c>
      <c r="AA17" s="201"/>
      <c r="AB17" s="377">
        <f>AVERAGE(AB8,AB10,AB12)</f>
        <v>5.2429207986066686</v>
      </c>
      <c r="AC17" s="378"/>
      <c r="AD17" s="377">
        <f>AVERAGE(AD8,AD10,AD12)</f>
        <v>13.530726187310549</v>
      </c>
      <c r="AF17" s="234" t="s">
        <v>480</v>
      </c>
    </row>
    <row r="18" spans="1:32" s="199" customFormat="1" ht="15.9" customHeight="1" x14ac:dyDescent="0.4">
      <c r="A18" s="200"/>
      <c r="B18" s="196"/>
      <c r="C18" s="196"/>
      <c r="D18" s="196"/>
      <c r="F18" s="196"/>
      <c r="G18" s="196"/>
      <c r="H18" s="196"/>
      <c r="J18" s="196"/>
      <c r="M18" s="196"/>
      <c r="N18" s="196"/>
      <c r="O18" s="196"/>
      <c r="S18" s="379" t="s">
        <v>303</v>
      </c>
      <c r="T18" s="195"/>
      <c r="U18" s="377"/>
      <c r="V18" s="377"/>
      <c r="W18" s="377">
        <f>MIN(W8,W10,W12)</f>
        <v>0.12427506213753108</v>
      </c>
      <c r="X18" s="201"/>
      <c r="Y18" s="377"/>
      <c r="Z18" s="381">
        <f>MIN(Z8,Z10,Z12)</f>
        <v>4.0623574144486689E-2</v>
      </c>
      <c r="AA18" s="201"/>
      <c r="AB18" s="377">
        <f>MIN(AB8,AB10,AB12)</f>
        <v>5.1793799304948358</v>
      </c>
      <c r="AC18" s="378"/>
      <c r="AD18" s="377">
        <f>MIN(AD8,AD10,AD12)</f>
        <v>10.728885825471698</v>
      </c>
      <c r="AF18" s="235" t="s">
        <v>484</v>
      </c>
    </row>
    <row r="19" spans="1:32" s="199" customFormat="1" ht="15.9" customHeight="1" x14ac:dyDescent="0.4">
      <c r="B19" s="196"/>
      <c r="C19" s="196"/>
      <c r="D19" s="196"/>
      <c r="F19" s="196"/>
      <c r="G19" s="196"/>
      <c r="H19" s="196"/>
      <c r="J19" s="196"/>
      <c r="M19" s="196"/>
      <c r="N19" s="196"/>
      <c r="O19" s="196"/>
      <c r="S19" s="379" t="s">
        <v>304</v>
      </c>
      <c r="T19" s="195"/>
      <c r="U19" s="377"/>
      <c r="V19" s="377"/>
      <c r="W19" s="377">
        <f>MAX(W8,W10,W12)</f>
        <v>1.6394300007579776</v>
      </c>
      <c r="X19" s="201"/>
      <c r="Y19" s="377"/>
      <c r="Z19" s="381">
        <f>MAX(Z8,Z10,Z12)</f>
        <v>0.13690761129727141</v>
      </c>
      <c r="AA19" s="201"/>
      <c r="AB19" s="377">
        <f>MAX(AB8,AB10,AB12)</f>
        <v>5.3203086164043087</v>
      </c>
      <c r="AC19" s="378"/>
      <c r="AD19" s="377">
        <f>MAX(AD8,AD10,AD12)</f>
        <v>16.841856780735107</v>
      </c>
      <c r="AF19" s="235" t="s">
        <v>481</v>
      </c>
    </row>
    <row r="20" spans="1:32" ht="3.9" customHeight="1" x14ac:dyDescent="0.4">
      <c r="A20" s="189"/>
      <c r="B20" s="189"/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W20" s="189"/>
      <c r="X20" s="189"/>
      <c r="Y20" s="189"/>
      <c r="Z20" s="189"/>
      <c r="AA20" s="189"/>
      <c r="AB20" s="189"/>
      <c r="AC20" s="189"/>
      <c r="AD20" s="189"/>
    </row>
    <row r="21" spans="1:32" ht="3.9" customHeight="1" x14ac:dyDescent="0.4"/>
    <row r="22" spans="1:32" x14ac:dyDescent="0.4">
      <c r="A22" s="190" t="s">
        <v>305</v>
      </c>
      <c r="B22" s="190"/>
      <c r="C22" s="190"/>
      <c r="D22" s="190"/>
      <c r="E22" s="190"/>
      <c r="F22" s="190"/>
      <c r="G22" s="190"/>
      <c r="H22" s="190"/>
      <c r="I22" s="190"/>
      <c r="J22" s="190"/>
      <c r="K22" s="190"/>
      <c r="L22" s="190"/>
      <c r="M22" s="190"/>
      <c r="O22" s="190"/>
      <c r="S22" s="190"/>
      <c r="T22" s="190"/>
      <c r="X22" s="190"/>
      <c r="AA22" s="190"/>
      <c r="AC22" s="190"/>
    </row>
    <row r="23" spans="1:32" x14ac:dyDescent="0.4">
      <c r="A23" s="227" t="s">
        <v>318</v>
      </c>
      <c r="B23" s="190"/>
      <c r="C23" s="190"/>
      <c r="D23" s="190"/>
      <c r="E23" s="190"/>
      <c r="F23" s="190"/>
      <c r="G23" s="190"/>
      <c r="H23" s="190"/>
      <c r="I23" s="190"/>
      <c r="J23" s="190"/>
      <c r="K23" s="190"/>
      <c r="L23" s="190"/>
      <c r="M23" s="190"/>
      <c r="O23" s="190"/>
      <c r="S23" s="190"/>
      <c r="T23" s="190"/>
      <c r="X23" s="190"/>
      <c r="AA23" s="190"/>
      <c r="AC23" s="190"/>
    </row>
    <row r="24" spans="1:32" x14ac:dyDescent="0.4">
      <c r="A24" s="227" t="s">
        <v>317</v>
      </c>
    </row>
    <row r="25" spans="1:32" x14ac:dyDescent="0.4">
      <c r="A25" s="227" t="s">
        <v>316</v>
      </c>
    </row>
    <row r="26" spans="1:32" x14ac:dyDescent="0.4">
      <c r="A26" s="376" t="s">
        <v>485</v>
      </c>
    </row>
    <row r="27" spans="1:32" x14ac:dyDescent="0.4">
      <c r="A27" s="376" t="s">
        <v>486</v>
      </c>
    </row>
    <row r="28" spans="1:32" x14ac:dyDescent="0.4">
      <c r="A28" s="227"/>
    </row>
    <row r="29" spans="1:32" x14ac:dyDescent="0.4">
      <c r="A29" s="236" t="s">
        <v>345</v>
      </c>
      <c r="B29" s="236"/>
    </row>
    <row r="30" spans="1:32" ht="12.6" x14ac:dyDescent="0.45">
      <c r="A30" s="237" t="s">
        <v>327</v>
      </c>
      <c r="B30" s="236"/>
    </row>
    <row r="31" spans="1:32" ht="12.6" x14ac:dyDescent="0.45">
      <c r="A31" s="237" t="s">
        <v>328</v>
      </c>
      <c r="B31" s="236"/>
    </row>
    <row r="32" spans="1:32" ht="12.6" x14ac:dyDescent="0.45">
      <c r="A32" s="237" t="s">
        <v>329</v>
      </c>
      <c r="B32" s="236"/>
    </row>
    <row r="33" spans="1:2" x14ac:dyDescent="0.4">
      <c r="A33" s="375" t="s">
        <v>478</v>
      </c>
      <c r="B33" s="236"/>
    </row>
    <row r="34" spans="1:2" x14ac:dyDescent="0.4">
      <c r="A34" s="375" t="s">
        <v>330</v>
      </c>
      <c r="B34" s="236"/>
    </row>
    <row r="35" spans="1:2" ht="12.6" x14ac:dyDescent="0.45">
      <c r="A35" s="237" t="s">
        <v>331</v>
      </c>
      <c r="B35" s="236"/>
    </row>
    <row r="36" spans="1:2" ht="12.6" x14ac:dyDescent="0.45">
      <c r="A36" s="237" t="s">
        <v>332</v>
      </c>
      <c r="B36" s="236"/>
    </row>
    <row r="37" spans="1:2" ht="12.6" x14ac:dyDescent="0.45">
      <c r="A37" s="237" t="s">
        <v>333</v>
      </c>
      <c r="B37" s="236"/>
    </row>
    <row r="38" spans="1:2" x14ac:dyDescent="0.4">
      <c r="A38" s="375" t="s">
        <v>334</v>
      </c>
      <c r="B38" s="236"/>
    </row>
    <row r="39" spans="1:2" ht="12.6" x14ac:dyDescent="0.45">
      <c r="A39" s="237" t="s">
        <v>335</v>
      </c>
      <c r="B39" s="236"/>
    </row>
    <row r="40" spans="1:2" ht="12.6" x14ac:dyDescent="0.45">
      <c r="A40" s="237" t="s">
        <v>336</v>
      </c>
      <c r="B40" s="236"/>
    </row>
    <row r="41" spans="1:2" x14ac:dyDescent="0.4">
      <c r="A41" s="375" t="s">
        <v>337</v>
      </c>
      <c r="B41" s="236"/>
    </row>
    <row r="42" spans="1:2" x14ac:dyDescent="0.4">
      <c r="A42" s="375" t="s">
        <v>338</v>
      </c>
      <c r="B42" s="236"/>
    </row>
    <row r="43" spans="1:2" x14ac:dyDescent="0.4">
      <c r="A43" s="375" t="s">
        <v>339</v>
      </c>
      <c r="B43" s="236"/>
    </row>
    <row r="44" spans="1:2" x14ac:dyDescent="0.4">
      <c r="A44" s="375" t="s">
        <v>340</v>
      </c>
      <c r="B44" s="236"/>
    </row>
    <row r="45" spans="1:2" ht="12.6" x14ac:dyDescent="0.45">
      <c r="A45" s="237" t="s">
        <v>341</v>
      </c>
      <c r="B45" s="236"/>
    </row>
    <row r="46" spans="1:2" ht="12.6" x14ac:dyDescent="0.45">
      <c r="A46" s="237" t="s">
        <v>342</v>
      </c>
      <c r="B46" s="236"/>
    </row>
    <row r="47" spans="1:2" ht="12.6" x14ac:dyDescent="0.45">
      <c r="A47" s="237" t="s">
        <v>343</v>
      </c>
      <c r="B47" s="236"/>
    </row>
    <row r="48" spans="1:2" ht="12.6" x14ac:dyDescent="0.45">
      <c r="A48" s="237" t="s">
        <v>344</v>
      </c>
      <c r="B48" s="236"/>
    </row>
  </sheetData>
  <mergeCells count="3">
    <mergeCell ref="K4:K5"/>
    <mergeCell ref="C4:C5"/>
    <mergeCell ref="G4:G5"/>
  </mergeCells>
  <pageMargins left="0.83" right="0.16" top="1" bottom="1" header="0.5" footer="0.5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89"/>
  <sheetViews>
    <sheetView showGridLines="0" zoomScale="103" zoomScaleNormal="102" workbookViewId="0">
      <selection activeCell="C22" sqref="C22"/>
    </sheetView>
  </sheetViews>
  <sheetFormatPr baseColWidth="10" defaultRowHeight="12.3" outlineLevelRow="1" outlineLevelCol="1" x14ac:dyDescent="0.4"/>
  <cols>
    <col min="1" max="1" width="5" customWidth="1"/>
    <col min="2" max="2" width="12.0546875" customWidth="1"/>
    <col min="3" max="3" width="11.88671875" customWidth="1"/>
    <col min="4" max="4" width="14.5546875" customWidth="1"/>
    <col min="5" max="5" width="12" customWidth="1"/>
    <col min="6" max="6" width="13.27734375" customWidth="1"/>
    <col min="7" max="7" width="12.609375" customWidth="1"/>
    <col min="8" max="8" width="3.0546875" customWidth="1"/>
    <col min="10" max="10" width="3.0546875" customWidth="1"/>
    <col min="12" max="12" width="3.0546875" customWidth="1"/>
    <col min="15" max="15" width="10.6640625" hidden="1" customWidth="1" outlineLevel="1"/>
    <col min="16" max="16" width="6.5" hidden="1" customWidth="1" outlineLevel="1"/>
    <col min="17" max="18" width="10.6640625" hidden="1" customWidth="1" outlineLevel="1"/>
    <col min="19" max="19" width="10.6640625" collapsed="1"/>
  </cols>
  <sheetData>
    <row r="1" spans="1:17" ht="15" x14ac:dyDescent="0.5">
      <c r="A1" s="370" t="s">
        <v>473</v>
      </c>
    </row>
    <row r="2" spans="1:17" x14ac:dyDescent="0.4">
      <c r="A2" s="2"/>
    </row>
    <row r="3" spans="1:17" x14ac:dyDescent="0.4">
      <c r="B3" s="175" t="s">
        <v>293</v>
      </c>
      <c r="O3" s="161" t="s">
        <v>251</v>
      </c>
      <c r="Q3" s="162"/>
    </row>
    <row r="4" spans="1:17" x14ac:dyDescent="0.4">
      <c r="O4" s="161"/>
      <c r="Q4" s="162"/>
    </row>
    <row r="5" spans="1:17" ht="37.200000000000003" customHeight="1" x14ac:dyDescent="0.4">
      <c r="B5" s="13" t="s">
        <v>240</v>
      </c>
      <c r="C5" s="157" t="s">
        <v>241</v>
      </c>
      <c r="D5" s="157" t="s">
        <v>215</v>
      </c>
      <c r="E5" s="159" t="s">
        <v>213</v>
      </c>
      <c r="F5" s="159" t="s">
        <v>214</v>
      </c>
      <c r="G5" s="157" t="s">
        <v>212</v>
      </c>
      <c r="O5" s="163" t="s">
        <v>252</v>
      </c>
      <c r="Q5" s="163" t="s">
        <v>253</v>
      </c>
    </row>
    <row r="6" spans="1:17" x14ac:dyDescent="0.4">
      <c r="B6" s="155" t="s">
        <v>257</v>
      </c>
      <c r="C6" s="153">
        <v>32316</v>
      </c>
      <c r="D6" s="154">
        <v>8.5</v>
      </c>
      <c r="E6" s="158">
        <v>1</v>
      </c>
      <c r="F6" s="158">
        <f>E6</f>
        <v>1</v>
      </c>
      <c r="G6" s="154">
        <f>D6*F6</f>
        <v>8.5</v>
      </c>
      <c r="O6" s="152" t="s">
        <v>218</v>
      </c>
      <c r="Q6" s="152" t="s">
        <v>219</v>
      </c>
    </row>
    <row r="7" spans="1:17" x14ac:dyDescent="0.4">
      <c r="B7" s="155" t="s">
        <v>205</v>
      </c>
      <c r="C7" s="152" t="s">
        <v>206</v>
      </c>
      <c r="D7" s="154">
        <v>38.72</v>
      </c>
      <c r="E7" s="158">
        <f>2/3</f>
        <v>0.66666666666666663</v>
      </c>
      <c r="F7" s="158">
        <f>E6*E7</f>
        <v>0.66666666666666663</v>
      </c>
      <c r="G7" s="154">
        <f>D7*F7</f>
        <v>25.813333333333333</v>
      </c>
      <c r="O7" s="152" t="s">
        <v>220</v>
      </c>
      <c r="Q7" s="152" t="s">
        <v>233</v>
      </c>
    </row>
    <row r="8" spans="1:17" x14ac:dyDescent="0.4">
      <c r="B8" s="155" t="s">
        <v>207</v>
      </c>
      <c r="C8" s="152" t="s">
        <v>208</v>
      </c>
      <c r="D8" s="154">
        <v>90</v>
      </c>
      <c r="E8" s="158">
        <f>1/2</f>
        <v>0.5</v>
      </c>
      <c r="F8" s="158">
        <f>E6*E7*E8</f>
        <v>0.33333333333333331</v>
      </c>
      <c r="G8" s="154">
        <f>D8*F8</f>
        <v>30</v>
      </c>
      <c r="H8" s="155"/>
      <c r="O8" s="152" t="s">
        <v>234</v>
      </c>
      <c r="Q8" s="152" t="s">
        <v>237</v>
      </c>
    </row>
    <row r="10" spans="1:17" x14ac:dyDescent="0.4">
      <c r="B10" s="175" t="s">
        <v>310</v>
      </c>
    </row>
    <row r="12" spans="1:17" ht="24.6" x14ac:dyDescent="0.4">
      <c r="B12" s="14" t="s">
        <v>211</v>
      </c>
      <c r="C12" s="157" t="s">
        <v>307</v>
      </c>
      <c r="D12" s="157" t="s">
        <v>322</v>
      </c>
      <c r="P12" s="152" t="s">
        <v>320</v>
      </c>
      <c r="Q12" s="152" t="s">
        <v>321</v>
      </c>
    </row>
    <row r="13" spans="1:17" x14ac:dyDescent="0.4">
      <c r="B13" s="153">
        <v>34334</v>
      </c>
      <c r="C13" s="154">
        <f t="shared" ref="C13:C21" si="0">$G$8*P13</f>
        <v>7.5414543105304706</v>
      </c>
      <c r="D13" s="160">
        <v>762.78002900000001</v>
      </c>
      <c r="O13" s="153">
        <v>34334</v>
      </c>
      <c r="P13" s="158">
        <f t="shared" ref="P13:P22" si="1">Q13/P$24</f>
        <v>0.2513818103510157</v>
      </c>
      <c r="Q13" s="154">
        <v>0.35020000000000001</v>
      </c>
    </row>
    <row r="14" spans="1:17" x14ac:dyDescent="0.4">
      <c r="B14" s="153">
        <v>34424</v>
      </c>
      <c r="C14" s="154">
        <f t="shared" si="0"/>
        <v>8.4157634053549639</v>
      </c>
      <c r="D14" s="160">
        <v>776.79998799999998</v>
      </c>
      <c r="O14" s="153">
        <v>34424</v>
      </c>
      <c r="P14" s="158">
        <f t="shared" si="1"/>
        <v>0.28052544684516545</v>
      </c>
      <c r="Q14" s="154">
        <v>0.39079999999999998</v>
      </c>
    </row>
    <row r="15" spans="1:17" x14ac:dyDescent="0.4">
      <c r="B15" s="153">
        <v>34515</v>
      </c>
      <c r="C15" s="154">
        <f t="shared" si="0"/>
        <v>8.7904673031368894</v>
      </c>
      <c r="D15" s="160">
        <v>743.46002199999998</v>
      </c>
      <c r="O15" s="153">
        <v>34515</v>
      </c>
      <c r="P15" s="158">
        <f t="shared" si="1"/>
        <v>0.29301557677122964</v>
      </c>
      <c r="Q15" s="154">
        <v>0.40820000000000001</v>
      </c>
    </row>
    <row r="16" spans="1:17" x14ac:dyDescent="0.4">
      <c r="B16" s="153">
        <v>34607</v>
      </c>
      <c r="C16" s="154">
        <f t="shared" si="0"/>
        <v>12.479362572679635</v>
      </c>
      <c r="D16" s="160">
        <v>705.96002199999998</v>
      </c>
      <c r="O16" s="153">
        <v>34607</v>
      </c>
      <c r="P16" s="158">
        <f t="shared" si="1"/>
        <v>0.41597875242265453</v>
      </c>
      <c r="Q16" s="154">
        <v>0.57950000000000002</v>
      </c>
    </row>
    <row r="17" spans="2:17" x14ac:dyDescent="0.4">
      <c r="B17" s="153">
        <v>34699</v>
      </c>
      <c r="C17" s="154">
        <f t="shared" si="0"/>
        <v>13.665924915655733</v>
      </c>
      <c r="D17" s="160">
        <v>764.28997800000002</v>
      </c>
      <c r="G17" s="152"/>
      <c r="O17" s="153">
        <v>34699</v>
      </c>
      <c r="P17" s="158">
        <f t="shared" si="1"/>
        <v>0.45553083052185778</v>
      </c>
      <c r="Q17" s="154">
        <v>0.63460000000000005</v>
      </c>
    </row>
    <row r="18" spans="2:17" x14ac:dyDescent="0.4">
      <c r="B18" s="153">
        <v>34789</v>
      </c>
      <c r="C18" s="154">
        <f t="shared" si="0"/>
        <v>14.667288780417774</v>
      </c>
      <c r="D18" s="160">
        <v>751.96002199999998</v>
      </c>
      <c r="G18" s="152"/>
      <c r="O18" s="153">
        <v>34789</v>
      </c>
      <c r="P18" s="158">
        <f t="shared" si="1"/>
        <v>0.48890962601392579</v>
      </c>
      <c r="Q18" s="154">
        <v>0.68110000000000004</v>
      </c>
    </row>
    <row r="19" spans="2:17" x14ac:dyDescent="0.4">
      <c r="B19" s="153">
        <v>34880</v>
      </c>
      <c r="C19" s="154">
        <f t="shared" si="0"/>
        <v>20.040198119302275</v>
      </c>
      <c r="D19" s="160">
        <v>817.21002199999998</v>
      </c>
      <c r="G19" s="152"/>
      <c r="O19" s="153">
        <v>34880</v>
      </c>
      <c r="P19" s="158">
        <f t="shared" si="1"/>
        <v>0.6680066039767425</v>
      </c>
      <c r="Q19" s="154">
        <v>0.93059999999999998</v>
      </c>
    </row>
    <row r="20" spans="2:17" x14ac:dyDescent="0.4">
      <c r="B20" s="153">
        <v>34971</v>
      </c>
      <c r="C20" s="154">
        <f t="shared" si="0"/>
        <v>28.333213696073507</v>
      </c>
      <c r="D20" s="160">
        <v>933.45001200000002</v>
      </c>
      <c r="G20" s="152"/>
      <c r="O20" s="153">
        <v>34971</v>
      </c>
      <c r="P20" s="158">
        <f t="shared" si="1"/>
        <v>0.94444045653578357</v>
      </c>
      <c r="Q20" s="154">
        <v>1.3157000000000001</v>
      </c>
    </row>
    <row r="21" spans="2:17" x14ac:dyDescent="0.4">
      <c r="B21" s="153">
        <v>35062</v>
      </c>
      <c r="C21" s="154">
        <f t="shared" si="0"/>
        <v>23.08305218577274</v>
      </c>
      <c r="D21" s="160">
        <v>1043.540039</v>
      </c>
      <c r="G21" s="152"/>
      <c r="O21" s="153">
        <v>35062</v>
      </c>
      <c r="P21" s="158">
        <f t="shared" si="1"/>
        <v>0.7694350728590913</v>
      </c>
      <c r="Q21" s="154">
        <v>1.0719000000000001</v>
      </c>
    </row>
    <row r="22" spans="2:17" x14ac:dyDescent="0.4">
      <c r="B22" s="153">
        <v>35155</v>
      </c>
      <c r="C22" s="154">
        <f>G8*P22</f>
        <v>22.333644390208885</v>
      </c>
      <c r="D22" s="160">
        <v>1052.130005</v>
      </c>
      <c r="G22" s="152"/>
      <c r="O22" s="153">
        <v>35155</v>
      </c>
      <c r="P22" s="158">
        <f t="shared" si="1"/>
        <v>0.74445481300696281</v>
      </c>
      <c r="Q22" s="154">
        <v>1.0370999999999999</v>
      </c>
    </row>
    <row r="24" spans="2:17" x14ac:dyDescent="0.4">
      <c r="O24" s="3" t="s">
        <v>208</v>
      </c>
      <c r="P24" s="232">
        <v>1.3931</v>
      </c>
      <c r="Q24" s="3" t="s">
        <v>312</v>
      </c>
    </row>
    <row r="25" spans="2:17" ht="12.6" x14ac:dyDescent="0.45">
      <c r="B25" s="156" t="s">
        <v>210</v>
      </c>
      <c r="C25" s="154"/>
      <c r="D25" s="152"/>
    </row>
    <row r="33" spans="2:18" x14ac:dyDescent="0.4">
      <c r="B33" s="175" t="s">
        <v>294</v>
      </c>
      <c r="E33" s="224" t="s">
        <v>309</v>
      </c>
    </row>
    <row r="34" spans="2:18" x14ac:dyDescent="0.4">
      <c r="E34" s="224" t="s">
        <v>311</v>
      </c>
    </row>
    <row r="35" spans="2:18" ht="37.799999999999997" customHeight="1" x14ac:dyDescent="0.4">
      <c r="B35" s="14" t="s">
        <v>211</v>
      </c>
      <c r="C35" s="157" t="s">
        <v>307</v>
      </c>
      <c r="D35" s="157" t="s">
        <v>254</v>
      </c>
      <c r="E35" s="157" t="s">
        <v>7</v>
      </c>
      <c r="F35" s="157" t="s">
        <v>286</v>
      </c>
      <c r="G35" s="174" t="s">
        <v>287</v>
      </c>
      <c r="O35" s="13" t="s">
        <v>217</v>
      </c>
      <c r="Q35" s="157" t="s">
        <v>216</v>
      </c>
      <c r="R35" s="159" t="s">
        <v>214</v>
      </c>
    </row>
    <row r="36" spans="2:18" hidden="1" outlineLevel="1" x14ac:dyDescent="0.4">
      <c r="B36" s="153">
        <v>33603</v>
      </c>
      <c r="C36" s="154">
        <v>0.26440000000000002</v>
      </c>
      <c r="D36" s="160">
        <f>'Stock data'!C5</f>
        <v>586.34002699999996</v>
      </c>
      <c r="E36" s="160">
        <f>'Stock data'!E5</f>
        <v>8.2123069999999991</v>
      </c>
      <c r="F36" s="160">
        <f>'Stock data'!G5</f>
        <v>1.6685700000000001</v>
      </c>
      <c r="O36" s="155" t="s">
        <v>218</v>
      </c>
      <c r="Q36" s="154">
        <f t="shared" ref="Q36:Q60" si="2">C36/R36</f>
        <v>0.26440000000000002</v>
      </c>
      <c r="R36" s="160">
        <f>$F$6</f>
        <v>1</v>
      </c>
    </row>
    <row r="37" spans="2:18" collapsed="1" x14ac:dyDescent="0.4">
      <c r="B37" s="153">
        <v>33694</v>
      </c>
      <c r="C37" s="154">
        <v>0.37540000000000001</v>
      </c>
      <c r="D37" s="160">
        <f>'Stock data'!C68</f>
        <v>603.77002000000005</v>
      </c>
      <c r="E37" s="154">
        <f>'Stock data'!E68</f>
        <v>8.1363679999999992</v>
      </c>
      <c r="F37" s="154">
        <f>'Stock data'!G68</f>
        <v>1.727295</v>
      </c>
      <c r="G37" s="154">
        <v>3.5</v>
      </c>
      <c r="J37" s="154"/>
      <c r="O37" s="155" t="s">
        <v>219</v>
      </c>
      <c r="Q37" s="154">
        <f t="shared" si="2"/>
        <v>0.37540000000000001</v>
      </c>
      <c r="R37" s="160">
        <f>$F$6</f>
        <v>1</v>
      </c>
    </row>
    <row r="38" spans="2:18" x14ac:dyDescent="0.4">
      <c r="B38" s="153">
        <v>33785</v>
      </c>
      <c r="C38" s="154">
        <v>0.28050000000000003</v>
      </c>
      <c r="D38" s="160">
        <f>'Stock data'!C131</f>
        <v>563.59997599999997</v>
      </c>
      <c r="E38" s="154">
        <f>'Stock data'!E131</f>
        <v>10.058462</v>
      </c>
      <c r="F38" s="154">
        <f>'Stock data'!G131</f>
        <v>1.4262170000000001</v>
      </c>
      <c r="G38" s="154">
        <v>3.3250000000000002</v>
      </c>
      <c r="J38" s="154"/>
      <c r="O38" s="155" t="s">
        <v>220</v>
      </c>
      <c r="Q38" s="154">
        <f t="shared" si="2"/>
        <v>0.42075000000000007</v>
      </c>
      <c r="R38" s="160">
        <f t="shared" ref="R38:R54" si="3">$F$7</f>
        <v>0.66666666666666663</v>
      </c>
    </row>
    <row r="39" spans="2:18" x14ac:dyDescent="0.4">
      <c r="B39" s="153">
        <v>33877</v>
      </c>
      <c r="C39" s="154">
        <v>0.44309999999999999</v>
      </c>
      <c r="D39" s="160">
        <f>'Stock data'!C195</f>
        <v>583.27002000000005</v>
      </c>
      <c r="E39" s="154">
        <f>'Stock data'!E195</f>
        <v>8.7613610000000008</v>
      </c>
      <c r="F39" s="154">
        <f>'Stock data'!G195</f>
        <v>1.344401</v>
      </c>
      <c r="G39" s="154">
        <v>4.45</v>
      </c>
      <c r="J39" s="154"/>
      <c r="O39" s="155" t="s">
        <v>221</v>
      </c>
      <c r="Q39" s="154">
        <f t="shared" si="2"/>
        <v>0.66465000000000007</v>
      </c>
      <c r="R39" s="160">
        <f t="shared" si="3"/>
        <v>0.66666666666666663</v>
      </c>
    </row>
    <row r="40" spans="2:18" x14ac:dyDescent="0.4">
      <c r="B40" s="153">
        <v>33969</v>
      </c>
      <c r="C40" s="154">
        <v>0.74299999999999999</v>
      </c>
      <c r="D40" s="160">
        <f>'Stock data'!C259</f>
        <v>676.95001200000002</v>
      </c>
      <c r="E40" s="154">
        <f>'Stock data'!E259</f>
        <v>5.8828680000000002</v>
      </c>
      <c r="F40" s="154">
        <f>'Stock data'!G259</f>
        <v>1.7839149999999999</v>
      </c>
      <c r="G40" s="154">
        <v>6.5</v>
      </c>
      <c r="J40" s="154"/>
      <c r="O40" s="155" t="s">
        <v>222</v>
      </c>
      <c r="Q40" s="154">
        <f t="shared" si="2"/>
        <v>1.1145</v>
      </c>
      <c r="R40" s="160">
        <f t="shared" si="3"/>
        <v>0.66666666666666663</v>
      </c>
    </row>
    <row r="41" spans="2:18" x14ac:dyDescent="0.4">
      <c r="B41" s="153">
        <v>34059</v>
      </c>
      <c r="C41" s="154">
        <v>0.54359999999999997</v>
      </c>
      <c r="D41" s="160">
        <f>'Stock data'!C321</f>
        <v>690.13000499999998</v>
      </c>
      <c r="E41" s="154">
        <f>'Stock data'!E321</f>
        <v>6.2033449999999997</v>
      </c>
      <c r="F41" s="154">
        <f>'Stock data'!G321</f>
        <v>1.5409569999999999</v>
      </c>
      <c r="G41" s="154">
        <v>6.6749999999999998</v>
      </c>
      <c r="J41" s="154"/>
      <c r="O41" s="155" t="s">
        <v>223</v>
      </c>
      <c r="Q41" s="154">
        <f t="shared" si="2"/>
        <v>0.81540000000000001</v>
      </c>
      <c r="R41" s="160">
        <f t="shared" si="3"/>
        <v>0.66666666666666663</v>
      </c>
    </row>
    <row r="42" spans="2:18" x14ac:dyDescent="0.4">
      <c r="B42" s="153">
        <v>34150</v>
      </c>
      <c r="C42" s="154">
        <v>0.29020000000000001</v>
      </c>
      <c r="D42" s="160">
        <f>'Stock data'!C384</f>
        <v>703.95001200000002</v>
      </c>
      <c r="E42" s="154">
        <f>'Stock data'!E384</f>
        <v>6.2958699999999999</v>
      </c>
      <c r="F42" s="154">
        <f>'Stock data'!G384</f>
        <v>1.184374</v>
      </c>
      <c r="G42" s="154">
        <v>6.5250000000000004</v>
      </c>
      <c r="J42" s="154"/>
      <c r="O42" s="155" t="s">
        <v>224</v>
      </c>
      <c r="Q42" s="154">
        <f t="shared" si="2"/>
        <v>0.43530000000000002</v>
      </c>
      <c r="R42" s="160">
        <f t="shared" si="3"/>
        <v>0.66666666666666663</v>
      </c>
    </row>
    <row r="43" spans="2:18" x14ac:dyDescent="0.4">
      <c r="B43" s="153">
        <v>34242</v>
      </c>
      <c r="C43" s="154">
        <v>0.25729999999999997</v>
      </c>
      <c r="D43" s="160">
        <f>'Stock data'!C448</f>
        <v>762.78002900000001</v>
      </c>
      <c r="E43" s="154">
        <f>'Stock data'!E448</f>
        <v>5.478942</v>
      </c>
      <c r="F43" s="154">
        <f>'Stock data'!G448</f>
        <v>0.70396800000000004</v>
      </c>
      <c r="G43" s="154">
        <v>7.85</v>
      </c>
      <c r="J43" s="154"/>
      <c r="O43" s="155" t="s">
        <v>225</v>
      </c>
      <c r="Q43" s="154">
        <f t="shared" si="2"/>
        <v>0.38594999999999996</v>
      </c>
      <c r="R43" s="160">
        <f t="shared" si="3"/>
        <v>0.66666666666666663</v>
      </c>
    </row>
    <row r="44" spans="2:18" x14ac:dyDescent="0.4">
      <c r="B44" s="153">
        <v>34334</v>
      </c>
      <c r="C44" s="154">
        <v>0.35020000000000001</v>
      </c>
      <c r="D44" s="160">
        <f>'Stock data'!C512</f>
        <v>776.79998799999998</v>
      </c>
      <c r="E44" s="154">
        <f>'Stock data'!E512</f>
        <v>7.5186339999999996</v>
      </c>
      <c r="F44" s="154">
        <f>'Stock data'!G512</f>
        <v>0.88407199999999997</v>
      </c>
      <c r="G44" s="154">
        <v>9.85</v>
      </c>
      <c r="J44" s="154"/>
      <c r="O44" s="155" t="s">
        <v>226</v>
      </c>
      <c r="Q44" s="154">
        <f t="shared" si="2"/>
        <v>0.5253000000000001</v>
      </c>
      <c r="R44" s="160">
        <f t="shared" si="3"/>
        <v>0.66666666666666663</v>
      </c>
    </row>
    <row r="45" spans="2:18" x14ac:dyDescent="0.4">
      <c r="B45" s="153">
        <v>34424</v>
      </c>
      <c r="C45" s="154">
        <v>0.39079999999999998</v>
      </c>
      <c r="D45" s="160">
        <f>'Stock data'!C575</f>
        <v>743.46002199999998</v>
      </c>
      <c r="E45" s="154">
        <f>'Stock data'!E575</f>
        <v>7.4018899999999999</v>
      </c>
      <c r="F45" s="154">
        <f>'Stock data'!G575</f>
        <v>1.0085869999999999</v>
      </c>
      <c r="G45" s="154">
        <v>13.05</v>
      </c>
      <c r="J45" s="154"/>
      <c r="O45" s="155" t="s">
        <v>227</v>
      </c>
      <c r="Q45" s="154">
        <f t="shared" si="2"/>
        <v>0.58620000000000005</v>
      </c>
      <c r="R45" s="160">
        <f t="shared" si="3"/>
        <v>0.66666666666666663</v>
      </c>
    </row>
    <row r="46" spans="2:18" x14ac:dyDescent="0.4">
      <c r="B46" s="153">
        <v>34515</v>
      </c>
      <c r="C46" s="154">
        <v>0.40820000000000001</v>
      </c>
      <c r="D46" s="160">
        <f>'Stock data'!C637</f>
        <v>705.96002199999998</v>
      </c>
      <c r="E46" s="154">
        <f>'Stock data'!E637</f>
        <v>8.1011220000000002</v>
      </c>
      <c r="F46" s="154">
        <f>'Stock data'!G637</f>
        <v>0.80701500000000004</v>
      </c>
      <c r="G46" s="154">
        <v>12.95</v>
      </c>
      <c r="J46" s="154"/>
      <c r="O46" s="155" t="s">
        <v>228</v>
      </c>
      <c r="Q46" s="154">
        <f t="shared" si="2"/>
        <v>0.61230000000000007</v>
      </c>
      <c r="R46" s="160">
        <f t="shared" si="3"/>
        <v>0.66666666666666663</v>
      </c>
    </row>
    <row r="47" spans="2:18" x14ac:dyDescent="0.4">
      <c r="B47" s="153">
        <v>34607</v>
      </c>
      <c r="C47" s="154">
        <v>0.57950000000000002</v>
      </c>
      <c r="D47" s="160">
        <f>'Stock data'!C701</f>
        <v>764.28997800000002</v>
      </c>
      <c r="E47" s="154">
        <f>'Stock data'!E701</f>
        <v>9.7555460000000007</v>
      </c>
      <c r="F47" s="154">
        <f>'Stock data'!G701</f>
        <v>1.0294559999999999</v>
      </c>
      <c r="G47" s="154">
        <v>13.05</v>
      </c>
      <c r="J47" s="154"/>
      <c r="O47" s="155" t="s">
        <v>229</v>
      </c>
      <c r="Q47" s="154">
        <f t="shared" si="2"/>
        <v>0.86925000000000008</v>
      </c>
      <c r="R47" s="160">
        <f t="shared" si="3"/>
        <v>0.66666666666666663</v>
      </c>
    </row>
    <row r="48" spans="2:18" x14ac:dyDescent="0.4">
      <c r="B48" s="153">
        <v>34699</v>
      </c>
      <c r="C48" s="154">
        <v>0.63460000000000005</v>
      </c>
      <c r="D48" s="160">
        <f>'Stock data'!C764</f>
        <v>751.96002199999998</v>
      </c>
      <c r="E48" s="154">
        <f>'Stock data'!E764</f>
        <v>10.440536</v>
      </c>
      <c r="F48" s="154">
        <f>'Stock data'!G764</f>
        <v>1.1953910000000001</v>
      </c>
      <c r="G48" s="154">
        <v>15.8</v>
      </c>
      <c r="J48" s="154"/>
      <c r="O48" s="155" t="s">
        <v>230</v>
      </c>
      <c r="Q48" s="154">
        <f t="shared" si="2"/>
        <v>0.95190000000000008</v>
      </c>
      <c r="R48" s="160">
        <f t="shared" si="3"/>
        <v>0.66666666666666663</v>
      </c>
    </row>
    <row r="49" spans="2:18" x14ac:dyDescent="0.4">
      <c r="B49" s="153">
        <v>34789</v>
      </c>
      <c r="C49" s="154">
        <v>0.68110000000000004</v>
      </c>
      <c r="D49" s="160">
        <f>'Stock data'!C827</f>
        <v>817.21002199999998</v>
      </c>
      <c r="E49" s="154">
        <f>'Stock data'!E827</f>
        <v>11.824153000000001</v>
      </c>
      <c r="F49" s="154">
        <f>'Stock data'!G827</f>
        <v>1.0834239999999999</v>
      </c>
      <c r="G49" s="154">
        <v>13.75</v>
      </c>
      <c r="J49" s="154"/>
      <c r="O49" s="155" t="s">
        <v>231</v>
      </c>
      <c r="Q49" s="154">
        <f t="shared" si="2"/>
        <v>1.0216500000000002</v>
      </c>
      <c r="R49" s="160">
        <f t="shared" si="3"/>
        <v>0.66666666666666663</v>
      </c>
    </row>
    <row r="50" spans="2:18" x14ac:dyDescent="0.4">
      <c r="B50" s="153">
        <v>34880</v>
      </c>
      <c r="C50" s="154">
        <v>0.93059999999999998</v>
      </c>
      <c r="D50" s="160">
        <f>'Stock data'!C890</f>
        <v>933.45001200000002</v>
      </c>
      <c r="E50" s="154">
        <f>'Stock data'!E890</f>
        <v>13.970062</v>
      </c>
      <c r="F50" s="154">
        <f>'Stock data'!G890</f>
        <v>1.431241</v>
      </c>
      <c r="G50" s="154">
        <v>18.100000000000001</v>
      </c>
      <c r="J50" s="154"/>
      <c r="O50" s="155" t="s">
        <v>232</v>
      </c>
      <c r="Q50" s="154">
        <f t="shared" si="2"/>
        <v>1.3959000000000001</v>
      </c>
      <c r="R50" s="160">
        <f t="shared" si="3"/>
        <v>0.66666666666666663</v>
      </c>
    </row>
    <row r="51" spans="2:18" x14ac:dyDescent="0.4">
      <c r="B51" s="153">
        <v>34971</v>
      </c>
      <c r="C51" s="154">
        <v>1.3157000000000001</v>
      </c>
      <c r="D51" s="160">
        <f>'Stock data'!C953</f>
        <v>1043.540039</v>
      </c>
      <c r="E51" s="154">
        <f>'Stock data'!E953</f>
        <v>13.879258999999999</v>
      </c>
      <c r="F51" s="154">
        <f>'Stock data'!G953</f>
        <v>1.151213</v>
      </c>
      <c r="G51" s="154">
        <v>19.350000000000001</v>
      </c>
      <c r="J51" s="154"/>
      <c r="O51" s="155" t="s">
        <v>233</v>
      </c>
      <c r="Q51" s="154">
        <f t="shared" si="2"/>
        <v>1.9735500000000001</v>
      </c>
      <c r="R51" s="160">
        <f t="shared" si="3"/>
        <v>0.66666666666666663</v>
      </c>
    </row>
    <row r="52" spans="2:18" x14ac:dyDescent="0.4">
      <c r="B52" s="153">
        <v>35062</v>
      </c>
      <c r="C52" s="154">
        <v>1.0719000000000001</v>
      </c>
      <c r="D52" s="160">
        <f>'Stock data'!C1016</f>
        <v>1052.130005</v>
      </c>
      <c r="E52" s="154">
        <f>'Stock data'!E1016</f>
        <v>13.557581000000001</v>
      </c>
      <c r="F52" s="154">
        <f>'Stock data'!G1016</f>
        <v>0.98817200000000005</v>
      </c>
      <c r="G52" s="154">
        <v>19.2</v>
      </c>
      <c r="J52" s="154"/>
      <c r="O52" s="155" t="s">
        <v>234</v>
      </c>
      <c r="Q52" s="154">
        <f t="shared" si="2"/>
        <v>1.6078500000000002</v>
      </c>
      <c r="R52" s="160">
        <f t="shared" si="3"/>
        <v>0.66666666666666663</v>
      </c>
    </row>
    <row r="53" spans="2:18" x14ac:dyDescent="0.4">
      <c r="B53" s="153">
        <v>35155</v>
      </c>
      <c r="C53" s="154">
        <v>1.0370999999999999</v>
      </c>
      <c r="D53" s="160">
        <f>'Stock data'!C1079</f>
        <v>1101.400024</v>
      </c>
      <c r="E53" s="154">
        <f>'Stock data'!E1079</f>
        <v>16.651615</v>
      </c>
      <c r="F53" s="154">
        <f>'Stock data'!G1079</f>
        <v>0.76147299999999996</v>
      </c>
      <c r="G53" s="154">
        <v>15.45</v>
      </c>
      <c r="J53" s="154"/>
      <c r="O53" s="155" t="s">
        <v>235</v>
      </c>
      <c r="Q53" s="154">
        <f t="shared" si="2"/>
        <v>1.55565</v>
      </c>
      <c r="R53" s="160">
        <f t="shared" si="3"/>
        <v>0.66666666666666663</v>
      </c>
    </row>
    <row r="54" spans="2:18" x14ac:dyDescent="0.4">
      <c r="B54" s="191">
        <v>35246</v>
      </c>
      <c r="C54" s="192">
        <v>1.5749</v>
      </c>
      <c r="D54" s="193">
        <f>'Stock data'!C1142</f>
        <v>1185.0200199999999</v>
      </c>
      <c r="E54" s="192">
        <f>'Stock data'!E1142</f>
        <v>15.016633000000001</v>
      </c>
      <c r="F54" s="192">
        <f>'Stock data'!G1142</f>
        <v>0.65103100000000003</v>
      </c>
      <c r="G54" s="192">
        <v>19.649999999999999</v>
      </c>
      <c r="H54" s="155" t="s">
        <v>308</v>
      </c>
      <c r="J54" s="154"/>
      <c r="O54" s="155" t="s">
        <v>236</v>
      </c>
      <c r="Q54" s="154">
        <f t="shared" si="2"/>
        <v>2.3623500000000002</v>
      </c>
      <c r="R54" s="160">
        <f t="shared" si="3"/>
        <v>0.66666666666666663</v>
      </c>
    </row>
    <row r="55" spans="2:18" x14ac:dyDescent="0.4">
      <c r="B55" s="191">
        <v>35338</v>
      </c>
      <c r="C55" s="192">
        <v>2.4068999999999998</v>
      </c>
      <c r="D55" s="193">
        <f>'Stock data'!C1206</f>
        <v>1226.920044</v>
      </c>
      <c r="E55" s="192">
        <f>'Stock data'!E1206</f>
        <v>19.128838999999999</v>
      </c>
      <c r="F55" s="192">
        <f>'Stock data'!G1206</f>
        <v>0.68784500000000004</v>
      </c>
      <c r="G55" s="192">
        <v>25.65</v>
      </c>
      <c r="H55" s="155" t="s">
        <v>308</v>
      </c>
      <c r="J55" s="154"/>
      <c r="O55" s="155" t="s">
        <v>237</v>
      </c>
      <c r="Q55" s="154">
        <f t="shared" si="2"/>
        <v>7.2206999999999999</v>
      </c>
      <c r="R55" s="160">
        <f>$F$8</f>
        <v>0.33333333333333331</v>
      </c>
    </row>
    <row r="56" spans="2:18" x14ac:dyDescent="0.4">
      <c r="B56" s="191">
        <v>35430</v>
      </c>
      <c r="C56" s="192">
        <v>3.2892000000000001</v>
      </c>
      <c r="D56" s="193">
        <f>'Stock data'!C1270</f>
        <v>1291.030029</v>
      </c>
      <c r="E56" s="192">
        <f>'Stock data'!E1270</f>
        <v>23.530172</v>
      </c>
      <c r="F56" s="192">
        <f>'Stock data'!G1270</f>
        <v>0.64715500000000004</v>
      </c>
      <c r="G56" s="192">
        <v>29.7</v>
      </c>
      <c r="H56" s="155" t="s">
        <v>308</v>
      </c>
      <c r="J56" s="154"/>
      <c r="O56" s="155" t="s">
        <v>238</v>
      </c>
      <c r="Q56" s="154">
        <f t="shared" si="2"/>
        <v>9.8676000000000013</v>
      </c>
      <c r="R56" s="160">
        <f>$F$8</f>
        <v>0.33333333333333331</v>
      </c>
    </row>
    <row r="57" spans="2:18" x14ac:dyDescent="0.4">
      <c r="B57" s="191">
        <v>35520</v>
      </c>
      <c r="C57" s="192">
        <v>4.1818999999999997</v>
      </c>
      <c r="D57" s="193">
        <f>'Stock data'!C1331</f>
        <v>1221.6999510000001</v>
      </c>
      <c r="E57" s="192">
        <f>'Stock data'!E1331</f>
        <v>21.519480000000001</v>
      </c>
      <c r="F57" s="192">
        <f>'Stock data'!G1331</f>
        <v>0.56577699999999997</v>
      </c>
      <c r="G57" s="192">
        <v>30.65</v>
      </c>
      <c r="H57" s="155" t="s">
        <v>308</v>
      </c>
      <c r="J57" s="154"/>
      <c r="O57" s="155" t="s">
        <v>255</v>
      </c>
      <c r="Q57" s="154">
        <f t="shared" si="2"/>
        <v>12.5457</v>
      </c>
      <c r="R57" s="160">
        <f>$F$8</f>
        <v>0.33333333333333331</v>
      </c>
    </row>
    <row r="58" spans="2:18" x14ac:dyDescent="0.4">
      <c r="B58" s="191">
        <v>35611</v>
      </c>
      <c r="C58" s="192">
        <v>7.2709999999999999</v>
      </c>
      <c r="D58" s="193">
        <f>'Stock data'!C1395</f>
        <v>1442.0699460000001</v>
      </c>
      <c r="E58" s="192">
        <f>'Stock data'!E1395</f>
        <v>28.576948000000002</v>
      </c>
      <c r="F58" s="192">
        <f>'Stock data'!G1395</f>
        <v>0.44177100000000002</v>
      </c>
      <c r="G58" s="192">
        <v>39.799999999999997</v>
      </c>
      <c r="H58" s="155" t="s">
        <v>308</v>
      </c>
      <c r="J58" s="154"/>
      <c r="O58" s="155" t="s">
        <v>242</v>
      </c>
      <c r="Q58" s="154">
        <f t="shared" si="2"/>
        <v>21.813000000000002</v>
      </c>
      <c r="R58" s="160">
        <f>$F$8</f>
        <v>0.33333333333333331</v>
      </c>
    </row>
    <row r="59" spans="2:18" x14ac:dyDescent="0.4">
      <c r="B59" s="191">
        <v>35703</v>
      </c>
      <c r="C59" s="192">
        <v>11.995799999999999</v>
      </c>
      <c r="D59" s="193">
        <f>'Stock data'!C1459</f>
        <v>1685.6899410000001</v>
      </c>
      <c r="E59" s="192">
        <f>'Stock data'!E1459</f>
        <v>33.688972</v>
      </c>
      <c r="F59" s="192">
        <f>'Stock data'!G1459</f>
        <v>0.67234400000000005</v>
      </c>
      <c r="G59" s="192">
        <v>74.875</v>
      </c>
      <c r="H59" s="155" t="s">
        <v>308</v>
      </c>
      <c r="J59" s="154"/>
      <c r="O59" s="155" t="s">
        <v>243</v>
      </c>
      <c r="Q59" s="154">
        <f t="shared" si="2"/>
        <v>35.987400000000001</v>
      </c>
      <c r="R59" s="160">
        <f>$F$8</f>
        <v>0.33333333333333331</v>
      </c>
    </row>
    <row r="60" spans="2:18" x14ac:dyDescent="0.4">
      <c r="B60" s="191">
        <v>35795</v>
      </c>
      <c r="C60" s="192">
        <v>10.4015</v>
      </c>
      <c r="D60" s="193">
        <f>'Stock data'!C1523</f>
        <v>1570.349976</v>
      </c>
      <c r="E60" s="192">
        <f>'Stock data'!E1523</f>
        <v>33.381912</v>
      </c>
      <c r="F60" s="192">
        <f>'Stock data'!G1523</f>
        <v>0.40689399999999998</v>
      </c>
      <c r="G60" s="194" t="s">
        <v>77</v>
      </c>
      <c r="H60" s="155" t="s">
        <v>308</v>
      </c>
      <c r="J60" s="154"/>
      <c r="O60" s="155" t="s">
        <v>247</v>
      </c>
      <c r="Q60" s="154" t="e">
        <f t="shared" si="2"/>
        <v>#REF!</v>
      </c>
      <c r="R60" s="160" t="e">
        <f>#REF!</f>
        <v>#REF!</v>
      </c>
    </row>
    <row r="61" spans="2:18" x14ac:dyDescent="0.4">
      <c r="B61" s="1"/>
    </row>
    <row r="62" spans="2:18" ht="12.6" x14ac:dyDescent="0.45">
      <c r="B62" s="156" t="s">
        <v>210</v>
      </c>
    </row>
    <row r="63" spans="2:18" x14ac:dyDescent="0.4">
      <c r="B63" s="1"/>
    </row>
    <row r="64" spans="2:18" x14ac:dyDescent="0.4">
      <c r="B64" s="1"/>
    </row>
    <row r="65" spans="2:2" x14ac:dyDescent="0.4">
      <c r="B65" s="1"/>
    </row>
    <row r="66" spans="2:2" x14ac:dyDescent="0.4">
      <c r="B66" s="1"/>
    </row>
    <row r="67" spans="2:2" x14ac:dyDescent="0.4">
      <c r="B67" s="1"/>
    </row>
    <row r="68" spans="2:2" x14ac:dyDescent="0.4">
      <c r="B68" s="1"/>
    </row>
    <row r="69" spans="2:2" x14ac:dyDescent="0.4">
      <c r="B69" s="1"/>
    </row>
    <row r="70" spans="2:2" x14ac:dyDescent="0.4">
      <c r="B70" s="1"/>
    </row>
    <row r="71" spans="2:2" x14ac:dyDescent="0.4">
      <c r="B71" s="1"/>
    </row>
    <row r="72" spans="2:2" x14ac:dyDescent="0.4">
      <c r="B72" s="1"/>
    </row>
    <row r="73" spans="2:2" x14ac:dyDescent="0.4">
      <c r="B73" s="1"/>
    </row>
    <row r="74" spans="2:2" x14ac:dyDescent="0.4">
      <c r="B74" s="1"/>
    </row>
    <row r="75" spans="2:2" x14ac:dyDescent="0.4">
      <c r="B75" s="1"/>
    </row>
    <row r="76" spans="2:2" x14ac:dyDescent="0.4">
      <c r="B76" s="1"/>
    </row>
    <row r="77" spans="2:2" x14ac:dyDescent="0.4">
      <c r="B77" s="1"/>
    </row>
    <row r="78" spans="2:2" x14ac:dyDescent="0.4">
      <c r="B78" s="1"/>
    </row>
    <row r="79" spans="2:2" x14ac:dyDescent="0.4">
      <c r="B79" s="1"/>
    </row>
    <row r="80" spans="2:2" x14ac:dyDescent="0.4">
      <c r="B80" s="1"/>
    </row>
    <row r="81" spans="2:2" x14ac:dyDescent="0.4">
      <c r="B81" s="1"/>
    </row>
    <row r="82" spans="2:2" x14ac:dyDescent="0.4">
      <c r="B82" s="1"/>
    </row>
    <row r="83" spans="2:2" x14ac:dyDescent="0.4">
      <c r="B83" s="1"/>
    </row>
    <row r="84" spans="2:2" x14ac:dyDescent="0.4">
      <c r="B84" s="1"/>
    </row>
    <row r="85" spans="2:2" x14ac:dyDescent="0.4">
      <c r="B85" s="1"/>
    </row>
    <row r="86" spans="2:2" x14ac:dyDescent="0.4">
      <c r="B86" s="1"/>
    </row>
    <row r="87" spans="2:2" x14ac:dyDescent="0.4">
      <c r="B87" s="1"/>
    </row>
    <row r="88" spans="2:2" x14ac:dyDescent="0.4">
      <c r="B88" s="1"/>
    </row>
    <row r="89" spans="2:2" x14ac:dyDescent="0.4">
      <c r="B89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G28"/>
  <sheetViews>
    <sheetView workbookViewId="0">
      <selection activeCell="C19" sqref="C19"/>
    </sheetView>
  </sheetViews>
  <sheetFormatPr baseColWidth="10" defaultRowHeight="12.9" x14ac:dyDescent="0.5"/>
  <cols>
    <col min="1" max="1" width="10.6640625" style="42"/>
    <col min="2" max="2" width="8.609375" style="42" customWidth="1"/>
    <col min="3" max="3" width="9.38671875" style="42" customWidth="1"/>
    <col min="4" max="4" width="2.38671875" style="42" customWidth="1"/>
    <col min="5" max="5" width="10.6640625" style="42"/>
    <col min="6" max="7" width="8.6640625" style="42" customWidth="1"/>
  </cols>
  <sheetData>
    <row r="2" spans="1:7" x14ac:dyDescent="0.5">
      <c r="A2" s="245" t="s">
        <v>211</v>
      </c>
      <c r="B2" s="245" t="s">
        <v>292</v>
      </c>
      <c r="C2" s="245" t="s">
        <v>254</v>
      </c>
      <c r="E2" s="245" t="s">
        <v>211</v>
      </c>
      <c r="F2" s="245" t="s">
        <v>292</v>
      </c>
      <c r="G2" s="245" t="s">
        <v>254</v>
      </c>
    </row>
    <row r="3" spans="1:7" x14ac:dyDescent="0.5">
      <c r="A3" s="246">
        <v>34334</v>
      </c>
      <c r="B3" s="247">
        <f>'Stock Price'!C13</f>
        <v>7.5414543105304706</v>
      </c>
      <c r="C3" s="248">
        <v>776.79998799999998</v>
      </c>
      <c r="E3" s="246">
        <v>34334</v>
      </c>
      <c r="F3" s="95">
        <f t="shared" ref="F3:F12" si="0">B3/B$3</f>
        <v>1</v>
      </c>
      <c r="G3" s="95">
        <f t="shared" ref="G3:G12" si="1">C3/C$3</f>
        <v>1</v>
      </c>
    </row>
    <row r="4" spans="1:7" x14ac:dyDescent="0.5">
      <c r="A4" s="246">
        <v>34424</v>
      </c>
      <c r="B4" s="247">
        <f>'Stock Price'!C14</f>
        <v>8.4157634053549639</v>
      </c>
      <c r="C4" s="248">
        <v>743.46002199999998</v>
      </c>
      <c r="E4" s="246">
        <v>34424</v>
      </c>
      <c r="F4" s="95">
        <f t="shared" si="0"/>
        <v>1.1159337521416335</v>
      </c>
      <c r="G4" s="95">
        <f t="shared" si="1"/>
        <v>0.95708037266344548</v>
      </c>
    </row>
    <row r="5" spans="1:7" x14ac:dyDescent="0.5">
      <c r="A5" s="246">
        <v>34515</v>
      </c>
      <c r="B5" s="247">
        <f>'Stock Price'!C15</f>
        <v>8.7904673031368894</v>
      </c>
      <c r="C5" s="248">
        <v>705.96002199999998</v>
      </c>
      <c r="E5" s="246">
        <v>34515</v>
      </c>
      <c r="F5" s="95">
        <f t="shared" si="0"/>
        <v>1.1656196459166193</v>
      </c>
      <c r="G5" s="95">
        <f t="shared" si="1"/>
        <v>0.90880539766434698</v>
      </c>
    </row>
    <row r="6" spans="1:7" x14ac:dyDescent="0.5">
      <c r="A6" s="246">
        <v>34607</v>
      </c>
      <c r="B6" s="247">
        <f>'Stock Price'!C16</f>
        <v>12.479362572679635</v>
      </c>
      <c r="C6" s="248">
        <v>764.28997800000002</v>
      </c>
      <c r="E6" s="246">
        <v>34607</v>
      </c>
      <c r="F6" s="95">
        <f t="shared" si="0"/>
        <v>1.6547687035979444</v>
      </c>
      <c r="G6" s="95">
        <f t="shared" si="1"/>
        <v>0.9838954554669741</v>
      </c>
    </row>
    <row r="7" spans="1:7" x14ac:dyDescent="0.5">
      <c r="A7" s="246">
        <v>34699</v>
      </c>
      <c r="B7" s="247">
        <f>'Stock Price'!C17</f>
        <v>13.665924915655733</v>
      </c>
      <c r="C7" s="248">
        <v>751.96002199999998</v>
      </c>
      <c r="E7" s="246">
        <v>34699</v>
      </c>
      <c r="F7" s="95">
        <f t="shared" si="0"/>
        <v>1.8121073672187327</v>
      </c>
      <c r="G7" s="95">
        <f t="shared" si="1"/>
        <v>0.96802270032990778</v>
      </c>
    </row>
    <row r="8" spans="1:7" x14ac:dyDescent="0.5">
      <c r="A8" s="246">
        <v>34789</v>
      </c>
      <c r="B8" s="247">
        <f>'Stock Price'!C18</f>
        <v>14.667288780417774</v>
      </c>
      <c r="C8" s="248">
        <v>817.21002199999998</v>
      </c>
      <c r="E8" s="246">
        <v>34789</v>
      </c>
      <c r="F8" s="95">
        <f t="shared" si="0"/>
        <v>1.9448886350656771</v>
      </c>
      <c r="G8" s="95">
        <f t="shared" si="1"/>
        <v>1.0520211568283391</v>
      </c>
    </row>
    <row r="9" spans="1:7" x14ac:dyDescent="0.5">
      <c r="A9" s="246">
        <v>34880</v>
      </c>
      <c r="B9" s="247">
        <f>'Stock Price'!C19</f>
        <v>20.040198119302275</v>
      </c>
      <c r="C9" s="248">
        <v>933.45001200000002</v>
      </c>
      <c r="E9" s="246">
        <v>34880</v>
      </c>
      <c r="F9" s="95">
        <f t="shared" si="0"/>
        <v>2.6573386636207883</v>
      </c>
      <c r="G9" s="95">
        <f t="shared" si="1"/>
        <v>1.2016606931255513</v>
      </c>
    </row>
    <row r="10" spans="1:7" x14ac:dyDescent="0.5">
      <c r="A10" s="246">
        <v>34971</v>
      </c>
      <c r="B10" s="247">
        <f>'Stock Price'!C20</f>
        <v>28.333213696073507</v>
      </c>
      <c r="C10" s="248">
        <v>1043.540039</v>
      </c>
      <c r="E10" s="246">
        <v>34971</v>
      </c>
      <c r="F10" s="268">
        <f t="shared" si="0"/>
        <v>3.7569960022844096</v>
      </c>
      <c r="G10" s="268">
        <f t="shared" si="1"/>
        <v>1.3433831811542201</v>
      </c>
    </row>
    <row r="11" spans="1:7" x14ac:dyDescent="0.5">
      <c r="A11" s="246">
        <v>35062</v>
      </c>
      <c r="B11" s="247">
        <f>'Stock Price'!C21</f>
        <v>23.08305218577274</v>
      </c>
      <c r="C11" s="248">
        <v>1052.130005</v>
      </c>
      <c r="E11" s="246">
        <v>35062</v>
      </c>
      <c r="F11" s="95">
        <f t="shared" si="0"/>
        <v>3.060822387207311</v>
      </c>
      <c r="G11" s="95">
        <f t="shared" si="1"/>
        <v>1.3544413249913696</v>
      </c>
    </row>
    <row r="12" spans="1:7" x14ac:dyDescent="0.5">
      <c r="A12" s="246">
        <v>35155</v>
      </c>
      <c r="B12" s="247">
        <f>'Stock Price'!C22</f>
        <v>22.333644390208885</v>
      </c>
      <c r="C12" s="248">
        <v>1101.400024</v>
      </c>
      <c r="E12" s="246">
        <v>35155</v>
      </c>
      <c r="F12" s="95">
        <f t="shared" si="0"/>
        <v>2.961450599657339</v>
      </c>
      <c r="G12" s="95">
        <f t="shared" si="1"/>
        <v>1.4178682299361725</v>
      </c>
    </row>
    <row r="14" spans="1:7" x14ac:dyDescent="0.5">
      <c r="A14" s="95">
        <f>((A12-A3)/30)/12</f>
        <v>2.2805555555555554</v>
      </c>
      <c r="B14" s="272">
        <f>((B12/B3)^(1/$A$14)-1)</f>
        <v>0.60971814076037778</v>
      </c>
      <c r="C14" s="391">
        <f>((C12/C3)^(1/$A$14)-1)</f>
        <v>0.16544225394070389</v>
      </c>
    </row>
    <row r="15" spans="1:7" x14ac:dyDescent="0.5">
      <c r="E15" s="246">
        <v>34424</v>
      </c>
      <c r="F15" s="145">
        <f t="shared" ref="F15:G23" si="2">F4/F3-1</f>
        <v>0.11593375214163348</v>
      </c>
      <c r="G15" s="145">
        <f t="shared" si="2"/>
        <v>-4.2919627336554522E-2</v>
      </c>
    </row>
    <row r="16" spans="1:7" x14ac:dyDescent="0.5">
      <c r="E16" s="246">
        <v>34515</v>
      </c>
      <c r="F16" s="145">
        <f t="shared" si="2"/>
        <v>4.4524053224155535E-2</v>
      </c>
      <c r="G16" s="145">
        <f t="shared" si="2"/>
        <v>-5.0439833871793627E-2</v>
      </c>
    </row>
    <row r="17" spans="1:7" x14ac:dyDescent="0.5">
      <c r="E17" s="246">
        <v>34607</v>
      </c>
      <c r="F17" s="145">
        <f t="shared" si="2"/>
        <v>0.41964723174914265</v>
      </c>
      <c r="G17" s="145">
        <f t="shared" si="2"/>
        <v>8.2625013006756509E-2</v>
      </c>
    </row>
    <row r="18" spans="1:7" x14ac:dyDescent="0.5">
      <c r="E18" s="246">
        <v>34699</v>
      </c>
      <c r="F18" s="145">
        <f t="shared" si="2"/>
        <v>9.5081967213114904E-2</v>
      </c>
      <c r="G18" s="145">
        <f t="shared" si="2"/>
        <v>-1.6132562711688503E-2</v>
      </c>
    </row>
    <row r="19" spans="1:7" x14ac:dyDescent="0.5">
      <c r="E19" s="246">
        <v>34789</v>
      </c>
      <c r="F19" s="145">
        <f t="shared" si="2"/>
        <v>7.3274503624330078E-2</v>
      </c>
      <c r="G19" s="145">
        <f t="shared" si="2"/>
        <v>8.6773230080042785E-2</v>
      </c>
    </row>
    <row r="20" spans="1:7" x14ac:dyDescent="0.5">
      <c r="A20" s="269" t="s">
        <v>324</v>
      </c>
      <c r="E20" s="246">
        <v>34880</v>
      </c>
      <c r="F20" s="145">
        <f t="shared" si="2"/>
        <v>0.36631918954632203</v>
      </c>
      <c r="G20" s="145">
        <f t="shared" si="2"/>
        <v>0.14224004462833184</v>
      </c>
    </row>
    <row r="21" spans="1:7" x14ac:dyDescent="0.5">
      <c r="A21" s="270" t="s">
        <v>325</v>
      </c>
      <c r="E21" s="246">
        <v>34971</v>
      </c>
      <c r="F21" s="145">
        <f t="shared" si="2"/>
        <v>0.41381904147861603</v>
      </c>
      <c r="G21" s="145">
        <f t="shared" si="2"/>
        <v>0.1179388564837256</v>
      </c>
    </row>
    <row r="22" spans="1:7" x14ac:dyDescent="0.5">
      <c r="A22" s="271" t="s">
        <v>323</v>
      </c>
      <c r="C22" s="248"/>
      <c r="E22" s="246">
        <v>35062</v>
      </c>
      <c r="F22" s="272">
        <f t="shared" si="2"/>
        <v>-0.18530060044082985</v>
      </c>
      <c r="G22" s="391">
        <f t="shared" si="2"/>
        <v>8.2315634081771005E-3</v>
      </c>
    </row>
    <row r="23" spans="1:7" x14ac:dyDescent="0.5">
      <c r="A23" s="271" t="s">
        <v>326</v>
      </c>
      <c r="B23" s="247"/>
      <c r="C23" s="248"/>
      <c r="E23" s="246">
        <v>35155</v>
      </c>
      <c r="F23" s="272">
        <f t="shared" si="2"/>
        <v>-3.2465715085362667E-2</v>
      </c>
      <c r="G23" s="391">
        <f t="shared" si="2"/>
        <v>4.6828831765899581E-2</v>
      </c>
    </row>
    <row r="24" spans="1:7" x14ac:dyDescent="0.5">
      <c r="A24" s="246"/>
      <c r="B24" s="247"/>
      <c r="C24" s="248"/>
      <c r="E24" s="246"/>
      <c r="F24" s="95"/>
      <c r="G24" s="95"/>
    </row>
    <row r="25" spans="1:7" x14ac:dyDescent="0.5">
      <c r="A25" s="246"/>
      <c r="B25" s="247"/>
      <c r="C25" s="248"/>
      <c r="E25" s="246"/>
      <c r="F25" s="95"/>
      <c r="G25" s="95"/>
    </row>
    <row r="26" spans="1:7" x14ac:dyDescent="0.5">
      <c r="A26" s="246"/>
      <c r="B26" s="247"/>
      <c r="C26" s="248"/>
      <c r="E26" s="246"/>
      <c r="F26" s="95"/>
      <c r="G26" s="95"/>
    </row>
    <row r="27" spans="1:7" x14ac:dyDescent="0.5">
      <c r="A27" s="246"/>
      <c r="B27" s="247"/>
      <c r="C27" s="248"/>
      <c r="E27" s="246"/>
      <c r="F27" s="95"/>
      <c r="G27" s="95"/>
    </row>
    <row r="28" spans="1:7" x14ac:dyDescent="0.5">
      <c r="A28" s="246"/>
      <c r="B28" s="247"/>
      <c r="C28" s="248"/>
      <c r="E28" s="246"/>
      <c r="F28" s="95"/>
      <c r="G28" s="95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K17"/>
  <sheetViews>
    <sheetView zoomScale="94" workbookViewId="0">
      <selection activeCell="D16" sqref="D16"/>
    </sheetView>
  </sheetViews>
  <sheetFormatPr baseColWidth="10" defaultRowHeight="12.9" x14ac:dyDescent="0.5"/>
  <cols>
    <col min="1" max="1" width="10.6640625" style="42"/>
    <col min="2" max="2" width="8.609375" style="42" customWidth="1"/>
    <col min="3" max="3" width="9.38671875" style="42" customWidth="1"/>
    <col min="4" max="5" width="8.609375" style="42" customWidth="1"/>
    <col min="6" max="6" width="2.38671875" style="42" customWidth="1"/>
    <col min="7" max="7" width="10.6640625" style="42"/>
    <col min="8" max="11" width="8.6640625" style="42" customWidth="1"/>
  </cols>
  <sheetData>
    <row r="2" spans="1:11" x14ac:dyDescent="0.5">
      <c r="A2" s="245" t="s">
        <v>211</v>
      </c>
      <c r="B2" s="245" t="s">
        <v>292</v>
      </c>
      <c r="C2" s="245" t="s">
        <v>254</v>
      </c>
      <c r="D2" s="245" t="s">
        <v>7</v>
      </c>
      <c r="E2" s="245" t="s">
        <v>286</v>
      </c>
      <c r="G2" s="245" t="s">
        <v>211</v>
      </c>
      <c r="H2" s="245" t="s">
        <v>292</v>
      </c>
      <c r="I2" s="245" t="s">
        <v>254</v>
      </c>
      <c r="J2" s="245" t="s">
        <v>7</v>
      </c>
      <c r="K2" s="245" t="s">
        <v>286</v>
      </c>
    </row>
    <row r="3" spans="1:11" x14ac:dyDescent="0.5">
      <c r="A3" s="246">
        <v>35155</v>
      </c>
      <c r="B3" s="247">
        <v>1.0370999999999999</v>
      </c>
      <c r="C3" s="248">
        <v>1101.400024</v>
      </c>
      <c r="D3" s="247">
        <v>16.651615</v>
      </c>
      <c r="E3" s="247">
        <v>0.76147299999999996</v>
      </c>
      <c r="G3" s="246">
        <v>35155</v>
      </c>
      <c r="H3" s="95">
        <f t="shared" ref="H3:K10" si="0">B3/B$3</f>
        <v>1</v>
      </c>
      <c r="I3" s="95">
        <f t="shared" si="0"/>
        <v>1</v>
      </c>
      <c r="J3" s="95">
        <f t="shared" si="0"/>
        <v>1</v>
      </c>
      <c r="K3" s="95">
        <f t="shared" si="0"/>
        <v>1</v>
      </c>
    </row>
    <row r="4" spans="1:11" x14ac:dyDescent="0.5">
      <c r="A4" s="246">
        <v>35246</v>
      </c>
      <c r="B4" s="247">
        <v>1.5749</v>
      </c>
      <c r="C4" s="248">
        <v>1185.0200199999999</v>
      </c>
      <c r="D4" s="247">
        <v>15.016633000000001</v>
      </c>
      <c r="E4" s="247">
        <v>0.65103100000000003</v>
      </c>
      <c r="G4" s="246">
        <v>35246</v>
      </c>
      <c r="H4" s="95">
        <f t="shared" si="0"/>
        <v>1.5185613730594929</v>
      </c>
      <c r="I4" s="95">
        <f t="shared" si="0"/>
        <v>1.0759215490992216</v>
      </c>
      <c r="J4" s="95">
        <f t="shared" si="0"/>
        <v>0.9018124067845672</v>
      </c>
      <c r="K4" s="95">
        <f t="shared" si="0"/>
        <v>0.85496268416608345</v>
      </c>
    </row>
    <row r="5" spans="1:11" x14ac:dyDescent="0.5">
      <c r="A5" s="246">
        <v>35338</v>
      </c>
      <c r="B5" s="247">
        <v>2.4068999999999998</v>
      </c>
      <c r="C5" s="248">
        <v>1226.920044</v>
      </c>
      <c r="D5" s="247">
        <v>19.128838999999999</v>
      </c>
      <c r="E5" s="247">
        <v>0.68784500000000004</v>
      </c>
      <c r="G5" s="246">
        <v>35338</v>
      </c>
      <c r="H5" s="95">
        <f t="shared" si="0"/>
        <v>2.3207983800983514</v>
      </c>
      <c r="I5" s="95">
        <f t="shared" si="0"/>
        <v>1.113964061435321</v>
      </c>
      <c r="J5" s="95">
        <f t="shared" si="0"/>
        <v>1.1487677921931296</v>
      </c>
      <c r="K5" s="95">
        <f t="shared" si="0"/>
        <v>0.9033084561107223</v>
      </c>
    </row>
    <row r="6" spans="1:11" x14ac:dyDescent="0.5">
      <c r="A6" s="246">
        <v>35430</v>
      </c>
      <c r="B6" s="247">
        <v>3.2892000000000001</v>
      </c>
      <c r="C6" s="248">
        <v>1291.030029</v>
      </c>
      <c r="D6" s="247">
        <v>23.530172</v>
      </c>
      <c r="E6" s="247">
        <v>0.64715500000000004</v>
      </c>
      <c r="G6" s="246">
        <v>35430</v>
      </c>
      <c r="H6" s="95">
        <f t="shared" si="0"/>
        <v>3.1715360138848716</v>
      </c>
      <c r="I6" s="95">
        <f t="shared" si="0"/>
        <v>1.1721717821571429</v>
      </c>
      <c r="J6" s="95">
        <f t="shared" si="0"/>
        <v>1.4130864783986419</v>
      </c>
      <c r="K6" s="95">
        <f t="shared" si="0"/>
        <v>0.8498725496504802</v>
      </c>
    </row>
    <row r="7" spans="1:11" x14ac:dyDescent="0.5">
      <c r="A7" s="246">
        <v>35520</v>
      </c>
      <c r="B7" s="247">
        <v>4.1818999999999997</v>
      </c>
      <c r="C7" s="248">
        <v>1221.6999510000001</v>
      </c>
      <c r="D7" s="247">
        <v>21.519480000000001</v>
      </c>
      <c r="E7" s="247">
        <v>0.56577699999999997</v>
      </c>
      <c r="G7" s="246">
        <v>35520</v>
      </c>
      <c r="H7" s="95">
        <f t="shared" si="0"/>
        <v>4.0323016102593776</v>
      </c>
      <c r="I7" s="95">
        <f t="shared" si="0"/>
        <v>1.1092245545474948</v>
      </c>
      <c r="J7" s="95">
        <f t="shared" si="0"/>
        <v>1.2923359085590198</v>
      </c>
      <c r="K7" s="95">
        <f t="shared" si="0"/>
        <v>0.74300336321839389</v>
      </c>
    </row>
    <row r="8" spans="1:11" x14ac:dyDescent="0.5">
      <c r="A8" s="246">
        <v>35611</v>
      </c>
      <c r="B8" s="247">
        <v>7.2709999999999999</v>
      </c>
      <c r="C8" s="248">
        <v>1442.0699460000001</v>
      </c>
      <c r="D8" s="247">
        <v>28.576948000000002</v>
      </c>
      <c r="E8" s="247">
        <v>0.44177100000000002</v>
      </c>
      <c r="G8" s="246">
        <v>35611</v>
      </c>
      <c r="H8" s="95">
        <f t="shared" si="0"/>
        <v>7.0108957670427161</v>
      </c>
      <c r="I8" s="95">
        <f t="shared" si="0"/>
        <v>1.3093062598298981</v>
      </c>
      <c r="J8" s="95">
        <f t="shared" si="0"/>
        <v>1.7161667501920985</v>
      </c>
      <c r="K8" s="95">
        <f t="shared" si="0"/>
        <v>0.58015320306826379</v>
      </c>
    </row>
    <row r="9" spans="1:11" x14ac:dyDescent="0.5">
      <c r="A9" s="246">
        <v>35703</v>
      </c>
      <c r="B9" s="247">
        <v>11.995799999999999</v>
      </c>
      <c r="C9" s="248">
        <v>1685.6899410000001</v>
      </c>
      <c r="D9" s="247">
        <v>33.688972</v>
      </c>
      <c r="E9" s="247">
        <v>0.67234400000000005</v>
      </c>
      <c r="G9" s="246">
        <v>35703</v>
      </c>
      <c r="H9" s="267">
        <f t="shared" si="0"/>
        <v>11.566676308938385</v>
      </c>
      <c r="I9" s="267">
        <f t="shared" si="0"/>
        <v>1.5304974616561295</v>
      </c>
      <c r="J9" s="267">
        <f t="shared" si="0"/>
        <v>2.023165440709505</v>
      </c>
      <c r="K9" s="267">
        <f t="shared" si="0"/>
        <v>0.88295185778090635</v>
      </c>
    </row>
    <row r="10" spans="1:11" x14ac:dyDescent="0.5">
      <c r="A10" s="246">
        <v>35795</v>
      </c>
      <c r="B10" s="247">
        <v>10.4015</v>
      </c>
      <c r="C10" s="248">
        <v>1570.349976</v>
      </c>
      <c r="D10" s="247">
        <v>33.381912</v>
      </c>
      <c r="E10" s="247">
        <v>0.40689399999999998</v>
      </c>
      <c r="G10" s="246">
        <v>35795</v>
      </c>
      <c r="H10" s="267">
        <f t="shared" si="0"/>
        <v>10.029408928743614</v>
      </c>
      <c r="I10" s="267">
        <f t="shared" si="0"/>
        <v>1.4257762318697751</v>
      </c>
      <c r="J10" s="267">
        <f t="shared" si="0"/>
        <v>2.0047251873166658</v>
      </c>
      <c r="K10" s="267">
        <f t="shared" si="0"/>
        <v>0.53435118513722746</v>
      </c>
    </row>
    <row r="11" spans="1:11" x14ac:dyDescent="0.5">
      <c r="A11" s="246"/>
      <c r="B11" s="247"/>
      <c r="C11" s="248"/>
      <c r="D11" s="247"/>
      <c r="E11" s="247"/>
      <c r="G11" s="246"/>
      <c r="H11" s="95"/>
      <c r="I11" s="95"/>
      <c r="J11" s="95"/>
      <c r="K11" s="95"/>
    </row>
    <row r="12" spans="1:11" x14ac:dyDescent="0.5">
      <c r="A12" s="95">
        <f>((A10-A3)/30)/12</f>
        <v>1.7777777777777777</v>
      </c>
      <c r="B12" s="272">
        <f>((B10/B3)^(1/$A$12)-1)</f>
        <v>2.657778292967206</v>
      </c>
      <c r="C12" s="391">
        <f>((C10/C3)^(1/$A$12)-1)</f>
        <v>0.22082635438182718</v>
      </c>
      <c r="D12" s="392">
        <f>((D10/D3)^(1/$A$12)-1)</f>
        <v>0.47878777405790118</v>
      </c>
      <c r="E12" s="393">
        <f>((E10/E3)^(1/$A$12)-1)</f>
        <v>-0.29708540317131471</v>
      </c>
      <c r="H12" s="145"/>
      <c r="I12" s="145"/>
      <c r="J12" s="145"/>
      <c r="K12" s="145"/>
    </row>
    <row r="13" spans="1:11" x14ac:dyDescent="0.5">
      <c r="A13" s="246"/>
      <c r="B13" s="247"/>
      <c r="C13" s="248"/>
      <c r="D13" s="247"/>
      <c r="E13" s="247"/>
      <c r="G13" s="246"/>
      <c r="H13" s="95"/>
      <c r="I13" s="95"/>
      <c r="J13" s="95"/>
      <c r="K13" s="95"/>
    </row>
    <row r="14" spans="1:11" x14ac:dyDescent="0.5">
      <c r="A14" s="246"/>
      <c r="B14" s="247"/>
      <c r="C14" s="248"/>
      <c r="D14" s="247"/>
      <c r="E14" s="247"/>
      <c r="G14" s="246"/>
      <c r="H14" s="95"/>
      <c r="I14" s="95"/>
      <c r="J14" s="95"/>
      <c r="K14" s="95"/>
    </row>
    <row r="15" spans="1:11" x14ac:dyDescent="0.5">
      <c r="A15" s="246"/>
      <c r="B15" s="247"/>
      <c r="C15" s="248"/>
      <c r="D15" s="247"/>
      <c r="E15" s="247"/>
      <c r="G15" s="246"/>
      <c r="H15" s="95"/>
      <c r="I15" s="95"/>
      <c r="J15" s="95"/>
      <c r="K15" s="95"/>
    </row>
    <row r="16" spans="1:11" x14ac:dyDescent="0.5">
      <c r="A16" s="246"/>
      <c r="B16" s="247"/>
      <c r="C16" s="248"/>
      <c r="D16" s="247"/>
      <c r="E16" s="247"/>
      <c r="G16" s="246"/>
      <c r="H16" s="95"/>
      <c r="I16" s="95"/>
      <c r="J16" s="95"/>
      <c r="K16" s="95"/>
    </row>
    <row r="17" spans="1:11" x14ac:dyDescent="0.5">
      <c r="A17" s="246"/>
      <c r="B17" s="247"/>
      <c r="C17" s="248"/>
      <c r="D17" s="247"/>
      <c r="E17" s="247"/>
      <c r="G17" s="246"/>
      <c r="H17" s="95"/>
      <c r="I17" s="95"/>
      <c r="J17" s="95"/>
      <c r="K17" s="9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59"/>
  <sheetViews>
    <sheetView showGridLines="0" zoomScale="102" zoomScaleNormal="102" workbookViewId="0"/>
  </sheetViews>
  <sheetFormatPr baseColWidth="10" defaultRowHeight="14.4" outlineLevelRow="1" x14ac:dyDescent="0.55000000000000004"/>
  <cols>
    <col min="1" max="1" width="14.27734375" style="49" customWidth="1"/>
    <col min="2" max="2" width="5.0546875" style="49" customWidth="1"/>
    <col min="3" max="6" width="9.38671875" style="49" customWidth="1"/>
    <col min="7" max="7" width="3.0546875" style="49" customWidth="1"/>
    <col min="8" max="8" width="10.6640625" style="49"/>
    <col min="9" max="9" width="3.0546875" style="49" customWidth="1"/>
    <col min="10" max="16384" width="10.6640625" style="49"/>
  </cols>
  <sheetData>
    <row r="1" spans="1:7" ht="15.9" thickBot="1" x14ac:dyDescent="0.65">
      <c r="A1" s="273" t="s">
        <v>352</v>
      </c>
      <c r="B1" s="274"/>
      <c r="C1" s="274"/>
      <c r="D1" s="274"/>
      <c r="E1" s="274"/>
      <c r="F1" s="274"/>
      <c r="G1" s="274"/>
    </row>
    <row r="2" spans="1:7" x14ac:dyDescent="0.55000000000000004">
      <c r="A2" s="74"/>
    </row>
    <row r="3" spans="1:7" x14ac:dyDescent="0.55000000000000004">
      <c r="A3" s="249" t="s">
        <v>351</v>
      </c>
    </row>
    <row r="5" spans="1:7" ht="18" customHeight="1" x14ac:dyDescent="0.55000000000000004">
      <c r="A5" s="250" t="s">
        <v>211</v>
      </c>
      <c r="B5" s="250"/>
      <c r="C5" s="251" t="s">
        <v>307</v>
      </c>
      <c r="D5" s="251" t="s">
        <v>254</v>
      </c>
      <c r="E5" s="251" t="s">
        <v>7</v>
      </c>
      <c r="F5" s="251" t="s">
        <v>286</v>
      </c>
    </row>
    <row r="6" spans="1:7" outlineLevel="1" x14ac:dyDescent="0.55000000000000004">
      <c r="A6" s="252">
        <v>33603</v>
      </c>
      <c r="C6" s="253">
        <v>0.26440000000000002</v>
      </c>
      <c r="D6" s="254">
        <f>'Stock data'!C5</f>
        <v>586.34002699999996</v>
      </c>
      <c r="E6" s="253">
        <f>'Stock data'!E5</f>
        <v>8.2123069999999991</v>
      </c>
      <c r="F6" s="253">
        <f>'Stock data'!G5</f>
        <v>1.6685700000000001</v>
      </c>
    </row>
    <row r="7" spans="1:7" x14ac:dyDescent="0.55000000000000004">
      <c r="A7" s="252">
        <v>33694</v>
      </c>
      <c r="C7" s="253">
        <v>0.37540000000000001</v>
      </c>
      <c r="D7" s="254">
        <f>'Stock data'!C68</f>
        <v>603.77002000000005</v>
      </c>
      <c r="E7" s="253">
        <f>'Stock data'!E68</f>
        <v>8.1363679999999992</v>
      </c>
      <c r="F7" s="253">
        <f>'Stock data'!G68</f>
        <v>1.727295</v>
      </c>
      <c r="G7" s="253"/>
    </row>
    <row r="8" spans="1:7" x14ac:dyDescent="0.55000000000000004">
      <c r="A8" s="252">
        <v>33785</v>
      </c>
      <c r="C8" s="253">
        <v>0.28050000000000003</v>
      </c>
      <c r="D8" s="254">
        <f>'Stock data'!C131</f>
        <v>563.59997599999997</v>
      </c>
      <c r="E8" s="253">
        <f>'Stock data'!E131</f>
        <v>10.058462</v>
      </c>
      <c r="F8" s="253">
        <f>'Stock data'!G131</f>
        <v>1.4262170000000001</v>
      </c>
      <c r="G8" s="253"/>
    </row>
    <row r="9" spans="1:7" x14ac:dyDescent="0.55000000000000004">
      <c r="A9" s="252">
        <v>33877</v>
      </c>
      <c r="C9" s="253">
        <v>0.44309999999999999</v>
      </c>
      <c r="D9" s="254">
        <f>'Stock data'!C195</f>
        <v>583.27002000000005</v>
      </c>
      <c r="E9" s="253">
        <f>'Stock data'!E195</f>
        <v>8.7613610000000008</v>
      </c>
      <c r="F9" s="253">
        <f>'Stock data'!G195</f>
        <v>1.344401</v>
      </c>
      <c r="G9" s="253"/>
    </row>
    <row r="10" spans="1:7" x14ac:dyDescent="0.55000000000000004">
      <c r="A10" s="252">
        <v>33969</v>
      </c>
      <c r="C10" s="253">
        <v>0.74299999999999999</v>
      </c>
      <c r="D10" s="254">
        <f>'Stock data'!C259</f>
        <v>676.95001200000002</v>
      </c>
      <c r="E10" s="253">
        <f>'Stock data'!E259</f>
        <v>5.8828680000000002</v>
      </c>
      <c r="F10" s="253">
        <f>'Stock data'!G259</f>
        <v>1.7839149999999999</v>
      </c>
      <c r="G10" s="253"/>
    </row>
    <row r="11" spans="1:7" x14ac:dyDescent="0.55000000000000004">
      <c r="A11" s="252">
        <v>34059</v>
      </c>
      <c r="C11" s="253">
        <v>0.54359999999999997</v>
      </c>
      <c r="D11" s="254">
        <f>'Stock data'!C321</f>
        <v>690.13000499999998</v>
      </c>
      <c r="E11" s="253">
        <f>'Stock data'!E321</f>
        <v>6.2033449999999997</v>
      </c>
      <c r="F11" s="253">
        <f>'Stock data'!G321</f>
        <v>1.5409569999999999</v>
      </c>
      <c r="G11" s="253"/>
    </row>
    <row r="12" spans="1:7" x14ac:dyDescent="0.55000000000000004">
      <c r="A12" s="252">
        <v>34150</v>
      </c>
      <c r="C12" s="253">
        <v>0.29020000000000001</v>
      </c>
      <c r="D12" s="254">
        <f>'Stock data'!C384</f>
        <v>703.95001200000002</v>
      </c>
      <c r="E12" s="253">
        <f>'Stock data'!E384</f>
        <v>6.2958699999999999</v>
      </c>
      <c r="F12" s="253">
        <f>'Stock data'!G384</f>
        <v>1.184374</v>
      </c>
      <c r="G12" s="253"/>
    </row>
    <row r="13" spans="1:7" x14ac:dyDescent="0.55000000000000004">
      <c r="A13" s="252">
        <v>34242</v>
      </c>
      <c r="C13" s="253">
        <v>0.25729999999999997</v>
      </c>
      <c r="D13" s="254">
        <f>'Stock data'!C448</f>
        <v>762.78002900000001</v>
      </c>
      <c r="E13" s="253">
        <f>'Stock data'!E448</f>
        <v>5.478942</v>
      </c>
      <c r="F13" s="253">
        <f>'Stock data'!G448</f>
        <v>0.70396800000000004</v>
      </c>
      <c r="G13" s="253"/>
    </row>
    <row r="14" spans="1:7" x14ac:dyDescent="0.55000000000000004">
      <c r="A14" s="255">
        <v>34334</v>
      </c>
      <c r="B14" s="256"/>
      <c r="C14" s="257">
        <v>0.35020000000000001</v>
      </c>
      <c r="D14" s="258">
        <f>'Stock data'!C512</f>
        <v>776.79998799999998</v>
      </c>
      <c r="E14" s="257">
        <f>'Stock data'!E512</f>
        <v>7.5186339999999996</v>
      </c>
      <c r="F14" s="257">
        <f>'Stock data'!G512</f>
        <v>0.88407199999999997</v>
      </c>
      <c r="G14" s="253"/>
    </row>
    <row r="15" spans="1:7" x14ac:dyDescent="0.55000000000000004">
      <c r="A15" s="255">
        <v>34424</v>
      </c>
      <c r="B15" s="256"/>
      <c r="C15" s="257">
        <v>0.39079999999999998</v>
      </c>
      <c r="D15" s="258">
        <f>'Stock data'!C575</f>
        <v>743.46002199999998</v>
      </c>
      <c r="E15" s="257">
        <f>'Stock data'!E575</f>
        <v>7.4018899999999999</v>
      </c>
      <c r="F15" s="257">
        <f>'Stock data'!G575</f>
        <v>1.0085869999999999</v>
      </c>
      <c r="G15" s="253"/>
    </row>
    <row r="16" spans="1:7" x14ac:dyDescent="0.55000000000000004">
      <c r="A16" s="255">
        <v>34515</v>
      </c>
      <c r="B16" s="256"/>
      <c r="C16" s="257">
        <v>0.40820000000000001</v>
      </c>
      <c r="D16" s="258">
        <f>'Stock data'!C637</f>
        <v>705.96002199999998</v>
      </c>
      <c r="E16" s="257">
        <f>'Stock data'!E637</f>
        <v>8.1011220000000002</v>
      </c>
      <c r="F16" s="257">
        <f>'Stock data'!G637</f>
        <v>0.80701500000000004</v>
      </c>
      <c r="G16" s="253"/>
    </row>
    <row r="17" spans="1:7" x14ac:dyDescent="0.55000000000000004">
      <c r="A17" s="255">
        <v>34607</v>
      </c>
      <c r="B17" s="256"/>
      <c r="C17" s="257">
        <v>0.57950000000000002</v>
      </c>
      <c r="D17" s="258">
        <f>'Stock data'!C701</f>
        <v>764.28997800000002</v>
      </c>
      <c r="E17" s="257">
        <f>'Stock data'!E701</f>
        <v>9.7555460000000007</v>
      </c>
      <c r="F17" s="257">
        <f>'Stock data'!G701</f>
        <v>1.0294559999999999</v>
      </c>
      <c r="G17" s="253"/>
    </row>
    <row r="18" spans="1:7" x14ac:dyDescent="0.55000000000000004">
      <c r="A18" s="255">
        <v>34699</v>
      </c>
      <c r="B18" s="256"/>
      <c r="C18" s="257">
        <v>0.63460000000000005</v>
      </c>
      <c r="D18" s="258">
        <f>'Stock data'!C764</f>
        <v>751.96002199999998</v>
      </c>
      <c r="E18" s="257">
        <f>'Stock data'!E764</f>
        <v>10.440536</v>
      </c>
      <c r="F18" s="257">
        <f>'Stock data'!G764</f>
        <v>1.1953910000000001</v>
      </c>
      <c r="G18" s="253"/>
    </row>
    <row r="19" spans="1:7" x14ac:dyDescent="0.55000000000000004">
      <c r="A19" s="255">
        <v>34789</v>
      </c>
      <c r="B19" s="256"/>
      <c r="C19" s="257">
        <v>0.68110000000000004</v>
      </c>
      <c r="D19" s="258">
        <f>'Stock data'!C827</f>
        <v>817.21002199999998</v>
      </c>
      <c r="E19" s="257">
        <f>'Stock data'!E827</f>
        <v>11.824153000000001</v>
      </c>
      <c r="F19" s="257">
        <f>'Stock data'!G827</f>
        <v>1.0834239999999999</v>
      </c>
      <c r="G19" s="253"/>
    </row>
    <row r="20" spans="1:7" x14ac:dyDescent="0.55000000000000004">
      <c r="A20" s="255">
        <v>34880</v>
      </c>
      <c r="B20" s="256"/>
      <c r="C20" s="257">
        <v>0.93059999999999998</v>
      </c>
      <c r="D20" s="258">
        <f>'Stock data'!C890</f>
        <v>933.45001200000002</v>
      </c>
      <c r="E20" s="257">
        <f>'Stock data'!E890</f>
        <v>13.970062</v>
      </c>
      <c r="F20" s="257">
        <f>'Stock data'!G890</f>
        <v>1.431241</v>
      </c>
      <c r="G20" s="253"/>
    </row>
    <row r="21" spans="1:7" x14ac:dyDescent="0.55000000000000004">
      <c r="A21" s="255">
        <v>34971</v>
      </c>
      <c r="B21" s="256"/>
      <c r="C21" s="257">
        <v>1.3157000000000001</v>
      </c>
      <c r="D21" s="258">
        <f>'Stock data'!C953</f>
        <v>1043.540039</v>
      </c>
      <c r="E21" s="257">
        <f>'Stock data'!E953</f>
        <v>13.879258999999999</v>
      </c>
      <c r="F21" s="257">
        <f>'Stock data'!G953</f>
        <v>1.151213</v>
      </c>
      <c r="G21" s="253"/>
    </row>
    <row r="22" spans="1:7" x14ac:dyDescent="0.55000000000000004">
      <c r="A22" s="255">
        <v>35062</v>
      </c>
      <c r="B22" s="256"/>
      <c r="C22" s="257">
        <v>1.0719000000000001</v>
      </c>
      <c r="D22" s="258">
        <f>'Stock data'!C1016</f>
        <v>1052.130005</v>
      </c>
      <c r="E22" s="257">
        <f>'Stock data'!E1016</f>
        <v>13.557581000000001</v>
      </c>
      <c r="F22" s="257">
        <f>'Stock data'!G1016</f>
        <v>0.98817200000000005</v>
      </c>
      <c r="G22" s="253"/>
    </row>
    <row r="23" spans="1:7" s="260" customFormat="1" x14ac:dyDescent="0.55000000000000004">
      <c r="A23" s="255">
        <v>35155</v>
      </c>
      <c r="B23" s="256"/>
      <c r="C23" s="257">
        <v>1.0370999999999999</v>
      </c>
      <c r="D23" s="258">
        <f>'Stock data'!C1079</f>
        <v>1101.400024</v>
      </c>
      <c r="E23" s="257">
        <f>'Stock data'!E1079</f>
        <v>16.651615</v>
      </c>
      <c r="F23" s="257">
        <f>'Stock data'!G1079</f>
        <v>0.76147299999999996</v>
      </c>
      <c r="G23" s="259"/>
    </row>
    <row r="24" spans="1:7" x14ac:dyDescent="0.55000000000000004">
      <c r="A24" s="261">
        <v>35246</v>
      </c>
      <c r="B24" s="262"/>
      <c r="C24" s="263">
        <v>1.5749</v>
      </c>
      <c r="D24" s="264">
        <f>'Stock data'!C1142</f>
        <v>1185.0200199999999</v>
      </c>
      <c r="E24" s="263">
        <f>'Stock data'!E1142</f>
        <v>15.016633000000001</v>
      </c>
      <c r="F24" s="263">
        <f>'Stock data'!G1142</f>
        <v>0.65103100000000003</v>
      </c>
      <c r="G24" s="253"/>
    </row>
    <row r="25" spans="1:7" x14ac:dyDescent="0.55000000000000004">
      <c r="A25" s="261">
        <v>35338</v>
      </c>
      <c r="B25" s="262"/>
      <c r="C25" s="263">
        <v>2.4068999999999998</v>
      </c>
      <c r="D25" s="264">
        <f>'Stock data'!C1206</f>
        <v>1226.920044</v>
      </c>
      <c r="E25" s="263">
        <f>'Stock data'!E1206</f>
        <v>19.128838999999999</v>
      </c>
      <c r="F25" s="263">
        <f>'Stock data'!G1206</f>
        <v>0.68784500000000004</v>
      </c>
      <c r="G25" s="253"/>
    </row>
    <row r="26" spans="1:7" x14ac:dyDescent="0.55000000000000004">
      <c r="A26" s="261">
        <v>35430</v>
      </c>
      <c r="B26" s="262"/>
      <c r="C26" s="263">
        <v>3.2892000000000001</v>
      </c>
      <c r="D26" s="264">
        <f>'Stock data'!C1270</f>
        <v>1291.030029</v>
      </c>
      <c r="E26" s="263">
        <f>'Stock data'!E1270</f>
        <v>23.530172</v>
      </c>
      <c r="F26" s="263">
        <f>'Stock data'!G1270</f>
        <v>0.64715500000000004</v>
      </c>
      <c r="G26" s="253"/>
    </row>
    <row r="27" spans="1:7" x14ac:dyDescent="0.55000000000000004">
      <c r="A27" s="261">
        <v>35520</v>
      </c>
      <c r="B27" s="262"/>
      <c r="C27" s="263">
        <v>4.1818999999999997</v>
      </c>
      <c r="D27" s="264">
        <f>'Stock data'!C1331</f>
        <v>1221.6999510000001</v>
      </c>
      <c r="E27" s="263">
        <f>'Stock data'!E1331</f>
        <v>21.519480000000001</v>
      </c>
      <c r="F27" s="263">
        <f>'Stock data'!G1331</f>
        <v>0.56577699999999997</v>
      </c>
      <c r="G27" s="253"/>
    </row>
    <row r="28" spans="1:7" x14ac:dyDescent="0.55000000000000004">
      <c r="A28" s="261">
        <v>35611</v>
      </c>
      <c r="B28" s="262"/>
      <c r="C28" s="263">
        <v>7.2709999999999999</v>
      </c>
      <c r="D28" s="264">
        <f>'Stock data'!C1395</f>
        <v>1442.0699460000001</v>
      </c>
      <c r="E28" s="263">
        <f>'Stock data'!E1395</f>
        <v>28.576948000000002</v>
      </c>
      <c r="F28" s="263">
        <f>'Stock data'!G1395</f>
        <v>0.44177100000000002</v>
      </c>
      <c r="G28" s="253"/>
    </row>
    <row r="29" spans="1:7" x14ac:dyDescent="0.55000000000000004">
      <c r="A29" s="261">
        <v>35703</v>
      </c>
      <c r="B29" s="262"/>
      <c r="C29" s="263">
        <v>11.995799999999999</v>
      </c>
      <c r="D29" s="264">
        <f>'Stock data'!C1459</f>
        <v>1685.6899410000001</v>
      </c>
      <c r="E29" s="263">
        <f>'Stock data'!E1459</f>
        <v>33.688972</v>
      </c>
      <c r="F29" s="263">
        <f>'Stock data'!G1459</f>
        <v>0.67234400000000005</v>
      </c>
      <c r="G29" s="253"/>
    </row>
    <row r="30" spans="1:7" x14ac:dyDescent="0.55000000000000004">
      <c r="A30" s="261">
        <v>35795</v>
      </c>
      <c r="B30" s="262"/>
      <c r="C30" s="263">
        <v>10.4015</v>
      </c>
      <c r="D30" s="264">
        <f>'Stock data'!C1523</f>
        <v>1570.349976</v>
      </c>
      <c r="E30" s="263">
        <f>'Stock data'!E1523</f>
        <v>33.381912</v>
      </c>
      <c r="F30" s="263">
        <f>'Stock data'!G1523</f>
        <v>0.40689399999999998</v>
      </c>
      <c r="G30" s="253"/>
    </row>
    <row r="31" spans="1:7" x14ac:dyDescent="0.55000000000000004">
      <c r="B31" s="48"/>
    </row>
    <row r="32" spans="1:7" x14ac:dyDescent="0.55000000000000004">
      <c r="A32" s="265" t="s">
        <v>346</v>
      </c>
      <c r="B32" s="265" t="s">
        <v>347</v>
      </c>
      <c r="C32" s="251" t="s">
        <v>307</v>
      </c>
      <c r="D32" s="251" t="s">
        <v>254</v>
      </c>
      <c r="E32" s="251" t="s">
        <v>7</v>
      </c>
      <c r="F32" s="251" t="s">
        <v>286</v>
      </c>
    </row>
    <row r="34" spans="1:6" x14ac:dyDescent="0.55000000000000004">
      <c r="A34" s="48" t="s">
        <v>350</v>
      </c>
      <c r="B34" s="266">
        <f>((A23-A6)/30)/12</f>
        <v>4.3111111111111109</v>
      </c>
      <c r="C34" s="77">
        <f>((C23/C6)^(1/$B34))-1</f>
        <v>0.37303388058275688</v>
      </c>
      <c r="D34" s="77">
        <f>((D23/D6)^(1/$B34))-1</f>
        <v>0.15746874993449511</v>
      </c>
      <c r="E34" s="77">
        <f>((E23/E6)^(1/$B34))-1</f>
        <v>0.17817362286974037</v>
      </c>
      <c r="F34" s="77">
        <f>((F23/F6)^(1/$B34))-1</f>
        <v>-0.1663687487037776</v>
      </c>
    </row>
    <row r="35" spans="1:6" ht="14.7" thickBot="1" x14ac:dyDescent="0.6">
      <c r="A35" s="275" t="s">
        <v>353</v>
      </c>
      <c r="B35" s="276">
        <f>((A30-A23)/30)/12</f>
        <v>1.7777777777777777</v>
      </c>
      <c r="C35" s="277">
        <f>((C30/C23)^(1/$B35))-1</f>
        <v>2.657778292967206</v>
      </c>
      <c r="D35" s="277">
        <f>((D30/D23)^(1/$B35))-1</f>
        <v>0.22082635438182718</v>
      </c>
      <c r="E35" s="277">
        <f>((E30/E23)^(1/$B35))-1</f>
        <v>0.47878777405790118</v>
      </c>
      <c r="F35" s="277">
        <f>((F30/F23)^(1/$B35))-1</f>
        <v>-0.29708540317131471</v>
      </c>
    </row>
    <row r="36" spans="1:6" x14ac:dyDescent="0.55000000000000004">
      <c r="A36" s="48" t="s">
        <v>348</v>
      </c>
      <c r="B36" s="266">
        <f>((A30-A6)/30)/12</f>
        <v>6.0888888888888886</v>
      </c>
      <c r="C36" s="77">
        <f>((C30/C6)^(1/$B36))-1</f>
        <v>0.82778613169286852</v>
      </c>
      <c r="D36" s="77">
        <f>((D30/D6)^(1/$B36))-1</f>
        <v>0.17561962751747129</v>
      </c>
      <c r="E36" s="77">
        <f>((E30/E6)^(1/$B36))-1</f>
        <v>0.25900022618908292</v>
      </c>
      <c r="F36" s="77">
        <f>((F30/F6)^(1/$B36))-1</f>
        <v>-0.20686467392245544</v>
      </c>
    </row>
    <row r="38" spans="1:6" x14ac:dyDescent="0.55000000000000004">
      <c r="A38" s="48" t="s">
        <v>349</v>
      </c>
      <c r="B38" s="266">
        <f>((A23-A14)/30)/12</f>
        <v>2.2805555555555554</v>
      </c>
      <c r="C38" s="77">
        <f>((C23/C14)^(1/$B38))-1</f>
        <v>0.60971814076037756</v>
      </c>
      <c r="D38" s="77">
        <f>((D23/D14)^(1/$B38))-1</f>
        <v>0.16544225394070389</v>
      </c>
      <c r="E38" s="77">
        <f>((E23/E14)^(1/$B38))-1</f>
        <v>0.4171574757452885</v>
      </c>
      <c r="F38" s="77">
        <f>((F23/F14)^(1/$B38))-1</f>
        <v>-6.336292391080045E-2</v>
      </c>
    </row>
    <row r="39" spans="1:6" ht="14.7" thickBot="1" x14ac:dyDescent="0.6">
      <c r="A39" s="275" t="s">
        <v>353</v>
      </c>
      <c r="B39" s="276">
        <f>((A30-A23)/30)/12</f>
        <v>1.7777777777777777</v>
      </c>
      <c r="C39" s="277">
        <f>((C30/C23)^(1/$B35))-1</f>
        <v>2.657778292967206</v>
      </c>
      <c r="D39" s="277">
        <f>((D30/D23)^(1/$B35))-1</f>
        <v>0.22082635438182718</v>
      </c>
      <c r="E39" s="277">
        <f>((E30/E23)^(1/$B35))-1</f>
        <v>0.47878777405790118</v>
      </c>
      <c r="F39" s="277">
        <f>((F30/F23)^(1/$B35))-1</f>
        <v>-0.29708540317131471</v>
      </c>
    </row>
    <row r="40" spans="1:6" x14ac:dyDescent="0.55000000000000004">
      <c r="A40" s="48" t="s">
        <v>354</v>
      </c>
      <c r="B40" s="266">
        <f>((A30-A14)/30)/12</f>
        <v>4.0583333333333336</v>
      </c>
      <c r="C40" s="77">
        <f>((C30/C14)^(1/$B40))-1</f>
        <v>1.3062300567005116</v>
      </c>
      <c r="D40" s="77">
        <f>((D30/D14)^(1/$B40))-1</f>
        <v>0.18938743191138663</v>
      </c>
      <c r="E40" s="77">
        <f>((E30/E14)^(1/$B40))-1</f>
        <v>0.44383238758723165</v>
      </c>
      <c r="F40" s="77">
        <f>((F30/F14)^(1/$B40))-1</f>
        <v>-0.1740392291552314</v>
      </c>
    </row>
    <row r="41" spans="1:6" x14ac:dyDescent="0.55000000000000004">
      <c r="B41" s="48"/>
    </row>
    <row r="42" spans="1:6" x14ac:dyDescent="0.55000000000000004">
      <c r="B42" s="48"/>
    </row>
    <row r="43" spans="1:6" x14ac:dyDescent="0.55000000000000004">
      <c r="B43" s="48"/>
    </row>
    <row r="44" spans="1:6" x14ac:dyDescent="0.55000000000000004">
      <c r="B44" s="48"/>
    </row>
    <row r="45" spans="1:6" x14ac:dyDescent="0.55000000000000004">
      <c r="B45" s="48"/>
    </row>
    <row r="46" spans="1:6" x14ac:dyDescent="0.55000000000000004">
      <c r="B46" s="48"/>
    </row>
    <row r="47" spans="1:6" x14ac:dyDescent="0.55000000000000004">
      <c r="B47" s="48"/>
    </row>
    <row r="48" spans="1:6" x14ac:dyDescent="0.55000000000000004">
      <c r="B48" s="48"/>
    </row>
    <row r="49" spans="2:2" x14ac:dyDescent="0.55000000000000004">
      <c r="B49" s="48"/>
    </row>
    <row r="50" spans="2:2" x14ac:dyDescent="0.55000000000000004">
      <c r="B50" s="48"/>
    </row>
    <row r="51" spans="2:2" x14ac:dyDescent="0.55000000000000004">
      <c r="B51" s="48"/>
    </row>
    <row r="52" spans="2:2" x14ac:dyDescent="0.55000000000000004">
      <c r="B52" s="48"/>
    </row>
    <row r="53" spans="2:2" x14ac:dyDescent="0.55000000000000004">
      <c r="B53" s="48"/>
    </row>
    <row r="54" spans="2:2" x14ac:dyDescent="0.55000000000000004">
      <c r="B54" s="48"/>
    </row>
    <row r="55" spans="2:2" x14ac:dyDescent="0.55000000000000004">
      <c r="B55" s="48"/>
    </row>
    <row r="56" spans="2:2" x14ac:dyDescent="0.55000000000000004">
      <c r="B56" s="48"/>
    </row>
    <row r="57" spans="2:2" x14ac:dyDescent="0.55000000000000004">
      <c r="B57" s="48"/>
    </row>
    <row r="58" spans="2:2" x14ac:dyDescent="0.55000000000000004">
      <c r="B58" s="48"/>
    </row>
    <row r="59" spans="2:2" x14ac:dyDescent="0.55000000000000004">
      <c r="B59" s="48"/>
    </row>
  </sheetData>
  <phoneticPr fontId="1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K27"/>
  <sheetViews>
    <sheetView workbookViewId="0">
      <selection activeCell="P32" sqref="P32"/>
    </sheetView>
  </sheetViews>
  <sheetFormatPr baseColWidth="10" defaultRowHeight="12.3" x14ac:dyDescent="0.4"/>
  <cols>
    <col min="1" max="1" width="11.27734375" style="152" bestFit="1" customWidth="1"/>
    <col min="2" max="2" width="8.609375" customWidth="1"/>
    <col min="3" max="3" width="9.38671875" customWidth="1"/>
    <col min="4" max="5" width="8.609375" customWidth="1"/>
    <col min="6" max="6" width="2.38671875" customWidth="1"/>
    <col min="8" max="11" width="8.6640625" customWidth="1"/>
  </cols>
  <sheetData>
    <row r="2" spans="1:11" x14ac:dyDescent="0.4">
      <c r="A2" s="157" t="s">
        <v>211</v>
      </c>
      <c r="B2" s="157" t="s">
        <v>292</v>
      </c>
      <c r="C2" s="157" t="s">
        <v>254</v>
      </c>
      <c r="D2" s="157" t="s">
        <v>7</v>
      </c>
      <c r="E2" s="157" t="s">
        <v>286</v>
      </c>
      <c r="G2" s="157" t="s">
        <v>211</v>
      </c>
      <c r="H2" s="157" t="s">
        <v>292</v>
      </c>
      <c r="I2" s="157" t="s">
        <v>254</v>
      </c>
      <c r="J2" s="157" t="s">
        <v>7</v>
      </c>
      <c r="K2" s="157" t="s">
        <v>286</v>
      </c>
    </row>
    <row r="3" spans="1:11" x14ac:dyDescent="0.4">
      <c r="A3" s="278">
        <v>33603</v>
      </c>
      <c r="B3" s="154">
        <v>0.26440000000000002</v>
      </c>
      <c r="C3" s="160">
        <v>586.34002699999996</v>
      </c>
      <c r="D3" s="154">
        <v>8.2123069999999991</v>
      </c>
      <c r="E3" s="154">
        <v>1.6685700000000001</v>
      </c>
      <c r="G3" s="278">
        <v>33603</v>
      </c>
      <c r="H3" s="158">
        <f>B3/B$3</f>
        <v>1</v>
      </c>
      <c r="I3" s="158">
        <f>C3/C$3</f>
        <v>1</v>
      </c>
      <c r="J3" s="158">
        <f>D3/D$3</f>
        <v>1</v>
      </c>
      <c r="K3" s="158">
        <f>E3/E$3</f>
        <v>1</v>
      </c>
    </row>
    <row r="4" spans="1:11" x14ac:dyDescent="0.4">
      <c r="A4" s="278">
        <v>33694</v>
      </c>
      <c r="B4" s="154">
        <v>0.37540000000000001</v>
      </c>
      <c r="C4" s="160">
        <v>603.77002000000005</v>
      </c>
      <c r="D4" s="154">
        <v>8.1363679999999992</v>
      </c>
      <c r="E4" s="154">
        <v>1.727295</v>
      </c>
      <c r="G4" s="278">
        <v>33694</v>
      </c>
      <c r="H4" s="158">
        <f t="shared" ref="H4:H27" si="0">B4/B$3</f>
        <v>1.4198184568835097</v>
      </c>
      <c r="I4" s="158">
        <f t="shared" ref="I4:I27" si="1">C4/C$3</f>
        <v>1.0297267663768077</v>
      </c>
      <c r="J4" s="158">
        <f t="shared" ref="J4:J27" si="2">D4/D$3</f>
        <v>0.99075302469817561</v>
      </c>
      <c r="K4" s="158">
        <f t="shared" ref="K4:K27" si="3">E4/E$3</f>
        <v>1.035194807529801</v>
      </c>
    </row>
    <row r="5" spans="1:11" x14ac:dyDescent="0.4">
      <c r="A5" s="278">
        <v>33785</v>
      </c>
      <c r="B5" s="154">
        <v>0.28050000000000003</v>
      </c>
      <c r="C5" s="160">
        <v>563.59997599999997</v>
      </c>
      <c r="D5" s="154">
        <v>10.058462</v>
      </c>
      <c r="E5" s="154">
        <v>1.4262170000000001</v>
      </c>
      <c r="G5" s="278">
        <v>33785</v>
      </c>
      <c r="H5" s="158">
        <f t="shared" si="0"/>
        <v>1.0608925869894099</v>
      </c>
      <c r="I5" s="158">
        <f t="shared" si="1"/>
        <v>0.96121695611273694</v>
      </c>
      <c r="J5" s="158">
        <f t="shared" si="2"/>
        <v>1.2248034565682946</v>
      </c>
      <c r="K5" s="158">
        <f t="shared" si="3"/>
        <v>0.85475407085108801</v>
      </c>
    </row>
    <row r="6" spans="1:11" x14ac:dyDescent="0.4">
      <c r="A6" s="278">
        <v>33877</v>
      </c>
      <c r="B6" s="154">
        <v>0.44309999999999999</v>
      </c>
      <c r="C6" s="160">
        <v>583.27002000000005</v>
      </c>
      <c r="D6" s="154">
        <v>8.7613610000000008</v>
      </c>
      <c r="E6" s="154">
        <v>1.344401</v>
      </c>
      <c r="G6" s="278">
        <v>33877</v>
      </c>
      <c r="H6" s="158">
        <f t="shared" si="0"/>
        <v>1.6758698940998484</v>
      </c>
      <c r="I6" s="158">
        <f t="shared" si="1"/>
        <v>0.994764118329585</v>
      </c>
      <c r="J6" s="158">
        <f t="shared" si="2"/>
        <v>1.066857461612188</v>
      </c>
      <c r="K6" s="158">
        <f t="shared" si="3"/>
        <v>0.80572046722642732</v>
      </c>
    </row>
    <row r="7" spans="1:11" x14ac:dyDescent="0.4">
      <c r="A7" s="278">
        <v>33969</v>
      </c>
      <c r="B7" s="154">
        <v>0.74299999999999999</v>
      </c>
      <c r="C7" s="160">
        <v>676.95001200000002</v>
      </c>
      <c r="D7" s="154">
        <v>5.8828680000000002</v>
      </c>
      <c r="E7" s="154">
        <v>1.7839149999999999</v>
      </c>
      <c r="G7" s="278">
        <v>33969</v>
      </c>
      <c r="H7" s="158">
        <f t="shared" si="0"/>
        <v>2.8101361573373675</v>
      </c>
      <c r="I7" s="158">
        <f t="shared" si="1"/>
        <v>1.1545348787862986</v>
      </c>
      <c r="J7" s="158">
        <f t="shared" si="2"/>
        <v>0.71634779362242551</v>
      </c>
      <c r="K7" s="158">
        <f t="shared" si="3"/>
        <v>1.0691280557603215</v>
      </c>
    </row>
    <row r="8" spans="1:11" x14ac:dyDescent="0.4">
      <c r="A8" s="278">
        <v>34059</v>
      </c>
      <c r="B8" s="154">
        <v>0.54359999999999997</v>
      </c>
      <c r="C8" s="160">
        <v>690.13000499999998</v>
      </c>
      <c r="D8" s="154">
        <v>6.2033449999999997</v>
      </c>
      <c r="E8" s="154">
        <v>1.5409569999999999</v>
      </c>
      <c r="G8" s="278">
        <v>34059</v>
      </c>
      <c r="H8" s="158">
        <f t="shared" si="0"/>
        <v>2.0559757942511343</v>
      </c>
      <c r="I8" s="158">
        <f t="shared" si="1"/>
        <v>1.1770132912996574</v>
      </c>
      <c r="J8" s="158">
        <f t="shared" si="2"/>
        <v>0.75537178529735927</v>
      </c>
      <c r="K8" s="158">
        <f t="shared" si="3"/>
        <v>0.92351954068453812</v>
      </c>
    </row>
    <row r="9" spans="1:11" x14ac:dyDescent="0.4">
      <c r="A9" s="278">
        <v>34150</v>
      </c>
      <c r="B9" s="154">
        <v>0.29020000000000001</v>
      </c>
      <c r="C9" s="160">
        <v>703.95001200000002</v>
      </c>
      <c r="D9" s="154">
        <v>6.2958699999999999</v>
      </c>
      <c r="E9" s="154">
        <v>1.184374</v>
      </c>
      <c r="G9" s="278">
        <v>34150</v>
      </c>
      <c r="H9" s="158">
        <f t="shared" si="0"/>
        <v>1.0975794251134643</v>
      </c>
      <c r="I9" s="158">
        <f t="shared" si="1"/>
        <v>1.2005832445070308</v>
      </c>
      <c r="J9" s="158">
        <f t="shared" si="2"/>
        <v>0.76663841232433227</v>
      </c>
      <c r="K9" s="158">
        <f t="shared" si="3"/>
        <v>0.70981379264879507</v>
      </c>
    </row>
    <row r="10" spans="1:11" x14ac:dyDescent="0.4">
      <c r="A10" s="278">
        <v>34242</v>
      </c>
      <c r="B10" s="154">
        <v>0.25729999999999997</v>
      </c>
      <c r="C10" s="160">
        <v>762.78002900000001</v>
      </c>
      <c r="D10" s="154">
        <v>5.478942</v>
      </c>
      <c r="E10" s="154">
        <v>0.70396800000000004</v>
      </c>
      <c r="G10" s="278">
        <v>34242</v>
      </c>
      <c r="H10" s="158">
        <f t="shared" si="0"/>
        <v>0.97314674735249607</v>
      </c>
      <c r="I10" s="158">
        <f t="shared" si="1"/>
        <v>1.3009175459208417</v>
      </c>
      <c r="J10" s="158">
        <f t="shared" si="2"/>
        <v>0.66716234548951969</v>
      </c>
      <c r="K10" s="158">
        <f t="shared" si="3"/>
        <v>0.42189899135187614</v>
      </c>
    </row>
    <row r="11" spans="1:11" x14ac:dyDescent="0.4">
      <c r="A11" s="279">
        <v>34334</v>
      </c>
      <c r="B11" s="154">
        <v>0.35020000000000001</v>
      </c>
      <c r="C11" s="160">
        <v>776.79998799999998</v>
      </c>
      <c r="D11" s="154">
        <v>7.5186339999999996</v>
      </c>
      <c r="E11" s="154">
        <v>0.88407199999999997</v>
      </c>
      <c r="G11" s="279">
        <v>34334</v>
      </c>
      <c r="H11" s="158">
        <f t="shared" si="0"/>
        <v>1.3245083207261723</v>
      </c>
      <c r="I11" s="158">
        <f t="shared" si="1"/>
        <v>1.3248285162697924</v>
      </c>
      <c r="J11" s="158">
        <f t="shared" si="2"/>
        <v>0.91553250505613104</v>
      </c>
      <c r="K11" s="158">
        <f t="shared" si="3"/>
        <v>0.52983812486140824</v>
      </c>
    </row>
    <row r="12" spans="1:11" x14ac:dyDescent="0.4">
      <c r="A12" s="279">
        <v>34424</v>
      </c>
      <c r="B12" s="154">
        <v>0.39079999999999998</v>
      </c>
      <c r="C12" s="160">
        <v>743.46002199999998</v>
      </c>
      <c r="D12" s="154">
        <v>7.4018899999999999</v>
      </c>
      <c r="E12" s="154">
        <v>1.0085869999999999</v>
      </c>
      <c r="G12" s="279">
        <v>34424</v>
      </c>
      <c r="H12" s="158">
        <f t="shared" si="0"/>
        <v>1.4780635400907713</v>
      </c>
      <c r="I12" s="158">
        <f t="shared" si="1"/>
        <v>1.2679673700666525</v>
      </c>
      <c r="J12" s="158">
        <f t="shared" si="2"/>
        <v>0.90131676762692881</v>
      </c>
      <c r="K12" s="158">
        <f t="shared" si="3"/>
        <v>0.6044619045050551</v>
      </c>
    </row>
    <row r="13" spans="1:11" x14ac:dyDescent="0.4">
      <c r="A13" s="279">
        <v>34515</v>
      </c>
      <c r="B13" s="154">
        <v>0.40820000000000001</v>
      </c>
      <c r="C13" s="160">
        <v>705.96002199999998</v>
      </c>
      <c r="D13" s="154">
        <v>8.1011220000000002</v>
      </c>
      <c r="E13" s="154">
        <v>0.80701500000000004</v>
      </c>
      <c r="G13" s="279">
        <v>34515</v>
      </c>
      <c r="H13" s="158">
        <f t="shared" si="0"/>
        <v>1.5438729198184569</v>
      </c>
      <c r="I13" s="158">
        <f t="shared" si="1"/>
        <v>1.2040113065656355</v>
      </c>
      <c r="J13" s="158">
        <f t="shared" si="2"/>
        <v>0.98646117345588769</v>
      </c>
      <c r="K13" s="158">
        <f t="shared" si="3"/>
        <v>0.48365666408960967</v>
      </c>
    </row>
    <row r="14" spans="1:11" x14ac:dyDescent="0.4">
      <c r="A14" s="279">
        <v>34607</v>
      </c>
      <c r="B14" s="154">
        <v>0.57950000000000002</v>
      </c>
      <c r="C14" s="160">
        <v>764.28997800000002</v>
      </c>
      <c r="D14" s="154">
        <v>9.7555460000000007</v>
      </c>
      <c r="E14" s="154">
        <v>1.0294559999999999</v>
      </c>
      <c r="G14" s="279">
        <v>34607</v>
      </c>
      <c r="H14" s="158">
        <f t="shared" si="0"/>
        <v>2.1917549167927382</v>
      </c>
      <c r="I14" s="158">
        <f t="shared" si="1"/>
        <v>1.3034927564309029</v>
      </c>
      <c r="J14" s="158">
        <f t="shared" si="2"/>
        <v>1.187917840869807</v>
      </c>
      <c r="K14" s="158">
        <f t="shared" si="3"/>
        <v>0.61696902137758669</v>
      </c>
    </row>
    <row r="15" spans="1:11" x14ac:dyDescent="0.4">
      <c r="A15" s="279">
        <v>34699</v>
      </c>
      <c r="B15" s="154">
        <v>0.63460000000000005</v>
      </c>
      <c r="C15" s="160">
        <v>751.96002199999998</v>
      </c>
      <c r="D15" s="154">
        <v>10.440536</v>
      </c>
      <c r="E15" s="154">
        <v>1.1953910000000001</v>
      </c>
      <c r="G15" s="279">
        <v>34699</v>
      </c>
      <c r="H15" s="158">
        <f t="shared" si="0"/>
        <v>2.4001512859304084</v>
      </c>
      <c r="I15" s="158">
        <f t="shared" si="1"/>
        <v>1.2824640777935497</v>
      </c>
      <c r="J15" s="158">
        <f t="shared" si="2"/>
        <v>1.2713280202505826</v>
      </c>
      <c r="K15" s="158">
        <f t="shared" si="3"/>
        <v>0.71641645241134622</v>
      </c>
    </row>
    <row r="16" spans="1:11" x14ac:dyDescent="0.4">
      <c r="A16" s="279">
        <v>34789</v>
      </c>
      <c r="B16" s="154">
        <v>0.68110000000000004</v>
      </c>
      <c r="C16" s="160">
        <v>817.21002199999998</v>
      </c>
      <c r="D16" s="154">
        <v>11.824153000000001</v>
      </c>
      <c r="E16" s="154">
        <v>1.0834239999999999</v>
      </c>
      <c r="G16" s="279">
        <v>34789</v>
      </c>
      <c r="H16" s="158">
        <f t="shared" si="0"/>
        <v>2.5760211800302573</v>
      </c>
      <c r="I16" s="158">
        <f t="shared" si="1"/>
        <v>1.3937476282853192</v>
      </c>
      <c r="J16" s="158">
        <f t="shared" si="2"/>
        <v>1.4398089355402814</v>
      </c>
      <c r="K16" s="158">
        <f t="shared" si="3"/>
        <v>0.64931288468568882</v>
      </c>
    </row>
    <row r="17" spans="1:11" x14ac:dyDescent="0.4">
      <c r="A17" s="279">
        <v>34880</v>
      </c>
      <c r="B17" s="154">
        <v>0.93059999999999998</v>
      </c>
      <c r="C17" s="160">
        <v>933.45001200000002</v>
      </c>
      <c r="D17" s="154">
        <v>13.970062</v>
      </c>
      <c r="E17" s="154">
        <v>1.431241</v>
      </c>
      <c r="G17" s="279">
        <v>34880</v>
      </c>
      <c r="H17" s="158">
        <f t="shared" si="0"/>
        <v>3.5196671709531011</v>
      </c>
      <c r="I17" s="158">
        <f t="shared" si="1"/>
        <v>1.5919943531332548</v>
      </c>
      <c r="J17" s="158">
        <f t="shared" si="2"/>
        <v>1.701112975927471</v>
      </c>
      <c r="K17" s="158">
        <f t="shared" si="3"/>
        <v>0.85776503233307555</v>
      </c>
    </row>
    <row r="18" spans="1:11" x14ac:dyDescent="0.4">
      <c r="A18" s="279">
        <v>34971</v>
      </c>
      <c r="B18" s="154">
        <v>1.3157000000000001</v>
      </c>
      <c r="C18" s="160">
        <v>1043.540039</v>
      </c>
      <c r="D18" s="154">
        <v>13.879258999999999</v>
      </c>
      <c r="E18" s="154">
        <v>1.151213</v>
      </c>
      <c r="G18" s="279">
        <v>34971</v>
      </c>
      <c r="H18" s="158">
        <f t="shared" si="0"/>
        <v>4.9761724659606656</v>
      </c>
      <c r="I18" s="158">
        <f t="shared" si="1"/>
        <v>1.7797523466703391</v>
      </c>
      <c r="J18" s="158">
        <f t="shared" si="2"/>
        <v>1.6900560341935587</v>
      </c>
      <c r="K18" s="158">
        <f t="shared" si="3"/>
        <v>0.68993988864716493</v>
      </c>
    </row>
    <row r="19" spans="1:11" x14ac:dyDescent="0.4">
      <c r="A19" s="279">
        <v>35062</v>
      </c>
      <c r="B19" s="154">
        <v>1.0719000000000001</v>
      </c>
      <c r="C19" s="160">
        <v>1052.130005</v>
      </c>
      <c r="D19" s="154">
        <v>13.557581000000001</v>
      </c>
      <c r="E19" s="154">
        <v>0.98817200000000005</v>
      </c>
      <c r="G19" s="279">
        <v>35062</v>
      </c>
      <c r="H19" s="158">
        <f t="shared" si="0"/>
        <v>4.0540847201210291</v>
      </c>
      <c r="I19" s="158">
        <f t="shared" si="1"/>
        <v>1.794402490962808</v>
      </c>
      <c r="J19" s="158">
        <f t="shared" si="2"/>
        <v>1.6508857985947192</v>
      </c>
      <c r="K19" s="158">
        <f t="shared" si="3"/>
        <v>0.59222687690657272</v>
      </c>
    </row>
    <row r="20" spans="1:11" x14ac:dyDescent="0.4">
      <c r="A20" s="279">
        <v>35155</v>
      </c>
      <c r="B20" s="154">
        <v>1.0370999999999999</v>
      </c>
      <c r="C20" s="160">
        <v>1101.400024</v>
      </c>
      <c r="D20" s="154">
        <v>16.651615</v>
      </c>
      <c r="E20" s="154">
        <v>0.76147299999999996</v>
      </c>
      <c r="G20" s="279">
        <v>35155</v>
      </c>
      <c r="H20" s="158">
        <f t="shared" si="0"/>
        <v>3.9224659606656576</v>
      </c>
      <c r="I20" s="158">
        <f t="shared" si="1"/>
        <v>1.8784322633324164</v>
      </c>
      <c r="J20" s="158">
        <f t="shared" si="2"/>
        <v>2.0276415628397721</v>
      </c>
      <c r="K20" s="158">
        <f t="shared" si="3"/>
        <v>0.45636263387211801</v>
      </c>
    </row>
    <row r="21" spans="1:11" x14ac:dyDescent="0.4">
      <c r="A21" s="280">
        <v>35246</v>
      </c>
      <c r="B21" s="154">
        <v>1.5749</v>
      </c>
      <c r="C21" s="160">
        <v>1185.0200199999999</v>
      </c>
      <c r="D21" s="154">
        <v>15.016633000000001</v>
      </c>
      <c r="E21" s="154">
        <v>0.65103100000000003</v>
      </c>
      <c r="G21" s="280">
        <v>35246</v>
      </c>
      <c r="H21" s="158">
        <f t="shared" si="0"/>
        <v>5.9565052950075632</v>
      </c>
      <c r="I21" s="158">
        <f t="shared" si="1"/>
        <v>2.0210457506425703</v>
      </c>
      <c r="J21" s="158">
        <f t="shared" si="2"/>
        <v>1.8285523178809562</v>
      </c>
      <c r="K21" s="158">
        <f t="shared" si="3"/>
        <v>0.39017302240840956</v>
      </c>
    </row>
    <row r="22" spans="1:11" x14ac:dyDescent="0.4">
      <c r="A22" s="280">
        <v>35338</v>
      </c>
      <c r="B22" s="154">
        <v>2.4068999999999998</v>
      </c>
      <c r="C22" s="160">
        <v>1226.920044</v>
      </c>
      <c r="D22" s="154">
        <v>19.128838999999999</v>
      </c>
      <c r="E22" s="154">
        <v>0.68784500000000004</v>
      </c>
      <c r="G22" s="280">
        <v>35338</v>
      </c>
      <c r="H22" s="158">
        <f t="shared" si="0"/>
        <v>9.1032526475037798</v>
      </c>
      <c r="I22" s="158">
        <f t="shared" si="1"/>
        <v>2.0925060331929206</v>
      </c>
      <c r="J22" s="158">
        <f t="shared" si="2"/>
        <v>2.3292893215024719</v>
      </c>
      <c r="K22" s="158">
        <f t="shared" si="3"/>
        <v>0.41223622622964573</v>
      </c>
    </row>
    <row r="23" spans="1:11" x14ac:dyDescent="0.4">
      <c r="A23" s="280">
        <v>35430</v>
      </c>
      <c r="B23" s="154">
        <v>3.2892000000000001</v>
      </c>
      <c r="C23" s="160">
        <v>1291.030029</v>
      </c>
      <c r="D23" s="154">
        <v>23.530172</v>
      </c>
      <c r="E23" s="154">
        <v>0.64715500000000004</v>
      </c>
      <c r="G23" s="280">
        <v>35430</v>
      </c>
      <c r="H23" s="158">
        <f t="shared" si="0"/>
        <v>12.440242057488653</v>
      </c>
      <c r="I23" s="158">
        <f t="shared" si="1"/>
        <v>2.201845293771834</v>
      </c>
      <c r="J23" s="158">
        <f t="shared" si="2"/>
        <v>2.8652328754879721</v>
      </c>
      <c r="K23" s="158">
        <f t="shared" si="3"/>
        <v>0.38785007521410547</v>
      </c>
    </row>
    <row r="24" spans="1:11" x14ac:dyDescent="0.4">
      <c r="A24" s="280">
        <v>35520</v>
      </c>
      <c r="B24" s="154">
        <v>4.1818999999999997</v>
      </c>
      <c r="C24" s="160">
        <v>1221.6999510000001</v>
      </c>
      <c r="D24" s="154">
        <v>21.519480000000001</v>
      </c>
      <c r="E24" s="154">
        <v>0.56577699999999997</v>
      </c>
      <c r="G24" s="280">
        <v>35520</v>
      </c>
      <c r="H24" s="158">
        <f t="shared" si="0"/>
        <v>15.816565809379725</v>
      </c>
      <c r="I24" s="158">
        <f t="shared" si="1"/>
        <v>2.0836031905425418</v>
      </c>
      <c r="J24" s="158">
        <f t="shared" si="2"/>
        <v>2.6203940013445677</v>
      </c>
      <c r="K24" s="158">
        <f t="shared" si="3"/>
        <v>0.33907897181418817</v>
      </c>
    </row>
    <row r="25" spans="1:11" x14ac:dyDescent="0.4">
      <c r="A25" s="280">
        <v>35611</v>
      </c>
      <c r="B25" s="154">
        <v>7.2709999999999999</v>
      </c>
      <c r="C25" s="160">
        <v>1442.0699460000001</v>
      </c>
      <c r="D25" s="154">
        <v>28.576948000000002</v>
      </c>
      <c r="E25" s="154">
        <v>0.44177100000000002</v>
      </c>
      <c r="G25" s="280">
        <v>35611</v>
      </c>
      <c r="H25" s="158">
        <f t="shared" si="0"/>
        <v>27.499999999999996</v>
      </c>
      <c r="I25" s="158">
        <f t="shared" si="1"/>
        <v>2.4594431210475762</v>
      </c>
      <c r="J25" s="158">
        <f t="shared" si="2"/>
        <v>3.47977103145316</v>
      </c>
      <c r="K25" s="158">
        <f t="shared" si="3"/>
        <v>0.26476024380157859</v>
      </c>
    </row>
    <row r="26" spans="1:11" x14ac:dyDescent="0.4">
      <c r="A26" s="280">
        <v>35703</v>
      </c>
      <c r="B26" s="154">
        <v>11.995799999999999</v>
      </c>
      <c r="C26" s="160">
        <v>1685.6899410000001</v>
      </c>
      <c r="D26" s="154">
        <v>33.688972</v>
      </c>
      <c r="E26" s="154">
        <v>0.67234400000000005</v>
      </c>
      <c r="G26" s="280">
        <v>35703</v>
      </c>
      <c r="H26" s="158">
        <f t="shared" si="0"/>
        <v>45.369894099848707</v>
      </c>
      <c r="I26" s="158">
        <f t="shared" si="1"/>
        <v>2.8749358109232412</v>
      </c>
      <c r="J26" s="158">
        <f t="shared" si="2"/>
        <v>4.1022543360836368</v>
      </c>
      <c r="K26" s="158">
        <f t="shared" si="3"/>
        <v>0.40294623539917412</v>
      </c>
    </row>
    <row r="27" spans="1:11" x14ac:dyDescent="0.4">
      <c r="A27" s="280">
        <v>35795</v>
      </c>
      <c r="B27" s="154">
        <v>10.4015</v>
      </c>
      <c r="C27" s="160">
        <v>1570.349976</v>
      </c>
      <c r="D27" s="154">
        <v>33.381912</v>
      </c>
      <c r="E27" s="154">
        <v>0.40689399999999998</v>
      </c>
      <c r="G27" s="280">
        <v>35795</v>
      </c>
      <c r="H27" s="158">
        <f t="shared" si="0"/>
        <v>39.340015128593038</v>
      </c>
      <c r="I27" s="158">
        <f t="shared" si="1"/>
        <v>2.6782240742367058</v>
      </c>
      <c r="J27" s="158">
        <f t="shared" si="2"/>
        <v>4.0648641118750195</v>
      </c>
      <c r="K27" s="158">
        <f t="shared" si="3"/>
        <v>0.24385791426191286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1529"/>
  <sheetViews>
    <sheetView workbookViewId="0">
      <selection activeCell="H21" sqref="H21"/>
    </sheetView>
  </sheetViews>
  <sheetFormatPr baseColWidth="10" defaultRowHeight="12.3" x14ac:dyDescent="0.4"/>
  <cols>
    <col min="2" max="2" width="4.94140625" style="158" customWidth="1"/>
    <col min="3" max="3" width="10.6640625" style="158"/>
    <col min="4" max="4" width="4.94140625" customWidth="1"/>
    <col min="6" max="6" width="4.94140625" customWidth="1"/>
  </cols>
  <sheetData>
    <row r="1" spans="1:19" x14ac:dyDescent="0.4">
      <c r="C1" s="173" t="s">
        <v>254</v>
      </c>
      <c r="D1" s="3"/>
      <c r="E1" s="33" t="s">
        <v>7</v>
      </c>
      <c r="F1" s="3"/>
      <c r="G1" s="3" t="s">
        <v>286</v>
      </c>
      <c r="J1" s="152" t="s">
        <v>287</v>
      </c>
    </row>
    <row r="2" spans="1:19" x14ac:dyDescent="0.4">
      <c r="E2" s="9"/>
    </row>
    <row r="3" spans="1:19" x14ac:dyDescent="0.4">
      <c r="A3" s="167" t="s">
        <v>211</v>
      </c>
      <c r="B3" s="168"/>
      <c r="C3" s="168" t="s">
        <v>256</v>
      </c>
      <c r="E3" s="167" t="s">
        <v>7</v>
      </c>
      <c r="F3" s="165"/>
      <c r="G3" s="169" t="s">
        <v>290</v>
      </c>
      <c r="J3" s="167" t="s">
        <v>288</v>
      </c>
    </row>
    <row r="4" spans="1:19" ht="14.4" x14ac:dyDescent="0.45">
      <c r="A4" s="164">
        <v>33602</v>
      </c>
      <c r="B4" s="166"/>
      <c r="C4" s="166">
        <v>579.75</v>
      </c>
      <c r="D4" s="160"/>
      <c r="E4" s="166">
        <v>8.3391870000000008</v>
      </c>
      <c r="G4" s="166">
        <v>1.6796690000000001</v>
      </c>
      <c r="J4" s="170" t="s">
        <v>258</v>
      </c>
      <c r="K4" s="171"/>
      <c r="L4" s="171"/>
      <c r="M4" s="171"/>
    </row>
    <row r="5" spans="1:19" ht="14.4" x14ac:dyDescent="0.45">
      <c r="A5" s="164">
        <v>33603</v>
      </c>
      <c r="B5" s="166"/>
      <c r="C5" s="166">
        <v>586.34002699999996</v>
      </c>
      <c r="D5" s="160"/>
      <c r="E5" s="166">
        <v>8.2123069999999991</v>
      </c>
      <c r="G5" s="166">
        <v>1.6685700000000001</v>
      </c>
      <c r="J5" s="170" t="s">
        <v>259</v>
      </c>
      <c r="K5" s="171"/>
      <c r="L5" s="171"/>
      <c r="M5" s="171"/>
    </row>
    <row r="6" spans="1:19" ht="14.4" x14ac:dyDescent="0.45">
      <c r="A6" s="164">
        <v>33605</v>
      </c>
      <c r="B6" s="166"/>
      <c r="C6" s="166">
        <v>586.45001200000002</v>
      </c>
      <c r="D6" s="160"/>
      <c r="E6" s="166">
        <v>8.3276500000000002</v>
      </c>
      <c r="G6" s="166">
        <v>1.7610619999999999</v>
      </c>
      <c r="J6" s="170" t="s">
        <v>260</v>
      </c>
      <c r="K6" s="171"/>
      <c r="L6" s="171"/>
      <c r="M6" s="171"/>
    </row>
    <row r="7" spans="1:19" ht="14.4" x14ac:dyDescent="0.45">
      <c r="A7" s="164">
        <v>33606</v>
      </c>
      <c r="B7" s="166"/>
      <c r="C7" s="166">
        <v>592.65002400000003</v>
      </c>
      <c r="D7" s="160"/>
      <c r="E7" s="166">
        <v>8.3391870000000008</v>
      </c>
      <c r="G7" s="166">
        <v>1.7462629999999999</v>
      </c>
      <c r="J7" s="170" t="s">
        <v>261</v>
      </c>
      <c r="K7" s="171"/>
      <c r="L7" s="171"/>
      <c r="M7" s="171"/>
    </row>
    <row r="8" spans="1:19" ht="13.8" x14ac:dyDescent="0.45">
      <c r="A8" s="164">
        <v>33609</v>
      </c>
      <c r="B8" s="166"/>
      <c r="C8" s="166">
        <v>597.90002400000003</v>
      </c>
      <c r="D8" s="160"/>
      <c r="E8" s="166">
        <v>8.5121979999999997</v>
      </c>
      <c r="G8" s="166">
        <v>1.716666</v>
      </c>
      <c r="J8" s="172"/>
      <c r="K8" s="171"/>
      <c r="L8" s="171"/>
      <c r="M8" s="171"/>
      <c r="R8" s="152" t="s">
        <v>289</v>
      </c>
      <c r="S8" s="152" t="s">
        <v>291</v>
      </c>
    </row>
    <row r="9" spans="1:19" ht="14.4" x14ac:dyDescent="0.45">
      <c r="A9" s="164">
        <v>33610</v>
      </c>
      <c r="B9" s="166"/>
      <c r="C9" s="166">
        <v>602.28997800000002</v>
      </c>
      <c r="D9" s="160"/>
      <c r="E9" s="166">
        <v>8.7313480000000006</v>
      </c>
      <c r="G9" s="166">
        <v>1.7499629999999999</v>
      </c>
      <c r="J9" s="170" t="s">
        <v>262</v>
      </c>
      <c r="K9" s="171"/>
      <c r="L9" s="171"/>
      <c r="M9" s="171"/>
      <c r="Q9" s="153">
        <v>33694</v>
      </c>
      <c r="R9" s="166">
        <v>3.5</v>
      </c>
      <c r="S9" s="160">
        <f>R9/(0.07*4)</f>
        <v>12.499999999999998</v>
      </c>
    </row>
    <row r="10" spans="1:19" ht="14.4" x14ac:dyDescent="0.45">
      <c r="A10" s="164">
        <v>33611</v>
      </c>
      <c r="B10" s="166"/>
      <c r="C10" s="166">
        <v>610.32000700000003</v>
      </c>
      <c r="D10" s="160"/>
      <c r="E10" s="166">
        <v>8.5237350000000003</v>
      </c>
      <c r="G10" s="166">
        <v>1.7906599999999999</v>
      </c>
      <c r="J10" s="170" t="s">
        <v>263</v>
      </c>
      <c r="K10" s="171"/>
      <c r="L10" s="171"/>
      <c r="M10" s="171"/>
      <c r="Q10" s="153">
        <v>33785</v>
      </c>
      <c r="R10" s="166">
        <v>3.3250000000000002</v>
      </c>
    </row>
    <row r="11" spans="1:19" ht="14.4" x14ac:dyDescent="0.45">
      <c r="A11" s="164">
        <v>33612</v>
      </c>
      <c r="B11" s="166"/>
      <c r="C11" s="166">
        <v>619.79998799999998</v>
      </c>
      <c r="D11" s="160"/>
      <c r="E11" s="166">
        <v>8.4199230000000007</v>
      </c>
      <c r="G11" s="166">
        <v>1.8424560000000001</v>
      </c>
      <c r="J11" s="170" t="s">
        <v>264</v>
      </c>
      <c r="K11" s="171"/>
      <c r="L11" s="171"/>
      <c r="M11" s="171"/>
      <c r="Q11" s="153">
        <v>33877</v>
      </c>
      <c r="R11" s="166">
        <v>4.45</v>
      </c>
    </row>
    <row r="12" spans="1:19" ht="14.4" x14ac:dyDescent="0.45">
      <c r="A12" s="164">
        <v>33613</v>
      </c>
      <c r="B12" s="166"/>
      <c r="C12" s="166">
        <v>615.70001200000002</v>
      </c>
      <c r="D12" s="160"/>
      <c r="E12" s="166">
        <v>8.3853240000000007</v>
      </c>
      <c r="G12" s="166">
        <v>1.8424560000000001</v>
      </c>
      <c r="J12" s="170" t="s">
        <v>265</v>
      </c>
      <c r="K12" s="171"/>
      <c r="L12" s="171"/>
      <c r="M12" s="171"/>
      <c r="Q12" s="153">
        <v>33969</v>
      </c>
      <c r="R12" s="166">
        <v>6.5</v>
      </c>
    </row>
    <row r="13" spans="1:19" ht="14.4" x14ac:dyDescent="0.45">
      <c r="A13" s="164">
        <v>33616</v>
      </c>
      <c r="B13" s="166"/>
      <c r="C13" s="166">
        <v>617.63000499999998</v>
      </c>
      <c r="D13" s="160"/>
      <c r="E13" s="166">
        <v>8.3276500000000002</v>
      </c>
      <c r="G13" s="166">
        <v>1.8350569999999999</v>
      </c>
      <c r="J13" s="170" t="s">
        <v>266</v>
      </c>
      <c r="K13" s="171"/>
      <c r="L13" s="171"/>
      <c r="M13" s="171"/>
      <c r="Q13" s="153">
        <v>34059</v>
      </c>
      <c r="R13" s="166">
        <v>6.6749999999999998</v>
      </c>
    </row>
    <row r="14" spans="1:19" ht="14.4" x14ac:dyDescent="0.45">
      <c r="A14" s="164">
        <v>33617</v>
      </c>
      <c r="B14" s="166"/>
      <c r="C14" s="166">
        <v>625.75</v>
      </c>
      <c r="D14" s="160"/>
      <c r="E14" s="166">
        <v>8.5237350000000003</v>
      </c>
      <c r="G14" s="166">
        <v>1.9090510000000001</v>
      </c>
      <c r="J14" s="170" t="s">
        <v>267</v>
      </c>
      <c r="K14" s="171"/>
      <c r="L14" s="171"/>
      <c r="M14" s="171"/>
      <c r="Q14" s="153">
        <v>34150</v>
      </c>
      <c r="R14" s="166">
        <v>6.5250000000000004</v>
      </c>
    </row>
    <row r="15" spans="1:19" ht="14.4" x14ac:dyDescent="0.45">
      <c r="A15" s="164">
        <v>33618</v>
      </c>
      <c r="B15" s="166"/>
      <c r="C15" s="166">
        <v>630.82000700000003</v>
      </c>
      <c r="D15" s="160"/>
      <c r="E15" s="166">
        <v>8.800554</v>
      </c>
      <c r="G15" s="166">
        <v>1.879453</v>
      </c>
      <c r="J15" s="170" t="s">
        <v>268</v>
      </c>
      <c r="K15" s="171"/>
      <c r="L15" s="171"/>
      <c r="M15" s="171"/>
      <c r="Q15" s="153">
        <v>34242</v>
      </c>
      <c r="R15" s="166">
        <v>7.85</v>
      </c>
    </row>
    <row r="16" spans="1:19" ht="14.4" x14ac:dyDescent="0.45">
      <c r="A16" s="164">
        <v>33619</v>
      </c>
      <c r="B16" s="166"/>
      <c r="C16" s="166">
        <v>627.34002699999996</v>
      </c>
      <c r="D16" s="160"/>
      <c r="E16" s="166">
        <v>8.8120779999999996</v>
      </c>
      <c r="G16" s="166">
        <v>1.857254</v>
      </c>
      <c r="J16" s="170" t="s">
        <v>269</v>
      </c>
      <c r="K16" s="171"/>
      <c r="L16" s="171"/>
      <c r="M16" s="171"/>
      <c r="Q16" s="153">
        <v>34334</v>
      </c>
      <c r="R16" s="166">
        <v>9.85</v>
      </c>
    </row>
    <row r="17" spans="1:18" ht="14.4" x14ac:dyDescent="0.45">
      <c r="A17" s="164">
        <v>33620</v>
      </c>
      <c r="B17" s="166"/>
      <c r="C17" s="166">
        <v>626.84997599999997</v>
      </c>
      <c r="D17" s="160"/>
      <c r="E17" s="166">
        <v>8.8928220000000007</v>
      </c>
      <c r="G17" s="166">
        <v>1.91645</v>
      </c>
      <c r="J17" s="170" t="s">
        <v>270</v>
      </c>
      <c r="K17" s="171"/>
      <c r="L17" s="171"/>
      <c r="M17" s="171"/>
      <c r="Q17" s="153">
        <v>34424</v>
      </c>
      <c r="R17" s="166">
        <v>13.05</v>
      </c>
    </row>
    <row r="18" spans="1:18" ht="14.4" x14ac:dyDescent="0.45">
      <c r="A18" s="164">
        <v>33623</v>
      </c>
      <c r="B18" s="166"/>
      <c r="C18" s="166">
        <v>619.38000499999998</v>
      </c>
      <c r="D18" s="160"/>
      <c r="E18" s="166">
        <v>8.7890160000000002</v>
      </c>
      <c r="G18" s="166">
        <v>1.894253</v>
      </c>
      <c r="J18" s="170" t="s">
        <v>271</v>
      </c>
      <c r="K18" s="171"/>
      <c r="L18" s="171"/>
      <c r="M18" s="171"/>
      <c r="Q18" s="153">
        <v>34515</v>
      </c>
      <c r="R18" s="166">
        <v>12.95</v>
      </c>
    </row>
    <row r="19" spans="1:18" ht="14.4" x14ac:dyDescent="0.45">
      <c r="A19" s="164">
        <v>33624</v>
      </c>
      <c r="B19" s="166"/>
      <c r="C19" s="166">
        <v>604.86999500000002</v>
      </c>
      <c r="D19" s="160"/>
      <c r="E19" s="166">
        <v>8.5698650000000001</v>
      </c>
      <c r="G19" s="166">
        <v>1.809158</v>
      </c>
      <c r="J19" s="170" t="s">
        <v>272</v>
      </c>
      <c r="K19" s="171"/>
      <c r="L19" s="171"/>
      <c r="M19" s="171"/>
      <c r="Q19" s="153">
        <v>34607</v>
      </c>
      <c r="R19" s="166">
        <v>13.05</v>
      </c>
    </row>
    <row r="20" spans="1:18" ht="14.4" x14ac:dyDescent="0.45">
      <c r="A20" s="164">
        <v>33625</v>
      </c>
      <c r="B20" s="166"/>
      <c r="C20" s="166">
        <v>620.67999299999997</v>
      </c>
      <c r="D20" s="160"/>
      <c r="E20" s="166">
        <v>8.8236190000000008</v>
      </c>
      <c r="G20" s="166">
        <v>1.879453</v>
      </c>
      <c r="J20" s="170" t="s">
        <v>273</v>
      </c>
      <c r="K20" s="171"/>
      <c r="L20" s="171"/>
      <c r="M20" s="171"/>
      <c r="Q20" s="153">
        <v>34699</v>
      </c>
      <c r="R20" s="166">
        <v>15.8</v>
      </c>
    </row>
    <row r="21" spans="1:18" ht="14.4" x14ac:dyDescent="0.45">
      <c r="A21" s="164">
        <v>33626</v>
      </c>
      <c r="B21" s="166"/>
      <c r="C21" s="166">
        <v>622.85998500000005</v>
      </c>
      <c r="D21" s="160"/>
      <c r="E21" s="166">
        <v>8.6275379999999995</v>
      </c>
      <c r="G21" s="166">
        <v>1.9090510000000001</v>
      </c>
      <c r="J21" s="170" t="s">
        <v>274</v>
      </c>
      <c r="K21" s="171"/>
      <c r="L21" s="171"/>
      <c r="M21" s="171"/>
      <c r="Q21" s="153">
        <v>34789</v>
      </c>
      <c r="R21" s="166">
        <v>13.75</v>
      </c>
    </row>
    <row r="22" spans="1:18" ht="14.4" x14ac:dyDescent="0.45">
      <c r="A22" s="164">
        <v>33627</v>
      </c>
      <c r="B22" s="166"/>
      <c r="C22" s="166">
        <v>624.67999299999997</v>
      </c>
      <c r="D22" s="160"/>
      <c r="E22" s="166">
        <v>8.5929339999999996</v>
      </c>
      <c r="G22" s="166">
        <v>1.91275</v>
      </c>
      <c r="J22" s="170" t="s">
        <v>275</v>
      </c>
      <c r="K22" s="171"/>
      <c r="L22" s="171"/>
      <c r="M22" s="171"/>
      <c r="Q22" s="153">
        <v>34880</v>
      </c>
      <c r="R22" s="166">
        <v>18.100000000000001</v>
      </c>
    </row>
    <row r="23" spans="1:18" ht="14.4" x14ac:dyDescent="0.45">
      <c r="A23" s="164">
        <v>33630</v>
      </c>
      <c r="B23" s="166"/>
      <c r="C23" s="166">
        <v>621</v>
      </c>
      <c r="D23" s="160"/>
      <c r="E23" s="166">
        <v>8.6506000000000007</v>
      </c>
      <c r="G23" s="166">
        <v>1.9090510000000001</v>
      </c>
      <c r="J23" s="170" t="s">
        <v>276</v>
      </c>
      <c r="K23" s="171"/>
      <c r="L23" s="171"/>
      <c r="M23" s="171"/>
      <c r="Q23" s="153">
        <v>34972</v>
      </c>
      <c r="R23" s="166">
        <v>19.350000000000001</v>
      </c>
    </row>
    <row r="24" spans="1:18" ht="14.4" x14ac:dyDescent="0.45">
      <c r="A24" s="164">
        <v>33631</v>
      </c>
      <c r="B24" s="166"/>
      <c r="C24" s="166">
        <v>621.28997800000002</v>
      </c>
      <c r="D24" s="160"/>
      <c r="E24" s="166">
        <v>8.6044669999999996</v>
      </c>
      <c r="G24" s="166">
        <v>1.931249</v>
      </c>
      <c r="J24" s="170" t="s">
        <v>277</v>
      </c>
      <c r="K24" s="171"/>
      <c r="L24" s="171"/>
      <c r="M24" s="171"/>
      <c r="Q24" s="153">
        <v>35064</v>
      </c>
      <c r="R24" s="166">
        <v>19.2</v>
      </c>
    </row>
    <row r="25" spans="1:18" ht="14.4" x14ac:dyDescent="0.45">
      <c r="A25" s="164">
        <v>33632</v>
      </c>
      <c r="B25" s="166"/>
      <c r="C25" s="166">
        <v>616.30999799999995</v>
      </c>
      <c r="D25" s="160"/>
      <c r="E25" s="166">
        <v>8.4775980000000004</v>
      </c>
      <c r="G25" s="166">
        <v>1.8720540000000001</v>
      </c>
      <c r="J25" s="170" t="s">
        <v>278</v>
      </c>
      <c r="K25" s="171"/>
      <c r="L25" s="171"/>
      <c r="M25" s="171"/>
      <c r="Q25" s="153">
        <v>35155</v>
      </c>
      <c r="R25" s="166">
        <v>15.45</v>
      </c>
    </row>
    <row r="26" spans="1:18" ht="14.4" x14ac:dyDescent="0.45">
      <c r="A26" s="164">
        <v>33633</v>
      </c>
      <c r="B26" s="166"/>
      <c r="C26" s="166">
        <v>621.36999500000002</v>
      </c>
      <c r="D26" s="160"/>
      <c r="E26" s="166">
        <v>8.4660609999999998</v>
      </c>
      <c r="G26" s="166">
        <v>1.8868529999999999</v>
      </c>
      <c r="J26" s="170" t="s">
        <v>279</v>
      </c>
      <c r="K26" s="171"/>
      <c r="L26" s="171"/>
      <c r="M26" s="171"/>
      <c r="Q26" s="153">
        <v>35246</v>
      </c>
      <c r="R26" s="166">
        <v>19.649999999999999</v>
      </c>
    </row>
    <row r="27" spans="1:18" ht="14.4" x14ac:dyDescent="0.45">
      <c r="A27" s="164">
        <v>33634</v>
      </c>
      <c r="B27" s="166"/>
      <c r="C27" s="166">
        <v>620.21002199999998</v>
      </c>
      <c r="D27" s="160"/>
      <c r="E27" s="166">
        <v>8.3045779999999993</v>
      </c>
      <c r="G27" s="166">
        <v>1.91645</v>
      </c>
      <c r="J27" s="170" t="s">
        <v>280</v>
      </c>
      <c r="K27" s="171"/>
      <c r="L27" s="171"/>
      <c r="M27" s="171"/>
      <c r="Q27" s="153">
        <v>35338</v>
      </c>
      <c r="R27" s="166">
        <v>25.65</v>
      </c>
    </row>
    <row r="28" spans="1:18" ht="14.4" x14ac:dyDescent="0.45">
      <c r="A28" s="164">
        <v>33637</v>
      </c>
      <c r="B28" s="166"/>
      <c r="C28" s="166">
        <v>623.42999299999997</v>
      </c>
      <c r="D28" s="160"/>
      <c r="E28" s="166">
        <v>8.4314579999999992</v>
      </c>
      <c r="G28" s="166">
        <v>1.946048</v>
      </c>
      <c r="J28" s="170" t="s">
        <v>281</v>
      </c>
      <c r="K28" s="171"/>
      <c r="L28" s="171"/>
      <c r="M28" s="171"/>
      <c r="Q28" s="153">
        <v>35430</v>
      </c>
      <c r="R28" s="166">
        <v>29.7</v>
      </c>
    </row>
    <row r="29" spans="1:18" ht="14.4" x14ac:dyDescent="0.45">
      <c r="A29" s="164">
        <v>33638</v>
      </c>
      <c r="B29" s="166"/>
      <c r="C29" s="166">
        <v>631</v>
      </c>
      <c r="D29" s="160"/>
      <c r="E29" s="166">
        <v>8.5121979999999997</v>
      </c>
      <c r="G29" s="166">
        <v>1.946048</v>
      </c>
      <c r="J29" s="170" t="s">
        <v>282</v>
      </c>
      <c r="K29" s="171"/>
      <c r="L29" s="171"/>
      <c r="M29" s="171"/>
      <c r="Q29" s="153">
        <v>35520</v>
      </c>
      <c r="R29" s="166">
        <v>30.65</v>
      </c>
    </row>
    <row r="30" spans="1:18" ht="14.4" x14ac:dyDescent="0.45">
      <c r="A30" s="164">
        <v>33639</v>
      </c>
      <c r="B30" s="166"/>
      <c r="C30" s="166">
        <v>636.96997099999999</v>
      </c>
      <c r="D30" s="160"/>
      <c r="E30" s="166">
        <v>8.4199230000000007</v>
      </c>
      <c r="G30" s="166">
        <v>1.957147</v>
      </c>
      <c r="J30" s="170" t="s">
        <v>283</v>
      </c>
      <c r="K30" s="171"/>
      <c r="L30" s="171"/>
      <c r="M30" s="171"/>
      <c r="Q30" s="153">
        <v>35611</v>
      </c>
      <c r="R30" s="166">
        <v>39.799999999999997</v>
      </c>
    </row>
    <row r="31" spans="1:18" ht="14.4" x14ac:dyDescent="0.45">
      <c r="A31" s="164">
        <v>33640</v>
      </c>
      <c r="B31" s="166"/>
      <c r="C31" s="166">
        <v>637.669983</v>
      </c>
      <c r="D31" s="160"/>
      <c r="E31" s="166">
        <v>8.757555</v>
      </c>
      <c r="G31" s="166">
        <v>1.8979509999999999</v>
      </c>
      <c r="J31" s="170" t="s">
        <v>284</v>
      </c>
      <c r="K31" s="171"/>
      <c r="L31" s="171"/>
      <c r="M31" s="171"/>
      <c r="Q31" s="153">
        <v>35703</v>
      </c>
      <c r="R31" s="166">
        <v>74.875</v>
      </c>
    </row>
    <row r="32" spans="1:18" ht="14.4" x14ac:dyDescent="0.45">
      <c r="A32" s="164">
        <v>33641</v>
      </c>
      <c r="B32" s="166"/>
      <c r="C32" s="166">
        <v>634.95001200000002</v>
      </c>
      <c r="D32" s="160"/>
      <c r="E32" s="166">
        <v>8.6966579999999993</v>
      </c>
      <c r="G32" s="166">
        <v>1.894253</v>
      </c>
      <c r="J32" s="170" t="s">
        <v>285</v>
      </c>
      <c r="K32" s="171"/>
      <c r="L32" s="171"/>
      <c r="M32" s="171"/>
    </row>
    <row r="33" spans="1:13" ht="13.8" x14ac:dyDescent="0.45">
      <c r="A33" s="164">
        <v>33644</v>
      </c>
      <c r="B33" s="166"/>
      <c r="C33" s="166">
        <v>634.13000499999998</v>
      </c>
      <c r="D33" s="160"/>
      <c r="E33" s="166">
        <v>8.745374</v>
      </c>
      <c r="G33" s="166">
        <v>1.8683540000000001</v>
      </c>
      <c r="J33" s="171"/>
      <c r="K33" s="171"/>
      <c r="L33" s="171"/>
      <c r="M33" s="171"/>
    </row>
    <row r="34" spans="1:13" ht="13.8" x14ac:dyDescent="0.45">
      <c r="A34" s="164">
        <v>33645</v>
      </c>
      <c r="B34" s="166"/>
      <c r="C34" s="166">
        <v>633.36999500000002</v>
      </c>
      <c r="D34" s="160"/>
      <c r="E34" s="166">
        <v>8.7941009999999995</v>
      </c>
      <c r="G34" s="166">
        <v>1.8609549999999999</v>
      </c>
      <c r="J34" s="171"/>
      <c r="K34" s="171"/>
      <c r="L34" s="171"/>
      <c r="M34" s="171"/>
    </row>
    <row r="35" spans="1:13" ht="13.8" x14ac:dyDescent="0.45">
      <c r="A35" s="164">
        <v>33646</v>
      </c>
      <c r="B35" s="166"/>
      <c r="C35" s="166">
        <v>644.919983</v>
      </c>
      <c r="D35" s="160"/>
      <c r="E35" s="166">
        <v>8.9768039999999996</v>
      </c>
      <c r="G35" s="166">
        <v>1.931249</v>
      </c>
      <c r="J35" s="171"/>
      <c r="K35" s="171"/>
      <c r="L35" s="171"/>
      <c r="M35" s="171"/>
    </row>
    <row r="36" spans="1:13" ht="13.8" x14ac:dyDescent="0.45">
      <c r="A36" s="164">
        <v>33647</v>
      </c>
      <c r="B36" s="166"/>
      <c r="C36" s="166">
        <v>639.09997599999997</v>
      </c>
      <c r="D36" s="160"/>
      <c r="E36" s="166">
        <v>8.8428210000000007</v>
      </c>
      <c r="G36" s="166">
        <v>1.901651</v>
      </c>
      <c r="J36" s="171"/>
      <c r="K36" s="171"/>
      <c r="L36" s="171"/>
      <c r="M36" s="171"/>
    </row>
    <row r="37" spans="1:13" ht="13.8" x14ac:dyDescent="0.45">
      <c r="A37" s="164">
        <v>33648</v>
      </c>
      <c r="B37" s="166"/>
      <c r="C37" s="166">
        <v>636.42999299999997</v>
      </c>
      <c r="D37" s="160"/>
      <c r="E37" s="166">
        <v>8.745374</v>
      </c>
      <c r="G37" s="166">
        <v>1.9015070000000001</v>
      </c>
      <c r="J37" s="171"/>
      <c r="K37" s="171"/>
      <c r="L37" s="171"/>
      <c r="M37" s="171"/>
    </row>
    <row r="38" spans="1:13" x14ac:dyDescent="0.4">
      <c r="A38" s="164">
        <v>33652</v>
      </c>
      <c r="B38" s="166"/>
      <c r="C38" s="166">
        <v>626.40997300000004</v>
      </c>
      <c r="D38" s="160"/>
      <c r="E38" s="166">
        <v>8.7331979999999998</v>
      </c>
      <c r="G38" s="166">
        <v>1.860733</v>
      </c>
    </row>
    <row r="39" spans="1:13" x14ac:dyDescent="0.4">
      <c r="A39" s="164">
        <v>33653</v>
      </c>
      <c r="B39" s="166"/>
      <c r="C39" s="166">
        <v>622.40997300000004</v>
      </c>
      <c r="D39" s="160"/>
      <c r="E39" s="166">
        <v>8.7331979999999998</v>
      </c>
      <c r="G39" s="166">
        <v>1.8384940000000001</v>
      </c>
    </row>
    <row r="40" spans="1:13" x14ac:dyDescent="0.4">
      <c r="A40" s="164">
        <v>33654</v>
      </c>
      <c r="B40" s="166"/>
      <c r="C40" s="166">
        <v>632.22997999999995</v>
      </c>
      <c r="D40" s="160"/>
      <c r="E40" s="166">
        <v>8.745374</v>
      </c>
      <c r="G40" s="166">
        <v>1.9163330000000001</v>
      </c>
    </row>
    <row r="41" spans="1:13" x14ac:dyDescent="0.4">
      <c r="A41" s="164">
        <v>33655</v>
      </c>
      <c r="B41" s="166"/>
      <c r="C41" s="166">
        <v>629.75</v>
      </c>
      <c r="D41" s="160"/>
      <c r="E41" s="166">
        <v>8.757555</v>
      </c>
      <c r="G41" s="166">
        <v>1.9274530000000001</v>
      </c>
    </row>
    <row r="42" spans="1:13" x14ac:dyDescent="0.4">
      <c r="A42" s="164">
        <v>33658</v>
      </c>
      <c r="B42" s="166"/>
      <c r="C42" s="166">
        <v>624.92999299999997</v>
      </c>
      <c r="D42" s="160"/>
      <c r="E42" s="166">
        <v>8.7088370000000008</v>
      </c>
      <c r="G42" s="166">
        <v>1.9608129999999999</v>
      </c>
    </row>
    <row r="43" spans="1:13" x14ac:dyDescent="0.4">
      <c r="A43" s="164">
        <v>33659</v>
      </c>
      <c r="B43" s="166"/>
      <c r="C43" s="166">
        <v>621.40002400000003</v>
      </c>
      <c r="D43" s="160"/>
      <c r="E43" s="166">
        <v>8.5992160000000002</v>
      </c>
      <c r="G43" s="166">
        <v>2.0312389999999998</v>
      </c>
    </row>
    <row r="44" spans="1:13" x14ac:dyDescent="0.4">
      <c r="A44" s="164">
        <v>33660</v>
      </c>
      <c r="B44" s="166"/>
      <c r="C44" s="166">
        <v>632.40002400000003</v>
      </c>
      <c r="D44" s="160"/>
      <c r="E44" s="166">
        <v>8.5992160000000002</v>
      </c>
      <c r="G44" s="166">
        <v>2.072012</v>
      </c>
    </row>
    <row r="45" spans="1:13" x14ac:dyDescent="0.4">
      <c r="A45" s="164">
        <v>33661</v>
      </c>
      <c r="B45" s="166"/>
      <c r="C45" s="166">
        <v>633.95001200000002</v>
      </c>
      <c r="D45" s="160"/>
      <c r="E45" s="166">
        <v>8.5504999999999995</v>
      </c>
      <c r="G45" s="166">
        <v>2.0312389999999998</v>
      </c>
    </row>
    <row r="46" spans="1:13" x14ac:dyDescent="0.4">
      <c r="A46" s="164">
        <v>33662</v>
      </c>
      <c r="B46" s="166"/>
      <c r="C46" s="166">
        <v>633.46997099999999</v>
      </c>
      <c r="D46" s="160"/>
      <c r="E46" s="166">
        <v>8.4652329999999996</v>
      </c>
      <c r="G46" s="166">
        <v>2.0015860000000001</v>
      </c>
    </row>
    <row r="47" spans="1:13" x14ac:dyDescent="0.4">
      <c r="A47" s="164">
        <v>33665</v>
      </c>
      <c r="B47" s="166"/>
      <c r="C47" s="166">
        <v>635.46997099999999</v>
      </c>
      <c r="D47" s="160"/>
      <c r="E47" s="166">
        <v>8.5261320000000005</v>
      </c>
      <c r="G47" s="166">
        <v>1.994173</v>
      </c>
    </row>
    <row r="48" spans="1:13" x14ac:dyDescent="0.4">
      <c r="A48" s="164">
        <v>33666</v>
      </c>
      <c r="B48" s="166"/>
      <c r="C48" s="166">
        <v>634.25</v>
      </c>
      <c r="D48" s="160"/>
      <c r="E48" s="166">
        <v>8.5992160000000002</v>
      </c>
      <c r="G48" s="166">
        <v>1.968226</v>
      </c>
    </row>
    <row r="49" spans="1:7" x14ac:dyDescent="0.4">
      <c r="A49" s="164">
        <v>33667</v>
      </c>
      <c r="B49" s="166"/>
      <c r="C49" s="166">
        <v>630.28997800000002</v>
      </c>
      <c r="D49" s="160"/>
      <c r="E49" s="166">
        <v>8.5139560000000003</v>
      </c>
      <c r="G49" s="166">
        <v>1.9274530000000001</v>
      </c>
    </row>
    <row r="50" spans="1:7" x14ac:dyDescent="0.4">
      <c r="A50" s="164">
        <v>33668</v>
      </c>
      <c r="B50" s="166"/>
      <c r="C50" s="166">
        <v>621.96997099999999</v>
      </c>
      <c r="D50" s="160"/>
      <c r="E50" s="166">
        <v>8.4408750000000001</v>
      </c>
      <c r="G50" s="166">
        <v>1.882973</v>
      </c>
    </row>
    <row r="51" spans="1:7" x14ac:dyDescent="0.4">
      <c r="A51" s="164">
        <v>33669</v>
      </c>
      <c r="B51" s="166"/>
      <c r="C51" s="166">
        <v>615.95001200000002</v>
      </c>
      <c r="D51" s="160"/>
      <c r="E51" s="166">
        <v>8.4165120000000009</v>
      </c>
      <c r="G51" s="166">
        <v>1.8978010000000001</v>
      </c>
    </row>
    <row r="52" spans="1:7" x14ac:dyDescent="0.4">
      <c r="A52" s="164">
        <v>33672</v>
      </c>
      <c r="B52" s="166"/>
      <c r="C52" s="166">
        <v>615.82000700000003</v>
      </c>
      <c r="D52" s="160"/>
      <c r="E52" s="166">
        <v>8.5139560000000003</v>
      </c>
      <c r="G52" s="166">
        <v>1.890387</v>
      </c>
    </row>
    <row r="53" spans="1:7" x14ac:dyDescent="0.4">
      <c r="A53" s="164">
        <v>33673</v>
      </c>
      <c r="B53" s="166"/>
      <c r="C53" s="166">
        <v>623.46002199999998</v>
      </c>
      <c r="D53" s="160"/>
      <c r="E53" s="166">
        <v>8.562678</v>
      </c>
      <c r="G53" s="166">
        <v>1.890387</v>
      </c>
    </row>
    <row r="54" spans="1:7" x14ac:dyDescent="0.4">
      <c r="A54" s="164">
        <v>33674</v>
      </c>
      <c r="B54" s="166"/>
      <c r="C54" s="166">
        <v>617.14001499999995</v>
      </c>
      <c r="D54" s="160"/>
      <c r="E54" s="166">
        <v>8.5504999999999995</v>
      </c>
      <c r="G54" s="166">
        <v>1.8755599999999999</v>
      </c>
    </row>
    <row r="55" spans="1:7" x14ac:dyDescent="0.4">
      <c r="A55" s="164">
        <v>33675</v>
      </c>
      <c r="B55" s="166"/>
      <c r="C55" s="166">
        <v>615.919983</v>
      </c>
      <c r="D55" s="160"/>
      <c r="E55" s="166">
        <v>8.6844830000000002</v>
      </c>
      <c r="G55" s="166">
        <v>1.860733</v>
      </c>
    </row>
    <row r="56" spans="1:7" x14ac:dyDescent="0.4">
      <c r="A56" s="164">
        <v>33676</v>
      </c>
      <c r="B56" s="166"/>
      <c r="C56" s="166">
        <v>618.61999500000002</v>
      </c>
      <c r="D56" s="160"/>
      <c r="E56" s="166">
        <v>8.7331979999999998</v>
      </c>
      <c r="G56" s="166">
        <v>1.8718539999999999</v>
      </c>
    </row>
    <row r="57" spans="1:7" x14ac:dyDescent="0.4">
      <c r="A57" s="164">
        <v>33679</v>
      </c>
      <c r="B57" s="166"/>
      <c r="C57" s="166">
        <v>617.94000200000005</v>
      </c>
      <c r="D57" s="160"/>
      <c r="E57" s="166">
        <v>8.6479350000000004</v>
      </c>
      <c r="G57" s="166">
        <v>1.879267</v>
      </c>
    </row>
    <row r="58" spans="1:7" x14ac:dyDescent="0.4">
      <c r="A58" s="164">
        <v>33680</v>
      </c>
      <c r="B58" s="166"/>
      <c r="C58" s="166">
        <v>623.27002000000005</v>
      </c>
      <c r="D58" s="160"/>
      <c r="E58" s="166">
        <v>8.5383150000000008</v>
      </c>
      <c r="G58" s="166">
        <v>1.8644400000000001</v>
      </c>
    </row>
    <row r="59" spans="1:7" x14ac:dyDescent="0.4">
      <c r="A59" s="164">
        <v>33681</v>
      </c>
      <c r="B59" s="166"/>
      <c r="C59" s="166">
        <v>624.94000200000005</v>
      </c>
      <c r="D59" s="160"/>
      <c r="E59" s="166">
        <v>8.5261320000000005</v>
      </c>
      <c r="G59" s="166">
        <v>1.890387</v>
      </c>
    </row>
    <row r="60" spans="1:7" x14ac:dyDescent="0.4">
      <c r="A60" s="164">
        <v>33682</v>
      </c>
      <c r="B60" s="166"/>
      <c r="C60" s="166">
        <v>625.96002199999998</v>
      </c>
      <c r="D60" s="160"/>
      <c r="E60" s="166">
        <v>8.3677949999999992</v>
      </c>
      <c r="G60" s="166">
        <v>1.868147</v>
      </c>
    </row>
    <row r="61" spans="1:7" x14ac:dyDescent="0.4">
      <c r="A61" s="164">
        <v>33683</v>
      </c>
      <c r="B61" s="166"/>
      <c r="C61" s="166">
        <v>624.28002900000001</v>
      </c>
      <c r="D61" s="160"/>
      <c r="E61" s="166">
        <v>8.3921530000000004</v>
      </c>
      <c r="G61" s="166">
        <v>1.8755599999999999</v>
      </c>
    </row>
    <row r="62" spans="1:7" x14ac:dyDescent="0.4">
      <c r="A62" s="164">
        <v>33686</v>
      </c>
      <c r="B62" s="166"/>
      <c r="C62" s="166">
        <v>621.830017</v>
      </c>
      <c r="D62" s="160"/>
      <c r="E62" s="166">
        <v>8.3434290000000004</v>
      </c>
      <c r="G62" s="166">
        <v>1.868147</v>
      </c>
    </row>
    <row r="63" spans="1:7" x14ac:dyDescent="0.4">
      <c r="A63" s="164">
        <v>33687</v>
      </c>
      <c r="B63" s="166"/>
      <c r="C63" s="166">
        <v>618.67999299999997</v>
      </c>
      <c r="D63" s="160"/>
      <c r="E63" s="166">
        <v>8.3068899999999992</v>
      </c>
      <c r="G63" s="166">
        <v>1.9274530000000001</v>
      </c>
    </row>
    <row r="64" spans="1:7" x14ac:dyDescent="0.4">
      <c r="A64" s="164">
        <v>33688</v>
      </c>
      <c r="B64" s="166"/>
      <c r="C64" s="166">
        <v>619.47997999999995</v>
      </c>
      <c r="D64" s="160"/>
      <c r="E64" s="166">
        <v>8.2947109999999995</v>
      </c>
      <c r="G64" s="166">
        <v>1.9126270000000001</v>
      </c>
    </row>
    <row r="65" spans="1:7" x14ac:dyDescent="0.4">
      <c r="A65" s="164">
        <v>33689</v>
      </c>
      <c r="B65" s="166"/>
      <c r="C65" s="166">
        <v>615.40002400000003</v>
      </c>
      <c r="D65" s="160"/>
      <c r="E65" s="166">
        <v>8.1972690000000004</v>
      </c>
      <c r="G65" s="166">
        <v>1.8978010000000001</v>
      </c>
    </row>
    <row r="66" spans="1:7" x14ac:dyDescent="0.4">
      <c r="A66" s="164">
        <v>33690</v>
      </c>
      <c r="B66" s="166"/>
      <c r="C66" s="166">
        <v>604.669983</v>
      </c>
      <c r="D66" s="160"/>
      <c r="E66" s="166">
        <v>8.1120059999999992</v>
      </c>
      <c r="G66" s="166">
        <v>1.80884</v>
      </c>
    </row>
    <row r="67" spans="1:7" x14ac:dyDescent="0.4">
      <c r="A67" s="164">
        <v>33693</v>
      </c>
      <c r="B67" s="166"/>
      <c r="C67" s="166">
        <v>602.07000700000003</v>
      </c>
      <c r="D67" s="160"/>
      <c r="E67" s="166">
        <v>8.1241880000000002</v>
      </c>
      <c r="G67" s="166">
        <v>1.7235879999999999</v>
      </c>
    </row>
    <row r="68" spans="1:7" x14ac:dyDescent="0.4">
      <c r="A68" s="164">
        <v>33694</v>
      </c>
      <c r="B68" s="166"/>
      <c r="C68" s="166">
        <v>603.77002000000005</v>
      </c>
      <c r="D68" s="160"/>
      <c r="E68" s="166">
        <v>8.1363679999999992</v>
      </c>
      <c r="G68" s="166">
        <v>1.727295</v>
      </c>
    </row>
    <row r="69" spans="1:7" x14ac:dyDescent="0.4">
      <c r="A69" s="164">
        <v>33695</v>
      </c>
      <c r="B69" s="166"/>
      <c r="C69" s="166">
        <v>602.09002699999996</v>
      </c>
      <c r="D69" s="160"/>
      <c r="E69" s="166">
        <v>8.0754719999999995</v>
      </c>
      <c r="G69" s="166">
        <v>1.7495339999999999</v>
      </c>
    </row>
    <row r="70" spans="1:7" x14ac:dyDescent="0.4">
      <c r="A70" s="164">
        <v>33696</v>
      </c>
      <c r="B70" s="166"/>
      <c r="C70" s="166">
        <v>593.82000700000003</v>
      </c>
      <c r="D70" s="160"/>
      <c r="E70" s="166">
        <v>8.014564</v>
      </c>
      <c r="G70" s="166">
        <v>1.742121</v>
      </c>
    </row>
    <row r="71" spans="1:7" x14ac:dyDescent="0.4">
      <c r="A71" s="164">
        <v>33697</v>
      </c>
      <c r="B71" s="166"/>
      <c r="C71" s="166">
        <v>590.01000999999997</v>
      </c>
      <c r="D71" s="160"/>
      <c r="E71" s="166">
        <v>7.9658449999999998</v>
      </c>
      <c r="G71" s="166">
        <v>1.7495339999999999</v>
      </c>
    </row>
    <row r="72" spans="1:7" x14ac:dyDescent="0.4">
      <c r="A72" s="164">
        <v>33700</v>
      </c>
      <c r="B72" s="166"/>
      <c r="C72" s="166">
        <v>596.28997800000002</v>
      </c>
      <c r="D72" s="160"/>
      <c r="E72" s="166">
        <v>8.099831</v>
      </c>
      <c r="G72" s="166">
        <v>1.8014269999999999</v>
      </c>
    </row>
    <row r="73" spans="1:7" x14ac:dyDescent="0.4">
      <c r="A73" s="164">
        <v>33701</v>
      </c>
      <c r="B73" s="166"/>
      <c r="C73" s="166">
        <v>581.60998500000005</v>
      </c>
      <c r="D73" s="160"/>
      <c r="E73" s="166">
        <v>8.0267499999999998</v>
      </c>
      <c r="G73" s="166">
        <v>1.6976420000000001</v>
      </c>
    </row>
    <row r="74" spans="1:7" x14ac:dyDescent="0.4">
      <c r="A74" s="164">
        <v>33702</v>
      </c>
      <c r="B74" s="166"/>
      <c r="C74" s="166">
        <v>573.67999299999997</v>
      </c>
      <c r="D74" s="160"/>
      <c r="E74" s="166">
        <v>8.2703489999999995</v>
      </c>
      <c r="G74" s="166">
        <v>1.656868</v>
      </c>
    </row>
    <row r="75" spans="1:7" x14ac:dyDescent="0.4">
      <c r="A75" s="164">
        <v>33703</v>
      </c>
      <c r="B75" s="166"/>
      <c r="C75" s="166">
        <v>586.75</v>
      </c>
      <c r="D75" s="160"/>
      <c r="E75" s="166">
        <v>8.2947109999999995</v>
      </c>
      <c r="G75" s="166">
        <v>1.6976420000000001</v>
      </c>
    </row>
    <row r="76" spans="1:7" x14ac:dyDescent="0.4">
      <c r="A76" s="164">
        <v>33704</v>
      </c>
      <c r="B76" s="166"/>
      <c r="C76" s="166">
        <v>584.23999000000003</v>
      </c>
      <c r="D76" s="160"/>
      <c r="E76" s="166">
        <v>8.379975</v>
      </c>
      <c r="G76" s="166">
        <v>1.6457489999999999</v>
      </c>
    </row>
    <row r="77" spans="1:7" x14ac:dyDescent="0.4">
      <c r="A77" s="164">
        <v>33707</v>
      </c>
      <c r="B77" s="166"/>
      <c r="C77" s="166">
        <v>588.15002400000003</v>
      </c>
      <c r="D77" s="160"/>
      <c r="E77" s="166">
        <v>8.5261320000000005</v>
      </c>
      <c r="G77" s="166">
        <v>1.6754020000000001</v>
      </c>
    </row>
    <row r="78" spans="1:7" x14ac:dyDescent="0.4">
      <c r="A78" s="164">
        <v>33708</v>
      </c>
      <c r="B78" s="166"/>
      <c r="C78" s="166">
        <v>594.80999799999995</v>
      </c>
      <c r="D78" s="160"/>
      <c r="E78" s="166">
        <v>8.5992160000000002</v>
      </c>
      <c r="G78" s="166">
        <v>1.742121</v>
      </c>
    </row>
    <row r="79" spans="1:7" x14ac:dyDescent="0.4">
      <c r="A79" s="164">
        <v>33709</v>
      </c>
      <c r="B79" s="166"/>
      <c r="C79" s="166">
        <v>600.03002900000001</v>
      </c>
      <c r="D79" s="160"/>
      <c r="E79" s="166">
        <v>8.6235769999999992</v>
      </c>
      <c r="G79" s="166">
        <v>1.794014</v>
      </c>
    </row>
    <row r="80" spans="1:7" x14ac:dyDescent="0.4">
      <c r="A80" s="164">
        <v>33710</v>
      </c>
      <c r="B80" s="166"/>
      <c r="C80" s="166">
        <v>591.80999799999995</v>
      </c>
      <c r="D80" s="160"/>
      <c r="E80" s="166">
        <v>8.6357540000000004</v>
      </c>
      <c r="G80" s="166">
        <v>1.7495339999999999</v>
      </c>
    </row>
    <row r="81" spans="1:7" x14ac:dyDescent="0.4">
      <c r="A81" s="164">
        <v>33714</v>
      </c>
      <c r="B81" s="166"/>
      <c r="C81" s="166">
        <v>577.20001200000002</v>
      </c>
      <c r="D81" s="160"/>
      <c r="E81" s="166">
        <v>8.7210160000000005</v>
      </c>
      <c r="G81" s="166">
        <v>1.6828149999999999</v>
      </c>
    </row>
    <row r="82" spans="1:7" x14ac:dyDescent="0.4">
      <c r="A82" s="164">
        <v>33715</v>
      </c>
      <c r="B82" s="166"/>
      <c r="C82" s="166">
        <v>575.04998799999998</v>
      </c>
      <c r="D82" s="160"/>
      <c r="E82" s="166">
        <v>8.7697339999999997</v>
      </c>
      <c r="G82" s="166">
        <v>1.667988</v>
      </c>
    </row>
    <row r="83" spans="1:7" x14ac:dyDescent="0.4">
      <c r="A83" s="164">
        <v>33716</v>
      </c>
      <c r="B83" s="166"/>
      <c r="C83" s="166">
        <v>578.22997999999995</v>
      </c>
      <c r="D83" s="160"/>
      <c r="E83" s="166">
        <v>8.7819199999999995</v>
      </c>
      <c r="G83" s="166">
        <v>1.7087619999999999</v>
      </c>
    </row>
    <row r="84" spans="1:7" x14ac:dyDescent="0.4">
      <c r="A84" s="164">
        <v>33717</v>
      </c>
      <c r="B84" s="166"/>
      <c r="C84" s="166">
        <v>576.04998799999998</v>
      </c>
      <c r="D84" s="160"/>
      <c r="E84" s="166">
        <v>8.6966579999999993</v>
      </c>
      <c r="G84" s="166">
        <v>1.6902280000000001</v>
      </c>
    </row>
    <row r="85" spans="1:7" x14ac:dyDescent="0.4">
      <c r="A85" s="164">
        <v>33718</v>
      </c>
      <c r="B85" s="166"/>
      <c r="C85" s="166">
        <v>572.89001499999995</v>
      </c>
      <c r="D85" s="160"/>
      <c r="E85" s="166">
        <v>8.5870350000000002</v>
      </c>
      <c r="G85" s="166">
        <v>1.6754020000000001</v>
      </c>
    </row>
    <row r="86" spans="1:7" x14ac:dyDescent="0.4">
      <c r="A86" s="164">
        <v>33721</v>
      </c>
      <c r="B86" s="166"/>
      <c r="C86" s="166">
        <v>566.94000200000005</v>
      </c>
      <c r="D86" s="160"/>
      <c r="E86" s="166">
        <v>8.5870350000000002</v>
      </c>
      <c r="G86" s="166">
        <v>1.653162</v>
      </c>
    </row>
    <row r="87" spans="1:7" x14ac:dyDescent="0.4">
      <c r="A87" s="164">
        <v>33722</v>
      </c>
      <c r="B87" s="166"/>
      <c r="C87" s="166">
        <v>560.330017</v>
      </c>
      <c r="D87" s="160"/>
      <c r="E87" s="166">
        <v>8.6235769999999992</v>
      </c>
      <c r="G87" s="166">
        <v>1.6086819999999999</v>
      </c>
    </row>
    <row r="88" spans="1:7" x14ac:dyDescent="0.4">
      <c r="A88" s="164">
        <v>33723</v>
      </c>
      <c r="B88" s="166"/>
      <c r="C88" s="166">
        <v>569.94000200000005</v>
      </c>
      <c r="D88" s="160"/>
      <c r="E88" s="166">
        <v>8.5870350000000002</v>
      </c>
      <c r="G88" s="166">
        <v>1.6902280000000001</v>
      </c>
    </row>
    <row r="89" spans="1:7" x14ac:dyDescent="0.4">
      <c r="A89" s="164">
        <v>33724</v>
      </c>
      <c r="B89" s="166"/>
      <c r="C89" s="166">
        <v>578.67999299999997</v>
      </c>
      <c r="D89" s="160"/>
      <c r="E89" s="166">
        <v>8.8428210000000007</v>
      </c>
      <c r="G89" s="166">
        <v>1.782894</v>
      </c>
    </row>
    <row r="90" spans="1:7" x14ac:dyDescent="0.4">
      <c r="A90" s="164">
        <v>33725</v>
      </c>
      <c r="B90" s="166"/>
      <c r="C90" s="166">
        <v>578.14001499999995</v>
      </c>
      <c r="D90" s="160"/>
      <c r="E90" s="166">
        <v>8.8306430000000002</v>
      </c>
      <c r="G90" s="166">
        <v>1.756947</v>
      </c>
    </row>
    <row r="91" spans="1:7" x14ac:dyDescent="0.4">
      <c r="A91" s="164">
        <v>33728</v>
      </c>
      <c r="B91" s="166"/>
      <c r="C91" s="166">
        <v>583.53997800000002</v>
      </c>
      <c r="D91" s="160"/>
      <c r="E91" s="166">
        <v>9.0133449999999993</v>
      </c>
      <c r="G91" s="166">
        <v>1.794014</v>
      </c>
    </row>
    <row r="92" spans="1:7" x14ac:dyDescent="0.4">
      <c r="A92" s="164">
        <v>33729</v>
      </c>
      <c r="B92" s="166"/>
      <c r="C92" s="166">
        <v>588.07000700000003</v>
      </c>
      <c r="D92" s="160"/>
      <c r="E92" s="166">
        <v>9.1473239999999993</v>
      </c>
      <c r="G92" s="166">
        <v>1.794014</v>
      </c>
    </row>
    <row r="93" spans="1:7" x14ac:dyDescent="0.4">
      <c r="A93" s="164">
        <v>33730</v>
      </c>
      <c r="B93" s="166"/>
      <c r="C93" s="166">
        <v>589.35998500000005</v>
      </c>
      <c r="D93" s="160"/>
      <c r="E93" s="166">
        <v>9.0986019999999996</v>
      </c>
      <c r="G93" s="166">
        <v>1.83108</v>
      </c>
    </row>
    <row r="94" spans="1:7" x14ac:dyDescent="0.4">
      <c r="A94" s="164">
        <v>33731</v>
      </c>
      <c r="B94" s="166"/>
      <c r="C94" s="166">
        <v>587.15997300000004</v>
      </c>
      <c r="D94" s="160"/>
      <c r="E94" s="166">
        <v>9.6345410000000005</v>
      </c>
      <c r="G94" s="166">
        <v>1.8014269999999999</v>
      </c>
    </row>
    <row r="95" spans="1:7" x14ac:dyDescent="0.4">
      <c r="A95" s="164">
        <v>33732</v>
      </c>
      <c r="B95" s="166"/>
      <c r="C95" s="166">
        <v>585.76000999999997</v>
      </c>
      <c r="D95" s="160"/>
      <c r="E95" s="166">
        <v>9.5703099999999992</v>
      </c>
      <c r="G95" s="166">
        <v>1.8384940000000001</v>
      </c>
    </row>
    <row r="96" spans="1:7" x14ac:dyDescent="0.4">
      <c r="A96" s="164">
        <v>33735</v>
      </c>
      <c r="B96" s="166"/>
      <c r="C96" s="166">
        <v>587.13000499999998</v>
      </c>
      <c r="D96" s="160"/>
      <c r="E96" s="166">
        <v>9.6473859999999991</v>
      </c>
      <c r="G96" s="166">
        <v>1.845907</v>
      </c>
    </row>
    <row r="97" spans="1:7" x14ac:dyDescent="0.4">
      <c r="A97" s="164">
        <v>33736</v>
      </c>
      <c r="B97" s="166"/>
      <c r="C97" s="166">
        <v>583.96002199999998</v>
      </c>
      <c r="D97" s="160"/>
      <c r="E97" s="166">
        <v>9.6088500000000003</v>
      </c>
      <c r="G97" s="166">
        <v>1.845907</v>
      </c>
    </row>
    <row r="98" spans="1:7" x14ac:dyDescent="0.4">
      <c r="A98" s="164">
        <v>33737</v>
      </c>
      <c r="B98" s="166"/>
      <c r="C98" s="166">
        <v>582.38000499999998</v>
      </c>
      <c r="D98" s="160"/>
      <c r="E98" s="166">
        <v>9.4932390000000009</v>
      </c>
      <c r="G98" s="166">
        <v>1.860733</v>
      </c>
    </row>
    <row r="99" spans="1:7" x14ac:dyDescent="0.4">
      <c r="A99" s="164">
        <v>33738</v>
      </c>
      <c r="B99" s="166"/>
      <c r="C99" s="166">
        <v>576.46002199999998</v>
      </c>
      <c r="D99" s="160"/>
      <c r="E99" s="166">
        <v>9.4290079999999996</v>
      </c>
      <c r="G99" s="166">
        <v>1.8199609999999999</v>
      </c>
    </row>
    <row r="100" spans="1:7" x14ac:dyDescent="0.4">
      <c r="A100" s="164">
        <v>33739</v>
      </c>
      <c r="B100" s="166"/>
      <c r="C100" s="166">
        <v>574.42999299999997</v>
      </c>
      <c r="D100" s="160"/>
      <c r="E100" s="166">
        <v>9.4161579999999994</v>
      </c>
      <c r="G100" s="166">
        <v>1.79772</v>
      </c>
    </row>
    <row r="101" spans="1:7" x14ac:dyDescent="0.4">
      <c r="A101" s="164">
        <v>33742</v>
      </c>
      <c r="B101" s="166"/>
      <c r="C101" s="166">
        <v>576.53002900000001</v>
      </c>
      <c r="D101" s="160"/>
      <c r="E101" s="166">
        <v>9.3262359999999997</v>
      </c>
      <c r="G101" s="166">
        <v>1.790308</v>
      </c>
    </row>
    <row r="102" spans="1:7" x14ac:dyDescent="0.4">
      <c r="A102" s="164">
        <v>33743</v>
      </c>
      <c r="B102" s="166"/>
      <c r="C102" s="166">
        <v>578.04998799999998</v>
      </c>
      <c r="D102" s="160"/>
      <c r="E102" s="166">
        <v>9.506081</v>
      </c>
      <c r="G102" s="166">
        <v>1.7606539999999999</v>
      </c>
    </row>
    <row r="103" spans="1:7" x14ac:dyDescent="0.4">
      <c r="A103" s="164">
        <v>33744</v>
      </c>
      <c r="B103" s="166"/>
      <c r="C103" s="166">
        <v>580.28997800000002</v>
      </c>
      <c r="D103" s="160"/>
      <c r="E103" s="166">
        <v>9.4161579999999994</v>
      </c>
      <c r="G103" s="166">
        <v>1.779188</v>
      </c>
    </row>
    <row r="104" spans="1:7" x14ac:dyDescent="0.4">
      <c r="A104" s="164">
        <v>33745</v>
      </c>
      <c r="B104" s="166"/>
      <c r="C104" s="166">
        <v>579.09997599999997</v>
      </c>
      <c r="D104" s="160"/>
      <c r="E104" s="166">
        <v>9.4033099999999994</v>
      </c>
      <c r="G104" s="166">
        <v>1.753241</v>
      </c>
    </row>
    <row r="105" spans="1:7" x14ac:dyDescent="0.4">
      <c r="A105" s="164">
        <v>33746</v>
      </c>
      <c r="B105" s="166"/>
      <c r="C105" s="166">
        <v>580.29998799999998</v>
      </c>
      <c r="D105" s="160"/>
      <c r="E105" s="166">
        <v>9.4290079999999996</v>
      </c>
      <c r="G105" s="166">
        <v>1.7643610000000001</v>
      </c>
    </row>
    <row r="106" spans="1:7" x14ac:dyDescent="0.4">
      <c r="A106" s="164">
        <v>33750</v>
      </c>
      <c r="B106" s="166"/>
      <c r="C106" s="166">
        <v>575.65002400000003</v>
      </c>
      <c r="D106" s="160"/>
      <c r="E106" s="166">
        <v>9.3005420000000001</v>
      </c>
      <c r="G106" s="166">
        <v>1.756947</v>
      </c>
    </row>
    <row r="107" spans="1:7" x14ac:dyDescent="0.4">
      <c r="A107" s="164">
        <v>33751</v>
      </c>
      <c r="B107" s="166"/>
      <c r="C107" s="166">
        <v>577.34997599999997</v>
      </c>
      <c r="D107" s="160"/>
      <c r="E107" s="166">
        <v>9.3390819999999994</v>
      </c>
      <c r="G107" s="166">
        <v>1.7866010000000001</v>
      </c>
    </row>
    <row r="108" spans="1:7" x14ac:dyDescent="0.4">
      <c r="A108" s="164">
        <v>33752</v>
      </c>
      <c r="B108" s="166"/>
      <c r="C108" s="166">
        <v>580.48999000000003</v>
      </c>
      <c r="D108" s="160"/>
      <c r="E108" s="166">
        <v>9.3647740000000006</v>
      </c>
      <c r="G108" s="166">
        <v>1.7643610000000001</v>
      </c>
    </row>
    <row r="109" spans="1:7" x14ac:dyDescent="0.4">
      <c r="A109" s="164">
        <v>33753</v>
      </c>
      <c r="B109" s="166"/>
      <c r="C109" s="166">
        <v>585.30999799999995</v>
      </c>
      <c r="D109" s="160"/>
      <c r="E109" s="166">
        <v>9.3262359999999997</v>
      </c>
      <c r="G109" s="166">
        <v>1.771774</v>
      </c>
    </row>
    <row r="110" spans="1:7" x14ac:dyDescent="0.4">
      <c r="A110" s="164">
        <v>33756</v>
      </c>
      <c r="B110" s="166"/>
      <c r="C110" s="166">
        <v>588.36999500000002</v>
      </c>
      <c r="D110" s="160"/>
      <c r="E110" s="166">
        <v>9.3133929999999996</v>
      </c>
      <c r="G110" s="166">
        <v>1.7084889999999999</v>
      </c>
    </row>
    <row r="111" spans="1:7" x14ac:dyDescent="0.4">
      <c r="A111" s="164">
        <v>33757</v>
      </c>
      <c r="B111" s="166"/>
      <c r="C111" s="166">
        <v>589.17999299999997</v>
      </c>
      <c r="D111" s="160"/>
      <c r="E111" s="166">
        <v>9.3133929999999996</v>
      </c>
      <c r="G111" s="166">
        <v>1.678777</v>
      </c>
    </row>
    <row r="112" spans="1:7" x14ac:dyDescent="0.4">
      <c r="A112" s="164">
        <v>33758</v>
      </c>
      <c r="B112" s="166"/>
      <c r="C112" s="166">
        <v>589.92999299999997</v>
      </c>
      <c r="D112" s="160"/>
      <c r="E112" s="166">
        <v>9.2234619999999996</v>
      </c>
      <c r="G112" s="166">
        <v>1.6082080000000001</v>
      </c>
    </row>
    <row r="113" spans="1:7" x14ac:dyDescent="0.4">
      <c r="A113" s="164">
        <v>33759</v>
      </c>
      <c r="B113" s="166"/>
      <c r="C113" s="166">
        <v>588.26000999999997</v>
      </c>
      <c r="D113" s="160"/>
      <c r="E113" s="166">
        <v>9.1463870000000007</v>
      </c>
      <c r="G113" s="166">
        <v>1.619351</v>
      </c>
    </row>
    <row r="114" spans="1:7" x14ac:dyDescent="0.4">
      <c r="A114" s="164">
        <v>33760</v>
      </c>
      <c r="B114" s="166"/>
      <c r="C114" s="166">
        <v>585.42999299999997</v>
      </c>
      <c r="D114" s="160"/>
      <c r="E114" s="166">
        <v>9.2877019999999995</v>
      </c>
      <c r="G114" s="166">
        <v>1.630493</v>
      </c>
    </row>
    <row r="115" spans="1:7" x14ac:dyDescent="0.4">
      <c r="A115" s="164">
        <v>33763</v>
      </c>
      <c r="B115" s="166"/>
      <c r="C115" s="166">
        <v>582.01000999999997</v>
      </c>
      <c r="D115" s="160"/>
      <c r="E115" s="166">
        <v>9.3519240000000003</v>
      </c>
      <c r="G115" s="166">
        <v>1.611923</v>
      </c>
    </row>
    <row r="116" spans="1:7" x14ac:dyDescent="0.4">
      <c r="A116" s="164">
        <v>33764</v>
      </c>
      <c r="B116" s="166"/>
      <c r="C116" s="166">
        <v>573.79998799999998</v>
      </c>
      <c r="D116" s="160"/>
      <c r="E116" s="166">
        <v>9.3133929999999996</v>
      </c>
      <c r="G116" s="166">
        <v>1.6044940000000001</v>
      </c>
    </row>
    <row r="117" spans="1:7" x14ac:dyDescent="0.4">
      <c r="A117" s="164">
        <v>33765</v>
      </c>
      <c r="B117" s="166"/>
      <c r="C117" s="166">
        <v>569.71002199999998</v>
      </c>
      <c r="D117" s="160"/>
      <c r="E117" s="166">
        <v>9.2620039999999992</v>
      </c>
      <c r="G117" s="166">
        <v>1.597067</v>
      </c>
    </row>
    <row r="118" spans="1:7" x14ac:dyDescent="0.4">
      <c r="A118" s="164">
        <v>33766</v>
      </c>
      <c r="B118" s="166"/>
      <c r="C118" s="166">
        <v>567.67999299999997</v>
      </c>
      <c r="D118" s="160"/>
      <c r="E118" s="166">
        <v>9.4547000000000008</v>
      </c>
      <c r="G118" s="166">
        <v>1.6007800000000001</v>
      </c>
    </row>
    <row r="119" spans="1:7" x14ac:dyDescent="0.4">
      <c r="A119" s="164">
        <v>33767</v>
      </c>
      <c r="B119" s="166"/>
      <c r="C119" s="166">
        <v>569.52002000000005</v>
      </c>
      <c r="D119" s="160"/>
      <c r="E119" s="166">
        <v>9.5574639999999995</v>
      </c>
      <c r="G119" s="166">
        <v>1.623065</v>
      </c>
    </row>
    <row r="120" spans="1:7" x14ac:dyDescent="0.4">
      <c r="A120" s="164">
        <v>33770</v>
      </c>
      <c r="B120" s="166"/>
      <c r="C120" s="166">
        <v>569.01000999999997</v>
      </c>
      <c r="D120" s="160"/>
      <c r="E120" s="166">
        <v>9.6730800000000006</v>
      </c>
      <c r="G120" s="166">
        <v>1.5636399999999999</v>
      </c>
    </row>
    <row r="121" spans="1:7" x14ac:dyDescent="0.4">
      <c r="A121" s="164">
        <v>33771</v>
      </c>
      <c r="B121" s="166"/>
      <c r="C121" s="166">
        <v>564.07000700000003</v>
      </c>
      <c r="D121" s="160"/>
      <c r="E121" s="166">
        <v>9.5703099999999992</v>
      </c>
      <c r="G121" s="166">
        <v>1.4633579999999999</v>
      </c>
    </row>
    <row r="122" spans="1:7" x14ac:dyDescent="0.4">
      <c r="A122" s="164">
        <v>33772</v>
      </c>
      <c r="B122" s="166"/>
      <c r="C122" s="166">
        <v>553.23999000000003</v>
      </c>
      <c r="D122" s="160"/>
      <c r="E122" s="166">
        <v>9.5189249999999994</v>
      </c>
      <c r="G122" s="166">
        <v>1.4113610000000001</v>
      </c>
    </row>
    <row r="123" spans="1:7" x14ac:dyDescent="0.4">
      <c r="A123" s="164">
        <v>33773</v>
      </c>
      <c r="B123" s="166"/>
      <c r="C123" s="166">
        <v>549.169983</v>
      </c>
      <c r="D123" s="160"/>
      <c r="E123" s="166">
        <v>9.7116170000000004</v>
      </c>
      <c r="G123" s="166">
        <v>1.3445069999999999</v>
      </c>
    </row>
    <row r="124" spans="1:7" x14ac:dyDescent="0.4">
      <c r="A124" s="164">
        <v>33774</v>
      </c>
      <c r="B124" s="166"/>
      <c r="C124" s="166">
        <v>554.20001200000002</v>
      </c>
      <c r="D124" s="160"/>
      <c r="E124" s="166">
        <v>9.7630029999999994</v>
      </c>
      <c r="G124" s="166">
        <v>1.3296509999999999</v>
      </c>
    </row>
    <row r="125" spans="1:7" x14ac:dyDescent="0.4">
      <c r="A125" s="164">
        <v>33777</v>
      </c>
      <c r="B125" s="166"/>
      <c r="C125" s="166">
        <v>549.72997999999995</v>
      </c>
      <c r="D125" s="160"/>
      <c r="E125" s="166">
        <v>9.7886950000000006</v>
      </c>
      <c r="G125" s="166">
        <v>1.314794</v>
      </c>
    </row>
    <row r="126" spans="1:7" x14ac:dyDescent="0.4">
      <c r="A126" s="164">
        <v>33778</v>
      </c>
      <c r="B126" s="166"/>
      <c r="C126" s="166">
        <v>553.35998500000005</v>
      </c>
      <c r="D126" s="160"/>
      <c r="E126" s="166">
        <v>9.8529269999999993</v>
      </c>
      <c r="G126" s="166">
        <v>1.3445069999999999</v>
      </c>
    </row>
    <row r="127" spans="1:7" x14ac:dyDescent="0.4">
      <c r="A127" s="164">
        <v>33779</v>
      </c>
      <c r="B127" s="166"/>
      <c r="C127" s="166">
        <v>551.39001499999995</v>
      </c>
      <c r="D127" s="160"/>
      <c r="E127" s="166">
        <v>10.032769999999999</v>
      </c>
      <c r="G127" s="166">
        <v>1.366792</v>
      </c>
    </row>
    <row r="128" spans="1:7" x14ac:dyDescent="0.4">
      <c r="A128" s="164">
        <v>33780</v>
      </c>
      <c r="B128" s="166"/>
      <c r="C128" s="166">
        <v>548.20001200000002</v>
      </c>
      <c r="D128" s="160"/>
      <c r="E128" s="166">
        <v>9.9813860000000005</v>
      </c>
      <c r="G128" s="166">
        <v>1.3556490000000001</v>
      </c>
    </row>
    <row r="129" spans="1:7" x14ac:dyDescent="0.4">
      <c r="A129" s="164">
        <v>33781</v>
      </c>
      <c r="B129" s="166"/>
      <c r="C129" s="166">
        <v>547.84002699999996</v>
      </c>
      <c r="D129" s="160"/>
      <c r="E129" s="166">
        <v>9.9942329999999995</v>
      </c>
      <c r="G129" s="166">
        <v>1.3445069999999999</v>
      </c>
    </row>
    <row r="130" spans="1:7" x14ac:dyDescent="0.4">
      <c r="A130" s="164">
        <v>33784</v>
      </c>
      <c r="B130" s="166"/>
      <c r="C130" s="166">
        <v>558.79998799999998</v>
      </c>
      <c r="D130" s="160"/>
      <c r="E130" s="166">
        <v>10.135535000000001</v>
      </c>
      <c r="G130" s="166">
        <v>1.389076</v>
      </c>
    </row>
    <row r="131" spans="1:7" x14ac:dyDescent="0.4">
      <c r="A131" s="164">
        <v>33785</v>
      </c>
      <c r="B131" s="166"/>
      <c r="C131" s="166">
        <v>563.59997599999997</v>
      </c>
      <c r="D131" s="160"/>
      <c r="E131" s="166">
        <v>10.058462</v>
      </c>
      <c r="G131" s="166">
        <v>1.4262170000000001</v>
      </c>
    </row>
    <row r="132" spans="1:7" x14ac:dyDescent="0.4">
      <c r="A132" s="164">
        <v>33786</v>
      </c>
      <c r="B132" s="166"/>
      <c r="C132" s="166">
        <v>568.98999000000003</v>
      </c>
      <c r="D132" s="160"/>
      <c r="E132" s="166">
        <v>10.096996000000001</v>
      </c>
      <c r="G132" s="166">
        <v>1.4559299999999999</v>
      </c>
    </row>
    <row r="133" spans="1:7" x14ac:dyDescent="0.4">
      <c r="A133" s="164">
        <v>33787</v>
      </c>
      <c r="B133" s="166"/>
      <c r="C133" s="166">
        <v>563.34997599999997</v>
      </c>
      <c r="D133" s="160"/>
      <c r="E133" s="166">
        <v>9.9556959999999997</v>
      </c>
      <c r="G133" s="166">
        <v>1.37422</v>
      </c>
    </row>
    <row r="134" spans="1:7" x14ac:dyDescent="0.4">
      <c r="A134" s="164">
        <v>33791</v>
      </c>
      <c r="B134" s="166"/>
      <c r="C134" s="166">
        <v>563.169983</v>
      </c>
      <c r="D134" s="160"/>
      <c r="E134" s="166">
        <v>10.084149</v>
      </c>
      <c r="G134" s="166">
        <v>1.37422</v>
      </c>
    </row>
    <row r="135" spans="1:7" x14ac:dyDescent="0.4">
      <c r="A135" s="164">
        <v>33792</v>
      </c>
      <c r="B135" s="166"/>
      <c r="C135" s="166">
        <v>557.40997300000004</v>
      </c>
      <c r="D135" s="160"/>
      <c r="E135" s="166">
        <v>9.9428490000000007</v>
      </c>
      <c r="G135" s="166">
        <v>1.314794</v>
      </c>
    </row>
    <row r="136" spans="1:7" x14ac:dyDescent="0.4">
      <c r="A136" s="164">
        <v>33793</v>
      </c>
      <c r="B136" s="166"/>
      <c r="C136" s="166">
        <v>557.57000700000003</v>
      </c>
      <c r="D136" s="160"/>
      <c r="E136" s="166">
        <v>10.058462</v>
      </c>
      <c r="G136" s="166">
        <v>1.3593630000000001</v>
      </c>
    </row>
    <row r="137" spans="1:7" x14ac:dyDescent="0.4">
      <c r="A137" s="164">
        <v>33794</v>
      </c>
      <c r="B137" s="166"/>
      <c r="C137" s="166">
        <v>564.75</v>
      </c>
      <c r="D137" s="160"/>
      <c r="E137" s="166">
        <v>10.019923</v>
      </c>
      <c r="G137" s="166">
        <v>1.3630770000000001</v>
      </c>
    </row>
    <row r="138" spans="1:7" x14ac:dyDescent="0.4">
      <c r="A138" s="164">
        <v>33795</v>
      </c>
      <c r="B138" s="166"/>
      <c r="C138" s="166">
        <v>567.79998799999998</v>
      </c>
      <c r="D138" s="160"/>
      <c r="E138" s="166">
        <v>10.032769999999999</v>
      </c>
      <c r="G138" s="166">
        <v>1.3593630000000001</v>
      </c>
    </row>
    <row r="139" spans="1:7" x14ac:dyDescent="0.4">
      <c r="A139" s="164">
        <v>33798</v>
      </c>
      <c r="B139" s="166"/>
      <c r="C139" s="166">
        <v>570.21997099999999</v>
      </c>
      <c r="D139" s="160"/>
      <c r="E139" s="166">
        <v>10.058462</v>
      </c>
      <c r="G139" s="166">
        <v>1.3965050000000001</v>
      </c>
    </row>
    <row r="140" spans="1:7" x14ac:dyDescent="0.4">
      <c r="A140" s="164">
        <v>33799</v>
      </c>
      <c r="B140" s="166"/>
      <c r="C140" s="166">
        <v>575.21002199999998</v>
      </c>
      <c r="D140" s="160"/>
      <c r="E140" s="166">
        <v>10.058462</v>
      </c>
      <c r="G140" s="166">
        <v>1.4113610000000001</v>
      </c>
    </row>
    <row r="141" spans="1:7" x14ac:dyDescent="0.4">
      <c r="A141" s="164">
        <v>33800</v>
      </c>
      <c r="B141" s="166"/>
      <c r="C141" s="166">
        <v>575.46997099999999</v>
      </c>
      <c r="D141" s="160"/>
      <c r="E141" s="166">
        <v>10.199768000000001</v>
      </c>
      <c r="G141" s="166">
        <v>1.4262170000000001</v>
      </c>
    </row>
    <row r="142" spans="1:7" x14ac:dyDescent="0.4">
      <c r="A142" s="164">
        <v>33801</v>
      </c>
      <c r="B142" s="166"/>
      <c r="C142" s="166">
        <v>576.19000200000005</v>
      </c>
      <c r="D142" s="160"/>
      <c r="E142" s="166">
        <v>10.302538</v>
      </c>
      <c r="G142" s="166">
        <v>1.448502</v>
      </c>
    </row>
    <row r="143" spans="1:7" x14ac:dyDescent="0.4">
      <c r="A143" s="164">
        <v>33802</v>
      </c>
      <c r="B143" s="166"/>
      <c r="C143" s="166">
        <v>570.52002000000005</v>
      </c>
      <c r="D143" s="160"/>
      <c r="E143" s="166">
        <v>9.7630029999999994</v>
      </c>
      <c r="G143" s="166">
        <v>1.3370789999999999</v>
      </c>
    </row>
    <row r="144" spans="1:7" x14ac:dyDescent="0.4">
      <c r="A144" s="164">
        <v>33805</v>
      </c>
      <c r="B144" s="166"/>
      <c r="C144" s="166">
        <v>564.28002900000001</v>
      </c>
      <c r="D144" s="160"/>
      <c r="E144" s="166">
        <v>9.5446200000000001</v>
      </c>
      <c r="G144" s="166">
        <v>1.3296509999999999</v>
      </c>
    </row>
    <row r="145" spans="1:7" x14ac:dyDescent="0.4">
      <c r="A145" s="164">
        <v>33806</v>
      </c>
      <c r="B145" s="166"/>
      <c r="C145" s="166">
        <v>568.63000499999998</v>
      </c>
      <c r="D145" s="160"/>
      <c r="E145" s="166">
        <v>9.6345410000000005</v>
      </c>
      <c r="G145" s="166">
        <v>1.3593630000000001</v>
      </c>
    </row>
    <row r="146" spans="1:7" x14ac:dyDescent="0.4">
      <c r="A146" s="164">
        <v>33807</v>
      </c>
      <c r="B146" s="166"/>
      <c r="C146" s="166">
        <v>563.88000499999998</v>
      </c>
      <c r="D146" s="160"/>
      <c r="E146" s="166">
        <v>9.506081</v>
      </c>
      <c r="G146" s="166">
        <v>1.314794</v>
      </c>
    </row>
    <row r="147" spans="1:7" x14ac:dyDescent="0.4">
      <c r="A147" s="164">
        <v>33808</v>
      </c>
      <c r="B147" s="166"/>
      <c r="C147" s="166">
        <v>565.23999000000003</v>
      </c>
      <c r="D147" s="160"/>
      <c r="E147" s="166">
        <v>9.5317749999999997</v>
      </c>
      <c r="G147" s="166">
        <v>1.3296509999999999</v>
      </c>
    </row>
    <row r="148" spans="1:7" x14ac:dyDescent="0.4">
      <c r="A148" s="164">
        <v>33809</v>
      </c>
      <c r="B148" s="166"/>
      <c r="C148" s="166">
        <v>565.60998500000005</v>
      </c>
      <c r="D148" s="160"/>
      <c r="E148" s="166">
        <v>9.5317749999999997</v>
      </c>
      <c r="G148" s="166">
        <v>1.3630770000000001</v>
      </c>
    </row>
    <row r="149" spans="1:7" x14ac:dyDescent="0.4">
      <c r="A149" s="164">
        <v>33812</v>
      </c>
      <c r="B149" s="166"/>
      <c r="C149" s="166">
        <v>564.72997999999995</v>
      </c>
      <c r="D149" s="160"/>
      <c r="E149" s="166">
        <v>9.4932390000000009</v>
      </c>
      <c r="G149" s="166">
        <v>1.3445069999999999</v>
      </c>
    </row>
    <row r="150" spans="1:7" x14ac:dyDescent="0.4">
      <c r="A150" s="164">
        <v>33813</v>
      </c>
      <c r="B150" s="166"/>
      <c r="C150" s="166">
        <v>571.63000499999998</v>
      </c>
      <c r="D150" s="160"/>
      <c r="E150" s="166">
        <v>9.6345410000000005</v>
      </c>
      <c r="G150" s="166">
        <v>1.381648</v>
      </c>
    </row>
    <row r="151" spans="1:7" x14ac:dyDescent="0.4">
      <c r="A151" s="164">
        <v>33814</v>
      </c>
      <c r="B151" s="166"/>
      <c r="C151" s="166">
        <v>577.48999000000003</v>
      </c>
      <c r="D151" s="160"/>
      <c r="E151" s="166">
        <v>9.6987699999999997</v>
      </c>
      <c r="G151" s="166">
        <v>1.4039330000000001</v>
      </c>
    </row>
    <row r="152" spans="1:7" x14ac:dyDescent="0.4">
      <c r="A152" s="164">
        <v>33815</v>
      </c>
      <c r="B152" s="166"/>
      <c r="C152" s="166">
        <v>578.79998799999998</v>
      </c>
      <c r="D152" s="160"/>
      <c r="E152" s="166">
        <v>9.8015419999999995</v>
      </c>
      <c r="G152" s="166">
        <v>1.4039330000000001</v>
      </c>
    </row>
    <row r="153" spans="1:7" x14ac:dyDescent="0.4">
      <c r="A153" s="164">
        <v>33816</v>
      </c>
      <c r="B153" s="166"/>
      <c r="C153" s="166">
        <v>580.830017</v>
      </c>
      <c r="D153" s="160"/>
      <c r="E153" s="166">
        <v>9.737311</v>
      </c>
      <c r="G153" s="166">
        <v>1.389076</v>
      </c>
    </row>
    <row r="154" spans="1:7" x14ac:dyDescent="0.4">
      <c r="A154" s="164">
        <v>33819</v>
      </c>
      <c r="B154" s="166"/>
      <c r="C154" s="166">
        <v>582.35998500000005</v>
      </c>
      <c r="D154" s="160"/>
      <c r="E154" s="166">
        <v>9.7501549999999995</v>
      </c>
      <c r="G154" s="166">
        <v>1.3593630000000001</v>
      </c>
    </row>
    <row r="155" spans="1:7" x14ac:dyDescent="0.4">
      <c r="A155" s="164">
        <v>33820</v>
      </c>
      <c r="B155" s="166"/>
      <c r="C155" s="166">
        <v>581.32000700000003</v>
      </c>
      <c r="D155" s="160"/>
      <c r="E155" s="166">
        <v>9.6859269999999995</v>
      </c>
      <c r="G155" s="166">
        <v>1.3519350000000001</v>
      </c>
    </row>
    <row r="156" spans="1:7" x14ac:dyDescent="0.4">
      <c r="A156" s="164">
        <v>33821</v>
      </c>
      <c r="B156" s="166"/>
      <c r="C156" s="166">
        <v>576.86999500000002</v>
      </c>
      <c r="D156" s="160"/>
      <c r="E156" s="166">
        <v>9.4161579999999994</v>
      </c>
      <c r="G156" s="166">
        <v>1.3296509999999999</v>
      </c>
    </row>
    <row r="157" spans="1:7" x14ac:dyDescent="0.4">
      <c r="A157" s="164">
        <v>33822</v>
      </c>
      <c r="B157" s="166"/>
      <c r="C157" s="166">
        <v>574.02002000000005</v>
      </c>
      <c r="D157" s="160"/>
      <c r="E157" s="166">
        <v>9.5751059999999999</v>
      </c>
      <c r="G157" s="166">
        <v>1.3073650000000001</v>
      </c>
    </row>
    <row r="158" spans="1:7" x14ac:dyDescent="0.4">
      <c r="A158" s="164">
        <v>33823</v>
      </c>
      <c r="B158" s="166"/>
      <c r="C158" s="166">
        <v>573.73999000000003</v>
      </c>
      <c r="D158" s="160"/>
      <c r="E158" s="166">
        <v>9.4530539999999998</v>
      </c>
      <c r="G158" s="166">
        <v>1.2887949999999999</v>
      </c>
    </row>
    <row r="159" spans="1:7" x14ac:dyDescent="0.4">
      <c r="A159" s="164">
        <v>33826</v>
      </c>
      <c r="B159" s="166"/>
      <c r="C159" s="166">
        <v>573.14001499999995</v>
      </c>
      <c r="D159" s="160"/>
      <c r="E159" s="166">
        <v>9.6022350000000003</v>
      </c>
      <c r="G159" s="166">
        <v>1.31108</v>
      </c>
    </row>
    <row r="160" spans="1:7" x14ac:dyDescent="0.4">
      <c r="A160" s="164">
        <v>33827</v>
      </c>
      <c r="B160" s="166"/>
      <c r="C160" s="166">
        <v>571.59997599999997</v>
      </c>
      <c r="D160" s="160"/>
      <c r="E160" s="166">
        <v>9.5479850000000006</v>
      </c>
      <c r="G160" s="166">
        <v>1.29251</v>
      </c>
    </row>
    <row r="161" spans="1:7" x14ac:dyDescent="0.4">
      <c r="A161" s="164">
        <v>33828</v>
      </c>
      <c r="B161" s="166"/>
      <c r="C161" s="166">
        <v>570.84997599999997</v>
      </c>
      <c r="D161" s="160"/>
      <c r="E161" s="166">
        <v>9.5886750000000003</v>
      </c>
      <c r="G161" s="166">
        <v>1.31108</v>
      </c>
    </row>
    <row r="162" spans="1:7" x14ac:dyDescent="0.4">
      <c r="A162" s="164">
        <v>33829</v>
      </c>
      <c r="B162" s="166"/>
      <c r="C162" s="166">
        <v>570.98999000000003</v>
      </c>
      <c r="D162" s="160"/>
      <c r="E162" s="166">
        <v>9.5615500000000004</v>
      </c>
      <c r="G162" s="166">
        <v>1.3296509999999999</v>
      </c>
    </row>
    <row r="163" spans="1:7" x14ac:dyDescent="0.4">
      <c r="A163" s="164">
        <v>33830</v>
      </c>
      <c r="B163" s="166"/>
      <c r="C163" s="166">
        <v>573.17999299999997</v>
      </c>
      <c r="D163" s="160"/>
      <c r="E163" s="166">
        <v>9.5886750000000003</v>
      </c>
      <c r="G163" s="166">
        <v>1.3296509999999999</v>
      </c>
    </row>
    <row r="164" spans="1:7" x14ac:dyDescent="0.4">
      <c r="A164" s="164">
        <v>33833</v>
      </c>
      <c r="B164" s="166"/>
      <c r="C164" s="166">
        <v>572.46997099999999</v>
      </c>
      <c r="D164" s="160"/>
      <c r="E164" s="166">
        <v>9.6158009999999994</v>
      </c>
      <c r="G164" s="166">
        <v>1.3332299999999999</v>
      </c>
    </row>
    <row r="165" spans="1:7" x14ac:dyDescent="0.4">
      <c r="A165" s="164">
        <v>33834</v>
      </c>
      <c r="B165" s="166"/>
      <c r="C165" s="166">
        <v>570.86999500000002</v>
      </c>
      <c r="D165" s="160"/>
      <c r="E165" s="166">
        <v>9.5479850000000006</v>
      </c>
      <c r="G165" s="166">
        <v>1.3332299999999999</v>
      </c>
    </row>
    <row r="166" spans="1:7" x14ac:dyDescent="0.4">
      <c r="A166" s="164">
        <v>33835</v>
      </c>
      <c r="B166" s="166"/>
      <c r="C166" s="166">
        <v>567.60998500000005</v>
      </c>
      <c r="D166" s="160"/>
      <c r="E166" s="166">
        <v>9.3988010000000006</v>
      </c>
      <c r="G166" s="166">
        <v>1.3257810000000001</v>
      </c>
    </row>
    <row r="167" spans="1:7" x14ac:dyDescent="0.4">
      <c r="A167" s="164">
        <v>33836</v>
      </c>
      <c r="B167" s="166"/>
      <c r="C167" s="166">
        <v>567.85998500000005</v>
      </c>
      <c r="D167" s="160"/>
      <c r="E167" s="166">
        <v>9.3174270000000003</v>
      </c>
      <c r="G167" s="166">
        <v>1.3332299999999999</v>
      </c>
    </row>
    <row r="168" spans="1:7" x14ac:dyDescent="0.4">
      <c r="A168" s="164">
        <v>33837</v>
      </c>
      <c r="B168" s="166"/>
      <c r="C168" s="166">
        <v>563.70001200000002</v>
      </c>
      <c r="D168" s="160"/>
      <c r="E168" s="166">
        <v>9.3309899999999999</v>
      </c>
      <c r="G168" s="166">
        <v>1.3295049999999999</v>
      </c>
    </row>
    <row r="169" spans="1:7" x14ac:dyDescent="0.4">
      <c r="A169" s="164">
        <v>33840</v>
      </c>
      <c r="B169" s="166"/>
      <c r="C169" s="166">
        <v>555.39001499999995</v>
      </c>
      <c r="D169" s="160"/>
      <c r="E169" s="166">
        <v>9.2360480000000003</v>
      </c>
      <c r="G169" s="166">
        <v>1.28854</v>
      </c>
    </row>
    <row r="170" spans="1:7" x14ac:dyDescent="0.4">
      <c r="A170" s="164">
        <v>33841</v>
      </c>
      <c r="B170" s="166"/>
      <c r="C170" s="166">
        <v>554.21997099999999</v>
      </c>
      <c r="D170" s="160"/>
      <c r="E170" s="166">
        <v>9.4530539999999998</v>
      </c>
      <c r="G170" s="166">
        <v>1.322057</v>
      </c>
    </row>
    <row r="171" spans="1:7" x14ac:dyDescent="0.4">
      <c r="A171" s="164">
        <v>33842</v>
      </c>
      <c r="B171" s="166"/>
      <c r="C171" s="166">
        <v>558.79998799999998</v>
      </c>
      <c r="D171" s="160"/>
      <c r="E171" s="166">
        <v>9.3716720000000002</v>
      </c>
      <c r="G171" s="166">
        <v>1.318333</v>
      </c>
    </row>
    <row r="172" spans="1:7" x14ac:dyDescent="0.4">
      <c r="A172" s="164">
        <v>33843</v>
      </c>
      <c r="B172" s="166"/>
      <c r="C172" s="166">
        <v>563.27002000000005</v>
      </c>
      <c r="D172" s="160"/>
      <c r="E172" s="166">
        <v>9.4801749999999991</v>
      </c>
      <c r="G172" s="166">
        <v>1.3257810000000001</v>
      </c>
    </row>
    <row r="173" spans="1:7" x14ac:dyDescent="0.4">
      <c r="A173" s="164">
        <v>33844</v>
      </c>
      <c r="B173" s="166"/>
      <c r="C173" s="166">
        <v>563.55999799999995</v>
      </c>
      <c r="D173" s="160"/>
      <c r="E173" s="166">
        <v>9.4666099999999993</v>
      </c>
      <c r="G173" s="166">
        <v>1.340678</v>
      </c>
    </row>
    <row r="174" spans="1:7" x14ac:dyDescent="0.4">
      <c r="A174" s="164">
        <v>33847</v>
      </c>
      <c r="B174" s="166"/>
      <c r="C174" s="166">
        <v>563.11999500000002</v>
      </c>
      <c r="D174" s="160"/>
      <c r="E174" s="166">
        <v>9.3988010000000006</v>
      </c>
      <c r="G174" s="166">
        <v>1.3704700000000001</v>
      </c>
    </row>
    <row r="175" spans="1:7" x14ac:dyDescent="0.4">
      <c r="A175" s="164">
        <v>33848</v>
      </c>
      <c r="B175" s="166"/>
      <c r="C175" s="166">
        <v>565.60998500000005</v>
      </c>
      <c r="D175" s="160"/>
      <c r="E175" s="166">
        <v>9.5073000000000008</v>
      </c>
      <c r="G175" s="166">
        <v>1.3853660000000001</v>
      </c>
    </row>
    <row r="176" spans="1:7" x14ac:dyDescent="0.4">
      <c r="A176" s="164">
        <v>33849</v>
      </c>
      <c r="B176" s="166"/>
      <c r="C176" s="166">
        <v>571.25</v>
      </c>
      <c r="D176" s="160"/>
      <c r="E176" s="166">
        <v>9.4937369999999994</v>
      </c>
      <c r="G176" s="166">
        <v>1.444952</v>
      </c>
    </row>
    <row r="177" spans="1:7" x14ac:dyDescent="0.4">
      <c r="A177" s="164">
        <v>33850</v>
      </c>
      <c r="B177" s="166"/>
      <c r="C177" s="166">
        <v>574.88000499999998</v>
      </c>
      <c r="D177" s="160"/>
      <c r="E177" s="166">
        <v>9.3988010000000006</v>
      </c>
      <c r="G177" s="166">
        <v>1.4226080000000001</v>
      </c>
    </row>
    <row r="178" spans="1:7" x14ac:dyDescent="0.4">
      <c r="A178" s="164">
        <v>33851</v>
      </c>
      <c r="B178" s="166"/>
      <c r="C178" s="166">
        <v>573.44000200000005</v>
      </c>
      <c r="D178" s="160"/>
      <c r="E178" s="166">
        <v>9.3309899999999999</v>
      </c>
      <c r="G178" s="166">
        <v>1.4077109999999999</v>
      </c>
    </row>
    <row r="179" spans="1:7" x14ac:dyDescent="0.4">
      <c r="A179" s="164">
        <v>33855</v>
      </c>
      <c r="B179" s="166"/>
      <c r="C179" s="166">
        <v>571.169983</v>
      </c>
      <c r="D179" s="160"/>
      <c r="E179" s="166">
        <v>9.3445459999999994</v>
      </c>
      <c r="G179" s="166">
        <v>1.4226080000000001</v>
      </c>
    </row>
    <row r="180" spans="1:7" x14ac:dyDescent="0.4">
      <c r="A180" s="164">
        <v>33856</v>
      </c>
      <c r="B180" s="166"/>
      <c r="C180" s="166">
        <v>574.89001499999995</v>
      </c>
      <c r="D180" s="160"/>
      <c r="E180" s="166">
        <v>9.4259229999999992</v>
      </c>
      <c r="G180" s="166">
        <v>1.459849</v>
      </c>
    </row>
    <row r="181" spans="1:7" x14ac:dyDescent="0.4">
      <c r="A181" s="164">
        <v>33857</v>
      </c>
      <c r="B181" s="166"/>
      <c r="C181" s="166">
        <v>581.23999000000003</v>
      </c>
      <c r="D181" s="160"/>
      <c r="E181" s="166">
        <v>9.4937369999999994</v>
      </c>
      <c r="G181" s="166">
        <v>1.4672959999999999</v>
      </c>
    </row>
    <row r="182" spans="1:7" x14ac:dyDescent="0.4">
      <c r="A182" s="164">
        <v>33858</v>
      </c>
      <c r="B182" s="166"/>
      <c r="C182" s="166">
        <v>583.01000999999997</v>
      </c>
      <c r="D182" s="160"/>
      <c r="E182" s="166">
        <v>9.5479850000000006</v>
      </c>
      <c r="G182" s="166">
        <v>1.4188829999999999</v>
      </c>
    </row>
    <row r="183" spans="1:7" x14ac:dyDescent="0.4">
      <c r="A183" s="164">
        <v>33861</v>
      </c>
      <c r="B183" s="166"/>
      <c r="C183" s="166">
        <v>594.21002199999998</v>
      </c>
      <c r="D183" s="160"/>
      <c r="E183" s="166">
        <v>9.5886750000000003</v>
      </c>
      <c r="G183" s="166">
        <v>1.474745</v>
      </c>
    </row>
    <row r="184" spans="1:7" x14ac:dyDescent="0.4">
      <c r="A184" s="164">
        <v>33862</v>
      </c>
      <c r="B184" s="166"/>
      <c r="C184" s="166">
        <v>587.85998500000005</v>
      </c>
      <c r="D184" s="160"/>
      <c r="E184" s="166">
        <v>9.2767350000000004</v>
      </c>
      <c r="G184" s="166">
        <v>1.4375039999999999</v>
      </c>
    </row>
    <row r="185" spans="1:7" x14ac:dyDescent="0.4">
      <c r="A185" s="164">
        <v>33863</v>
      </c>
      <c r="B185" s="166"/>
      <c r="C185" s="166">
        <v>585.89001499999995</v>
      </c>
      <c r="D185" s="160"/>
      <c r="E185" s="166">
        <v>9.0190520000000003</v>
      </c>
      <c r="G185" s="166">
        <v>1.400263</v>
      </c>
    </row>
    <row r="186" spans="1:7" x14ac:dyDescent="0.4">
      <c r="A186" s="164">
        <v>33864</v>
      </c>
      <c r="B186" s="166"/>
      <c r="C186" s="166">
        <v>587.82000700000003</v>
      </c>
      <c r="D186" s="160"/>
      <c r="E186" s="166">
        <v>9.0868629999999992</v>
      </c>
      <c r="G186" s="166">
        <v>1.3704700000000001</v>
      </c>
    </row>
    <row r="187" spans="1:7" x14ac:dyDescent="0.4">
      <c r="A187" s="164">
        <v>33865</v>
      </c>
      <c r="B187" s="166"/>
      <c r="C187" s="166">
        <v>589.11999500000002</v>
      </c>
      <c r="D187" s="160"/>
      <c r="E187" s="166">
        <v>9.0597340000000006</v>
      </c>
      <c r="G187" s="166">
        <v>1.3853660000000001</v>
      </c>
    </row>
    <row r="188" spans="1:7" x14ac:dyDescent="0.4">
      <c r="A188" s="164">
        <v>33868</v>
      </c>
      <c r="B188" s="166"/>
      <c r="C188" s="166">
        <v>588.580017</v>
      </c>
      <c r="D188" s="160"/>
      <c r="E188" s="166">
        <v>9.1546730000000007</v>
      </c>
      <c r="G188" s="166">
        <v>1.3853660000000001</v>
      </c>
    </row>
    <row r="189" spans="1:7" x14ac:dyDescent="0.4">
      <c r="A189" s="164">
        <v>33869</v>
      </c>
      <c r="B189" s="166"/>
      <c r="C189" s="166">
        <v>583</v>
      </c>
      <c r="D189" s="160"/>
      <c r="E189" s="166">
        <v>9.0326129999999996</v>
      </c>
      <c r="G189" s="166">
        <v>1.363022</v>
      </c>
    </row>
    <row r="190" spans="1:7" x14ac:dyDescent="0.4">
      <c r="A190" s="164">
        <v>33870</v>
      </c>
      <c r="B190" s="166"/>
      <c r="C190" s="166">
        <v>582.96002199999998</v>
      </c>
      <c r="D190" s="160"/>
      <c r="E190" s="166">
        <v>9.0733010000000007</v>
      </c>
      <c r="G190" s="166">
        <v>1.41516</v>
      </c>
    </row>
    <row r="191" spans="1:7" x14ac:dyDescent="0.4">
      <c r="A191" s="164">
        <v>33871</v>
      </c>
      <c r="B191" s="166"/>
      <c r="C191" s="166">
        <v>585.92999299999997</v>
      </c>
      <c r="D191" s="160"/>
      <c r="E191" s="166">
        <v>8.9512350000000005</v>
      </c>
      <c r="G191" s="166">
        <v>1.377918</v>
      </c>
    </row>
    <row r="192" spans="1:7" x14ac:dyDescent="0.4">
      <c r="A192" s="164">
        <v>33872</v>
      </c>
      <c r="B192" s="166"/>
      <c r="C192" s="166">
        <v>577.20001200000002</v>
      </c>
      <c r="D192" s="160"/>
      <c r="E192" s="166">
        <v>8.9241089999999996</v>
      </c>
      <c r="G192" s="166">
        <v>1.3555740000000001</v>
      </c>
    </row>
    <row r="193" spans="1:7" x14ac:dyDescent="0.4">
      <c r="A193" s="164">
        <v>33875</v>
      </c>
      <c r="B193" s="166"/>
      <c r="C193" s="166">
        <v>575.34002699999996</v>
      </c>
      <c r="D193" s="160"/>
      <c r="E193" s="166">
        <v>8.9783659999999994</v>
      </c>
      <c r="G193" s="166">
        <v>1.3332299999999999</v>
      </c>
    </row>
    <row r="194" spans="1:7" x14ac:dyDescent="0.4">
      <c r="A194" s="164">
        <v>33876</v>
      </c>
      <c r="B194" s="166"/>
      <c r="C194" s="166">
        <v>577.63000499999998</v>
      </c>
      <c r="D194" s="160"/>
      <c r="E194" s="166">
        <v>8.7884849999999997</v>
      </c>
      <c r="G194" s="166">
        <v>1.3369530000000001</v>
      </c>
    </row>
    <row r="195" spans="1:7" x14ac:dyDescent="0.4">
      <c r="A195" s="164">
        <v>33877</v>
      </c>
      <c r="B195" s="166"/>
      <c r="C195" s="166">
        <v>583.27002000000005</v>
      </c>
      <c r="D195" s="160"/>
      <c r="E195" s="166">
        <v>8.7613610000000008</v>
      </c>
      <c r="G195" s="166">
        <v>1.344401</v>
      </c>
    </row>
    <row r="196" spans="1:7" x14ac:dyDescent="0.4">
      <c r="A196" s="164">
        <v>33878</v>
      </c>
      <c r="B196" s="166"/>
      <c r="C196" s="166">
        <v>578.330017</v>
      </c>
      <c r="D196" s="160"/>
      <c r="E196" s="166">
        <v>8.6935520000000004</v>
      </c>
      <c r="G196" s="166">
        <v>1.318333</v>
      </c>
    </row>
    <row r="197" spans="1:7" x14ac:dyDescent="0.4">
      <c r="A197" s="164">
        <v>33879</v>
      </c>
      <c r="B197" s="166"/>
      <c r="C197" s="166">
        <v>571.63000499999998</v>
      </c>
      <c r="D197" s="160"/>
      <c r="E197" s="166">
        <v>8.5172380000000008</v>
      </c>
      <c r="G197" s="166">
        <v>1.303437</v>
      </c>
    </row>
    <row r="198" spans="1:7" x14ac:dyDescent="0.4">
      <c r="A198" s="164">
        <v>33882</v>
      </c>
      <c r="B198" s="166"/>
      <c r="C198" s="166">
        <v>565.21002199999998</v>
      </c>
      <c r="D198" s="160"/>
      <c r="E198" s="166">
        <v>8.5579249999999991</v>
      </c>
      <c r="G198" s="166">
        <v>1.2959879999999999</v>
      </c>
    </row>
    <row r="199" spans="1:7" x14ac:dyDescent="0.4">
      <c r="A199" s="164">
        <v>33883</v>
      </c>
      <c r="B199" s="166"/>
      <c r="C199" s="166">
        <v>570.54998799999998</v>
      </c>
      <c r="D199" s="160"/>
      <c r="E199" s="166">
        <v>8.6528639999999992</v>
      </c>
      <c r="G199" s="166">
        <v>1.3332299999999999</v>
      </c>
    </row>
    <row r="200" spans="1:7" x14ac:dyDescent="0.4">
      <c r="A200" s="164">
        <v>33884</v>
      </c>
      <c r="B200" s="166"/>
      <c r="C200" s="166">
        <v>569.20001200000002</v>
      </c>
      <c r="D200" s="160"/>
      <c r="E200" s="166">
        <v>8.5036780000000007</v>
      </c>
      <c r="G200" s="166">
        <v>1.303437</v>
      </c>
    </row>
    <row r="201" spans="1:7" x14ac:dyDescent="0.4">
      <c r="A201" s="164">
        <v>33885</v>
      </c>
      <c r="B201" s="166"/>
      <c r="C201" s="166">
        <v>573.88000499999998</v>
      </c>
      <c r="D201" s="160"/>
      <c r="E201" s="166">
        <v>8.6121750000000006</v>
      </c>
      <c r="G201" s="166">
        <v>1.2959879999999999</v>
      </c>
    </row>
    <row r="202" spans="1:7" x14ac:dyDescent="0.4">
      <c r="A202" s="164">
        <v>33886</v>
      </c>
      <c r="B202" s="166"/>
      <c r="C202" s="166">
        <v>570.52002000000005</v>
      </c>
      <c r="D202" s="160"/>
      <c r="E202" s="166">
        <v>8.5172380000000008</v>
      </c>
      <c r="G202" s="166">
        <v>1.2922640000000001</v>
      </c>
    </row>
    <row r="203" spans="1:7" x14ac:dyDescent="0.4">
      <c r="A203" s="164">
        <v>33889</v>
      </c>
      <c r="B203" s="166"/>
      <c r="C203" s="166">
        <v>573.84002699999996</v>
      </c>
      <c r="D203" s="160"/>
      <c r="E203" s="166">
        <v>8.5172380000000008</v>
      </c>
      <c r="G203" s="166">
        <v>1.3108839999999999</v>
      </c>
    </row>
    <row r="204" spans="1:7" x14ac:dyDescent="0.4">
      <c r="A204" s="164">
        <v>33890</v>
      </c>
      <c r="B204" s="166"/>
      <c r="C204" s="166">
        <v>576.44000200000005</v>
      </c>
      <c r="D204" s="160"/>
      <c r="E204" s="166">
        <v>8.5443650000000009</v>
      </c>
      <c r="G204" s="166">
        <v>1.3518490000000001</v>
      </c>
    </row>
    <row r="205" spans="1:7" x14ac:dyDescent="0.4">
      <c r="A205" s="164">
        <v>33891</v>
      </c>
      <c r="B205" s="166"/>
      <c r="C205" s="166">
        <v>576.21997099999999</v>
      </c>
      <c r="D205" s="160"/>
      <c r="E205" s="166">
        <v>8.4629879999999993</v>
      </c>
      <c r="G205" s="166">
        <v>1.3704700000000001</v>
      </c>
    </row>
    <row r="206" spans="1:7" x14ac:dyDescent="0.4">
      <c r="A206" s="164">
        <v>33892</v>
      </c>
      <c r="B206" s="166"/>
      <c r="C206" s="166">
        <v>578.64001499999995</v>
      </c>
      <c r="D206" s="160"/>
      <c r="E206" s="166">
        <v>7.9069229999999999</v>
      </c>
      <c r="G206" s="166">
        <v>1.3555740000000001</v>
      </c>
    </row>
    <row r="207" spans="1:7" x14ac:dyDescent="0.4">
      <c r="A207" s="164">
        <v>33893</v>
      </c>
      <c r="B207" s="166"/>
      <c r="C207" s="166">
        <v>582.60998500000005</v>
      </c>
      <c r="D207" s="160"/>
      <c r="E207" s="166">
        <v>7.6763659999999998</v>
      </c>
      <c r="G207" s="166">
        <v>1.459849</v>
      </c>
    </row>
    <row r="208" spans="1:7" x14ac:dyDescent="0.4">
      <c r="A208" s="164">
        <v>33896</v>
      </c>
      <c r="B208" s="166"/>
      <c r="C208" s="166">
        <v>590.669983</v>
      </c>
      <c r="D208" s="160"/>
      <c r="E208" s="166">
        <v>7.432239</v>
      </c>
      <c r="G208" s="166">
        <v>1.459849</v>
      </c>
    </row>
    <row r="209" spans="1:7" x14ac:dyDescent="0.4">
      <c r="A209" s="164">
        <v>33897</v>
      </c>
      <c r="B209" s="166"/>
      <c r="C209" s="166">
        <v>592.70001200000002</v>
      </c>
      <c r="D209" s="160"/>
      <c r="E209" s="166">
        <v>7.4186779999999999</v>
      </c>
      <c r="G209" s="166">
        <v>1.463573</v>
      </c>
    </row>
    <row r="210" spans="1:7" x14ac:dyDescent="0.4">
      <c r="A210" s="164">
        <v>33898</v>
      </c>
      <c r="B210" s="166"/>
      <c r="C210" s="166">
        <v>597.15002400000003</v>
      </c>
      <c r="D210" s="160"/>
      <c r="E210" s="166">
        <v>7.432239</v>
      </c>
      <c r="G210" s="166">
        <v>1.444952</v>
      </c>
    </row>
    <row r="211" spans="1:7" x14ac:dyDescent="0.4">
      <c r="A211" s="164">
        <v>33899</v>
      </c>
      <c r="B211" s="166"/>
      <c r="C211" s="166">
        <v>597.11999500000002</v>
      </c>
      <c r="D211" s="160"/>
      <c r="E211" s="166">
        <v>7.432239</v>
      </c>
      <c r="G211" s="166">
        <v>1.4524010000000001</v>
      </c>
    </row>
    <row r="212" spans="1:7" x14ac:dyDescent="0.4">
      <c r="A212" s="164">
        <v>33900</v>
      </c>
      <c r="B212" s="166"/>
      <c r="C212" s="166">
        <v>597.29998799999998</v>
      </c>
      <c r="D212" s="160"/>
      <c r="E212" s="166">
        <v>7.5000479999999996</v>
      </c>
      <c r="G212" s="166">
        <v>1.4524010000000001</v>
      </c>
    </row>
    <row r="213" spans="1:7" x14ac:dyDescent="0.4">
      <c r="A213" s="164">
        <v>33903</v>
      </c>
      <c r="B213" s="166"/>
      <c r="C213" s="166">
        <v>598.919983</v>
      </c>
      <c r="D213" s="160"/>
      <c r="E213" s="166">
        <v>7.3237389999999998</v>
      </c>
      <c r="G213" s="166">
        <v>1.5343309999999999</v>
      </c>
    </row>
    <row r="214" spans="1:7" x14ac:dyDescent="0.4">
      <c r="A214" s="164">
        <v>33904</v>
      </c>
      <c r="B214" s="166"/>
      <c r="C214" s="166">
        <v>596.95001200000002</v>
      </c>
      <c r="D214" s="160"/>
      <c r="E214" s="166">
        <v>7.1338629999999998</v>
      </c>
      <c r="G214" s="166">
        <v>1.5343309999999999</v>
      </c>
    </row>
    <row r="215" spans="1:7" x14ac:dyDescent="0.4">
      <c r="A215" s="164">
        <v>33905</v>
      </c>
      <c r="B215" s="166"/>
      <c r="C215" s="166">
        <v>601.39001499999995</v>
      </c>
      <c r="D215" s="160"/>
      <c r="E215" s="166">
        <v>7.283048</v>
      </c>
      <c r="G215" s="166">
        <v>1.5566759999999999</v>
      </c>
    </row>
    <row r="216" spans="1:7" x14ac:dyDescent="0.4">
      <c r="A216" s="164">
        <v>33906</v>
      </c>
      <c r="B216" s="166"/>
      <c r="C216" s="166">
        <v>605.82000700000003</v>
      </c>
      <c r="D216" s="160"/>
      <c r="E216" s="166">
        <v>7.1609910000000001</v>
      </c>
      <c r="G216" s="166">
        <v>1.586468</v>
      </c>
    </row>
    <row r="217" spans="1:7" x14ac:dyDescent="0.4">
      <c r="A217" s="164">
        <v>33907</v>
      </c>
      <c r="B217" s="166"/>
      <c r="C217" s="166">
        <v>605.169983</v>
      </c>
      <c r="D217" s="160"/>
      <c r="E217" s="166">
        <v>7.2559240000000003</v>
      </c>
      <c r="G217" s="166">
        <v>1.5641240000000001</v>
      </c>
    </row>
    <row r="218" spans="1:7" x14ac:dyDescent="0.4">
      <c r="A218" s="164">
        <v>33910</v>
      </c>
      <c r="B218" s="166"/>
      <c r="C218" s="166">
        <v>607.57000700000003</v>
      </c>
      <c r="D218" s="160"/>
      <c r="E218" s="166">
        <v>7.4729279999999996</v>
      </c>
      <c r="G218" s="166">
        <v>1.5566759999999999</v>
      </c>
    </row>
    <row r="219" spans="1:7" x14ac:dyDescent="0.4">
      <c r="A219" s="164">
        <v>33911</v>
      </c>
      <c r="B219" s="166"/>
      <c r="C219" s="166">
        <v>604.580017</v>
      </c>
      <c r="D219" s="160"/>
      <c r="E219" s="166">
        <v>7.5000479999999996</v>
      </c>
      <c r="G219" s="166">
        <v>1.5492269999999999</v>
      </c>
    </row>
    <row r="220" spans="1:7" x14ac:dyDescent="0.4">
      <c r="A220" s="164">
        <v>33912</v>
      </c>
      <c r="B220" s="166"/>
      <c r="C220" s="166">
        <v>605.52002000000005</v>
      </c>
      <c r="D220" s="160"/>
      <c r="E220" s="166">
        <v>7.4051150000000003</v>
      </c>
      <c r="G220" s="166">
        <v>1.5641240000000001</v>
      </c>
    </row>
    <row r="221" spans="1:7" x14ac:dyDescent="0.4">
      <c r="A221" s="164">
        <v>33913</v>
      </c>
      <c r="B221" s="166"/>
      <c r="C221" s="166">
        <v>614.080017</v>
      </c>
      <c r="D221" s="160"/>
      <c r="E221" s="166">
        <v>7.6929790000000002</v>
      </c>
      <c r="G221" s="166">
        <v>1.6386050000000001</v>
      </c>
    </row>
    <row r="222" spans="1:7" x14ac:dyDescent="0.4">
      <c r="A222" s="164">
        <v>33914</v>
      </c>
      <c r="B222" s="166"/>
      <c r="C222" s="166">
        <v>616.82000700000003</v>
      </c>
      <c r="D222" s="160"/>
      <c r="E222" s="166">
        <v>7.7367759999999999</v>
      </c>
      <c r="G222" s="166">
        <v>1.6609510000000001</v>
      </c>
    </row>
    <row r="223" spans="1:7" x14ac:dyDescent="0.4">
      <c r="A223" s="164">
        <v>33917</v>
      </c>
      <c r="B223" s="166"/>
      <c r="C223" s="166">
        <v>622.04998799999998</v>
      </c>
      <c r="D223" s="160"/>
      <c r="E223" s="166">
        <v>7.8827509999999998</v>
      </c>
      <c r="G223" s="166">
        <v>1.6460539999999999</v>
      </c>
    </row>
    <row r="224" spans="1:7" x14ac:dyDescent="0.4">
      <c r="A224" s="164">
        <v>33918</v>
      </c>
      <c r="B224" s="166"/>
      <c r="C224" s="166">
        <v>627.76000999999997</v>
      </c>
      <c r="D224" s="160"/>
      <c r="E224" s="166">
        <v>7.6929790000000002</v>
      </c>
      <c r="G224" s="166">
        <v>1.6758470000000001</v>
      </c>
    </row>
    <row r="225" spans="1:7" x14ac:dyDescent="0.4">
      <c r="A225" s="164">
        <v>33919</v>
      </c>
      <c r="B225" s="166"/>
      <c r="C225" s="166">
        <v>634.919983</v>
      </c>
      <c r="D225" s="160"/>
      <c r="E225" s="166">
        <v>7.5907989999999996</v>
      </c>
      <c r="G225" s="166">
        <v>1.6907430000000001</v>
      </c>
    </row>
    <row r="226" spans="1:7" x14ac:dyDescent="0.4">
      <c r="A226" s="164">
        <v>33920</v>
      </c>
      <c r="B226" s="166"/>
      <c r="C226" s="166">
        <v>634.36999500000002</v>
      </c>
      <c r="D226" s="160"/>
      <c r="E226" s="166">
        <v>7.4886100000000004</v>
      </c>
      <c r="G226" s="166">
        <v>1.6944680000000001</v>
      </c>
    </row>
    <row r="227" spans="1:7" x14ac:dyDescent="0.4">
      <c r="A227" s="164">
        <v>33921</v>
      </c>
      <c r="B227" s="166"/>
      <c r="C227" s="166">
        <v>637.15997300000004</v>
      </c>
      <c r="D227" s="160"/>
      <c r="E227" s="166">
        <v>7.5761989999999999</v>
      </c>
      <c r="G227" s="166">
        <v>1.6758470000000001</v>
      </c>
    </row>
    <row r="228" spans="1:7" x14ac:dyDescent="0.4">
      <c r="A228" s="164">
        <v>33924</v>
      </c>
      <c r="B228" s="166"/>
      <c r="C228" s="166">
        <v>634.01000999999997</v>
      </c>
      <c r="D228" s="160"/>
      <c r="E228" s="166">
        <v>7.5761989999999999</v>
      </c>
      <c r="G228" s="166">
        <v>1.709363</v>
      </c>
    </row>
    <row r="229" spans="1:7" x14ac:dyDescent="0.4">
      <c r="A229" s="164">
        <v>33925</v>
      </c>
      <c r="B229" s="166"/>
      <c r="C229" s="166">
        <v>627.07000700000003</v>
      </c>
      <c r="D229" s="160"/>
      <c r="E229" s="166">
        <v>7.5032129999999997</v>
      </c>
      <c r="G229" s="166">
        <v>1.6460539999999999</v>
      </c>
    </row>
    <row r="230" spans="1:7" x14ac:dyDescent="0.4">
      <c r="A230" s="164">
        <v>33926</v>
      </c>
      <c r="B230" s="166"/>
      <c r="C230" s="166">
        <v>634.85998500000005</v>
      </c>
      <c r="D230" s="160"/>
      <c r="E230" s="166">
        <v>7.3718310000000002</v>
      </c>
      <c r="G230" s="166">
        <v>1.7205360000000001</v>
      </c>
    </row>
    <row r="231" spans="1:7" x14ac:dyDescent="0.4">
      <c r="A231" s="164">
        <v>33927</v>
      </c>
      <c r="B231" s="166"/>
      <c r="C231" s="166">
        <v>638.57000700000003</v>
      </c>
      <c r="D231" s="160"/>
      <c r="E231" s="166">
        <v>7.1528669999999996</v>
      </c>
      <c r="G231" s="166">
        <v>1.735433</v>
      </c>
    </row>
    <row r="232" spans="1:7" x14ac:dyDescent="0.4">
      <c r="A232" s="164">
        <v>33928</v>
      </c>
      <c r="B232" s="166"/>
      <c r="C232" s="166">
        <v>642.59997599999997</v>
      </c>
      <c r="D232" s="160"/>
      <c r="E232" s="166">
        <v>7.269647</v>
      </c>
      <c r="G232" s="166">
        <v>1.7130879999999999</v>
      </c>
    </row>
    <row r="233" spans="1:7" x14ac:dyDescent="0.4">
      <c r="A233" s="164">
        <v>33931</v>
      </c>
      <c r="B233" s="166"/>
      <c r="C233" s="166">
        <v>638.84002699999996</v>
      </c>
      <c r="D233" s="160"/>
      <c r="E233" s="166">
        <v>7.3864289999999997</v>
      </c>
      <c r="G233" s="166">
        <v>1.6907430000000001</v>
      </c>
    </row>
    <row r="234" spans="1:7" x14ac:dyDescent="0.4">
      <c r="A234" s="164">
        <v>33932</v>
      </c>
      <c r="B234" s="166"/>
      <c r="C234" s="166">
        <v>645.94000200000005</v>
      </c>
      <c r="D234" s="160"/>
      <c r="E234" s="166">
        <v>7.5761989999999999</v>
      </c>
      <c r="G234" s="166">
        <v>1.7130879999999999</v>
      </c>
    </row>
    <row r="235" spans="1:7" x14ac:dyDescent="0.4">
      <c r="A235" s="164">
        <v>33933</v>
      </c>
      <c r="B235" s="166"/>
      <c r="C235" s="166">
        <v>648.330017</v>
      </c>
      <c r="D235" s="160"/>
      <c r="E235" s="166">
        <v>7.6345890000000001</v>
      </c>
      <c r="G235" s="166">
        <v>1.683295</v>
      </c>
    </row>
    <row r="236" spans="1:7" x14ac:dyDescent="0.4">
      <c r="A236" s="164">
        <v>33935</v>
      </c>
      <c r="B236" s="166"/>
      <c r="C236" s="166">
        <v>649.48999000000003</v>
      </c>
      <c r="D236" s="160"/>
      <c r="E236" s="166">
        <v>7.7075800000000001</v>
      </c>
      <c r="G236" s="166">
        <v>1.683295</v>
      </c>
    </row>
    <row r="237" spans="1:7" x14ac:dyDescent="0.4">
      <c r="A237" s="164">
        <v>33938</v>
      </c>
      <c r="B237" s="166"/>
      <c r="C237" s="166">
        <v>652.72997999999995</v>
      </c>
      <c r="D237" s="160"/>
      <c r="E237" s="166">
        <v>7.9703410000000003</v>
      </c>
      <c r="G237" s="166">
        <v>1.716737</v>
      </c>
    </row>
    <row r="238" spans="1:7" x14ac:dyDescent="0.4">
      <c r="A238" s="164">
        <v>33939</v>
      </c>
      <c r="B238" s="166"/>
      <c r="C238" s="166">
        <v>653.95001200000002</v>
      </c>
      <c r="D238" s="160"/>
      <c r="E238" s="166">
        <v>7.9119469999999996</v>
      </c>
      <c r="G238" s="166">
        <v>1.7391300000000001</v>
      </c>
    </row>
    <row r="239" spans="1:7" x14ac:dyDescent="0.4">
      <c r="A239" s="164">
        <v>33940</v>
      </c>
      <c r="B239" s="166"/>
      <c r="C239" s="166">
        <v>652.90997300000004</v>
      </c>
      <c r="D239" s="160"/>
      <c r="E239" s="166">
        <v>7.926545</v>
      </c>
      <c r="G239" s="166">
        <v>1.709274</v>
      </c>
    </row>
    <row r="240" spans="1:7" x14ac:dyDescent="0.4">
      <c r="A240" s="164">
        <v>33941</v>
      </c>
      <c r="B240" s="166"/>
      <c r="C240" s="166">
        <v>656.35998500000005</v>
      </c>
      <c r="D240" s="160"/>
      <c r="E240" s="166">
        <v>7.8535560000000002</v>
      </c>
      <c r="G240" s="166">
        <v>1.716737</v>
      </c>
    </row>
    <row r="241" spans="1:7" x14ac:dyDescent="0.4">
      <c r="A241" s="164">
        <v>33942</v>
      </c>
      <c r="B241" s="166"/>
      <c r="C241" s="166">
        <v>661.59997599999997</v>
      </c>
      <c r="D241" s="160"/>
      <c r="E241" s="166">
        <v>7.8243619999999998</v>
      </c>
      <c r="G241" s="166">
        <v>1.698078</v>
      </c>
    </row>
    <row r="242" spans="1:7" x14ac:dyDescent="0.4">
      <c r="A242" s="164">
        <v>33945</v>
      </c>
      <c r="B242" s="166"/>
      <c r="C242" s="166">
        <v>666.53002900000001</v>
      </c>
      <c r="D242" s="160"/>
      <c r="E242" s="166">
        <v>7.6929790000000002</v>
      </c>
      <c r="G242" s="166">
        <v>1.724202</v>
      </c>
    </row>
    <row r="243" spans="1:7" x14ac:dyDescent="0.4">
      <c r="A243" s="164">
        <v>33946</v>
      </c>
      <c r="B243" s="166"/>
      <c r="C243" s="166">
        <v>667.11999500000002</v>
      </c>
      <c r="D243" s="160"/>
      <c r="E243" s="166">
        <v>7.6345890000000001</v>
      </c>
      <c r="G243" s="166">
        <v>1.735398</v>
      </c>
    </row>
    <row r="244" spans="1:7" x14ac:dyDescent="0.4">
      <c r="A244" s="164">
        <v>33947</v>
      </c>
      <c r="B244" s="166"/>
      <c r="C244" s="166">
        <v>663.919983</v>
      </c>
      <c r="D244" s="160"/>
      <c r="E244" s="166">
        <v>7.3134379999999997</v>
      </c>
      <c r="G244" s="166">
        <v>1.7204699999999999</v>
      </c>
    </row>
    <row r="245" spans="1:7" x14ac:dyDescent="0.4">
      <c r="A245" s="164">
        <v>33948</v>
      </c>
      <c r="B245" s="166"/>
      <c r="C245" s="166">
        <v>658.92999299999997</v>
      </c>
      <c r="D245" s="160"/>
      <c r="E245" s="166">
        <v>7.2112579999999999</v>
      </c>
      <c r="G245" s="166">
        <v>1.709274</v>
      </c>
    </row>
    <row r="246" spans="1:7" x14ac:dyDescent="0.4">
      <c r="A246" s="164">
        <v>33949</v>
      </c>
      <c r="B246" s="166"/>
      <c r="C246" s="166">
        <v>655.78997800000002</v>
      </c>
      <c r="D246" s="160"/>
      <c r="E246" s="166">
        <v>7.2842469999999997</v>
      </c>
      <c r="G246" s="166">
        <v>1.716737</v>
      </c>
    </row>
    <row r="247" spans="1:7" x14ac:dyDescent="0.4">
      <c r="A247" s="164">
        <v>33952</v>
      </c>
      <c r="B247" s="166"/>
      <c r="C247" s="166">
        <v>654.72997999999995</v>
      </c>
      <c r="D247" s="160"/>
      <c r="E247" s="166">
        <v>7.3426369999999999</v>
      </c>
      <c r="G247" s="166">
        <v>1.709274</v>
      </c>
    </row>
    <row r="248" spans="1:7" x14ac:dyDescent="0.4">
      <c r="A248" s="164">
        <v>33953</v>
      </c>
      <c r="B248" s="166"/>
      <c r="C248" s="166">
        <v>650.75</v>
      </c>
      <c r="D248" s="160"/>
      <c r="E248" s="166">
        <v>6.5543610000000001</v>
      </c>
      <c r="G248" s="166">
        <v>1.683149</v>
      </c>
    </row>
    <row r="249" spans="1:7" x14ac:dyDescent="0.4">
      <c r="A249" s="164">
        <v>33954</v>
      </c>
      <c r="B249" s="166"/>
      <c r="C249" s="166">
        <v>649.63000499999998</v>
      </c>
      <c r="D249" s="160"/>
      <c r="E249" s="166">
        <v>6.0580400000000001</v>
      </c>
      <c r="G249" s="166">
        <v>1.6420969999999999</v>
      </c>
    </row>
    <row r="250" spans="1:7" x14ac:dyDescent="0.4">
      <c r="A250" s="164">
        <v>33955</v>
      </c>
      <c r="B250" s="166"/>
      <c r="C250" s="166">
        <v>658.46002199999998</v>
      </c>
      <c r="D250" s="160"/>
      <c r="E250" s="166">
        <v>6.1894159999999996</v>
      </c>
      <c r="G250" s="166">
        <v>1.698078</v>
      </c>
    </row>
    <row r="251" spans="1:7" x14ac:dyDescent="0.4">
      <c r="A251" s="164">
        <v>33956</v>
      </c>
      <c r="B251" s="166"/>
      <c r="C251" s="166">
        <v>661.28997800000002</v>
      </c>
      <c r="D251" s="160"/>
      <c r="E251" s="166">
        <v>5.9996489999999998</v>
      </c>
      <c r="G251" s="166">
        <v>1.7391300000000001</v>
      </c>
    </row>
    <row r="252" spans="1:7" x14ac:dyDescent="0.4">
      <c r="A252" s="164">
        <v>33959</v>
      </c>
      <c r="B252" s="166"/>
      <c r="C252" s="166">
        <v>662.46002199999998</v>
      </c>
      <c r="D252" s="160"/>
      <c r="E252" s="166">
        <v>5.7076960000000003</v>
      </c>
      <c r="G252" s="166">
        <v>1.7801819999999999</v>
      </c>
    </row>
    <row r="253" spans="1:7" x14ac:dyDescent="0.4">
      <c r="A253" s="164">
        <v>33960</v>
      </c>
      <c r="B253" s="166"/>
      <c r="C253" s="166">
        <v>660.84002699999996</v>
      </c>
      <c r="D253" s="160"/>
      <c r="E253" s="166">
        <v>6.0434390000000002</v>
      </c>
      <c r="G253" s="166">
        <v>1.810038</v>
      </c>
    </row>
    <row r="254" spans="1:7" x14ac:dyDescent="0.4">
      <c r="A254" s="164">
        <v>33961</v>
      </c>
      <c r="B254" s="166"/>
      <c r="C254" s="166">
        <v>662.96002199999998</v>
      </c>
      <c r="D254" s="160"/>
      <c r="E254" s="166">
        <v>5.9850510000000003</v>
      </c>
      <c r="G254" s="166">
        <v>1.7839149999999999</v>
      </c>
    </row>
    <row r="255" spans="1:7" x14ac:dyDescent="0.4">
      <c r="A255" s="164">
        <v>33962</v>
      </c>
      <c r="B255" s="166"/>
      <c r="C255" s="166">
        <v>665.88000499999998</v>
      </c>
      <c r="D255" s="160"/>
      <c r="E255" s="166">
        <v>6.1602230000000002</v>
      </c>
      <c r="G255" s="166">
        <v>1.761522</v>
      </c>
    </row>
    <row r="256" spans="1:7" x14ac:dyDescent="0.4">
      <c r="A256" s="164">
        <v>33966</v>
      </c>
      <c r="B256" s="166"/>
      <c r="C256" s="166">
        <v>666.25</v>
      </c>
      <c r="D256" s="160"/>
      <c r="E256" s="166">
        <v>6.0434390000000002</v>
      </c>
      <c r="G256" s="166">
        <v>1.776451</v>
      </c>
    </row>
    <row r="257" spans="1:7" x14ac:dyDescent="0.4">
      <c r="A257" s="164">
        <v>33967</v>
      </c>
      <c r="B257" s="166"/>
      <c r="C257" s="166">
        <v>669.01000999999997</v>
      </c>
      <c r="D257" s="160"/>
      <c r="E257" s="166">
        <v>5.809882</v>
      </c>
      <c r="G257" s="166">
        <v>1.7801819999999999</v>
      </c>
    </row>
    <row r="258" spans="1:7" x14ac:dyDescent="0.4">
      <c r="A258" s="164">
        <v>33968</v>
      </c>
      <c r="B258" s="166"/>
      <c r="C258" s="166">
        <v>671.84997599999997</v>
      </c>
      <c r="D258" s="160"/>
      <c r="E258" s="166">
        <v>5.8536720000000004</v>
      </c>
      <c r="G258" s="166">
        <v>1.7540579999999999</v>
      </c>
    </row>
    <row r="259" spans="1:7" x14ac:dyDescent="0.4">
      <c r="A259" s="164">
        <v>33969</v>
      </c>
      <c r="B259" s="166"/>
      <c r="C259" s="166">
        <v>676.95001200000002</v>
      </c>
      <c r="D259" s="160"/>
      <c r="E259" s="166">
        <v>5.8828680000000002</v>
      </c>
      <c r="G259" s="166">
        <v>1.7839149999999999</v>
      </c>
    </row>
    <row r="260" spans="1:7" x14ac:dyDescent="0.4">
      <c r="A260" s="164">
        <v>33973</v>
      </c>
      <c r="B260" s="166"/>
      <c r="C260" s="166">
        <v>671.79998799999998</v>
      </c>
      <c r="D260" s="160"/>
      <c r="E260" s="166">
        <v>5.8536720000000004</v>
      </c>
      <c r="G260" s="166">
        <v>1.7391300000000001</v>
      </c>
    </row>
    <row r="261" spans="1:7" x14ac:dyDescent="0.4">
      <c r="A261" s="164">
        <v>33974</v>
      </c>
      <c r="B261" s="166"/>
      <c r="C261" s="166">
        <v>674.34002699999996</v>
      </c>
      <c r="D261" s="160"/>
      <c r="E261" s="166">
        <v>5.7076960000000003</v>
      </c>
      <c r="G261" s="166">
        <v>1.7689859999999999</v>
      </c>
    </row>
    <row r="262" spans="1:7" x14ac:dyDescent="0.4">
      <c r="A262" s="164">
        <v>33975</v>
      </c>
      <c r="B262" s="166"/>
      <c r="C262" s="166">
        <v>681.84997599999997</v>
      </c>
      <c r="D262" s="160"/>
      <c r="E262" s="166">
        <v>5.6055099999999998</v>
      </c>
      <c r="G262" s="166">
        <v>1.8436269999999999</v>
      </c>
    </row>
    <row r="263" spans="1:7" x14ac:dyDescent="0.4">
      <c r="A263" s="164">
        <v>33976</v>
      </c>
      <c r="B263" s="166"/>
      <c r="C263" s="166">
        <v>678.21002199999998</v>
      </c>
      <c r="D263" s="160"/>
      <c r="E263" s="166">
        <v>5.4887290000000002</v>
      </c>
      <c r="G263" s="166">
        <v>1.821234</v>
      </c>
    </row>
    <row r="264" spans="1:7" x14ac:dyDescent="0.4">
      <c r="A264" s="164">
        <v>33977</v>
      </c>
      <c r="B264" s="166"/>
      <c r="C264" s="166">
        <v>677.21002199999998</v>
      </c>
      <c r="D264" s="160"/>
      <c r="E264" s="166">
        <v>5.4303379999999999</v>
      </c>
      <c r="G264" s="166">
        <v>1.858555</v>
      </c>
    </row>
    <row r="265" spans="1:7" x14ac:dyDescent="0.4">
      <c r="A265" s="164">
        <v>33980</v>
      </c>
      <c r="B265" s="166"/>
      <c r="C265" s="166">
        <v>682.40002400000003</v>
      </c>
      <c r="D265" s="160"/>
      <c r="E265" s="166">
        <v>5.5763129999999999</v>
      </c>
      <c r="G265" s="166">
        <v>1.9145350000000001</v>
      </c>
    </row>
    <row r="266" spans="1:7" x14ac:dyDescent="0.4">
      <c r="A266" s="164">
        <v>33981</v>
      </c>
      <c r="B266" s="166"/>
      <c r="C266" s="166">
        <v>679.45001200000002</v>
      </c>
      <c r="D266" s="160"/>
      <c r="E266" s="166">
        <v>5.693098</v>
      </c>
      <c r="G266" s="166">
        <v>1.836163</v>
      </c>
    </row>
    <row r="267" spans="1:7" x14ac:dyDescent="0.4">
      <c r="A267" s="164">
        <v>33982</v>
      </c>
      <c r="B267" s="166"/>
      <c r="C267" s="166">
        <v>686.78002900000001</v>
      </c>
      <c r="D267" s="160"/>
      <c r="E267" s="166">
        <v>5.5763129999999999</v>
      </c>
      <c r="G267" s="166">
        <v>1.895875</v>
      </c>
    </row>
    <row r="268" spans="1:7" x14ac:dyDescent="0.4">
      <c r="A268" s="164">
        <v>33983</v>
      </c>
      <c r="B268" s="166"/>
      <c r="C268" s="166">
        <v>695.70001200000002</v>
      </c>
      <c r="D268" s="160"/>
      <c r="E268" s="166">
        <v>5.693098</v>
      </c>
      <c r="G268" s="166">
        <v>1.9406600000000001</v>
      </c>
    </row>
    <row r="269" spans="1:7" x14ac:dyDescent="0.4">
      <c r="A269" s="164">
        <v>33984</v>
      </c>
      <c r="B269" s="166"/>
      <c r="C269" s="166">
        <v>697.15002400000003</v>
      </c>
      <c r="D269" s="160"/>
      <c r="E269" s="166">
        <v>5.6347040000000002</v>
      </c>
      <c r="G269" s="166">
        <v>1.798843</v>
      </c>
    </row>
    <row r="270" spans="1:7" x14ac:dyDescent="0.4">
      <c r="A270" s="164">
        <v>33987</v>
      </c>
      <c r="B270" s="166"/>
      <c r="C270" s="166">
        <v>698.13000499999998</v>
      </c>
      <c r="D270" s="160"/>
      <c r="E270" s="166">
        <v>5.7806850000000001</v>
      </c>
      <c r="G270" s="166">
        <v>1.776451</v>
      </c>
    </row>
    <row r="271" spans="1:7" x14ac:dyDescent="0.4">
      <c r="A271" s="164">
        <v>33988</v>
      </c>
      <c r="B271" s="166"/>
      <c r="C271" s="166">
        <v>696.80999799999995</v>
      </c>
      <c r="D271" s="160"/>
      <c r="E271" s="166">
        <v>5.6493070000000003</v>
      </c>
      <c r="G271" s="166">
        <v>1.7839149999999999</v>
      </c>
    </row>
    <row r="272" spans="1:7" x14ac:dyDescent="0.4">
      <c r="A272" s="164">
        <v>33989</v>
      </c>
      <c r="B272" s="166"/>
      <c r="C272" s="166">
        <v>697.44000200000005</v>
      </c>
      <c r="D272" s="160"/>
      <c r="E272" s="166">
        <v>5.4741299999999997</v>
      </c>
      <c r="G272" s="166">
        <v>1.7913790000000001</v>
      </c>
    </row>
    <row r="273" spans="1:7" x14ac:dyDescent="0.4">
      <c r="A273" s="164">
        <v>33990</v>
      </c>
      <c r="B273" s="166"/>
      <c r="C273" s="166">
        <v>700.77002000000005</v>
      </c>
      <c r="D273" s="160"/>
      <c r="E273" s="166">
        <v>5.4157419999999998</v>
      </c>
      <c r="G273" s="166">
        <v>1.7913790000000001</v>
      </c>
    </row>
    <row r="274" spans="1:7" x14ac:dyDescent="0.4">
      <c r="A274" s="164">
        <v>33991</v>
      </c>
      <c r="B274" s="166"/>
      <c r="C274" s="166">
        <v>701.63000499999998</v>
      </c>
      <c r="D274" s="160"/>
      <c r="E274" s="166">
        <v>5.6785009999999998</v>
      </c>
      <c r="G274" s="166">
        <v>1.776451</v>
      </c>
    </row>
    <row r="275" spans="1:7" x14ac:dyDescent="0.4">
      <c r="A275" s="164">
        <v>33994</v>
      </c>
      <c r="B275" s="166"/>
      <c r="C275" s="166">
        <v>706.95001200000002</v>
      </c>
      <c r="D275" s="160"/>
      <c r="E275" s="166">
        <v>5.7076960000000003</v>
      </c>
      <c r="G275" s="166">
        <v>1.7913790000000001</v>
      </c>
    </row>
    <row r="276" spans="1:7" x14ac:dyDescent="0.4">
      <c r="A276" s="164">
        <v>33995</v>
      </c>
      <c r="B276" s="166"/>
      <c r="C276" s="166">
        <v>707.15997300000004</v>
      </c>
      <c r="D276" s="160"/>
      <c r="E276" s="166">
        <v>5.7222939999999998</v>
      </c>
      <c r="G276" s="166">
        <v>1.813771</v>
      </c>
    </row>
    <row r="277" spans="1:7" x14ac:dyDescent="0.4">
      <c r="A277" s="164">
        <v>33996</v>
      </c>
      <c r="B277" s="166"/>
      <c r="C277" s="166">
        <v>697.90002400000003</v>
      </c>
      <c r="D277" s="160"/>
      <c r="E277" s="166">
        <v>5.7952810000000001</v>
      </c>
      <c r="G277" s="166">
        <v>1.798843</v>
      </c>
    </row>
    <row r="278" spans="1:7" x14ac:dyDescent="0.4">
      <c r="A278" s="164">
        <v>33997</v>
      </c>
      <c r="B278" s="166"/>
      <c r="C278" s="166">
        <v>694.669983</v>
      </c>
      <c r="D278" s="160"/>
      <c r="E278" s="166">
        <v>5.8682679999999996</v>
      </c>
      <c r="G278" s="166">
        <v>1.787647</v>
      </c>
    </row>
    <row r="279" spans="1:7" x14ac:dyDescent="0.4">
      <c r="A279" s="164">
        <v>33998</v>
      </c>
      <c r="B279" s="166"/>
      <c r="C279" s="166">
        <v>696.34002699999996</v>
      </c>
      <c r="D279" s="160"/>
      <c r="E279" s="166">
        <v>6.0142470000000001</v>
      </c>
      <c r="G279" s="166">
        <v>1.776451</v>
      </c>
    </row>
    <row r="280" spans="1:7" x14ac:dyDescent="0.4">
      <c r="A280" s="164">
        <v>34001</v>
      </c>
      <c r="B280" s="166"/>
      <c r="C280" s="166">
        <v>701.77002000000005</v>
      </c>
      <c r="D280" s="160"/>
      <c r="E280" s="166">
        <v>6.1456239999999998</v>
      </c>
      <c r="G280" s="166">
        <v>1.8286990000000001</v>
      </c>
    </row>
    <row r="281" spans="1:7" x14ac:dyDescent="0.4">
      <c r="A281" s="164">
        <v>34002</v>
      </c>
      <c r="B281" s="166"/>
      <c r="C281" s="166">
        <v>705.11999500000002</v>
      </c>
      <c r="D281" s="160"/>
      <c r="E281" s="166">
        <v>6.0872339999999996</v>
      </c>
      <c r="G281" s="166">
        <v>1.798843</v>
      </c>
    </row>
    <row r="282" spans="1:7" x14ac:dyDescent="0.4">
      <c r="A282" s="164">
        <v>34003</v>
      </c>
      <c r="B282" s="166"/>
      <c r="C282" s="166">
        <v>708.669983</v>
      </c>
      <c r="D282" s="160"/>
      <c r="E282" s="166">
        <v>5.9704569999999997</v>
      </c>
      <c r="G282" s="166">
        <v>1.7913790000000001</v>
      </c>
    </row>
    <row r="283" spans="1:7" x14ac:dyDescent="0.4">
      <c r="A283" s="164">
        <v>34004</v>
      </c>
      <c r="B283" s="166"/>
      <c r="C283" s="166">
        <v>708.84997599999997</v>
      </c>
      <c r="D283" s="160"/>
      <c r="E283" s="166">
        <v>6.2643120000000003</v>
      </c>
      <c r="G283" s="166">
        <v>1.776451</v>
      </c>
    </row>
    <row r="284" spans="1:7" x14ac:dyDescent="0.4">
      <c r="A284" s="164">
        <v>34005</v>
      </c>
      <c r="B284" s="166"/>
      <c r="C284" s="166">
        <v>700.97997999999995</v>
      </c>
      <c r="D284" s="160"/>
      <c r="E284" s="166">
        <v>6.3405189999999996</v>
      </c>
      <c r="G284" s="166">
        <v>1.709274</v>
      </c>
    </row>
    <row r="285" spans="1:7" x14ac:dyDescent="0.4">
      <c r="A285" s="164">
        <v>34008</v>
      </c>
      <c r="B285" s="166"/>
      <c r="C285" s="166">
        <v>698.44000200000005</v>
      </c>
      <c r="D285" s="160"/>
      <c r="E285" s="166">
        <v>6.4472129999999996</v>
      </c>
      <c r="G285" s="166">
        <v>1.6868810000000001</v>
      </c>
    </row>
    <row r="286" spans="1:7" x14ac:dyDescent="0.4">
      <c r="A286" s="164">
        <v>34009</v>
      </c>
      <c r="B286" s="166"/>
      <c r="C286" s="166">
        <v>692.21002199999998</v>
      </c>
      <c r="D286" s="160"/>
      <c r="E286" s="166">
        <v>6.5081790000000002</v>
      </c>
      <c r="G286" s="166">
        <v>1.698078</v>
      </c>
    </row>
    <row r="287" spans="1:7" x14ac:dyDescent="0.4">
      <c r="A287" s="164">
        <v>34010</v>
      </c>
      <c r="B287" s="166"/>
      <c r="C287" s="166">
        <v>695.02002000000005</v>
      </c>
      <c r="D287" s="160"/>
      <c r="E287" s="166">
        <v>6.3710040000000001</v>
      </c>
      <c r="G287" s="166">
        <v>1.6644890000000001</v>
      </c>
    </row>
    <row r="288" spans="1:7" x14ac:dyDescent="0.4">
      <c r="A288" s="164">
        <v>34011</v>
      </c>
      <c r="B288" s="166"/>
      <c r="C288" s="166">
        <v>695.88000499999998</v>
      </c>
      <c r="D288" s="160"/>
      <c r="E288" s="166">
        <v>6.2338310000000003</v>
      </c>
      <c r="G288" s="166">
        <v>1.645829</v>
      </c>
    </row>
    <row r="289" spans="1:7" x14ac:dyDescent="0.4">
      <c r="A289" s="164">
        <v>34012</v>
      </c>
      <c r="B289" s="166"/>
      <c r="C289" s="166">
        <v>690.53997800000002</v>
      </c>
      <c r="D289" s="160"/>
      <c r="E289" s="166">
        <v>6.188104</v>
      </c>
      <c r="G289" s="166">
        <v>1.6120209999999999</v>
      </c>
    </row>
    <row r="290" spans="1:7" x14ac:dyDescent="0.4">
      <c r="A290" s="164">
        <v>34016</v>
      </c>
      <c r="B290" s="166"/>
      <c r="C290" s="166">
        <v>665.39001499999995</v>
      </c>
      <c r="D290" s="160"/>
      <c r="E290" s="166">
        <v>6.0966509999999996</v>
      </c>
      <c r="G290" s="166">
        <v>1.5858399999999999</v>
      </c>
    </row>
    <row r="291" spans="1:7" x14ac:dyDescent="0.4">
      <c r="A291" s="164">
        <v>34017</v>
      </c>
      <c r="B291" s="166"/>
      <c r="C291" s="166">
        <v>659.42999299999997</v>
      </c>
      <c r="D291" s="160"/>
      <c r="E291" s="166">
        <v>6.1576180000000003</v>
      </c>
      <c r="G291" s="166">
        <v>1.6120209999999999</v>
      </c>
    </row>
    <row r="292" spans="1:7" x14ac:dyDescent="0.4">
      <c r="A292" s="164">
        <v>34018</v>
      </c>
      <c r="B292" s="166"/>
      <c r="C292" s="166">
        <v>662.45001200000002</v>
      </c>
      <c r="D292" s="160"/>
      <c r="E292" s="166">
        <v>6.1576180000000003</v>
      </c>
      <c r="G292" s="166">
        <v>1.645683</v>
      </c>
    </row>
    <row r="293" spans="1:7" x14ac:dyDescent="0.4">
      <c r="A293" s="164">
        <v>34019</v>
      </c>
      <c r="B293" s="166"/>
      <c r="C293" s="166">
        <v>663.60998500000005</v>
      </c>
      <c r="D293" s="160"/>
      <c r="E293" s="166">
        <v>6.1576180000000003</v>
      </c>
      <c r="G293" s="166">
        <v>1.645683</v>
      </c>
    </row>
    <row r="294" spans="1:7" x14ac:dyDescent="0.4">
      <c r="A294" s="164">
        <v>34022</v>
      </c>
      <c r="B294" s="166"/>
      <c r="C294" s="166">
        <v>652.419983</v>
      </c>
      <c r="D294" s="160"/>
      <c r="E294" s="166">
        <v>6.249072</v>
      </c>
      <c r="G294" s="166">
        <v>1.6494230000000001</v>
      </c>
    </row>
    <row r="295" spans="1:7" x14ac:dyDescent="0.4">
      <c r="A295" s="164">
        <v>34023</v>
      </c>
      <c r="B295" s="166"/>
      <c r="C295" s="166">
        <v>651.40002400000003</v>
      </c>
      <c r="D295" s="160"/>
      <c r="E295" s="166">
        <v>6.2338310000000003</v>
      </c>
      <c r="G295" s="166">
        <v>1.6232420000000001</v>
      </c>
    </row>
    <row r="296" spans="1:7" x14ac:dyDescent="0.4">
      <c r="A296" s="164">
        <v>34024</v>
      </c>
      <c r="B296" s="166"/>
      <c r="C296" s="166">
        <v>662.46002199999998</v>
      </c>
      <c r="D296" s="160"/>
      <c r="E296" s="166">
        <v>6.325278</v>
      </c>
      <c r="G296" s="166">
        <v>1.604541</v>
      </c>
    </row>
    <row r="297" spans="1:7" x14ac:dyDescent="0.4">
      <c r="A297" s="164">
        <v>34025</v>
      </c>
      <c r="B297" s="166"/>
      <c r="C297" s="166">
        <v>667.07000700000003</v>
      </c>
      <c r="D297" s="160"/>
      <c r="E297" s="166">
        <v>6.5539050000000003</v>
      </c>
      <c r="G297" s="166">
        <v>1.6382030000000001</v>
      </c>
    </row>
    <row r="298" spans="1:7" x14ac:dyDescent="0.4">
      <c r="A298" s="164">
        <v>34026</v>
      </c>
      <c r="B298" s="166"/>
      <c r="C298" s="166">
        <v>670.77002000000005</v>
      </c>
      <c r="D298" s="160"/>
      <c r="E298" s="166">
        <v>6.6301129999999997</v>
      </c>
      <c r="G298" s="166">
        <v>1.5858399999999999</v>
      </c>
    </row>
    <row r="299" spans="1:7" x14ac:dyDescent="0.4">
      <c r="A299" s="164">
        <v>34029</v>
      </c>
      <c r="B299" s="166"/>
      <c r="C299" s="166">
        <v>669.51000999999997</v>
      </c>
      <c r="D299" s="160"/>
      <c r="E299" s="166">
        <v>6.6758379999999997</v>
      </c>
      <c r="G299" s="166">
        <v>1.5933200000000001</v>
      </c>
    </row>
    <row r="300" spans="1:7" x14ac:dyDescent="0.4">
      <c r="A300" s="164">
        <v>34030</v>
      </c>
      <c r="B300" s="166"/>
      <c r="C300" s="166">
        <v>677.71997099999999</v>
      </c>
      <c r="D300" s="160"/>
      <c r="E300" s="166">
        <v>6.6148699999999998</v>
      </c>
      <c r="G300" s="166">
        <v>1.6232420000000001</v>
      </c>
    </row>
    <row r="301" spans="1:7" x14ac:dyDescent="0.4">
      <c r="A301" s="164">
        <v>34031</v>
      </c>
      <c r="B301" s="166"/>
      <c r="C301" s="166">
        <v>683.919983</v>
      </c>
      <c r="D301" s="160"/>
      <c r="E301" s="166">
        <v>6.7368009999999998</v>
      </c>
      <c r="G301" s="166">
        <v>1.6344620000000001</v>
      </c>
    </row>
    <row r="302" spans="1:7" x14ac:dyDescent="0.4">
      <c r="A302" s="164">
        <v>34032</v>
      </c>
      <c r="B302" s="166"/>
      <c r="C302" s="166">
        <v>680.72997999999995</v>
      </c>
      <c r="D302" s="160"/>
      <c r="E302" s="166">
        <v>6.6910780000000001</v>
      </c>
      <c r="G302" s="166">
        <v>1.645683</v>
      </c>
    </row>
    <row r="303" spans="1:7" x14ac:dyDescent="0.4">
      <c r="A303" s="164">
        <v>34033</v>
      </c>
      <c r="B303" s="166"/>
      <c r="C303" s="166">
        <v>681.36999500000002</v>
      </c>
      <c r="D303" s="160"/>
      <c r="E303" s="166">
        <v>6.7368009999999998</v>
      </c>
      <c r="G303" s="166">
        <v>1.645683</v>
      </c>
    </row>
    <row r="304" spans="1:7" x14ac:dyDescent="0.4">
      <c r="A304" s="164">
        <v>34036</v>
      </c>
      <c r="B304" s="166"/>
      <c r="C304" s="166">
        <v>687.22997999999995</v>
      </c>
      <c r="D304" s="160"/>
      <c r="E304" s="166">
        <v>6.8434920000000004</v>
      </c>
      <c r="G304" s="166">
        <v>1.6905650000000001</v>
      </c>
    </row>
    <row r="305" spans="1:7" x14ac:dyDescent="0.4">
      <c r="A305" s="164">
        <v>34037</v>
      </c>
      <c r="B305" s="166"/>
      <c r="C305" s="166">
        <v>688.96002199999998</v>
      </c>
      <c r="D305" s="160"/>
      <c r="E305" s="166">
        <v>6.9044629999999998</v>
      </c>
      <c r="G305" s="166">
        <v>1.698045</v>
      </c>
    </row>
    <row r="306" spans="1:7" x14ac:dyDescent="0.4">
      <c r="A306" s="164">
        <v>34038</v>
      </c>
      <c r="B306" s="166"/>
      <c r="C306" s="166">
        <v>692.86999500000002</v>
      </c>
      <c r="D306" s="160"/>
      <c r="E306" s="166">
        <v>6.813015</v>
      </c>
      <c r="G306" s="166">
        <v>1.698045</v>
      </c>
    </row>
    <row r="307" spans="1:7" x14ac:dyDescent="0.4">
      <c r="A307" s="164">
        <v>34039</v>
      </c>
      <c r="B307" s="166"/>
      <c r="C307" s="166">
        <v>694.28002900000001</v>
      </c>
      <c r="D307" s="160"/>
      <c r="E307" s="166">
        <v>6.6910780000000001</v>
      </c>
      <c r="G307" s="166">
        <v>1.701786</v>
      </c>
    </row>
    <row r="308" spans="1:7" x14ac:dyDescent="0.4">
      <c r="A308" s="164">
        <v>34040</v>
      </c>
      <c r="B308" s="166"/>
      <c r="C308" s="166">
        <v>692.78002900000001</v>
      </c>
      <c r="D308" s="160"/>
      <c r="E308" s="166">
        <v>6.7825309999999996</v>
      </c>
      <c r="G308" s="166">
        <v>1.6830849999999999</v>
      </c>
    </row>
    <row r="309" spans="1:7" x14ac:dyDescent="0.4">
      <c r="A309" s="164">
        <v>34043</v>
      </c>
      <c r="B309" s="166"/>
      <c r="C309" s="166">
        <v>695.21002199999998</v>
      </c>
      <c r="D309" s="160"/>
      <c r="E309" s="166">
        <v>6.7063170000000003</v>
      </c>
      <c r="G309" s="166">
        <v>1.7055260000000001</v>
      </c>
    </row>
    <row r="310" spans="1:7" x14ac:dyDescent="0.4">
      <c r="A310" s="164">
        <v>34044</v>
      </c>
      <c r="B310" s="166"/>
      <c r="C310" s="166">
        <v>695.46997099999999</v>
      </c>
      <c r="D310" s="160"/>
      <c r="E310" s="166">
        <v>6.7215600000000002</v>
      </c>
      <c r="G310" s="166">
        <v>1.6905650000000001</v>
      </c>
    </row>
    <row r="311" spans="1:7" x14ac:dyDescent="0.4">
      <c r="A311" s="164">
        <v>34045</v>
      </c>
      <c r="B311" s="166"/>
      <c r="C311" s="166">
        <v>687.40002400000003</v>
      </c>
      <c r="D311" s="160"/>
      <c r="E311" s="166">
        <v>6.6453530000000001</v>
      </c>
      <c r="G311" s="166">
        <v>1.6494230000000001</v>
      </c>
    </row>
    <row r="312" spans="1:7" x14ac:dyDescent="0.4">
      <c r="A312" s="164">
        <v>34046</v>
      </c>
      <c r="B312" s="166"/>
      <c r="C312" s="166">
        <v>687.40997300000004</v>
      </c>
      <c r="D312" s="160"/>
      <c r="E312" s="166">
        <v>6.6605930000000004</v>
      </c>
      <c r="G312" s="166">
        <v>1.630722</v>
      </c>
    </row>
    <row r="313" spans="1:7" x14ac:dyDescent="0.4">
      <c r="A313" s="164">
        <v>34047</v>
      </c>
      <c r="B313" s="166"/>
      <c r="C313" s="166">
        <v>682.71997099999999</v>
      </c>
      <c r="D313" s="160"/>
      <c r="E313" s="166">
        <v>6.5539050000000003</v>
      </c>
      <c r="G313" s="166">
        <v>1.6082810000000001</v>
      </c>
    </row>
    <row r="314" spans="1:7" x14ac:dyDescent="0.4">
      <c r="A314" s="164">
        <v>34050</v>
      </c>
      <c r="B314" s="166"/>
      <c r="C314" s="166">
        <v>676.61999500000002</v>
      </c>
      <c r="D314" s="160"/>
      <c r="E314" s="166">
        <v>6.5386629999999997</v>
      </c>
      <c r="G314" s="166">
        <v>1.5933200000000001</v>
      </c>
    </row>
    <row r="315" spans="1:7" x14ac:dyDescent="0.4">
      <c r="A315" s="164">
        <v>34051</v>
      </c>
      <c r="B315" s="166"/>
      <c r="C315" s="166">
        <v>675.03997800000002</v>
      </c>
      <c r="D315" s="160"/>
      <c r="E315" s="166">
        <v>6.6148699999999998</v>
      </c>
      <c r="G315" s="166">
        <v>1.57836</v>
      </c>
    </row>
    <row r="316" spans="1:7" x14ac:dyDescent="0.4">
      <c r="A316" s="164">
        <v>34052</v>
      </c>
      <c r="B316" s="166"/>
      <c r="C316" s="166">
        <v>674.35998500000005</v>
      </c>
      <c r="D316" s="160"/>
      <c r="E316" s="166">
        <v>6.2338310000000003</v>
      </c>
      <c r="G316" s="166">
        <v>1.6082810000000001</v>
      </c>
    </row>
    <row r="317" spans="1:7" x14ac:dyDescent="0.4">
      <c r="A317" s="164">
        <v>34053</v>
      </c>
      <c r="B317" s="166"/>
      <c r="C317" s="166">
        <v>681.01000999999997</v>
      </c>
      <c r="D317" s="160"/>
      <c r="E317" s="166">
        <v>6.1576180000000003</v>
      </c>
      <c r="G317" s="166">
        <v>1.6382030000000001</v>
      </c>
    </row>
    <row r="318" spans="1:7" x14ac:dyDescent="0.4">
      <c r="A318" s="164">
        <v>34054</v>
      </c>
      <c r="B318" s="166"/>
      <c r="C318" s="166">
        <v>681.53997800000002</v>
      </c>
      <c r="D318" s="160"/>
      <c r="E318" s="166">
        <v>6.2643120000000003</v>
      </c>
      <c r="G318" s="166">
        <v>1.5933200000000001</v>
      </c>
    </row>
    <row r="319" spans="1:7" x14ac:dyDescent="0.4">
      <c r="A319" s="164">
        <v>34057</v>
      </c>
      <c r="B319" s="166"/>
      <c r="C319" s="166">
        <v>680.76000999999997</v>
      </c>
      <c r="D319" s="160"/>
      <c r="E319" s="166">
        <v>6.3100360000000002</v>
      </c>
      <c r="G319" s="166">
        <v>1.525997</v>
      </c>
    </row>
    <row r="320" spans="1:7" x14ac:dyDescent="0.4">
      <c r="A320" s="164">
        <v>34058</v>
      </c>
      <c r="B320" s="166"/>
      <c r="C320" s="166">
        <v>686.25</v>
      </c>
      <c r="D320" s="160"/>
      <c r="E320" s="166">
        <v>6.0966509999999996</v>
      </c>
      <c r="G320" s="166">
        <v>1.563399</v>
      </c>
    </row>
    <row r="321" spans="1:7" x14ac:dyDescent="0.4">
      <c r="A321" s="164">
        <v>34059</v>
      </c>
      <c r="B321" s="166"/>
      <c r="C321" s="166">
        <v>690.13000499999998</v>
      </c>
      <c r="D321" s="160"/>
      <c r="E321" s="166">
        <v>6.2033449999999997</v>
      </c>
      <c r="G321" s="166">
        <v>1.5409569999999999</v>
      </c>
    </row>
    <row r="322" spans="1:7" x14ac:dyDescent="0.4">
      <c r="A322" s="164">
        <v>34060</v>
      </c>
      <c r="B322" s="166"/>
      <c r="C322" s="166">
        <v>686.64001499999995</v>
      </c>
      <c r="D322" s="160"/>
      <c r="E322" s="166">
        <v>6.325278</v>
      </c>
      <c r="G322" s="166">
        <v>1.548438</v>
      </c>
    </row>
    <row r="323" spans="1:7" x14ac:dyDescent="0.4">
      <c r="A323" s="164">
        <v>34061</v>
      </c>
      <c r="B323" s="166"/>
      <c r="C323" s="166">
        <v>669.84997599999997</v>
      </c>
      <c r="D323" s="160"/>
      <c r="E323" s="166">
        <v>6.4167290000000001</v>
      </c>
      <c r="G323" s="166">
        <v>1.4998149999999999</v>
      </c>
    </row>
    <row r="324" spans="1:7" x14ac:dyDescent="0.4">
      <c r="A324" s="164">
        <v>34064</v>
      </c>
      <c r="B324" s="166"/>
      <c r="C324" s="166">
        <v>670.71002199999998</v>
      </c>
      <c r="D324" s="160"/>
      <c r="E324" s="166">
        <v>6.4167290000000001</v>
      </c>
      <c r="G324" s="166">
        <v>1.496076</v>
      </c>
    </row>
    <row r="325" spans="1:7" x14ac:dyDescent="0.4">
      <c r="A325" s="164">
        <v>34065</v>
      </c>
      <c r="B325" s="166"/>
      <c r="C325" s="166">
        <v>664.14001499999995</v>
      </c>
      <c r="D325" s="160"/>
      <c r="E325" s="166">
        <v>6.3405189999999996</v>
      </c>
      <c r="G325" s="166">
        <v>1.4586730000000001</v>
      </c>
    </row>
    <row r="326" spans="1:7" x14ac:dyDescent="0.4">
      <c r="A326" s="164">
        <v>34066</v>
      </c>
      <c r="B326" s="166"/>
      <c r="C326" s="166">
        <v>668.88000499999998</v>
      </c>
      <c r="D326" s="160"/>
      <c r="E326" s="166">
        <v>6.3710040000000001</v>
      </c>
      <c r="G326" s="166">
        <v>1.511036</v>
      </c>
    </row>
    <row r="327" spans="1:7" x14ac:dyDescent="0.4">
      <c r="A327" s="164">
        <v>34067</v>
      </c>
      <c r="B327" s="166"/>
      <c r="C327" s="166">
        <v>666.330017</v>
      </c>
      <c r="D327" s="160"/>
      <c r="E327" s="166">
        <v>6.1271329999999997</v>
      </c>
      <c r="G327" s="166">
        <v>1.4885949999999999</v>
      </c>
    </row>
    <row r="328" spans="1:7" x14ac:dyDescent="0.4">
      <c r="A328" s="164">
        <v>34071</v>
      </c>
      <c r="B328" s="166"/>
      <c r="C328" s="166">
        <v>673.11999500000002</v>
      </c>
      <c r="D328" s="160"/>
      <c r="E328" s="166">
        <v>6.218585</v>
      </c>
      <c r="G328" s="166">
        <v>1.496076</v>
      </c>
    </row>
    <row r="329" spans="1:7" x14ac:dyDescent="0.4">
      <c r="A329" s="164">
        <v>34072</v>
      </c>
      <c r="B329" s="166"/>
      <c r="C329" s="166">
        <v>673.830017</v>
      </c>
      <c r="D329" s="160"/>
      <c r="E329" s="166">
        <v>6.0204459999999997</v>
      </c>
      <c r="G329" s="166">
        <v>1.451193</v>
      </c>
    </row>
    <row r="330" spans="1:7" x14ac:dyDescent="0.4">
      <c r="A330" s="164">
        <v>34073</v>
      </c>
      <c r="B330" s="166"/>
      <c r="C330" s="166">
        <v>673.94000200000005</v>
      </c>
      <c r="D330" s="160"/>
      <c r="E330" s="166">
        <v>5.9747209999999997</v>
      </c>
      <c r="G330" s="166">
        <v>1.4586730000000001</v>
      </c>
    </row>
    <row r="331" spans="1:7" x14ac:dyDescent="0.4">
      <c r="A331" s="164">
        <v>34074</v>
      </c>
      <c r="B331" s="166"/>
      <c r="C331" s="166">
        <v>670.32000700000003</v>
      </c>
      <c r="D331" s="160"/>
      <c r="E331" s="166">
        <v>5.9442349999999999</v>
      </c>
      <c r="G331" s="166">
        <v>1.413791</v>
      </c>
    </row>
    <row r="332" spans="1:7" x14ac:dyDescent="0.4">
      <c r="A332" s="164">
        <v>34075</v>
      </c>
      <c r="B332" s="166"/>
      <c r="C332" s="166">
        <v>666.78002900000001</v>
      </c>
      <c r="D332" s="160"/>
      <c r="E332" s="166">
        <v>5.9747209999999997</v>
      </c>
      <c r="G332" s="166">
        <v>1.4399729999999999</v>
      </c>
    </row>
    <row r="333" spans="1:7" x14ac:dyDescent="0.4">
      <c r="A333" s="164">
        <v>34078</v>
      </c>
      <c r="B333" s="166"/>
      <c r="C333" s="166">
        <v>663.03002900000001</v>
      </c>
      <c r="D333" s="160"/>
      <c r="E333" s="166">
        <v>6.0052060000000003</v>
      </c>
      <c r="G333" s="166">
        <v>1.451193</v>
      </c>
    </row>
    <row r="334" spans="1:7" x14ac:dyDescent="0.4">
      <c r="A334" s="164">
        <v>34079</v>
      </c>
      <c r="B334" s="166"/>
      <c r="C334" s="166">
        <v>661.96997099999999</v>
      </c>
      <c r="D334" s="160"/>
      <c r="E334" s="166">
        <v>6.1728620000000003</v>
      </c>
      <c r="G334" s="166">
        <v>1.496076</v>
      </c>
    </row>
    <row r="335" spans="1:7" x14ac:dyDescent="0.4">
      <c r="A335" s="164">
        <v>34080</v>
      </c>
      <c r="B335" s="166"/>
      <c r="C335" s="166">
        <v>664.03997800000002</v>
      </c>
      <c r="D335" s="160"/>
      <c r="E335" s="166">
        <v>5.9899630000000004</v>
      </c>
      <c r="G335" s="166">
        <v>1.484855</v>
      </c>
    </row>
    <row r="336" spans="1:7" x14ac:dyDescent="0.4">
      <c r="A336" s="164">
        <v>34081</v>
      </c>
      <c r="B336" s="166"/>
      <c r="C336" s="166">
        <v>663.51000999999997</v>
      </c>
      <c r="D336" s="160"/>
      <c r="E336" s="166">
        <v>5.9137550000000001</v>
      </c>
      <c r="G336" s="166">
        <v>1.496076</v>
      </c>
    </row>
    <row r="337" spans="1:7" x14ac:dyDescent="0.4">
      <c r="A337" s="164">
        <v>34082</v>
      </c>
      <c r="B337" s="166"/>
      <c r="C337" s="166">
        <v>658.40997300000004</v>
      </c>
      <c r="D337" s="160"/>
      <c r="E337" s="166">
        <v>5.8223039999999999</v>
      </c>
      <c r="G337" s="166">
        <v>1.4736340000000001</v>
      </c>
    </row>
    <row r="338" spans="1:7" x14ac:dyDescent="0.4">
      <c r="A338" s="164">
        <v>34085</v>
      </c>
      <c r="B338" s="166"/>
      <c r="C338" s="166">
        <v>645.86999500000002</v>
      </c>
      <c r="D338" s="160"/>
      <c r="E338" s="166">
        <v>5.8985159999999999</v>
      </c>
      <c r="G338" s="166">
        <v>1.466154</v>
      </c>
    </row>
    <row r="339" spans="1:7" x14ac:dyDescent="0.4">
      <c r="A339" s="164">
        <v>34086</v>
      </c>
      <c r="B339" s="166"/>
      <c r="C339" s="166">
        <v>652.52002000000005</v>
      </c>
      <c r="D339" s="160"/>
      <c r="E339" s="166">
        <v>5.8985159999999999</v>
      </c>
      <c r="G339" s="166">
        <v>1.5035559999999999</v>
      </c>
    </row>
    <row r="340" spans="1:7" x14ac:dyDescent="0.4">
      <c r="A340" s="164">
        <v>34087</v>
      </c>
      <c r="B340" s="166"/>
      <c r="C340" s="166">
        <v>658.15997300000004</v>
      </c>
      <c r="D340" s="160"/>
      <c r="E340" s="166">
        <v>6.0814120000000003</v>
      </c>
      <c r="G340" s="166">
        <v>1.537218</v>
      </c>
    </row>
    <row r="341" spans="1:7" x14ac:dyDescent="0.4">
      <c r="A341" s="164">
        <v>34088</v>
      </c>
      <c r="B341" s="166"/>
      <c r="C341" s="166">
        <v>658.45001200000002</v>
      </c>
      <c r="D341" s="160"/>
      <c r="E341" s="166">
        <v>5.9594779999999998</v>
      </c>
      <c r="G341" s="166">
        <v>1.518516</v>
      </c>
    </row>
    <row r="342" spans="1:7" x14ac:dyDescent="0.4">
      <c r="A342" s="164">
        <v>34089</v>
      </c>
      <c r="B342" s="166"/>
      <c r="C342" s="166">
        <v>661.419983</v>
      </c>
      <c r="D342" s="160"/>
      <c r="E342" s="166">
        <v>5.9289969999999999</v>
      </c>
      <c r="G342" s="166">
        <v>1.533477</v>
      </c>
    </row>
    <row r="343" spans="1:7" x14ac:dyDescent="0.4">
      <c r="A343" s="164">
        <v>34092</v>
      </c>
      <c r="B343" s="166"/>
      <c r="C343" s="166">
        <v>666.71002199999998</v>
      </c>
      <c r="D343" s="160"/>
      <c r="E343" s="166">
        <v>6.0052060000000003</v>
      </c>
      <c r="G343" s="166">
        <v>1.5521780000000001</v>
      </c>
    </row>
    <row r="344" spans="1:7" x14ac:dyDescent="0.4">
      <c r="A344" s="164">
        <v>34093</v>
      </c>
      <c r="B344" s="166"/>
      <c r="C344" s="166">
        <v>678.15997300000004</v>
      </c>
      <c r="D344" s="160"/>
      <c r="E344" s="166">
        <v>6.0052060000000003</v>
      </c>
      <c r="G344" s="166">
        <v>1.5970610000000001</v>
      </c>
    </row>
    <row r="345" spans="1:7" x14ac:dyDescent="0.4">
      <c r="A345" s="164">
        <v>34094</v>
      </c>
      <c r="B345" s="166"/>
      <c r="C345" s="166">
        <v>683.26000999999997</v>
      </c>
      <c r="D345" s="160"/>
      <c r="E345" s="166">
        <v>6.0204459999999997</v>
      </c>
      <c r="G345" s="166">
        <v>1.630722</v>
      </c>
    </row>
    <row r="346" spans="1:7" x14ac:dyDescent="0.4">
      <c r="A346" s="164">
        <v>34095</v>
      </c>
      <c r="B346" s="166"/>
      <c r="C346" s="166">
        <v>680.03997800000002</v>
      </c>
      <c r="D346" s="160"/>
      <c r="E346" s="166">
        <v>6.1524179999999999</v>
      </c>
      <c r="G346" s="166">
        <v>1.6082810000000001</v>
      </c>
    </row>
    <row r="347" spans="1:7" x14ac:dyDescent="0.4">
      <c r="A347" s="164">
        <v>34096</v>
      </c>
      <c r="B347" s="166"/>
      <c r="C347" s="166">
        <v>681.44000200000005</v>
      </c>
      <c r="D347" s="160"/>
      <c r="E347" s="166">
        <v>6.2002370000000004</v>
      </c>
      <c r="G347" s="166">
        <v>1.6382030000000001</v>
      </c>
    </row>
    <row r="348" spans="1:7" x14ac:dyDescent="0.4">
      <c r="A348" s="164">
        <v>34099</v>
      </c>
      <c r="B348" s="166"/>
      <c r="C348" s="166">
        <v>682.82000700000003</v>
      </c>
      <c r="D348" s="160"/>
      <c r="E348" s="166">
        <v>6.232113</v>
      </c>
      <c r="G348" s="166">
        <v>1.645683</v>
      </c>
    </row>
    <row r="349" spans="1:7" x14ac:dyDescent="0.4">
      <c r="A349" s="164">
        <v>34100</v>
      </c>
      <c r="B349" s="166"/>
      <c r="C349" s="166">
        <v>683.05999799999995</v>
      </c>
      <c r="D349" s="160"/>
      <c r="E349" s="166">
        <v>6.232113</v>
      </c>
      <c r="G349" s="166">
        <v>1.630722</v>
      </c>
    </row>
    <row r="350" spans="1:7" x14ac:dyDescent="0.4">
      <c r="A350" s="164">
        <v>34101</v>
      </c>
      <c r="B350" s="166"/>
      <c r="C350" s="166">
        <v>681.69000200000005</v>
      </c>
      <c r="D350" s="160"/>
      <c r="E350" s="166">
        <v>6.1205400000000001</v>
      </c>
      <c r="G350" s="166">
        <v>1.5933200000000001</v>
      </c>
    </row>
    <row r="351" spans="1:7" x14ac:dyDescent="0.4">
      <c r="A351" s="164">
        <v>34102</v>
      </c>
      <c r="B351" s="166"/>
      <c r="C351" s="166">
        <v>675.64001499999995</v>
      </c>
      <c r="D351" s="160"/>
      <c r="E351" s="166">
        <v>6.0567869999999999</v>
      </c>
      <c r="G351" s="166">
        <v>1.660644</v>
      </c>
    </row>
    <row r="352" spans="1:7" x14ac:dyDescent="0.4">
      <c r="A352" s="164">
        <v>34103</v>
      </c>
      <c r="B352" s="166"/>
      <c r="C352" s="166">
        <v>676.36999500000002</v>
      </c>
      <c r="D352" s="160"/>
      <c r="E352" s="166">
        <v>6.1046040000000001</v>
      </c>
      <c r="G352" s="166">
        <v>1.660644</v>
      </c>
    </row>
    <row r="353" spans="1:7" x14ac:dyDescent="0.4">
      <c r="A353" s="164">
        <v>34106</v>
      </c>
      <c r="B353" s="166"/>
      <c r="C353" s="166">
        <v>677.96002199999998</v>
      </c>
      <c r="D353" s="160"/>
      <c r="E353" s="166">
        <v>6.0727260000000003</v>
      </c>
      <c r="G353" s="166">
        <v>1.6681239999999999</v>
      </c>
    </row>
    <row r="354" spans="1:7" x14ac:dyDescent="0.4">
      <c r="A354" s="164">
        <v>34107</v>
      </c>
      <c r="B354" s="166"/>
      <c r="C354" s="166">
        <v>680.78002900000001</v>
      </c>
      <c r="D354" s="160"/>
      <c r="E354" s="166">
        <v>6.2480549999999999</v>
      </c>
      <c r="G354" s="166">
        <v>1.660644</v>
      </c>
    </row>
    <row r="355" spans="1:7" x14ac:dyDescent="0.4">
      <c r="A355" s="164">
        <v>34108</v>
      </c>
      <c r="B355" s="166"/>
      <c r="C355" s="166">
        <v>690.42999299999997</v>
      </c>
      <c r="D355" s="160"/>
      <c r="E355" s="166">
        <v>6.3277489999999998</v>
      </c>
      <c r="G355" s="166">
        <v>1.713006</v>
      </c>
    </row>
    <row r="356" spans="1:7" x14ac:dyDescent="0.4">
      <c r="A356" s="164">
        <v>34109</v>
      </c>
      <c r="B356" s="166"/>
      <c r="C356" s="166">
        <v>697.42999299999997</v>
      </c>
      <c r="D356" s="160"/>
      <c r="E356" s="166">
        <v>6.2799329999999998</v>
      </c>
      <c r="G356" s="166">
        <v>1.757889</v>
      </c>
    </row>
    <row r="357" spans="1:7" x14ac:dyDescent="0.4">
      <c r="A357" s="164">
        <v>34110</v>
      </c>
      <c r="B357" s="166"/>
      <c r="C357" s="166">
        <v>694.28997800000002</v>
      </c>
      <c r="D357" s="160"/>
      <c r="E357" s="166">
        <v>6.1683630000000003</v>
      </c>
      <c r="G357" s="166">
        <v>1.7204870000000001</v>
      </c>
    </row>
    <row r="358" spans="1:7" x14ac:dyDescent="0.4">
      <c r="A358" s="164">
        <v>34113</v>
      </c>
      <c r="B358" s="166"/>
      <c r="C358" s="166">
        <v>694.69000200000005</v>
      </c>
      <c r="D358" s="160"/>
      <c r="E358" s="166">
        <v>6.3436870000000001</v>
      </c>
      <c r="G358" s="166">
        <v>1.724227</v>
      </c>
    </row>
    <row r="359" spans="1:7" x14ac:dyDescent="0.4">
      <c r="A359" s="164">
        <v>34114</v>
      </c>
      <c r="B359" s="166"/>
      <c r="C359" s="166">
        <v>695.03997800000002</v>
      </c>
      <c r="D359" s="160"/>
      <c r="E359" s="166">
        <v>6.423381</v>
      </c>
      <c r="G359" s="166">
        <v>1.686825</v>
      </c>
    </row>
    <row r="360" spans="1:7" x14ac:dyDescent="0.4">
      <c r="A360" s="164">
        <v>34115</v>
      </c>
      <c r="B360" s="166"/>
      <c r="C360" s="166">
        <v>704.09002699999996</v>
      </c>
      <c r="D360" s="160"/>
      <c r="E360" s="166">
        <v>6.7262199999999996</v>
      </c>
      <c r="G360" s="166">
        <v>1.727967</v>
      </c>
    </row>
    <row r="361" spans="1:7" x14ac:dyDescent="0.4">
      <c r="A361" s="164">
        <v>34116</v>
      </c>
      <c r="B361" s="166"/>
      <c r="C361" s="166">
        <v>704.59002699999996</v>
      </c>
      <c r="D361" s="160"/>
      <c r="E361" s="166">
        <v>6.7899750000000001</v>
      </c>
      <c r="G361" s="166">
        <v>1.7204870000000001</v>
      </c>
    </row>
    <row r="362" spans="1:7" x14ac:dyDescent="0.4">
      <c r="A362" s="164">
        <v>34117</v>
      </c>
      <c r="B362" s="166"/>
      <c r="C362" s="166">
        <v>700.53002900000001</v>
      </c>
      <c r="D362" s="160"/>
      <c r="E362" s="166">
        <v>6.7262199999999996</v>
      </c>
      <c r="G362" s="166">
        <v>1.6978530000000001</v>
      </c>
    </row>
    <row r="363" spans="1:7" x14ac:dyDescent="0.4">
      <c r="A363" s="164">
        <v>34121</v>
      </c>
      <c r="B363" s="166"/>
      <c r="C363" s="166">
        <v>704.28002900000001</v>
      </c>
      <c r="D363" s="160"/>
      <c r="E363" s="166">
        <v>6.6305860000000001</v>
      </c>
      <c r="G363" s="166">
        <v>1.7090970000000001</v>
      </c>
    </row>
    <row r="364" spans="1:7" x14ac:dyDescent="0.4">
      <c r="A364" s="164">
        <v>34122</v>
      </c>
      <c r="B364" s="166"/>
      <c r="C364" s="166">
        <v>705.85998500000005</v>
      </c>
      <c r="D364" s="160"/>
      <c r="E364" s="166">
        <v>6.8696700000000002</v>
      </c>
      <c r="G364" s="166">
        <v>1.7090970000000001</v>
      </c>
    </row>
    <row r="365" spans="1:7" x14ac:dyDescent="0.4">
      <c r="A365" s="164">
        <v>34123</v>
      </c>
      <c r="B365" s="166"/>
      <c r="C365" s="166">
        <v>706.21997099999999</v>
      </c>
      <c r="D365" s="160"/>
      <c r="E365" s="166">
        <v>6.8696700000000002</v>
      </c>
      <c r="G365" s="166">
        <v>1.690356</v>
      </c>
    </row>
    <row r="366" spans="1:7" x14ac:dyDescent="0.4">
      <c r="A366" s="164">
        <v>34124</v>
      </c>
      <c r="B366" s="166"/>
      <c r="C366" s="166">
        <v>702.01000999999997</v>
      </c>
      <c r="D366" s="160"/>
      <c r="E366" s="166">
        <v>6.8856089999999996</v>
      </c>
      <c r="G366" s="166">
        <v>1.6453800000000001</v>
      </c>
    </row>
    <row r="367" spans="1:7" x14ac:dyDescent="0.4">
      <c r="A367" s="164">
        <v>34127</v>
      </c>
      <c r="B367" s="166"/>
      <c r="C367" s="166">
        <v>694.60998500000005</v>
      </c>
      <c r="D367" s="160"/>
      <c r="E367" s="166">
        <v>6.6624660000000002</v>
      </c>
      <c r="G367" s="166">
        <v>1.521695</v>
      </c>
    </row>
    <row r="368" spans="1:7" x14ac:dyDescent="0.4">
      <c r="A368" s="164">
        <v>34128</v>
      </c>
      <c r="B368" s="166"/>
      <c r="C368" s="166">
        <v>687.73999000000003</v>
      </c>
      <c r="D368" s="160"/>
      <c r="E368" s="166">
        <v>6.6624660000000002</v>
      </c>
      <c r="G368" s="166">
        <v>1.4842150000000001</v>
      </c>
    </row>
    <row r="369" spans="1:7" x14ac:dyDescent="0.4">
      <c r="A369" s="164">
        <v>34129</v>
      </c>
      <c r="B369" s="166"/>
      <c r="C369" s="166">
        <v>689.23999000000003</v>
      </c>
      <c r="D369" s="160"/>
      <c r="E369" s="166">
        <v>6.7421610000000003</v>
      </c>
      <c r="G369" s="166">
        <v>1.3267979999999999</v>
      </c>
    </row>
    <row r="370" spans="1:7" x14ac:dyDescent="0.4">
      <c r="A370" s="164">
        <v>34130</v>
      </c>
      <c r="B370" s="166"/>
      <c r="C370" s="166">
        <v>688.04998799999998</v>
      </c>
      <c r="D370" s="160"/>
      <c r="E370" s="166">
        <v>6.6943460000000004</v>
      </c>
      <c r="G370" s="166">
        <v>1.3342940000000001</v>
      </c>
    </row>
    <row r="371" spans="1:7" x14ac:dyDescent="0.4">
      <c r="A371" s="164">
        <v>34131</v>
      </c>
      <c r="B371" s="166"/>
      <c r="C371" s="166">
        <v>693.19000200000005</v>
      </c>
      <c r="D371" s="160"/>
      <c r="E371" s="166">
        <v>6.6943460000000004</v>
      </c>
      <c r="G371" s="166">
        <v>1.311806</v>
      </c>
    </row>
    <row r="372" spans="1:7" x14ac:dyDescent="0.4">
      <c r="A372" s="164">
        <v>34134</v>
      </c>
      <c r="B372" s="166"/>
      <c r="C372" s="166">
        <v>696.40997300000004</v>
      </c>
      <c r="D372" s="160"/>
      <c r="E372" s="166">
        <v>6.6305860000000001</v>
      </c>
      <c r="G372" s="166">
        <v>1.338042</v>
      </c>
    </row>
    <row r="373" spans="1:7" x14ac:dyDescent="0.4">
      <c r="A373" s="164">
        <v>34135</v>
      </c>
      <c r="B373" s="166"/>
      <c r="C373" s="166">
        <v>697.34002699999996</v>
      </c>
      <c r="D373" s="160"/>
      <c r="E373" s="166">
        <v>6.3596259999999996</v>
      </c>
      <c r="G373" s="166">
        <v>1.259334</v>
      </c>
    </row>
    <row r="374" spans="1:7" x14ac:dyDescent="0.4">
      <c r="A374" s="164">
        <v>34136</v>
      </c>
      <c r="B374" s="166"/>
      <c r="C374" s="166">
        <v>696.25</v>
      </c>
      <c r="D374" s="160"/>
      <c r="E374" s="166">
        <v>6.423381</v>
      </c>
      <c r="G374" s="166">
        <v>1.2668299999999999</v>
      </c>
    </row>
    <row r="375" spans="1:7" x14ac:dyDescent="0.4">
      <c r="A375" s="164">
        <v>34137</v>
      </c>
      <c r="B375" s="166"/>
      <c r="C375" s="166">
        <v>695.94000200000005</v>
      </c>
      <c r="D375" s="160"/>
      <c r="E375" s="166">
        <v>6.3277489999999998</v>
      </c>
      <c r="G375" s="166">
        <v>1.2368459999999999</v>
      </c>
    </row>
    <row r="376" spans="1:7" x14ac:dyDescent="0.4">
      <c r="A376" s="164">
        <v>34138</v>
      </c>
      <c r="B376" s="166"/>
      <c r="C376" s="166">
        <v>689.59002699999996</v>
      </c>
      <c r="D376" s="160"/>
      <c r="E376" s="166">
        <v>6.2958699999999999</v>
      </c>
      <c r="G376" s="166">
        <v>1.2293499999999999</v>
      </c>
    </row>
    <row r="377" spans="1:7" x14ac:dyDescent="0.4">
      <c r="A377" s="164">
        <v>34141</v>
      </c>
      <c r="B377" s="166"/>
      <c r="C377" s="166">
        <v>688.73999000000003</v>
      </c>
      <c r="D377" s="160"/>
      <c r="E377" s="166">
        <v>6.2799329999999998</v>
      </c>
      <c r="G377" s="166">
        <v>1.1881219999999999</v>
      </c>
    </row>
    <row r="378" spans="1:7" x14ac:dyDescent="0.4">
      <c r="A378" s="164">
        <v>34142</v>
      </c>
      <c r="B378" s="166"/>
      <c r="C378" s="166">
        <v>686.77002000000005</v>
      </c>
      <c r="D378" s="160"/>
      <c r="E378" s="166">
        <v>6.2799329999999998</v>
      </c>
      <c r="G378" s="166">
        <v>1.2405949999999999</v>
      </c>
    </row>
    <row r="379" spans="1:7" x14ac:dyDescent="0.4">
      <c r="A379" s="164">
        <v>34143</v>
      </c>
      <c r="B379" s="166"/>
      <c r="C379" s="166">
        <v>684.78997800000002</v>
      </c>
      <c r="D379" s="160"/>
      <c r="E379" s="166">
        <v>6.2002370000000004</v>
      </c>
      <c r="G379" s="166">
        <v>1.214358</v>
      </c>
    </row>
    <row r="380" spans="1:7" x14ac:dyDescent="0.4">
      <c r="A380" s="164">
        <v>34144</v>
      </c>
      <c r="B380" s="166"/>
      <c r="C380" s="166">
        <v>688.71997099999999</v>
      </c>
      <c r="D380" s="160"/>
      <c r="E380" s="166">
        <v>6.2161720000000003</v>
      </c>
      <c r="G380" s="166">
        <v>1.251838</v>
      </c>
    </row>
    <row r="381" spans="1:7" x14ac:dyDescent="0.4">
      <c r="A381" s="164">
        <v>34145</v>
      </c>
      <c r="B381" s="166"/>
      <c r="C381" s="166">
        <v>694.80999799999995</v>
      </c>
      <c r="D381" s="160"/>
      <c r="E381" s="166">
        <v>6.3436870000000001</v>
      </c>
      <c r="G381" s="166">
        <v>1.1993659999999999</v>
      </c>
    </row>
    <row r="382" spans="1:7" x14ac:dyDescent="0.4">
      <c r="A382" s="164">
        <v>34148</v>
      </c>
      <c r="B382" s="166"/>
      <c r="C382" s="166">
        <v>702.84002699999996</v>
      </c>
      <c r="D382" s="160"/>
      <c r="E382" s="166">
        <v>6.423381</v>
      </c>
      <c r="G382" s="166">
        <v>1.203114</v>
      </c>
    </row>
    <row r="383" spans="1:7" x14ac:dyDescent="0.4">
      <c r="A383" s="164">
        <v>34149</v>
      </c>
      <c r="B383" s="166"/>
      <c r="C383" s="166">
        <v>701.07000700000003</v>
      </c>
      <c r="D383" s="160"/>
      <c r="E383" s="166">
        <v>6.2958699999999999</v>
      </c>
      <c r="G383" s="166">
        <v>1.169381</v>
      </c>
    </row>
    <row r="384" spans="1:7" x14ac:dyDescent="0.4">
      <c r="A384" s="164">
        <v>34150</v>
      </c>
      <c r="B384" s="166"/>
      <c r="C384" s="166">
        <v>703.95001200000002</v>
      </c>
      <c r="D384" s="160"/>
      <c r="E384" s="166">
        <v>6.2958699999999999</v>
      </c>
      <c r="G384" s="166">
        <v>1.184374</v>
      </c>
    </row>
    <row r="385" spans="1:7" x14ac:dyDescent="0.4">
      <c r="A385" s="164">
        <v>34151</v>
      </c>
      <c r="B385" s="166"/>
      <c r="C385" s="166">
        <v>703.59002699999996</v>
      </c>
      <c r="D385" s="160"/>
      <c r="E385" s="166">
        <v>6.2799329999999998</v>
      </c>
      <c r="G385" s="166">
        <v>1.1393979999999999</v>
      </c>
    </row>
    <row r="386" spans="1:7" x14ac:dyDescent="0.4">
      <c r="A386" s="164">
        <v>34152</v>
      </c>
      <c r="B386" s="166"/>
      <c r="C386" s="166">
        <v>704.48999000000003</v>
      </c>
      <c r="D386" s="160"/>
      <c r="E386" s="166">
        <v>6.1524179999999999</v>
      </c>
      <c r="G386" s="166">
        <v>1.15439</v>
      </c>
    </row>
    <row r="387" spans="1:7" x14ac:dyDescent="0.4">
      <c r="A387" s="164">
        <v>34156</v>
      </c>
      <c r="B387" s="166"/>
      <c r="C387" s="166">
        <v>702.21997099999999</v>
      </c>
      <c r="D387" s="160"/>
      <c r="E387" s="166">
        <v>5.9770919999999998</v>
      </c>
      <c r="G387" s="166">
        <v>1.131902</v>
      </c>
    </row>
    <row r="388" spans="1:7" x14ac:dyDescent="0.4">
      <c r="A388" s="164">
        <v>34157</v>
      </c>
      <c r="B388" s="166"/>
      <c r="C388" s="166">
        <v>698.78997800000002</v>
      </c>
      <c r="D388" s="160"/>
      <c r="E388" s="166">
        <v>5.9452150000000001</v>
      </c>
      <c r="G388" s="166">
        <v>1.0944210000000001</v>
      </c>
    </row>
    <row r="389" spans="1:7" x14ac:dyDescent="0.4">
      <c r="A389" s="164">
        <v>34158</v>
      </c>
      <c r="B389" s="166"/>
      <c r="C389" s="166">
        <v>702.71002199999998</v>
      </c>
      <c r="D389" s="160"/>
      <c r="E389" s="166">
        <v>5.9452150000000001</v>
      </c>
      <c r="G389" s="166">
        <v>1.0944210000000001</v>
      </c>
    </row>
    <row r="390" spans="1:7" x14ac:dyDescent="0.4">
      <c r="A390" s="164">
        <v>34159</v>
      </c>
      <c r="B390" s="166"/>
      <c r="C390" s="166">
        <v>705.80999799999995</v>
      </c>
      <c r="D390" s="160"/>
      <c r="E390" s="166">
        <v>5.9452150000000001</v>
      </c>
      <c r="G390" s="166">
        <v>1.101917</v>
      </c>
    </row>
    <row r="391" spans="1:7" x14ac:dyDescent="0.4">
      <c r="A391" s="164">
        <v>34162</v>
      </c>
      <c r="B391" s="166"/>
      <c r="C391" s="166">
        <v>707.669983</v>
      </c>
      <c r="D391" s="160"/>
      <c r="E391" s="166">
        <v>6.136482</v>
      </c>
      <c r="G391" s="166">
        <v>1.1393979999999999</v>
      </c>
    </row>
    <row r="392" spans="1:7" x14ac:dyDescent="0.4">
      <c r="A392" s="164">
        <v>34163</v>
      </c>
      <c r="B392" s="166"/>
      <c r="C392" s="166">
        <v>708.46997099999999</v>
      </c>
      <c r="D392" s="160"/>
      <c r="E392" s="166">
        <v>6.0727260000000003</v>
      </c>
      <c r="G392" s="166">
        <v>1.1169089999999999</v>
      </c>
    </row>
    <row r="393" spans="1:7" x14ac:dyDescent="0.4">
      <c r="A393" s="164">
        <v>34164</v>
      </c>
      <c r="B393" s="166"/>
      <c r="C393" s="166">
        <v>712.48999000000003</v>
      </c>
      <c r="D393" s="160"/>
      <c r="E393" s="166">
        <v>6.0408480000000004</v>
      </c>
      <c r="G393" s="166">
        <v>1.1169089999999999</v>
      </c>
    </row>
    <row r="394" spans="1:7" x14ac:dyDescent="0.4">
      <c r="A394" s="164">
        <v>34165</v>
      </c>
      <c r="B394" s="166"/>
      <c r="C394" s="166">
        <v>708.69000200000005</v>
      </c>
      <c r="D394" s="160"/>
      <c r="E394" s="166">
        <v>6.0567869999999999</v>
      </c>
      <c r="G394" s="166">
        <v>1.071933</v>
      </c>
    </row>
    <row r="395" spans="1:7" x14ac:dyDescent="0.4">
      <c r="A395" s="164">
        <v>34166</v>
      </c>
      <c r="B395" s="166"/>
      <c r="C395" s="166">
        <v>699.72997999999995</v>
      </c>
      <c r="D395" s="160"/>
      <c r="E395" s="166">
        <v>5.8177009999999996</v>
      </c>
      <c r="G395" s="166">
        <v>0.82456399999999996</v>
      </c>
    </row>
    <row r="396" spans="1:7" x14ac:dyDescent="0.4">
      <c r="A396" s="164">
        <v>34169</v>
      </c>
      <c r="B396" s="166"/>
      <c r="C396" s="166">
        <v>695.830017</v>
      </c>
      <c r="D396" s="160"/>
      <c r="E396" s="166">
        <v>5.5626800000000003</v>
      </c>
      <c r="G396" s="166">
        <v>0.76834400000000003</v>
      </c>
    </row>
    <row r="397" spans="1:7" x14ac:dyDescent="0.4">
      <c r="A397" s="164">
        <v>34170</v>
      </c>
      <c r="B397" s="166"/>
      <c r="C397" s="166">
        <v>701.90002400000003</v>
      </c>
      <c r="D397" s="160"/>
      <c r="E397" s="166">
        <v>5.4670449999999997</v>
      </c>
      <c r="G397" s="166">
        <v>0.80582399999999998</v>
      </c>
    </row>
    <row r="398" spans="1:7" x14ac:dyDescent="0.4">
      <c r="A398" s="164">
        <v>34171</v>
      </c>
      <c r="B398" s="166"/>
      <c r="C398" s="166">
        <v>700.080017</v>
      </c>
      <c r="D398" s="160"/>
      <c r="E398" s="166">
        <v>5.5626800000000003</v>
      </c>
      <c r="G398" s="166">
        <v>0.78708400000000001</v>
      </c>
    </row>
    <row r="399" spans="1:7" x14ac:dyDescent="0.4">
      <c r="A399" s="164">
        <v>34172</v>
      </c>
      <c r="B399" s="166"/>
      <c r="C399" s="166">
        <v>695.52002000000005</v>
      </c>
      <c r="D399" s="160"/>
      <c r="E399" s="166">
        <v>5.5308010000000003</v>
      </c>
      <c r="G399" s="166">
        <v>0.79457999999999995</v>
      </c>
    </row>
    <row r="400" spans="1:7" x14ac:dyDescent="0.4">
      <c r="A400" s="164">
        <v>34173</v>
      </c>
      <c r="B400" s="166"/>
      <c r="C400" s="166">
        <v>700.23999000000003</v>
      </c>
      <c r="D400" s="160"/>
      <c r="E400" s="166">
        <v>5.3873540000000002</v>
      </c>
      <c r="G400" s="166">
        <v>0.78708400000000001</v>
      </c>
    </row>
    <row r="401" spans="1:7" x14ac:dyDescent="0.4">
      <c r="A401" s="164">
        <v>34176</v>
      </c>
      <c r="B401" s="166"/>
      <c r="C401" s="166">
        <v>704.53997800000002</v>
      </c>
      <c r="D401" s="160"/>
      <c r="E401" s="166">
        <v>5.4032920000000004</v>
      </c>
      <c r="G401" s="166">
        <v>0.80582399999999998</v>
      </c>
    </row>
    <row r="402" spans="1:7" x14ac:dyDescent="0.4">
      <c r="A402" s="164">
        <v>34177</v>
      </c>
      <c r="B402" s="166"/>
      <c r="C402" s="166">
        <v>701</v>
      </c>
      <c r="D402" s="160"/>
      <c r="E402" s="166">
        <v>5.8177009999999996</v>
      </c>
      <c r="G402" s="166">
        <v>0.79457999999999995</v>
      </c>
    </row>
    <row r="403" spans="1:7" x14ac:dyDescent="0.4">
      <c r="A403" s="164">
        <v>34178</v>
      </c>
      <c r="B403" s="166"/>
      <c r="C403" s="166">
        <v>705.59002699999996</v>
      </c>
      <c r="D403" s="160"/>
      <c r="E403" s="166">
        <v>5.6104969999999996</v>
      </c>
      <c r="G403" s="166">
        <v>0.80582399999999998</v>
      </c>
    </row>
    <row r="404" spans="1:7" x14ac:dyDescent="0.4">
      <c r="A404" s="164">
        <v>34179</v>
      </c>
      <c r="B404" s="166"/>
      <c r="C404" s="166">
        <v>707.23999000000003</v>
      </c>
      <c r="D404" s="160"/>
      <c r="E404" s="166">
        <v>5.5945619999999998</v>
      </c>
      <c r="G404" s="166">
        <v>0.81706800000000002</v>
      </c>
    </row>
    <row r="405" spans="1:7" x14ac:dyDescent="0.4">
      <c r="A405" s="164">
        <v>34180</v>
      </c>
      <c r="B405" s="166"/>
      <c r="C405" s="166">
        <v>704.70001200000002</v>
      </c>
      <c r="D405" s="160"/>
      <c r="E405" s="166">
        <v>5.6742520000000001</v>
      </c>
      <c r="G405" s="166">
        <v>0.83206000000000002</v>
      </c>
    </row>
    <row r="406" spans="1:7" x14ac:dyDescent="0.4">
      <c r="A406" s="164">
        <v>34183</v>
      </c>
      <c r="B406" s="166"/>
      <c r="C406" s="166">
        <v>707.65997300000004</v>
      </c>
      <c r="D406" s="160"/>
      <c r="E406" s="166">
        <v>5.5945619999999998</v>
      </c>
      <c r="G406" s="166">
        <v>0.85454799999999997</v>
      </c>
    </row>
    <row r="407" spans="1:7" x14ac:dyDescent="0.4">
      <c r="A407" s="164">
        <v>34184</v>
      </c>
      <c r="B407" s="166"/>
      <c r="C407" s="166">
        <v>709.01000999999997</v>
      </c>
      <c r="D407" s="160"/>
      <c r="E407" s="166">
        <v>5.5308010000000003</v>
      </c>
      <c r="G407" s="166">
        <v>0.86953999999999998</v>
      </c>
    </row>
    <row r="408" spans="1:7" x14ac:dyDescent="0.4">
      <c r="A408" s="164">
        <v>34185</v>
      </c>
      <c r="B408" s="166"/>
      <c r="C408" s="166">
        <v>713.78997800000002</v>
      </c>
      <c r="D408" s="160"/>
      <c r="E408" s="166">
        <v>5.6583139999999998</v>
      </c>
      <c r="G408" s="166">
        <v>0.90702000000000005</v>
      </c>
    </row>
    <row r="409" spans="1:7" x14ac:dyDescent="0.4">
      <c r="A409" s="164">
        <v>34186</v>
      </c>
      <c r="B409" s="166"/>
      <c r="C409" s="166">
        <v>715.5</v>
      </c>
      <c r="D409" s="160"/>
      <c r="E409" s="166">
        <v>5.7072339999999997</v>
      </c>
      <c r="G409" s="166">
        <v>0.88453199999999998</v>
      </c>
    </row>
    <row r="410" spans="1:7" x14ac:dyDescent="0.4">
      <c r="A410" s="164">
        <v>34187</v>
      </c>
      <c r="B410" s="166"/>
      <c r="C410" s="166">
        <v>718.080017</v>
      </c>
      <c r="D410" s="160"/>
      <c r="E410" s="166">
        <v>5.6583110000000003</v>
      </c>
      <c r="G410" s="166">
        <v>0.87703600000000004</v>
      </c>
    </row>
    <row r="411" spans="1:7" x14ac:dyDescent="0.4">
      <c r="A411" s="164">
        <v>34190</v>
      </c>
      <c r="B411" s="166"/>
      <c r="C411" s="166">
        <v>718.48999000000003</v>
      </c>
      <c r="D411" s="160"/>
      <c r="E411" s="166">
        <v>5.6257029999999997</v>
      </c>
      <c r="G411" s="166">
        <v>0.89202800000000004</v>
      </c>
    </row>
    <row r="412" spans="1:7" x14ac:dyDescent="0.4">
      <c r="A412" s="164">
        <v>34191</v>
      </c>
      <c r="B412" s="166"/>
      <c r="C412" s="166">
        <v>717.080017</v>
      </c>
      <c r="D412" s="160"/>
      <c r="E412" s="166">
        <v>5.6420070000000004</v>
      </c>
      <c r="G412" s="166">
        <v>0.85454799999999997</v>
      </c>
    </row>
    <row r="413" spans="1:7" x14ac:dyDescent="0.4">
      <c r="A413" s="164">
        <v>34192</v>
      </c>
      <c r="B413" s="166"/>
      <c r="C413" s="166">
        <v>718.77002000000005</v>
      </c>
      <c r="D413" s="160"/>
      <c r="E413" s="166">
        <v>5.5115569999999998</v>
      </c>
      <c r="G413" s="166">
        <v>0.82456399999999996</v>
      </c>
    </row>
    <row r="414" spans="1:7" x14ac:dyDescent="0.4">
      <c r="A414" s="164">
        <v>34193</v>
      </c>
      <c r="B414" s="166"/>
      <c r="C414" s="166">
        <v>717.11999500000002</v>
      </c>
      <c r="D414" s="160"/>
      <c r="E414" s="166">
        <v>5.4463309999999998</v>
      </c>
      <c r="G414" s="166">
        <v>0.79457999999999995</v>
      </c>
    </row>
    <row r="415" spans="1:7" x14ac:dyDescent="0.4">
      <c r="A415" s="164">
        <v>34194</v>
      </c>
      <c r="B415" s="166"/>
      <c r="C415" s="166">
        <v>718.26000999999997</v>
      </c>
      <c r="D415" s="160"/>
      <c r="E415" s="166">
        <v>5.4300249999999997</v>
      </c>
      <c r="G415" s="166">
        <v>0.82081599999999999</v>
      </c>
    </row>
    <row r="416" spans="1:7" x14ac:dyDescent="0.4">
      <c r="A416" s="164">
        <v>34197</v>
      </c>
      <c r="B416" s="166"/>
      <c r="C416" s="166">
        <v>726.89001499999995</v>
      </c>
      <c r="D416" s="160"/>
      <c r="E416" s="166">
        <v>5.3484920000000002</v>
      </c>
      <c r="G416" s="166">
        <v>0.82819799999999999</v>
      </c>
    </row>
    <row r="417" spans="1:7" x14ac:dyDescent="0.4">
      <c r="A417" s="164">
        <v>34198</v>
      </c>
      <c r="B417" s="166"/>
      <c r="C417" s="166">
        <v>731.01000999999997</v>
      </c>
      <c r="D417" s="160"/>
      <c r="E417" s="166">
        <v>5.6093960000000003</v>
      </c>
      <c r="G417" s="166">
        <v>0.85455000000000003</v>
      </c>
    </row>
    <row r="418" spans="1:7" x14ac:dyDescent="0.4">
      <c r="A418" s="164">
        <v>34199</v>
      </c>
      <c r="B418" s="166"/>
      <c r="C418" s="166">
        <v>734.830017</v>
      </c>
      <c r="D418" s="160"/>
      <c r="E418" s="166">
        <v>5.5767810000000004</v>
      </c>
      <c r="G418" s="166">
        <v>0.85831400000000002</v>
      </c>
    </row>
    <row r="419" spans="1:7" x14ac:dyDescent="0.4">
      <c r="A419" s="164">
        <v>34200</v>
      </c>
      <c r="B419" s="166"/>
      <c r="C419" s="166">
        <v>730.47997999999995</v>
      </c>
      <c r="D419" s="160"/>
      <c r="E419" s="166">
        <v>5.6093960000000003</v>
      </c>
      <c r="G419" s="166">
        <v>0.82819799999999999</v>
      </c>
    </row>
    <row r="420" spans="1:7" x14ac:dyDescent="0.4">
      <c r="A420" s="164">
        <v>34201</v>
      </c>
      <c r="B420" s="166"/>
      <c r="C420" s="166">
        <v>730.96002199999998</v>
      </c>
      <c r="D420" s="160"/>
      <c r="E420" s="166">
        <v>5.6257029999999997</v>
      </c>
      <c r="G420" s="166">
        <v>0.84325600000000001</v>
      </c>
    </row>
    <row r="421" spans="1:7" x14ac:dyDescent="0.4">
      <c r="A421" s="164">
        <v>34204</v>
      </c>
      <c r="B421" s="166"/>
      <c r="C421" s="166">
        <v>730.85998500000005</v>
      </c>
      <c r="D421" s="160"/>
      <c r="E421" s="166">
        <v>5.7887639999999996</v>
      </c>
      <c r="G421" s="166">
        <v>0.85455000000000003</v>
      </c>
    </row>
    <row r="422" spans="1:7" x14ac:dyDescent="0.4">
      <c r="A422" s="164">
        <v>34205</v>
      </c>
      <c r="B422" s="166"/>
      <c r="C422" s="166">
        <v>735.14001499999995</v>
      </c>
      <c r="D422" s="160"/>
      <c r="E422" s="166">
        <v>5.723541</v>
      </c>
      <c r="G422" s="166">
        <v>0.84325600000000001</v>
      </c>
    </row>
    <row r="423" spans="1:7" x14ac:dyDescent="0.4">
      <c r="A423" s="164">
        <v>34206</v>
      </c>
      <c r="B423" s="166"/>
      <c r="C423" s="166">
        <v>733.65997300000004</v>
      </c>
      <c r="D423" s="160"/>
      <c r="E423" s="166">
        <v>5.7398470000000001</v>
      </c>
      <c r="G423" s="166">
        <v>0.82066899999999998</v>
      </c>
    </row>
    <row r="424" spans="1:7" x14ac:dyDescent="0.4">
      <c r="A424" s="164">
        <v>34207</v>
      </c>
      <c r="B424" s="166"/>
      <c r="C424" s="166">
        <v>731.39001499999995</v>
      </c>
      <c r="D424" s="160"/>
      <c r="E424" s="166">
        <v>5.7398470000000001</v>
      </c>
      <c r="G424" s="166">
        <v>0.80937499999999996</v>
      </c>
    </row>
    <row r="425" spans="1:7" x14ac:dyDescent="0.4">
      <c r="A425" s="164">
        <v>34208</v>
      </c>
      <c r="B425" s="166"/>
      <c r="C425" s="166">
        <v>734.07000700000003</v>
      </c>
      <c r="D425" s="160"/>
      <c r="E425" s="166">
        <v>5.7561530000000003</v>
      </c>
      <c r="G425" s="166">
        <v>0.79808199999999996</v>
      </c>
    </row>
    <row r="426" spans="1:7" x14ac:dyDescent="0.4">
      <c r="A426" s="164">
        <v>34211</v>
      </c>
      <c r="B426" s="166"/>
      <c r="C426" s="166">
        <v>737.38000499999998</v>
      </c>
      <c r="D426" s="160"/>
      <c r="E426" s="166">
        <v>5.8213780000000002</v>
      </c>
      <c r="G426" s="166">
        <v>0.78302400000000005</v>
      </c>
    </row>
    <row r="427" spans="1:7" x14ac:dyDescent="0.4">
      <c r="A427" s="164">
        <v>34212</v>
      </c>
      <c r="B427" s="166"/>
      <c r="C427" s="166">
        <v>742.84002699999996</v>
      </c>
      <c r="D427" s="160"/>
      <c r="E427" s="166">
        <v>5.9681329999999999</v>
      </c>
      <c r="G427" s="166">
        <v>0.79808199999999996</v>
      </c>
    </row>
    <row r="428" spans="1:7" x14ac:dyDescent="0.4">
      <c r="A428" s="164">
        <v>34213</v>
      </c>
      <c r="B428" s="166"/>
      <c r="C428" s="166">
        <v>746.15002400000003</v>
      </c>
      <c r="D428" s="160"/>
      <c r="E428" s="166">
        <v>5.9844419999999996</v>
      </c>
      <c r="G428" s="166">
        <v>0.78678800000000004</v>
      </c>
    </row>
    <row r="429" spans="1:7" x14ac:dyDescent="0.4">
      <c r="A429" s="164">
        <v>34214</v>
      </c>
      <c r="B429" s="166"/>
      <c r="C429" s="166">
        <v>748.65002400000003</v>
      </c>
      <c r="D429" s="160"/>
      <c r="E429" s="166">
        <v>6.0007489999999999</v>
      </c>
      <c r="G429" s="166">
        <v>0.77549500000000005</v>
      </c>
    </row>
    <row r="430" spans="1:7" x14ac:dyDescent="0.4">
      <c r="A430" s="164">
        <v>34215</v>
      </c>
      <c r="B430" s="166"/>
      <c r="C430" s="166">
        <v>749.71002199999998</v>
      </c>
      <c r="D430" s="160"/>
      <c r="E430" s="166">
        <v>5.9681329999999999</v>
      </c>
      <c r="G430" s="166">
        <v>0.77549500000000005</v>
      </c>
    </row>
    <row r="431" spans="1:7" x14ac:dyDescent="0.4">
      <c r="A431" s="164">
        <v>34219</v>
      </c>
      <c r="B431" s="166"/>
      <c r="C431" s="166">
        <v>739.34997599999997</v>
      </c>
      <c r="D431" s="160"/>
      <c r="E431" s="166">
        <v>5.9355190000000002</v>
      </c>
      <c r="G431" s="166">
        <v>0.79055299999999995</v>
      </c>
    </row>
    <row r="432" spans="1:7" x14ac:dyDescent="0.4">
      <c r="A432" s="164">
        <v>34220</v>
      </c>
      <c r="B432" s="166"/>
      <c r="C432" s="166">
        <v>730.72997999999995</v>
      </c>
      <c r="D432" s="160"/>
      <c r="E432" s="166">
        <v>5.7887639999999996</v>
      </c>
      <c r="G432" s="166">
        <v>0.80561099999999997</v>
      </c>
    </row>
    <row r="433" spans="1:7" x14ac:dyDescent="0.4">
      <c r="A433" s="164">
        <v>34221</v>
      </c>
      <c r="B433" s="166"/>
      <c r="C433" s="166">
        <v>737.71002199999998</v>
      </c>
      <c r="D433" s="160"/>
      <c r="E433" s="166">
        <v>5.7887639999999996</v>
      </c>
      <c r="G433" s="166">
        <v>0.78302400000000005</v>
      </c>
    </row>
    <row r="434" spans="1:7" x14ac:dyDescent="0.4">
      <c r="A434" s="164">
        <v>34222</v>
      </c>
      <c r="B434" s="166"/>
      <c r="C434" s="166">
        <v>744.30999799999995</v>
      </c>
      <c r="D434" s="160"/>
      <c r="E434" s="166">
        <v>5.7072339999999997</v>
      </c>
      <c r="G434" s="166">
        <v>0.79055299999999995</v>
      </c>
    </row>
    <row r="435" spans="1:7" x14ac:dyDescent="0.4">
      <c r="A435" s="164">
        <v>34225</v>
      </c>
      <c r="B435" s="166"/>
      <c r="C435" s="166">
        <v>740.32000700000003</v>
      </c>
      <c r="D435" s="160"/>
      <c r="E435" s="166">
        <v>5.723541</v>
      </c>
      <c r="G435" s="166">
        <v>0.760436</v>
      </c>
    </row>
    <row r="436" spans="1:7" x14ac:dyDescent="0.4">
      <c r="A436" s="164">
        <v>34226</v>
      </c>
      <c r="B436" s="166"/>
      <c r="C436" s="166">
        <v>732.64001499999995</v>
      </c>
      <c r="D436" s="160"/>
      <c r="E436" s="166">
        <v>5.67462</v>
      </c>
      <c r="G436" s="166">
        <v>0.73031999999999997</v>
      </c>
    </row>
    <row r="437" spans="1:7" x14ac:dyDescent="0.4">
      <c r="A437" s="164">
        <v>34227</v>
      </c>
      <c r="B437" s="166"/>
      <c r="C437" s="166">
        <v>739.54998799999998</v>
      </c>
      <c r="D437" s="160"/>
      <c r="E437" s="166">
        <v>5.6909270000000003</v>
      </c>
      <c r="G437" s="166">
        <v>0.73784899999999998</v>
      </c>
    </row>
    <row r="438" spans="1:7" x14ac:dyDescent="0.4">
      <c r="A438" s="164">
        <v>34228</v>
      </c>
      <c r="B438" s="166"/>
      <c r="C438" s="166">
        <v>739.79998799999998</v>
      </c>
      <c r="D438" s="160"/>
      <c r="E438" s="166">
        <v>5.67462</v>
      </c>
      <c r="G438" s="166">
        <v>0.74537799999999999</v>
      </c>
    </row>
    <row r="439" spans="1:7" x14ac:dyDescent="0.4">
      <c r="A439" s="164">
        <v>34229</v>
      </c>
      <c r="B439" s="166"/>
      <c r="C439" s="166">
        <v>740.10998500000005</v>
      </c>
      <c r="D439" s="160"/>
      <c r="E439" s="166">
        <v>5.6583110000000003</v>
      </c>
      <c r="G439" s="166">
        <v>0.760436</v>
      </c>
    </row>
    <row r="440" spans="1:7" x14ac:dyDescent="0.4">
      <c r="A440" s="164">
        <v>34232</v>
      </c>
      <c r="B440" s="166"/>
      <c r="C440" s="166">
        <v>740.21002199999998</v>
      </c>
      <c r="D440" s="160"/>
      <c r="E440" s="166">
        <v>5.5115569999999998</v>
      </c>
      <c r="G440" s="166">
        <v>0.749143</v>
      </c>
    </row>
    <row r="441" spans="1:7" x14ac:dyDescent="0.4">
      <c r="A441" s="164">
        <v>34233</v>
      </c>
      <c r="B441" s="166"/>
      <c r="C441" s="166">
        <v>733.55999799999995</v>
      </c>
      <c r="D441" s="160"/>
      <c r="E441" s="166">
        <v>5.4952509999999997</v>
      </c>
      <c r="G441" s="166">
        <v>0.73784899999999998</v>
      </c>
    </row>
    <row r="442" spans="1:7" x14ac:dyDescent="0.4">
      <c r="A442" s="164">
        <v>34234</v>
      </c>
      <c r="B442" s="166"/>
      <c r="C442" s="166">
        <v>745.53997800000002</v>
      </c>
      <c r="D442" s="160"/>
      <c r="E442" s="166">
        <v>5.4626359999999998</v>
      </c>
      <c r="G442" s="166">
        <v>0.76796500000000001</v>
      </c>
    </row>
    <row r="443" spans="1:7" x14ac:dyDescent="0.4">
      <c r="A443" s="164">
        <v>34235</v>
      </c>
      <c r="B443" s="166"/>
      <c r="C443" s="166">
        <v>752.26000999999997</v>
      </c>
      <c r="D443" s="160"/>
      <c r="E443" s="166">
        <v>5.4626359999999998</v>
      </c>
      <c r="G443" s="166">
        <v>0.74537799999999999</v>
      </c>
    </row>
    <row r="444" spans="1:7" x14ac:dyDescent="0.4">
      <c r="A444" s="164">
        <v>34236</v>
      </c>
      <c r="B444" s="166"/>
      <c r="C444" s="166">
        <v>754.65002400000003</v>
      </c>
      <c r="D444" s="160"/>
      <c r="E444" s="166">
        <v>5.4463309999999998</v>
      </c>
      <c r="G444" s="166">
        <v>0.75290699999999999</v>
      </c>
    </row>
    <row r="445" spans="1:7" x14ac:dyDescent="0.4">
      <c r="A445" s="164">
        <v>34239</v>
      </c>
      <c r="B445" s="166"/>
      <c r="C445" s="166">
        <v>759.95001200000002</v>
      </c>
      <c r="D445" s="160"/>
      <c r="E445" s="166">
        <v>5.4463309999999998</v>
      </c>
      <c r="G445" s="166">
        <v>0.74537799999999999</v>
      </c>
    </row>
    <row r="446" spans="1:7" x14ac:dyDescent="0.4">
      <c r="A446" s="164">
        <v>34240</v>
      </c>
      <c r="B446" s="166"/>
      <c r="C446" s="166">
        <v>763.65997300000004</v>
      </c>
      <c r="D446" s="160"/>
      <c r="E446" s="166">
        <v>5.4463309999999998</v>
      </c>
      <c r="G446" s="166">
        <v>0.74537799999999999</v>
      </c>
    </row>
    <row r="447" spans="1:7" x14ac:dyDescent="0.4">
      <c r="A447" s="164">
        <v>34241</v>
      </c>
      <c r="B447" s="166"/>
      <c r="C447" s="166">
        <v>763.169983</v>
      </c>
      <c r="D447" s="160"/>
      <c r="E447" s="166">
        <v>5.4300249999999997</v>
      </c>
      <c r="G447" s="166">
        <v>0.71902699999999997</v>
      </c>
    </row>
    <row r="448" spans="1:7" x14ac:dyDescent="0.4">
      <c r="A448" s="164">
        <v>34242</v>
      </c>
      <c r="B448" s="166"/>
      <c r="C448" s="166">
        <v>762.78002900000001</v>
      </c>
      <c r="D448" s="160"/>
      <c r="E448" s="166">
        <v>5.478942</v>
      </c>
      <c r="G448" s="166">
        <v>0.70396800000000004</v>
      </c>
    </row>
    <row r="449" spans="1:7" x14ac:dyDescent="0.4">
      <c r="A449" s="164">
        <v>34243</v>
      </c>
      <c r="B449" s="166"/>
      <c r="C449" s="166">
        <v>763.22997999999995</v>
      </c>
      <c r="D449" s="160"/>
      <c r="E449" s="166">
        <v>5.723541</v>
      </c>
      <c r="G449" s="166">
        <v>0.68514600000000003</v>
      </c>
    </row>
    <row r="450" spans="1:7" x14ac:dyDescent="0.4">
      <c r="A450" s="164">
        <v>34246</v>
      </c>
      <c r="B450" s="166"/>
      <c r="C450" s="166">
        <v>764.84002699999996</v>
      </c>
      <c r="D450" s="160"/>
      <c r="E450" s="166">
        <v>5.7724599999999997</v>
      </c>
      <c r="G450" s="166">
        <v>0.68514600000000003</v>
      </c>
    </row>
    <row r="451" spans="1:7" x14ac:dyDescent="0.4">
      <c r="A451" s="164">
        <v>34247</v>
      </c>
      <c r="B451" s="166"/>
      <c r="C451" s="166">
        <v>762.27002000000005</v>
      </c>
      <c r="D451" s="160"/>
      <c r="E451" s="166">
        <v>5.7072339999999997</v>
      </c>
      <c r="G451" s="166">
        <v>0.70773299999999995</v>
      </c>
    </row>
    <row r="452" spans="1:7" x14ac:dyDescent="0.4">
      <c r="A452" s="164">
        <v>34248</v>
      </c>
      <c r="B452" s="166"/>
      <c r="C452" s="166">
        <v>764.77002000000005</v>
      </c>
      <c r="D452" s="160"/>
      <c r="E452" s="166">
        <v>5.7398470000000001</v>
      </c>
      <c r="G452" s="166">
        <v>0.71149700000000005</v>
      </c>
    </row>
    <row r="453" spans="1:7" x14ac:dyDescent="0.4">
      <c r="A453" s="164">
        <v>34249</v>
      </c>
      <c r="B453" s="166"/>
      <c r="C453" s="166">
        <v>762.48999000000003</v>
      </c>
      <c r="D453" s="160"/>
      <c r="E453" s="166">
        <v>5.7398470000000001</v>
      </c>
      <c r="G453" s="166">
        <v>0.69267500000000004</v>
      </c>
    </row>
    <row r="454" spans="1:7" x14ac:dyDescent="0.4">
      <c r="A454" s="164">
        <v>34250</v>
      </c>
      <c r="B454" s="166"/>
      <c r="C454" s="166">
        <v>764.27002000000005</v>
      </c>
      <c r="D454" s="160"/>
      <c r="E454" s="166">
        <v>5.7724599999999997</v>
      </c>
      <c r="G454" s="166">
        <v>0.68138100000000001</v>
      </c>
    </row>
    <row r="455" spans="1:7" x14ac:dyDescent="0.4">
      <c r="A455" s="164">
        <v>34253</v>
      </c>
      <c r="B455" s="166"/>
      <c r="C455" s="166">
        <v>767.65002400000003</v>
      </c>
      <c r="D455" s="160"/>
      <c r="E455" s="166">
        <v>5.7561530000000003</v>
      </c>
      <c r="G455" s="166">
        <v>0.71526199999999995</v>
      </c>
    </row>
    <row r="456" spans="1:7" x14ac:dyDescent="0.4">
      <c r="A456" s="164">
        <v>34254</v>
      </c>
      <c r="B456" s="166"/>
      <c r="C456" s="166">
        <v>772.46002199999998</v>
      </c>
      <c r="D456" s="160"/>
      <c r="E456" s="166">
        <v>5.7072339999999997</v>
      </c>
      <c r="G456" s="166">
        <v>0.72279099999999996</v>
      </c>
    </row>
    <row r="457" spans="1:7" x14ac:dyDescent="0.4">
      <c r="A457" s="164">
        <v>34255</v>
      </c>
      <c r="B457" s="166"/>
      <c r="C457" s="166">
        <v>778.96997099999999</v>
      </c>
      <c r="D457" s="160"/>
      <c r="E457" s="166">
        <v>5.6257029999999997</v>
      </c>
      <c r="G457" s="166">
        <v>0.72279099999999996</v>
      </c>
    </row>
    <row r="458" spans="1:7" x14ac:dyDescent="0.4">
      <c r="A458" s="164">
        <v>34256</v>
      </c>
      <c r="B458" s="166"/>
      <c r="C458" s="166">
        <v>785.40997300000004</v>
      </c>
      <c r="D458" s="160"/>
      <c r="E458" s="166">
        <v>5.5604740000000001</v>
      </c>
      <c r="G458" s="166">
        <v>0.71526199999999995</v>
      </c>
    </row>
    <row r="459" spans="1:7" x14ac:dyDescent="0.4">
      <c r="A459" s="164">
        <v>34257</v>
      </c>
      <c r="B459" s="166"/>
      <c r="C459" s="166">
        <v>787.419983</v>
      </c>
      <c r="D459" s="160"/>
      <c r="E459" s="166">
        <v>5.805072</v>
      </c>
      <c r="G459" s="166">
        <v>0.85078500000000001</v>
      </c>
    </row>
    <row r="460" spans="1:7" x14ac:dyDescent="0.4">
      <c r="A460" s="164">
        <v>34260</v>
      </c>
      <c r="B460" s="166"/>
      <c r="C460" s="166">
        <v>782.90997300000004</v>
      </c>
      <c r="D460" s="160"/>
      <c r="E460" s="166">
        <v>5.7398470000000001</v>
      </c>
      <c r="G460" s="166">
        <v>0.85455000000000003</v>
      </c>
    </row>
    <row r="461" spans="1:7" x14ac:dyDescent="0.4">
      <c r="A461" s="164">
        <v>34261</v>
      </c>
      <c r="B461" s="166"/>
      <c r="C461" s="166">
        <v>768.71002199999998</v>
      </c>
      <c r="D461" s="160"/>
      <c r="E461" s="166">
        <v>5.6583110000000003</v>
      </c>
      <c r="G461" s="166">
        <v>0.835727</v>
      </c>
    </row>
    <row r="462" spans="1:7" x14ac:dyDescent="0.4">
      <c r="A462" s="164">
        <v>34262</v>
      </c>
      <c r="B462" s="166"/>
      <c r="C462" s="166">
        <v>768.25</v>
      </c>
      <c r="D462" s="160"/>
      <c r="E462" s="166">
        <v>5.6909270000000003</v>
      </c>
      <c r="G462" s="166">
        <v>0.835727</v>
      </c>
    </row>
    <row r="463" spans="1:7" x14ac:dyDescent="0.4">
      <c r="A463" s="164">
        <v>34263</v>
      </c>
      <c r="B463" s="166"/>
      <c r="C463" s="166">
        <v>771.28002900000001</v>
      </c>
      <c r="D463" s="160"/>
      <c r="E463" s="166">
        <v>5.8702949999999996</v>
      </c>
      <c r="G463" s="166">
        <v>0.91101799999999999</v>
      </c>
    </row>
    <row r="464" spans="1:7" x14ac:dyDescent="0.4">
      <c r="A464" s="164">
        <v>34264</v>
      </c>
      <c r="B464" s="166"/>
      <c r="C464" s="166">
        <v>772.67999299999997</v>
      </c>
      <c r="D464" s="160"/>
      <c r="E464" s="166">
        <v>5.805072</v>
      </c>
      <c r="G464" s="166">
        <v>0.91101799999999999</v>
      </c>
    </row>
    <row r="465" spans="1:7" x14ac:dyDescent="0.4">
      <c r="A465" s="164">
        <v>34267</v>
      </c>
      <c r="B465" s="166"/>
      <c r="C465" s="166">
        <v>769.75</v>
      </c>
      <c r="D465" s="160"/>
      <c r="E465" s="166">
        <v>5.8539890000000003</v>
      </c>
      <c r="G465" s="166">
        <v>0.90348899999999999</v>
      </c>
    </row>
    <row r="466" spans="1:7" x14ac:dyDescent="0.4">
      <c r="A466" s="164">
        <v>34268</v>
      </c>
      <c r="B466" s="166"/>
      <c r="C466" s="166">
        <v>765.46002199999998</v>
      </c>
      <c r="D466" s="160"/>
      <c r="E466" s="166">
        <v>6.0333600000000001</v>
      </c>
      <c r="G466" s="166">
        <v>0.89595999999999998</v>
      </c>
    </row>
    <row r="467" spans="1:7" x14ac:dyDescent="0.4">
      <c r="A467" s="164">
        <v>34269</v>
      </c>
      <c r="B467" s="166"/>
      <c r="C467" s="166">
        <v>771.88000499999998</v>
      </c>
      <c r="D467" s="160"/>
      <c r="E467" s="166">
        <v>6.0007489999999999</v>
      </c>
      <c r="G467" s="166">
        <v>0.95619200000000004</v>
      </c>
    </row>
    <row r="468" spans="1:7" x14ac:dyDescent="0.4">
      <c r="A468" s="164">
        <v>34270</v>
      </c>
      <c r="B468" s="166"/>
      <c r="C468" s="166">
        <v>773.48999000000003</v>
      </c>
      <c r="D468" s="160"/>
      <c r="E468" s="166">
        <v>5.9681329999999999</v>
      </c>
      <c r="G468" s="166">
        <v>0.93360500000000002</v>
      </c>
    </row>
    <row r="469" spans="1:7" x14ac:dyDescent="0.4">
      <c r="A469" s="164">
        <v>34271</v>
      </c>
      <c r="B469" s="166"/>
      <c r="C469" s="166">
        <v>779.26000999999997</v>
      </c>
      <c r="D469" s="160"/>
      <c r="E469" s="166">
        <v>6.0007489999999999</v>
      </c>
      <c r="G469" s="166">
        <v>0.92607600000000001</v>
      </c>
    </row>
    <row r="470" spans="1:7" x14ac:dyDescent="0.4">
      <c r="A470" s="164">
        <v>34274</v>
      </c>
      <c r="B470" s="166"/>
      <c r="C470" s="166">
        <v>783.77002000000005</v>
      </c>
      <c r="D470" s="160"/>
      <c r="E470" s="166">
        <v>6.2290359999999998</v>
      </c>
      <c r="G470" s="166">
        <v>0.94866300000000003</v>
      </c>
    </row>
    <row r="471" spans="1:7" x14ac:dyDescent="0.4">
      <c r="A471" s="164">
        <v>34275</v>
      </c>
      <c r="B471" s="166"/>
      <c r="C471" s="166">
        <v>785.65997300000004</v>
      </c>
      <c r="D471" s="160"/>
      <c r="E471" s="166">
        <v>6.6366990000000001</v>
      </c>
      <c r="G471" s="166">
        <v>0.98630799999999996</v>
      </c>
    </row>
    <row r="472" spans="1:7" x14ac:dyDescent="0.4">
      <c r="A472" s="164">
        <v>34276</v>
      </c>
      <c r="B472" s="166"/>
      <c r="C472" s="166">
        <v>772.95001200000002</v>
      </c>
      <c r="D472" s="160"/>
      <c r="E472" s="166">
        <v>6.6203890000000003</v>
      </c>
      <c r="G472" s="166">
        <v>0.95242800000000005</v>
      </c>
    </row>
    <row r="473" spans="1:7" x14ac:dyDescent="0.4">
      <c r="A473" s="164">
        <v>34277</v>
      </c>
      <c r="B473" s="166"/>
      <c r="C473" s="166">
        <v>757.26000999999997</v>
      </c>
      <c r="D473" s="160"/>
      <c r="E473" s="166">
        <v>6.6203909999999997</v>
      </c>
      <c r="G473" s="166">
        <v>0.97125099999999998</v>
      </c>
    </row>
    <row r="474" spans="1:7" x14ac:dyDescent="0.4">
      <c r="A474" s="164">
        <v>34278</v>
      </c>
      <c r="B474" s="166"/>
      <c r="C474" s="166">
        <v>762.98999000000003</v>
      </c>
      <c r="D474" s="160"/>
      <c r="E474" s="166">
        <v>6.6370230000000001</v>
      </c>
      <c r="G474" s="166">
        <v>0.95995600000000003</v>
      </c>
    </row>
    <row r="475" spans="1:7" x14ac:dyDescent="0.4">
      <c r="A475" s="164">
        <v>34281</v>
      </c>
      <c r="B475" s="166"/>
      <c r="C475" s="166">
        <v>766.21002199999998</v>
      </c>
      <c r="D475" s="160"/>
      <c r="E475" s="166">
        <v>6.6869259999999997</v>
      </c>
      <c r="G475" s="166">
        <v>0.92607600000000001</v>
      </c>
    </row>
    <row r="476" spans="1:7" x14ac:dyDescent="0.4">
      <c r="A476" s="164">
        <v>34282</v>
      </c>
      <c r="B476" s="166"/>
      <c r="C476" s="166">
        <v>769.84002699999996</v>
      </c>
      <c r="D476" s="160"/>
      <c r="E476" s="166">
        <v>6.5372190000000003</v>
      </c>
      <c r="G476" s="166">
        <v>0.90725299999999998</v>
      </c>
    </row>
    <row r="477" spans="1:7" x14ac:dyDescent="0.4">
      <c r="A477" s="164">
        <v>34283</v>
      </c>
      <c r="B477" s="166"/>
      <c r="C477" s="166">
        <v>776.5</v>
      </c>
      <c r="D477" s="160"/>
      <c r="E477" s="166">
        <v>6.6370230000000001</v>
      </c>
      <c r="G477" s="166">
        <v>0.92607600000000001</v>
      </c>
    </row>
    <row r="478" spans="1:7" x14ac:dyDescent="0.4">
      <c r="A478" s="164">
        <v>34284</v>
      </c>
      <c r="B478" s="166"/>
      <c r="C478" s="166">
        <v>778.97997999999995</v>
      </c>
      <c r="D478" s="160"/>
      <c r="E478" s="166">
        <v>6.9198050000000002</v>
      </c>
      <c r="G478" s="166">
        <v>0.94489900000000004</v>
      </c>
    </row>
    <row r="479" spans="1:7" x14ac:dyDescent="0.4">
      <c r="A479" s="164">
        <v>34285</v>
      </c>
      <c r="B479" s="166"/>
      <c r="C479" s="166">
        <v>779.32000700000003</v>
      </c>
      <c r="D479" s="160"/>
      <c r="E479" s="166">
        <v>6.8699019999999997</v>
      </c>
      <c r="G479" s="166">
        <v>0.95619200000000004</v>
      </c>
    </row>
    <row r="480" spans="1:7" x14ac:dyDescent="0.4">
      <c r="A480" s="164">
        <v>34288</v>
      </c>
      <c r="B480" s="166"/>
      <c r="C480" s="166">
        <v>772.45001200000002</v>
      </c>
      <c r="D480" s="160"/>
      <c r="E480" s="166">
        <v>6.7867319999999998</v>
      </c>
      <c r="G480" s="166">
        <v>0.96372199999999997</v>
      </c>
    </row>
    <row r="481" spans="1:7" x14ac:dyDescent="0.4">
      <c r="A481" s="164">
        <v>34289</v>
      </c>
      <c r="B481" s="166"/>
      <c r="C481" s="166">
        <v>771.69000200000005</v>
      </c>
      <c r="D481" s="160"/>
      <c r="E481" s="166">
        <v>7.0196110000000003</v>
      </c>
      <c r="G481" s="166">
        <v>1.023954</v>
      </c>
    </row>
    <row r="482" spans="1:7" x14ac:dyDescent="0.4">
      <c r="A482" s="164">
        <v>34290</v>
      </c>
      <c r="B482" s="166"/>
      <c r="C482" s="166">
        <v>762.35998500000005</v>
      </c>
      <c r="D482" s="160"/>
      <c r="E482" s="166">
        <v>6.9031710000000004</v>
      </c>
      <c r="G482" s="166">
        <v>1.008896</v>
      </c>
    </row>
    <row r="483" spans="1:7" x14ac:dyDescent="0.4">
      <c r="A483" s="164">
        <v>34291</v>
      </c>
      <c r="B483" s="166"/>
      <c r="C483" s="166">
        <v>754.34002699999996</v>
      </c>
      <c r="D483" s="160"/>
      <c r="E483" s="166">
        <v>7.0196110000000003</v>
      </c>
      <c r="G483" s="166">
        <v>1.008896</v>
      </c>
    </row>
    <row r="484" spans="1:7" x14ac:dyDescent="0.4">
      <c r="A484" s="164">
        <v>34292</v>
      </c>
      <c r="B484" s="166"/>
      <c r="C484" s="166">
        <v>751.55999799999995</v>
      </c>
      <c r="D484" s="160"/>
      <c r="E484" s="166">
        <v>6.9031710000000004</v>
      </c>
      <c r="G484" s="166">
        <v>0.99741400000000002</v>
      </c>
    </row>
    <row r="485" spans="1:7" x14ac:dyDescent="0.4">
      <c r="A485" s="164">
        <v>34295</v>
      </c>
      <c r="B485" s="166"/>
      <c r="C485" s="166">
        <v>738.13000499999998</v>
      </c>
      <c r="D485" s="160"/>
      <c r="E485" s="166">
        <v>6.9198050000000002</v>
      </c>
      <c r="G485" s="166">
        <v>0.98230200000000001</v>
      </c>
    </row>
    <row r="486" spans="1:7" x14ac:dyDescent="0.4">
      <c r="A486" s="164">
        <v>34296</v>
      </c>
      <c r="B486" s="166"/>
      <c r="C486" s="166">
        <v>746.82000700000003</v>
      </c>
      <c r="D486" s="160"/>
      <c r="E486" s="166">
        <v>7.0695119999999996</v>
      </c>
      <c r="G486" s="166">
        <v>0.99741400000000002</v>
      </c>
    </row>
    <row r="487" spans="1:7" x14ac:dyDescent="0.4">
      <c r="A487" s="164">
        <v>34297</v>
      </c>
      <c r="B487" s="166"/>
      <c r="C487" s="166">
        <v>753.17999299999997</v>
      </c>
      <c r="D487" s="160"/>
      <c r="E487" s="166">
        <v>7.3356570000000003</v>
      </c>
      <c r="G487" s="166">
        <v>0.99741400000000002</v>
      </c>
    </row>
    <row r="488" spans="1:7" x14ac:dyDescent="0.4">
      <c r="A488" s="164">
        <v>34299</v>
      </c>
      <c r="B488" s="166"/>
      <c r="C488" s="166">
        <v>754.86999500000002</v>
      </c>
      <c r="D488" s="160"/>
      <c r="E488" s="166">
        <v>7.4188260000000001</v>
      </c>
      <c r="G488" s="166">
        <v>0.98607999999999996</v>
      </c>
    </row>
    <row r="489" spans="1:7" x14ac:dyDescent="0.4">
      <c r="A489" s="164">
        <v>34302</v>
      </c>
      <c r="B489" s="166"/>
      <c r="C489" s="166">
        <v>751.53997800000002</v>
      </c>
      <c r="D489" s="160"/>
      <c r="E489" s="166">
        <v>7.2358529999999996</v>
      </c>
      <c r="G489" s="166">
        <v>0.95963299999999996</v>
      </c>
    </row>
    <row r="490" spans="1:7" x14ac:dyDescent="0.4">
      <c r="A490" s="164">
        <v>34303</v>
      </c>
      <c r="B490" s="166"/>
      <c r="C490" s="166">
        <v>754.39001499999995</v>
      </c>
      <c r="D490" s="160"/>
      <c r="E490" s="166">
        <v>7.1693150000000001</v>
      </c>
      <c r="G490" s="166">
        <v>0.95207699999999995</v>
      </c>
    </row>
    <row r="491" spans="1:7" x14ac:dyDescent="0.4">
      <c r="A491" s="164">
        <v>34304</v>
      </c>
      <c r="B491" s="166"/>
      <c r="C491" s="166">
        <v>763.80999799999995</v>
      </c>
      <c r="D491" s="160"/>
      <c r="E491" s="166">
        <v>7.0695119999999996</v>
      </c>
      <c r="G491" s="166">
        <v>0.95207699999999995</v>
      </c>
    </row>
    <row r="492" spans="1:7" x14ac:dyDescent="0.4">
      <c r="A492" s="164">
        <v>34305</v>
      </c>
      <c r="B492" s="166"/>
      <c r="C492" s="166">
        <v>766.72997999999995</v>
      </c>
      <c r="D492" s="160"/>
      <c r="E492" s="166">
        <v>7.1526839999999998</v>
      </c>
      <c r="G492" s="166">
        <v>0.95963299999999996</v>
      </c>
    </row>
    <row r="493" spans="1:7" x14ac:dyDescent="0.4">
      <c r="A493" s="164">
        <v>34306</v>
      </c>
      <c r="B493" s="166"/>
      <c r="C493" s="166">
        <v>772.21997099999999</v>
      </c>
      <c r="D493" s="160"/>
      <c r="E493" s="166">
        <v>7.1194139999999999</v>
      </c>
      <c r="G493" s="166">
        <v>0.95207699999999995</v>
      </c>
    </row>
    <row r="494" spans="1:7" x14ac:dyDescent="0.4">
      <c r="A494" s="164">
        <v>34309</v>
      </c>
      <c r="B494" s="166"/>
      <c r="C494" s="166">
        <v>771.09002699999996</v>
      </c>
      <c r="D494" s="160"/>
      <c r="E494" s="166">
        <v>7.1526839999999998</v>
      </c>
      <c r="G494" s="166">
        <v>0.974746</v>
      </c>
    </row>
    <row r="495" spans="1:7" x14ac:dyDescent="0.4">
      <c r="A495" s="164">
        <v>34310</v>
      </c>
      <c r="B495" s="166"/>
      <c r="C495" s="166">
        <v>769.34997599999997</v>
      </c>
      <c r="D495" s="160"/>
      <c r="E495" s="166">
        <v>7.1526839999999998</v>
      </c>
      <c r="G495" s="166">
        <v>0.974746</v>
      </c>
    </row>
    <row r="496" spans="1:7" x14ac:dyDescent="0.4">
      <c r="A496" s="164">
        <v>34311</v>
      </c>
      <c r="B496" s="166"/>
      <c r="C496" s="166">
        <v>767.89001499999995</v>
      </c>
      <c r="D496" s="160"/>
      <c r="E496" s="166">
        <v>7.1693150000000001</v>
      </c>
      <c r="G496" s="166">
        <v>0.96341200000000005</v>
      </c>
    </row>
    <row r="497" spans="1:7" x14ac:dyDescent="0.4">
      <c r="A497" s="164">
        <v>34312</v>
      </c>
      <c r="B497" s="166"/>
      <c r="C497" s="166">
        <v>761.48999000000003</v>
      </c>
      <c r="D497" s="160"/>
      <c r="E497" s="166">
        <v>7.1360479999999997</v>
      </c>
      <c r="G497" s="166">
        <v>0.90673999999999999</v>
      </c>
    </row>
    <row r="498" spans="1:7" x14ac:dyDescent="0.4">
      <c r="A498" s="164">
        <v>34313</v>
      </c>
      <c r="B498" s="166"/>
      <c r="C498" s="166">
        <v>760.73999000000003</v>
      </c>
      <c r="D498" s="160"/>
      <c r="E498" s="166">
        <v>7.3522949999999998</v>
      </c>
      <c r="G498" s="166">
        <v>0.85384700000000002</v>
      </c>
    </row>
    <row r="499" spans="1:7" x14ac:dyDescent="0.4">
      <c r="A499" s="164">
        <v>34316</v>
      </c>
      <c r="B499" s="166"/>
      <c r="C499" s="166">
        <v>759.71997099999999</v>
      </c>
      <c r="D499" s="160"/>
      <c r="E499" s="166">
        <v>7.6350769999999999</v>
      </c>
      <c r="G499" s="166">
        <v>0.89162799999999998</v>
      </c>
    </row>
    <row r="500" spans="1:7" x14ac:dyDescent="0.4">
      <c r="A500" s="164">
        <v>34317</v>
      </c>
      <c r="B500" s="166"/>
      <c r="C500" s="166">
        <v>751.46997099999999</v>
      </c>
      <c r="D500" s="160"/>
      <c r="E500" s="166">
        <v>7.4687279999999996</v>
      </c>
      <c r="G500" s="166">
        <v>0.88029299999999999</v>
      </c>
    </row>
    <row r="501" spans="1:7" x14ac:dyDescent="0.4">
      <c r="A501" s="164">
        <v>34318</v>
      </c>
      <c r="B501" s="166"/>
      <c r="C501" s="166">
        <v>752.96997099999999</v>
      </c>
      <c r="D501" s="160"/>
      <c r="E501" s="166">
        <v>7.5685349999999998</v>
      </c>
      <c r="G501" s="166">
        <v>0.89918399999999998</v>
      </c>
    </row>
    <row r="502" spans="1:7" x14ac:dyDescent="0.4">
      <c r="A502" s="164">
        <v>34319</v>
      </c>
      <c r="B502" s="166"/>
      <c r="C502" s="166">
        <v>755.53002900000001</v>
      </c>
      <c r="D502" s="160"/>
      <c r="E502" s="166">
        <v>7.6517090000000003</v>
      </c>
      <c r="G502" s="166">
        <v>0.88785000000000003</v>
      </c>
    </row>
    <row r="503" spans="1:7" x14ac:dyDescent="0.4">
      <c r="A503" s="164">
        <v>34320</v>
      </c>
      <c r="B503" s="166"/>
      <c r="C503" s="166">
        <v>759.22997999999995</v>
      </c>
      <c r="D503" s="160"/>
      <c r="E503" s="166">
        <v>7.9511219999999998</v>
      </c>
      <c r="G503" s="166">
        <v>0.89162799999999998</v>
      </c>
    </row>
    <row r="504" spans="1:7" x14ac:dyDescent="0.4">
      <c r="A504" s="164">
        <v>34323</v>
      </c>
      <c r="B504" s="166"/>
      <c r="C504" s="166">
        <v>760.15002400000003</v>
      </c>
      <c r="D504" s="160"/>
      <c r="E504" s="166">
        <v>7.7681519999999997</v>
      </c>
      <c r="G504" s="166">
        <v>0.86140300000000003</v>
      </c>
    </row>
    <row r="505" spans="1:7" x14ac:dyDescent="0.4">
      <c r="A505" s="164">
        <v>34324</v>
      </c>
      <c r="B505" s="166"/>
      <c r="C505" s="166">
        <v>755.63000499999998</v>
      </c>
      <c r="D505" s="160"/>
      <c r="E505" s="166">
        <v>7.8014140000000003</v>
      </c>
      <c r="G505" s="166">
        <v>0.831179</v>
      </c>
    </row>
    <row r="506" spans="1:7" x14ac:dyDescent="0.4">
      <c r="A506" s="164">
        <v>34325</v>
      </c>
      <c r="B506" s="166"/>
      <c r="C506" s="166">
        <v>756.07000700000003</v>
      </c>
      <c r="D506" s="160"/>
      <c r="E506" s="166">
        <v>7.8845869999999998</v>
      </c>
      <c r="G506" s="166">
        <v>0.84629100000000002</v>
      </c>
    </row>
    <row r="507" spans="1:7" x14ac:dyDescent="0.4">
      <c r="A507" s="164">
        <v>34326</v>
      </c>
      <c r="B507" s="166"/>
      <c r="C507" s="166">
        <v>758.70001200000002</v>
      </c>
      <c r="D507" s="160"/>
      <c r="E507" s="166">
        <v>7.8014140000000003</v>
      </c>
      <c r="G507" s="166">
        <v>0.82362199999999997</v>
      </c>
    </row>
    <row r="508" spans="1:7" x14ac:dyDescent="0.4">
      <c r="A508" s="164">
        <v>34330</v>
      </c>
      <c r="B508" s="166"/>
      <c r="C508" s="166">
        <v>761.05999799999995</v>
      </c>
      <c r="D508" s="160"/>
      <c r="E508" s="166">
        <v>7.8679540000000001</v>
      </c>
      <c r="G508" s="166">
        <v>0.86140300000000003</v>
      </c>
    </row>
    <row r="509" spans="1:7" x14ac:dyDescent="0.4">
      <c r="A509" s="164">
        <v>34331</v>
      </c>
      <c r="B509" s="166"/>
      <c r="C509" s="166">
        <v>764.55999799999995</v>
      </c>
      <c r="D509" s="160"/>
      <c r="E509" s="166">
        <v>7.7681519999999997</v>
      </c>
      <c r="G509" s="166">
        <v>0.88029299999999999</v>
      </c>
    </row>
    <row r="510" spans="1:7" x14ac:dyDescent="0.4">
      <c r="A510" s="164">
        <v>34332</v>
      </c>
      <c r="B510" s="166"/>
      <c r="C510" s="166">
        <v>768.47997999999995</v>
      </c>
      <c r="D510" s="160"/>
      <c r="E510" s="166">
        <v>7.7348790000000003</v>
      </c>
      <c r="G510" s="166">
        <v>0.86140300000000003</v>
      </c>
    </row>
    <row r="511" spans="1:7" x14ac:dyDescent="0.4">
      <c r="A511" s="164">
        <v>34333</v>
      </c>
      <c r="B511" s="166"/>
      <c r="C511" s="166">
        <v>771.080017</v>
      </c>
      <c r="D511" s="160"/>
      <c r="E511" s="166">
        <v>7.5851709999999999</v>
      </c>
      <c r="G511" s="166">
        <v>0.89918399999999998</v>
      </c>
    </row>
    <row r="512" spans="1:7" x14ac:dyDescent="0.4">
      <c r="A512" s="164">
        <v>34334</v>
      </c>
      <c r="B512" s="166"/>
      <c r="C512" s="166">
        <v>776.79998799999998</v>
      </c>
      <c r="D512" s="160"/>
      <c r="E512" s="166">
        <v>7.5186339999999996</v>
      </c>
      <c r="G512" s="166">
        <v>0.88407199999999997</v>
      </c>
    </row>
    <row r="513" spans="1:7" x14ac:dyDescent="0.4">
      <c r="A513" s="164">
        <v>34337</v>
      </c>
      <c r="B513" s="166"/>
      <c r="C513" s="166">
        <v>770.76000999999997</v>
      </c>
      <c r="D513" s="160"/>
      <c r="E513" s="166">
        <v>7.6683430000000001</v>
      </c>
      <c r="G513" s="166">
        <v>0.90296200000000004</v>
      </c>
    </row>
    <row r="514" spans="1:7" x14ac:dyDescent="0.4">
      <c r="A514" s="164">
        <v>34338</v>
      </c>
      <c r="B514" s="166"/>
      <c r="C514" s="166">
        <v>774.28002900000001</v>
      </c>
      <c r="D514" s="160"/>
      <c r="E514" s="166">
        <v>7.8513140000000003</v>
      </c>
      <c r="G514" s="166">
        <v>0.95207699999999995</v>
      </c>
    </row>
    <row r="515" spans="1:7" x14ac:dyDescent="0.4">
      <c r="A515" s="164">
        <v>34339</v>
      </c>
      <c r="B515" s="166"/>
      <c r="C515" s="166">
        <v>778.04998799999998</v>
      </c>
      <c r="D515" s="160"/>
      <c r="E515" s="166">
        <v>7.9178540000000002</v>
      </c>
      <c r="G515" s="166">
        <v>1.0200830000000001</v>
      </c>
    </row>
    <row r="516" spans="1:7" x14ac:dyDescent="0.4">
      <c r="A516" s="164">
        <v>34340</v>
      </c>
      <c r="B516" s="166"/>
      <c r="C516" s="166">
        <v>780.40997300000004</v>
      </c>
      <c r="D516" s="160"/>
      <c r="E516" s="166">
        <v>7.7847819999999999</v>
      </c>
      <c r="G516" s="166">
        <v>0.98985800000000002</v>
      </c>
    </row>
    <row r="517" spans="1:7" x14ac:dyDescent="0.4">
      <c r="A517" s="164">
        <v>34341</v>
      </c>
      <c r="B517" s="166"/>
      <c r="C517" s="166">
        <v>782.94000200000005</v>
      </c>
      <c r="D517" s="160"/>
      <c r="E517" s="166">
        <v>7.8346799999999996</v>
      </c>
      <c r="G517" s="166">
        <v>1.0011920000000001</v>
      </c>
    </row>
    <row r="518" spans="1:7" x14ac:dyDescent="0.4">
      <c r="A518" s="164">
        <v>34344</v>
      </c>
      <c r="B518" s="166"/>
      <c r="C518" s="166">
        <v>786.69000200000005</v>
      </c>
      <c r="D518" s="160"/>
      <c r="E518" s="166">
        <v>7.8845869999999998</v>
      </c>
      <c r="G518" s="166">
        <v>1.016305</v>
      </c>
    </row>
    <row r="519" spans="1:7" x14ac:dyDescent="0.4">
      <c r="A519" s="164">
        <v>34345</v>
      </c>
      <c r="B519" s="166"/>
      <c r="C519" s="166">
        <v>785.52002000000005</v>
      </c>
      <c r="D519" s="160"/>
      <c r="E519" s="166">
        <v>7.8014140000000003</v>
      </c>
      <c r="G519" s="166">
        <v>0.96341200000000005</v>
      </c>
    </row>
    <row r="520" spans="1:7" x14ac:dyDescent="0.4">
      <c r="A520" s="164">
        <v>34346</v>
      </c>
      <c r="B520" s="166"/>
      <c r="C520" s="166">
        <v>786.86999500000002</v>
      </c>
      <c r="D520" s="160"/>
      <c r="E520" s="166">
        <v>7.7348790000000003</v>
      </c>
      <c r="G520" s="166">
        <v>0.921852</v>
      </c>
    </row>
    <row r="521" spans="1:7" x14ac:dyDescent="0.4">
      <c r="A521" s="164">
        <v>34347</v>
      </c>
      <c r="B521" s="166"/>
      <c r="C521" s="166">
        <v>787.80999799999995</v>
      </c>
      <c r="D521" s="160"/>
      <c r="E521" s="166">
        <v>7.8180500000000004</v>
      </c>
      <c r="G521" s="166">
        <v>0.92563099999999998</v>
      </c>
    </row>
    <row r="522" spans="1:7" x14ac:dyDescent="0.4">
      <c r="A522" s="164">
        <v>34348</v>
      </c>
      <c r="B522" s="166"/>
      <c r="C522" s="166">
        <v>792.30999799999995</v>
      </c>
      <c r="D522" s="160"/>
      <c r="E522" s="166">
        <v>7.8014140000000003</v>
      </c>
      <c r="G522" s="166">
        <v>0.93696500000000005</v>
      </c>
    </row>
    <row r="523" spans="1:7" x14ac:dyDescent="0.4">
      <c r="A523" s="164">
        <v>34351</v>
      </c>
      <c r="B523" s="166"/>
      <c r="C523" s="166">
        <v>792.17999299999997</v>
      </c>
      <c r="D523" s="160"/>
      <c r="E523" s="166">
        <v>7.6517090000000003</v>
      </c>
      <c r="G523" s="166">
        <v>0.91807399999999995</v>
      </c>
    </row>
    <row r="524" spans="1:7" x14ac:dyDescent="0.4">
      <c r="A524" s="164">
        <v>34352</v>
      </c>
      <c r="B524" s="166"/>
      <c r="C524" s="166">
        <v>793.02002000000005</v>
      </c>
      <c r="D524" s="160"/>
      <c r="E524" s="166">
        <v>7.6018030000000003</v>
      </c>
      <c r="G524" s="166">
        <v>0.88785000000000003</v>
      </c>
    </row>
    <row r="525" spans="1:7" x14ac:dyDescent="0.4">
      <c r="A525" s="164">
        <v>34353</v>
      </c>
      <c r="B525" s="166"/>
      <c r="C525" s="166">
        <v>789.28002900000001</v>
      </c>
      <c r="D525" s="160"/>
      <c r="E525" s="166">
        <v>7.4521030000000001</v>
      </c>
      <c r="G525" s="166">
        <v>0.88407199999999997</v>
      </c>
    </row>
    <row r="526" spans="1:7" x14ac:dyDescent="0.4">
      <c r="A526" s="164">
        <v>34354</v>
      </c>
      <c r="B526" s="166"/>
      <c r="C526" s="166">
        <v>793.03002900000001</v>
      </c>
      <c r="D526" s="160"/>
      <c r="E526" s="166">
        <v>7.3522949999999998</v>
      </c>
      <c r="G526" s="166">
        <v>0.90296200000000004</v>
      </c>
    </row>
    <row r="527" spans="1:7" x14ac:dyDescent="0.4">
      <c r="A527" s="164">
        <v>34355</v>
      </c>
      <c r="B527" s="166"/>
      <c r="C527" s="166">
        <v>794.28002900000001</v>
      </c>
      <c r="D527" s="160"/>
      <c r="E527" s="166">
        <v>7.3522949999999998</v>
      </c>
      <c r="G527" s="166">
        <v>1.008748</v>
      </c>
    </row>
    <row r="528" spans="1:7" x14ac:dyDescent="0.4">
      <c r="A528" s="164">
        <v>34358</v>
      </c>
      <c r="B528" s="166"/>
      <c r="C528" s="166">
        <v>790.65002400000003</v>
      </c>
      <c r="D528" s="160"/>
      <c r="E528" s="166">
        <v>7.8014140000000003</v>
      </c>
      <c r="G528" s="166">
        <v>1.057863</v>
      </c>
    </row>
    <row r="529" spans="1:7" x14ac:dyDescent="0.4">
      <c r="A529" s="164">
        <v>34359</v>
      </c>
      <c r="B529" s="166"/>
      <c r="C529" s="166">
        <v>786.39001499999995</v>
      </c>
      <c r="D529" s="160"/>
      <c r="E529" s="166">
        <v>7.7515109999999998</v>
      </c>
      <c r="G529" s="166">
        <v>1.0238609999999999</v>
      </c>
    </row>
    <row r="530" spans="1:7" x14ac:dyDescent="0.4">
      <c r="A530" s="164">
        <v>34360</v>
      </c>
      <c r="B530" s="166"/>
      <c r="C530" s="166">
        <v>788.79998799999998</v>
      </c>
      <c r="D530" s="160"/>
      <c r="E530" s="166">
        <v>7.5019970000000002</v>
      </c>
      <c r="G530" s="166">
        <v>1.012526</v>
      </c>
    </row>
    <row r="531" spans="1:7" x14ac:dyDescent="0.4">
      <c r="A531" s="164">
        <v>34361</v>
      </c>
      <c r="B531" s="166"/>
      <c r="C531" s="166">
        <v>792.88000499999998</v>
      </c>
      <c r="D531" s="160"/>
      <c r="E531" s="166">
        <v>7.6018030000000003</v>
      </c>
      <c r="G531" s="166">
        <v>1.031417</v>
      </c>
    </row>
    <row r="532" spans="1:7" x14ac:dyDescent="0.4">
      <c r="A532" s="164">
        <v>34362</v>
      </c>
      <c r="B532" s="166"/>
      <c r="C532" s="166">
        <v>796.53002900000001</v>
      </c>
      <c r="D532" s="160"/>
      <c r="E532" s="166">
        <v>7.6849780000000001</v>
      </c>
      <c r="G532" s="166">
        <v>1.027639</v>
      </c>
    </row>
    <row r="533" spans="1:7" x14ac:dyDescent="0.4">
      <c r="A533" s="164">
        <v>34365</v>
      </c>
      <c r="B533" s="166"/>
      <c r="C533" s="166">
        <v>800.46997099999999</v>
      </c>
      <c r="D533" s="160"/>
      <c r="E533" s="166">
        <v>7.5186339999999996</v>
      </c>
      <c r="G533" s="166">
        <v>0.98985800000000002</v>
      </c>
    </row>
    <row r="534" spans="1:7" x14ac:dyDescent="0.4">
      <c r="A534" s="164">
        <v>34366</v>
      </c>
      <c r="B534" s="166"/>
      <c r="C534" s="166">
        <v>797.23999000000003</v>
      </c>
      <c r="D534" s="160"/>
      <c r="E534" s="166">
        <v>7.5186339999999996</v>
      </c>
      <c r="G534" s="166">
        <v>1.0049699999999999</v>
      </c>
    </row>
    <row r="535" spans="1:7" x14ac:dyDescent="0.4">
      <c r="A535" s="164">
        <v>34367</v>
      </c>
      <c r="B535" s="166"/>
      <c r="C535" s="166">
        <v>799.57000700000003</v>
      </c>
      <c r="D535" s="160"/>
      <c r="E535" s="166">
        <v>7.5019970000000002</v>
      </c>
      <c r="G535" s="166">
        <v>0.99741400000000002</v>
      </c>
    </row>
    <row r="536" spans="1:7" x14ac:dyDescent="0.4">
      <c r="A536" s="164">
        <v>34368</v>
      </c>
      <c r="B536" s="166"/>
      <c r="C536" s="166">
        <v>797.78997800000002</v>
      </c>
      <c r="D536" s="160"/>
      <c r="E536" s="166">
        <v>7.4188260000000001</v>
      </c>
      <c r="G536" s="166">
        <v>1.012526</v>
      </c>
    </row>
    <row r="537" spans="1:7" x14ac:dyDescent="0.4">
      <c r="A537" s="164">
        <v>34369</v>
      </c>
      <c r="B537" s="166"/>
      <c r="C537" s="166">
        <v>777.28002900000001</v>
      </c>
      <c r="D537" s="160"/>
      <c r="E537" s="166">
        <v>7.0461919999999996</v>
      </c>
      <c r="G537" s="166">
        <v>1.012526</v>
      </c>
    </row>
    <row r="538" spans="1:7" x14ac:dyDescent="0.4">
      <c r="A538" s="164">
        <v>34372</v>
      </c>
      <c r="B538" s="166"/>
      <c r="C538" s="166">
        <v>779.20001200000002</v>
      </c>
      <c r="D538" s="160"/>
      <c r="E538" s="166">
        <v>7.3510799999999996</v>
      </c>
      <c r="G538" s="166">
        <v>1.10717</v>
      </c>
    </row>
    <row r="539" spans="1:7" x14ac:dyDescent="0.4">
      <c r="A539" s="164">
        <v>34373</v>
      </c>
      <c r="B539" s="166"/>
      <c r="C539" s="166">
        <v>782.70001200000002</v>
      </c>
      <c r="D539" s="160"/>
      <c r="E539" s="166">
        <v>7.2663890000000002</v>
      </c>
      <c r="G539" s="166">
        <v>1.0844210000000001</v>
      </c>
    </row>
    <row r="540" spans="1:7" x14ac:dyDescent="0.4">
      <c r="A540" s="164">
        <v>34374</v>
      </c>
      <c r="B540" s="166"/>
      <c r="C540" s="166">
        <v>786.53002900000001</v>
      </c>
      <c r="D540" s="160"/>
      <c r="E540" s="166">
        <v>7.1986359999999996</v>
      </c>
      <c r="G540" s="166">
        <v>1.0995870000000001</v>
      </c>
    </row>
    <row r="541" spans="1:7" x14ac:dyDescent="0.4">
      <c r="A541" s="164">
        <v>34375</v>
      </c>
      <c r="B541" s="166"/>
      <c r="C541" s="166">
        <v>783.419983</v>
      </c>
      <c r="D541" s="160"/>
      <c r="E541" s="166">
        <v>7.1647569999999998</v>
      </c>
      <c r="G541" s="166">
        <v>1.10717</v>
      </c>
    </row>
    <row r="542" spans="1:7" x14ac:dyDescent="0.4">
      <c r="A542" s="164">
        <v>34376</v>
      </c>
      <c r="B542" s="166"/>
      <c r="C542" s="166">
        <v>781.39001499999995</v>
      </c>
      <c r="D542" s="160"/>
      <c r="E542" s="166">
        <v>7.2155719999999999</v>
      </c>
      <c r="G542" s="166">
        <v>1.1223369999999999</v>
      </c>
    </row>
    <row r="543" spans="1:7" x14ac:dyDescent="0.4">
      <c r="A543" s="164">
        <v>34379</v>
      </c>
      <c r="B543" s="166"/>
      <c r="C543" s="166">
        <v>785.45001200000002</v>
      </c>
      <c r="D543" s="160"/>
      <c r="E543" s="166">
        <v>7.3172040000000003</v>
      </c>
      <c r="G543" s="166">
        <v>1.1223369999999999</v>
      </c>
    </row>
    <row r="544" spans="1:7" x14ac:dyDescent="0.4">
      <c r="A544" s="164">
        <v>34380</v>
      </c>
      <c r="B544" s="166"/>
      <c r="C544" s="166">
        <v>790.11999500000002</v>
      </c>
      <c r="D544" s="160"/>
      <c r="E544" s="166">
        <v>7.3849530000000003</v>
      </c>
      <c r="G544" s="166">
        <v>1.1261289999999999</v>
      </c>
    </row>
    <row r="545" spans="1:7" x14ac:dyDescent="0.4">
      <c r="A545" s="164">
        <v>34381</v>
      </c>
      <c r="B545" s="166"/>
      <c r="C545" s="166">
        <v>792.61999500000002</v>
      </c>
      <c r="D545" s="160"/>
      <c r="E545" s="166">
        <v>7.4018899999999999</v>
      </c>
      <c r="G545" s="166">
        <v>1.114754</v>
      </c>
    </row>
    <row r="546" spans="1:7" x14ac:dyDescent="0.4">
      <c r="A546" s="164">
        <v>34382</v>
      </c>
      <c r="B546" s="166"/>
      <c r="C546" s="166">
        <v>790.23999000000003</v>
      </c>
      <c r="D546" s="160"/>
      <c r="E546" s="166">
        <v>7.1478250000000001</v>
      </c>
      <c r="G546" s="166">
        <v>1.1223369999999999</v>
      </c>
    </row>
    <row r="547" spans="1:7" x14ac:dyDescent="0.4">
      <c r="A547" s="164">
        <v>34383</v>
      </c>
      <c r="B547" s="166"/>
      <c r="C547" s="166">
        <v>788.84997599999997</v>
      </c>
      <c r="D547" s="160"/>
      <c r="E547" s="166">
        <v>7.1308819999999997</v>
      </c>
      <c r="G547" s="166">
        <v>1.0995870000000001</v>
      </c>
    </row>
    <row r="548" spans="1:7" x14ac:dyDescent="0.4">
      <c r="A548" s="164">
        <v>34387</v>
      </c>
      <c r="B548" s="166"/>
      <c r="C548" s="166">
        <v>791.15002400000003</v>
      </c>
      <c r="D548" s="160"/>
      <c r="E548" s="166">
        <v>7.2663890000000002</v>
      </c>
      <c r="G548" s="166">
        <v>1.129921</v>
      </c>
    </row>
    <row r="549" spans="1:7" x14ac:dyDescent="0.4">
      <c r="A549" s="164">
        <v>34388</v>
      </c>
      <c r="B549" s="166"/>
      <c r="C549" s="166">
        <v>789.10998500000005</v>
      </c>
      <c r="D549" s="160"/>
      <c r="E549" s="166">
        <v>7.2494490000000003</v>
      </c>
      <c r="G549" s="166">
        <v>1.129921</v>
      </c>
    </row>
    <row r="550" spans="1:7" x14ac:dyDescent="0.4">
      <c r="A550" s="164">
        <v>34389</v>
      </c>
      <c r="B550" s="166"/>
      <c r="C550" s="166">
        <v>779.44000200000005</v>
      </c>
      <c r="D550" s="160"/>
      <c r="E550" s="166">
        <v>7.1647569999999998</v>
      </c>
      <c r="G550" s="166">
        <v>1.110962</v>
      </c>
    </row>
    <row r="551" spans="1:7" x14ac:dyDescent="0.4">
      <c r="A551" s="164">
        <v>34390</v>
      </c>
      <c r="B551" s="166"/>
      <c r="C551" s="166">
        <v>783.78002900000001</v>
      </c>
      <c r="D551" s="160"/>
      <c r="E551" s="166">
        <v>7.1647569999999998</v>
      </c>
      <c r="G551" s="166">
        <v>1.0920030000000001</v>
      </c>
    </row>
    <row r="552" spans="1:7" x14ac:dyDescent="0.4">
      <c r="A552" s="164">
        <v>34393</v>
      </c>
      <c r="B552" s="166"/>
      <c r="C552" s="166">
        <v>792.5</v>
      </c>
      <c r="D552" s="160"/>
      <c r="E552" s="166">
        <v>7.1647569999999998</v>
      </c>
      <c r="G552" s="166">
        <v>1.10717</v>
      </c>
    </row>
    <row r="553" spans="1:7" x14ac:dyDescent="0.4">
      <c r="A553" s="164">
        <v>34394</v>
      </c>
      <c r="B553" s="166"/>
      <c r="C553" s="166">
        <v>788.64001499999995</v>
      </c>
      <c r="D553" s="160"/>
      <c r="E553" s="166">
        <v>7.2663890000000002</v>
      </c>
      <c r="G553" s="166">
        <v>1.0995870000000001</v>
      </c>
    </row>
    <row r="554" spans="1:7" x14ac:dyDescent="0.4">
      <c r="A554" s="164">
        <v>34395</v>
      </c>
      <c r="B554" s="166"/>
      <c r="C554" s="166">
        <v>783.46997099999999</v>
      </c>
      <c r="D554" s="160"/>
      <c r="E554" s="166">
        <v>7.1816990000000001</v>
      </c>
      <c r="G554" s="166">
        <v>1.0806279999999999</v>
      </c>
    </row>
    <row r="555" spans="1:7" x14ac:dyDescent="0.4">
      <c r="A555" s="164">
        <v>34396</v>
      </c>
      <c r="B555" s="166"/>
      <c r="C555" s="166">
        <v>784.580017</v>
      </c>
      <c r="D555" s="160"/>
      <c r="E555" s="166">
        <v>7.1308819999999997</v>
      </c>
      <c r="G555" s="166">
        <v>1.0844210000000001</v>
      </c>
    </row>
    <row r="556" spans="1:7" x14ac:dyDescent="0.4">
      <c r="A556" s="164">
        <v>34397</v>
      </c>
      <c r="B556" s="166"/>
      <c r="C556" s="166">
        <v>790.54998799999998</v>
      </c>
      <c r="D556" s="160"/>
      <c r="E556" s="166">
        <v>7.1308819999999997</v>
      </c>
      <c r="G556" s="166">
        <v>1.114754</v>
      </c>
    </row>
    <row r="557" spans="1:7" x14ac:dyDescent="0.4">
      <c r="A557" s="164">
        <v>34400</v>
      </c>
      <c r="B557" s="166"/>
      <c r="C557" s="166">
        <v>795.04998799999998</v>
      </c>
      <c r="D557" s="160"/>
      <c r="E557" s="166">
        <v>7.0800720000000004</v>
      </c>
      <c r="G557" s="166">
        <v>1.148879</v>
      </c>
    </row>
    <row r="558" spans="1:7" x14ac:dyDescent="0.4">
      <c r="A558" s="164">
        <v>34401</v>
      </c>
      <c r="B558" s="166"/>
      <c r="C558" s="166">
        <v>792.11999500000002</v>
      </c>
      <c r="D558" s="160"/>
      <c r="E558" s="166">
        <v>7.4188299999999998</v>
      </c>
      <c r="G558" s="166">
        <v>1.1223369999999999</v>
      </c>
    </row>
    <row r="559" spans="1:7" x14ac:dyDescent="0.4">
      <c r="A559" s="164">
        <v>34402</v>
      </c>
      <c r="B559" s="166"/>
      <c r="C559" s="166">
        <v>793.04998799999998</v>
      </c>
      <c r="D559" s="160"/>
      <c r="E559" s="166">
        <v>7.50352</v>
      </c>
      <c r="G559" s="166">
        <v>1.1375040000000001</v>
      </c>
    </row>
    <row r="560" spans="1:7" x14ac:dyDescent="0.4">
      <c r="A560" s="164">
        <v>34403</v>
      </c>
      <c r="B560" s="166"/>
      <c r="C560" s="166">
        <v>789.09002699999996</v>
      </c>
      <c r="D560" s="160"/>
      <c r="E560" s="166">
        <v>7.5882120000000004</v>
      </c>
      <c r="G560" s="166">
        <v>1.129921</v>
      </c>
    </row>
    <row r="561" spans="1:7" x14ac:dyDescent="0.4">
      <c r="A561" s="164">
        <v>34404</v>
      </c>
      <c r="B561" s="166"/>
      <c r="C561" s="166">
        <v>789.20001200000002</v>
      </c>
      <c r="D561" s="160"/>
      <c r="E561" s="166">
        <v>7.5712770000000003</v>
      </c>
      <c r="G561" s="166">
        <v>1.129921</v>
      </c>
    </row>
    <row r="562" spans="1:7" x14ac:dyDescent="0.4">
      <c r="A562" s="164">
        <v>34407</v>
      </c>
      <c r="B562" s="166"/>
      <c r="C562" s="166">
        <v>792.79998799999998</v>
      </c>
      <c r="D562" s="160"/>
      <c r="E562" s="166">
        <v>7.7914659999999998</v>
      </c>
      <c r="G562" s="166">
        <v>1.1564620000000001</v>
      </c>
    </row>
    <row r="563" spans="1:7" x14ac:dyDescent="0.4">
      <c r="A563" s="164">
        <v>34408</v>
      </c>
      <c r="B563" s="166"/>
      <c r="C563" s="166">
        <v>793.52002000000005</v>
      </c>
      <c r="D563" s="160"/>
      <c r="E563" s="166">
        <v>7.7745280000000001</v>
      </c>
      <c r="G563" s="166">
        <v>1.1412949999999999</v>
      </c>
    </row>
    <row r="564" spans="1:7" x14ac:dyDescent="0.4">
      <c r="A564" s="164">
        <v>34409</v>
      </c>
      <c r="B564" s="166"/>
      <c r="C564" s="166">
        <v>798.98999000000003</v>
      </c>
      <c r="D564" s="160"/>
      <c r="E564" s="166">
        <v>7.8930930000000004</v>
      </c>
      <c r="G564" s="166">
        <v>1.114754</v>
      </c>
    </row>
    <row r="565" spans="1:7" x14ac:dyDescent="0.4">
      <c r="A565" s="164">
        <v>34410</v>
      </c>
      <c r="B565" s="166"/>
      <c r="C565" s="166">
        <v>803.84997599999997</v>
      </c>
      <c r="D565" s="160"/>
      <c r="E565" s="166">
        <v>7.8422790000000004</v>
      </c>
      <c r="G565" s="166">
        <v>1.10717</v>
      </c>
    </row>
    <row r="566" spans="1:7" x14ac:dyDescent="0.4">
      <c r="A566" s="164">
        <v>34411</v>
      </c>
      <c r="B566" s="166"/>
      <c r="C566" s="166">
        <v>803.92999299999997</v>
      </c>
      <c r="D566" s="160"/>
      <c r="E566" s="166">
        <v>7.7406480000000002</v>
      </c>
      <c r="G566" s="166">
        <v>1.1033790000000001</v>
      </c>
    </row>
    <row r="567" spans="1:7" x14ac:dyDescent="0.4">
      <c r="A567" s="164">
        <v>34414</v>
      </c>
      <c r="B567" s="166"/>
      <c r="C567" s="166">
        <v>797.29998799999998</v>
      </c>
      <c r="D567" s="160"/>
      <c r="E567" s="166">
        <v>7.9439039999999999</v>
      </c>
      <c r="G567" s="166">
        <v>1.076837</v>
      </c>
    </row>
    <row r="568" spans="1:7" x14ac:dyDescent="0.4">
      <c r="A568" s="164">
        <v>34415</v>
      </c>
      <c r="B568" s="166"/>
      <c r="C568" s="166">
        <v>796.34002699999996</v>
      </c>
      <c r="D568" s="160"/>
      <c r="E568" s="166">
        <v>7.8930930000000004</v>
      </c>
      <c r="G568" s="166">
        <v>1.0616699999999999</v>
      </c>
    </row>
    <row r="569" spans="1:7" x14ac:dyDescent="0.4">
      <c r="A569" s="164">
        <v>34416</v>
      </c>
      <c r="B569" s="166"/>
      <c r="C569" s="166">
        <v>797.51000999999997</v>
      </c>
      <c r="D569" s="160"/>
      <c r="E569" s="166">
        <v>7.7575890000000003</v>
      </c>
      <c r="G569" s="166">
        <v>1.0654619999999999</v>
      </c>
    </row>
    <row r="570" spans="1:7" x14ac:dyDescent="0.4">
      <c r="A570" s="164">
        <v>34417</v>
      </c>
      <c r="B570" s="166"/>
      <c r="C570" s="166">
        <v>786.67999299999997</v>
      </c>
      <c r="D570" s="160"/>
      <c r="E570" s="166">
        <v>7.6390209999999996</v>
      </c>
      <c r="G570" s="166">
        <v>1.050295</v>
      </c>
    </row>
    <row r="571" spans="1:7" x14ac:dyDescent="0.4">
      <c r="A571" s="164">
        <v>34418</v>
      </c>
      <c r="B571" s="166"/>
      <c r="C571" s="166">
        <v>783.45001200000002</v>
      </c>
      <c r="D571" s="160"/>
      <c r="E571" s="166">
        <v>7.3172040000000003</v>
      </c>
      <c r="G571" s="166">
        <v>0.99341999999999997</v>
      </c>
    </row>
    <row r="572" spans="1:7" x14ac:dyDescent="0.4">
      <c r="A572" s="164">
        <v>34421</v>
      </c>
      <c r="B572" s="166"/>
      <c r="C572" s="166">
        <v>772.5</v>
      </c>
      <c r="D572" s="160"/>
      <c r="E572" s="166">
        <v>7.2663890000000002</v>
      </c>
      <c r="G572" s="166">
        <v>1.0085869999999999</v>
      </c>
    </row>
    <row r="573" spans="1:7" x14ac:dyDescent="0.4">
      <c r="A573" s="164">
        <v>34422</v>
      </c>
      <c r="B573" s="166"/>
      <c r="C573" s="166">
        <v>755.28997800000002</v>
      </c>
      <c r="D573" s="160"/>
      <c r="E573" s="166">
        <v>7.1308819999999997</v>
      </c>
      <c r="G573" s="166">
        <v>0.99341999999999997</v>
      </c>
    </row>
    <row r="574" spans="1:7" x14ac:dyDescent="0.4">
      <c r="A574" s="164">
        <v>34423</v>
      </c>
      <c r="B574" s="166"/>
      <c r="C574" s="166">
        <v>744.90997300000004</v>
      </c>
      <c r="D574" s="160"/>
      <c r="E574" s="166">
        <v>7.2494490000000003</v>
      </c>
      <c r="G574" s="166">
        <v>0.98583600000000005</v>
      </c>
    </row>
    <row r="575" spans="1:7" x14ac:dyDescent="0.4">
      <c r="A575" s="164">
        <v>34424</v>
      </c>
      <c r="B575" s="166"/>
      <c r="C575" s="166">
        <v>743.46002199999998</v>
      </c>
      <c r="D575" s="160"/>
      <c r="E575" s="166">
        <v>7.4018899999999999</v>
      </c>
      <c r="G575" s="166">
        <v>1.0085869999999999</v>
      </c>
    </row>
    <row r="576" spans="1:7" x14ac:dyDescent="0.4">
      <c r="A576" s="164">
        <v>34428</v>
      </c>
      <c r="B576" s="166"/>
      <c r="C576" s="166">
        <v>727.40997300000004</v>
      </c>
      <c r="D576" s="160"/>
      <c r="E576" s="166">
        <v>7.1816990000000001</v>
      </c>
      <c r="G576" s="166">
        <v>1.0085869999999999</v>
      </c>
    </row>
    <row r="577" spans="1:7" x14ac:dyDescent="0.4">
      <c r="A577" s="164">
        <v>34429</v>
      </c>
      <c r="B577" s="166"/>
      <c r="C577" s="166">
        <v>750.95001200000002</v>
      </c>
      <c r="D577" s="160"/>
      <c r="E577" s="166">
        <v>7.2325100000000004</v>
      </c>
      <c r="G577" s="166">
        <v>1.01617</v>
      </c>
    </row>
    <row r="578" spans="1:7" x14ac:dyDescent="0.4">
      <c r="A578" s="164">
        <v>34430</v>
      </c>
      <c r="B578" s="166"/>
      <c r="C578" s="166">
        <v>750.71997099999999</v>
      </c>
      <c r="D578" s="160"/>
      <c r="E578" s="166">
        <v>7.1986359999999996</v>
      </c>
      <c r="G578" s="166">
        <v>1.01617</v>
      </c>
    </row>
    <row r="579" spans="1:7" x14ac:dyDescent="0.4">
      <c r="A579" s="164">
        <v>34431</v>
      </c>
      <c r="B579" s="166"/>
      <c r="C579" s="166">
        <v>755.169983</v>
      </c>
      <c r="D579" s="160"/>
      <c r="E579" s="166">
        <v>7.1986359999999996</v>
      </c>
      <c r="G579" s="166">
        <v>1.012378</v>
      </c>
    </row>
    <row r="580" spans="1:7" x14ac:dyDescent="0.4">
      <c r="A580" s="164">
        <v>34432</v>
      </c>
      <c r="B580" s="166"/>
      <c r="C580" s="166">
        <v>748.71002199999998</v>
      </c>
      <c r="D580" s="160"/>
      <c r="E580" s="166">
        <v>7.1139489999999999</v>
      </c>
      <c r="G580" s="166">
        <v>1.01617</v>
      </c>
    </row>
    <row r="581" spans="1:7" x14ac:dyDescent="0.4">
      <c r="A581" s="164">
        <v>34435</v>
      </c>
      <c r="B581" s="166"/>
      <c r="C581" s="166">
        <v>748.10998500000005</v>
      </c>
      <c r="D581" s="160"/>
      <c r="E581" s="166">
        <v>7.1816990000000001</v>
      </c>
      <c r="G581" s="166">
        <v>1.01617</v>
      </c>
    </row>
    <row r="582" spans="1:7" x14ac:dyDescent="0.4">
      <c r="A582" s="164">
        <v>34436</v>
      </c>
      <c r="B582" s="166"/>
      <c r="C582" s="166">
        <v>739.21997099999999</v>
      </c>
      <c r="D582" s="160"/>
      <c r="E582" s="166">
        <v>7.1647569999999998</v>
      </c>
      <c r="G582" s="166">
        <v>0.97067000000000003</v>
      </c>
    </row>
    <row r="583" spans="1:7" x14ac:dyDescent="0.4">
      <c r="A583" s="164">
        <v>34437</v>
      </c>
      <c r="B583" s="166"/>
      <c r="C583" s="166">
        <v>727.38000499999998</v>
      </c>
      <c r="D583" s="160"/>
      <c r="E583" s="166">
        <v>7.0970079999999998</v>
      </c>
      <c r="G583" s="166">
        <v>0.96308700000000003</v>
      </c>
    </row>
    <row r="584" spans="1:7" x14ac:dyDescent="0.4">
      <c r="A584" s="164">
        <v>34438</v>
      </c>
      <c r="B584" s="166"/>
      <c r="C584" s="166">
        <v>727.30999799999995</v>
      </c>
      <c r="D584" s="160"/>
      <c r="E584" s="166">
        <v>7.3002609999999999</v>
      </c>
      <c r="G584" s="166">
        <v>0.95550299999999999</v>
      </c>
    </row>
    <row r="585" spans="1:7" x14ac:dyDescent="0.4">
      <c r="A585" s="164">
        <v>34439</v>
      </c>
      <c r="B585" s="166"/>
      <c r="C585" s="166">
        <v>727.96997099999999</v>
      </c>
      <c r="D585" s="160"/>
      <c r="E585" s="166">
        <v>7.1816990000000001</v>
      </c>
      <c r="G585" s="166">
        <v>0.91758700000000004</v>
      </c>
    </row>
    <row r="586" spans="1:7" x14ac:dyDescent="0.4">
      <c r="A586" s="164">
        <v>34442</v>
      </c>
      <c r="B586" s="166"/>
      <c r="C586" s="166">
        <v>720.45001200000002</v>
      </c>
      <c r="D586" s="160"/>
      <c r="E586" s="166">
        <v>7.2325100000000004</v>
      </c>
      <c r="G586" s="166">
        <v>0.89862799999999998</v>
      </c>
    </row>
    <row r="587" spans="1:7" x14ac:dyDescent="0.4">
      <c r="A587" s="164">
        <v>34443</v>
      </c>
      <c r="B587" s="166"/>
      <c r="C587" s="166">
        <v>712.84997599999997</v>
      </c>
      <c r="D587" s="160"/>
      <c r="E587" s="166">
        <v>7.2325100000000004</v>
      </c>
      <c r="G587" s="166">
        <v>0.87966999999999995</v>
      </c>
    </row>
    <row r="588" spans="1:7" x14ac:dyDescent="0.4">
      <c r="A588" s="164">
        <v>34444</v>
      </c>
      <c r="B588" s="166"/>
      <c r="C588" s="166">
        <v>705.52002000000005</v>
      </c>
      <c r="D588" s="160"/>
      <c r="E588" s="166">
        <v>7.0800720000000004</v>
      </c>
      <c r="G588" s="166">
        <v>0.85692000000000002</v>
      </c>
    </row>
    <row r="589" spans="1:7" x14ac:dyDescent="0.4">
      <c r="A589" s="164">
        <v>34445</v>
      </c>
      <c r="B589" s="166"/>
      <c r="C589" s="166">
        <v>718.73999000000003</v>
      </c>
      <c r="D589" s="160"/>
      <c r="E589" s="166">
        <v>7.9100339999999996</v>
      </c>
      <c r="G589" s="166">
        <v>0.89862799999999998</v>
      </c>
    </row>
    <row r="590" spans="1:7" x14ac:dyDescent="0.4">
      <c r="A590" s="164">
        <v>34446</v>
      </c>
      <c r="B590" s="166"/>
      <c r="C590" s="166">
        <v>722.55999799999995</v>
      </c>
      <c r="D590" s="160"/>
      <c r="E590" s="166">
        <v>7.9608449999999999</v>
      </c>
      <c r="G590" s="166">
        <v>0.90242</v>
      </c>
    </row>
    <row r="591" spans="1:7" x14ac:dyDescent="0.4">
      <c r="A591" s="164">
        <v>34449</v>
      </c>
      <c r="B591" s="166"/>
      <c r="C591" s="166">
        <v>730.79998799999998</v>
      </c>
      <c r="D591" s="160"/>
      <c r="E591" s="166">
        <v>8.0285980000000006</v>
      </c>
      <c r="G591" s="166">
        <v>0.94033599999999995</v>
      </c>
    </row>
    <row r="592" spans="1:7" x14ac:dyDescent="0.4">
      <c r="A592" s="164">
        <v>34450</v>
      </c>
      <c r="B592" s="166"/>
      <c r="C592" s="166">
        <v>734.21002199999998</v>
      </c>
      <c r="D592" s="160"/>
      <c r="E592" s="166">
        <v>7.9269689999999997</v>
      </c>
      <c r="G592" s="166">
        <v>0.94791999999999998</v>
      </c>
    </row>
    <row r="593" spans="1:7" x14ac:dyDescent="0.4">
      <c r="A593" s="164">
        <v>34452</v>
      </c>
      <c r="B593" s="166"/>
      <c r="C593" s="166">
        <v>731.69000200000005</v>
      </c>
      <c r="D593" s="160"/>
      <c r="E593" s="166">
        <v>7.7406480000000002</v>
      </c>
      <c r="G593" s="166">
        <v>0.91758700000000004</v>
      </c>
    </row>
    <row r="594" spans="1:7" x14ac:dyDescent="0.4">
      <c r="A594" s="164">
        <v>34453</v>
      </c>
      <c r="B594" s="166"/>
      <c r="C594" s="166">
        <v>733.84002699999996</v>
      </c>
      <c r="D594" s="160"/>
      <c r="E594" s="166">
        <v>7.7914659999999998</v>
      </c>
      <c r="G594" s="166">
        <v>0.91000300000000001</v>
      </c>
    </row>
    <row r="595" spans="1:7" x14ac:dyDescent="0.4">
      <c r="A595" s="164">
        <v>34456</v>
      </c>
      <c r="B595" s="166"/>
      <c r="C595" s="166">
        <v>740.67999299999997</v>
      </c>
      <c r="D595" s="160"/>
      <c r="E595" s="166">
        <v>7.8592209999999998</v>
      </c>
      <c r="G595" s="166">
        <v>0.94033599999999995</v>
      </c>
    </row>
    <row r="596" spans="1:7" x14ac:dyDescent="0.4">
      <c r="A596" s="164">
        <v>34457</v>
      </c>
      <c r="B596" s="166"/>
      <c r="C596" s="166">
        <v>739.36999500000002</v>
      </c>
      <c r="D596" s="160"/>
      <c r="E596" s="166">
        <v>7.9100339999999996</v>
      </c>
      <c r="G596" s="166">
        <v>0.91758700000000004</v>
      </c>
    </row>
    <row r="597" spans="1:7" x14ac:dyDescent="0.4">
      <c r="A597" s="164">
        <v>34458</v>
      </c>
      <c r="B597" s="166"/>
      <c r="C597" s="166">
        <v>740.29998799999998</v>
      </c>
      <c r="D597" s="160"/>
      <c r="E597" s="166">
        <v>7.825342</v>
      </c>
      <c r="G597" s="166">
        <v>1.001004</v>
      </c>
    </row>
    <row r="598" spans="1:7" x14ac:dyDescent="0.4">
      <c r="A598" s="164">
        <v>34459</v>
      </c>
      <c r="B598" s="166"/>
      <c r="C598" s="166">
        <v>740.54998799999998</v>
      </c>
      <c r="D598" s="160"/>
      <c r="E598" s="166">
        <v>7.8770480000000003</v>
      </c>
      <c r="G598" s="166">
        <v>0.99721199999999999</v>
      </c>
    </row>
    <row r="599" spans="1:7" x14ac:dyDescent="0.4">
      <c r="A599" s="164">
        <v>34460</v>
      </c>
      <c r="B599" s="166"/>
      <c r="C599" s="166">
        <v>732.85998500000005</v>
      </c>
      <c r="D599" s="160"/>
      <c r="E599" s="166">
        <v>7.7908670000000004</v>
      </c>
      <c r="G599" s="166">
        <v>0.98014900000000005</v>
      </c>
    </row>
    <row r="600" spans="1:7" x14ac:dyDescent="0.4">
      <c r="A600" s="164">
        <v>34463</v>
      </c>
      <c r="B600" s="166"/>
      <c r="C600" s="166">
        <v>722.96002199999998</v>
      </c>
      <c r="D600" s="160"/>
      <c r="E600" s="166">
        <v>7.8598150000000002</v>
      </c>
      <c r="G600" s="166">
        <v>0.94791999999999998</v>
      </c>
    </row>
    <row r="601" spans="1:7" x14ac:dyDescent="0.4">
      <c r="A601" s="164">
        <v>34464</v>
      </c>
      <c r="B601" s="166"/>
      <c r="C601" s="166">
        <v>725</v>
      </c>
      <c r="D601" s="160"/>
      <c r="E601" s="166">
        <v>7.9977090000000004</v>
      </c>
      <c r="G601" s="166">
        <v>0.94033599999999995</v>
      </c>
    </row>
    <row r="602" spans="1:7" x14ac:dyDescent="0.4">
      <c r="A602" s="164">
        <v>34465</v>
      </c>
      <c r="B602" s="166"/>
      <c r="C602" s="166">
        <v>717</v>
      </c>
      <c r="D602" s="160"/>
      <c r="E602" s="166">
        <v>7.8942880000000004</v>
      </c>
      <c r="G602" s="166">
        <v>0.91758700000000004</v>
      </c>
    </row>
    <row r="603" spans="1:7" x14ac:dyDescent="0.4">
      <c r="A603" s="164">
        <v>34466</v>
      </c>
      <c r="B603" s="166"/>
      <c r="C603" s="166">
        <v>719.60998500000005</v>
      </c>
      <c r="D603" s="160"/>
      <c r="E603" s="166">
        <v>7.8942880000000004</v>
      </c>
      <c r="G603" s="166">
        <v>0.90052399999999999</v>
      </c>
    </row>
    <row r="604" spans="1:7" x14ac:dyDescent="0.4">
      <c r="A604" s="164">
        <v>34467</v>
      </c>
      <c r="B604" s="166"/>
      <c r="C604" s="166">
        <v>716.919983</v>
      </c>
      <c r="D604" s="160"/>
      <c r="E604" s="166">
        <v>7.9287599999999996</v>
      </c>
      <c r="G604" s="166">
        <v>0.91000300000000001</v>
      </c>
    </row>
    <row r="605" spans="1:7" x14ac:dyDescent="0.4">
      <c r="A605" s="164">
        <v>34470</v>
      </c>
      <c r="B605" s="166"/>
      <c r="C605" s="166">
        <v>711.90997300000004</v>
      </c>
      <c r="D605" s="160"/>
      <c r="E605" s="166">
        <v>8.0666519999999995</v>
      </c>
      <c r="G605" s="166">
        <v>0.89483599999999996</v>
      </c>
    </row>
    <row r="606" spans="1:7" x14ac:dyDescent="0.4">
      <c r="A606" s="164">
        <v>34471</v>
      </c>
      <c r="B606" s="166"/>
      <c r="C606" s="166">
        <v>711.52002000000005</v>
      </c>
      <c r="D606" s="160"/>
      <c r="E606" s="166">
        <v>8.4458540000000006</v>
      </c>
      <c r="G606" s="166">
        <v>0.89104499999999998</v>
      </c>
    </row>
    <row r="607" spans="1:7" x14ac:dyDescent="0.4">
      <c r="A607" s="164">
        <v>34472</v>
      </c>
      <c r="B607" s="166"/>
      <c r="C607" s="166">
        <v>721.90002400000003</v>
      </c>
      <c r="D607" s="160"/>
      <c r="E607" s="166">
        <v>8.3769069999999992</v>
      </c>
      <c r="G607" s="166">
        <v>0.92896199999999995</v>
      </c>
    </row>
    <row r="608" spans="1:7" x14ac:dyDescent="0.4">
      <c r="A608" s="164">
        <v>34473</v>
      </c>
      <c r="B608" s="166"/>
      <c r="C608" s="166">
        <v>727.30999799999995</v>
      </c>
      <c r="D608" s="160"/>
      <c r="E608" s="166">
        <v>8.4630890000000001</v>
      </c>
      <c r="G608" s="166">
        <v>0.97446100000000002</v>
      </c>
    </row>
    <row r="609" spans="1:7" x14ac:dyDescent="0.4">
      <c r="A609" s="164">
        <v>34474</v>
      </c>
      <c r="B609" s="166"/>
      <c r="C609" s="166">
        <v>726.70001200000002</v>
      </c>
      <c r="D609" s="160"/>
      <c r="E609" s="166">
        <v>8.5665119999999995</v>
      </c>
      <c r="G609" s="166">
        <v>0.94223199999999996</v>
      </c>
    </row>
    <row r="610" spans="1:7" x14ac:dyDescent="0.4">
      <c r="A610" s="164">
        <v>34477</v>
      </c>
      <c r="B610" s="166"/>
      <c r="C610" s="166">
        <v>724.95001200000002</v>
      </c>
      <c r="D610" s="160"/>
      <c r="E610" s="166">
        <v>8.5147969999999997</v>
      </c>
      <c r="G610" s="166">
        <v>0.92517000000000005</v>
      </c>
    </row>
    <row r="611" spans="1:7" x14ac:dyDescent="0.4">
      <c r="A611" s="164">
        <v>34478</v>
      </c>
      <c r="B611" s="166"/>
      <c r="C611" s="166">
        <v>731.46997099999999</v>
      </c>
      <c r="D611" s="160"/>
      <c r="E611" s="166">
        <v>8.704402</v>
      </c>
      <c r="G611" s="166">
        <v>0.93275300000000005</v>
      </c>
    </row>
    <row r="612" spans="1:7" x14ac:dyDescent="0.4">
      <c r="A612" s="164">
        <v>34479</v>
      </c>
      <c r="B612" s="166"/>
      <c r="C612" s="166">
        <v>732.07000700000003</v>
      </c>
      <c r="D612" s="160"/>
      <c r="E612" s="166">
        <v>8.7733460000000001</v>
      </c>
      <c r="G612" s="166">
        <v>0.94791999999999998</v>
      </c>
    </row>
    <row r="613" spans="1:7" x14ac:dyDescent="0.4">
      <c r="A613" s="164">
        <v>34480</v>
      </c>
      <c r="B613" s="166"/>
      <c r="C613" s="166">
        <v>731.64001499999995</v>
      </c>
      <c r="D613" s="160"/>
      <c r="E613" s="166">
        <v>8.8250539999999997</v>
      </c>
      <c r="G613" s="166">
        <v>0.92517000000000005</v>
      </c>
    </row>
    <row r="614" spans="1:7" x14ac:dyDescent="0.4">
      <c r="A614" s="164">
        <v>34481</v>
      </c>
      <c r="B614" s="166"/>
      <c r="C614" s="166">
        <v>733.14001499999995</v>
      </c>
      <c r="D614" s="160"/>
      <c r="E614" s="166">
        <v>8.7733460000000001</v>
      </c>
      <c r="G614" s="166">
        <v>0.91169800000000001</v>
      </c>
    </row>
    <row r="615" spans="1:7" x14ac:dyDescent="0.4">
      <c r="A615" s="164">
        <v>34485</v>
      </c>
      <c r="B615" s="166"/>
      <c r="C615" s="166">
        <v>735.19000200000005</v>
      </c>
      <c r="D615" s="160"/>
      <c r="E615" s="166">
        <v>8.6871650000000002</v>
      </c>
      <c r="G615" s="166">
        <v>0.89076100000000002</v>
      </c>
    </row>
    <row r="616" spans="1:7" x14ac:dyDescent="0.4">
      <c r="A616" s="164">
        <v>34486</v>
      </c>
      <c r="B616" s="166"/>
      <c r="C616" s="166">
        <v>735.52002000000005</v>
      </c>
      <c r="D616" s="160"/>
      <c r="E616" s="166">
        <v>8.7561110000000006</v>
      </c>
      <c r="G616" s="166">
        <v>0.86030799999999996</v>
      </c>
    </row>
    <row r="617" spans="1:7" x14ac:dyDescent="0.4">
      <c r="A617" s="164">
        <v>34487</v>
      </c>
      <c r="B617" s="166"/>
      <c r="C617" s="166">
        <v>739.5</v>
      </c>
      <c r="D617" s="160"/>
      <c r="E617" s="166">
        <v>8.5492729999999995</v>
      </c>
      <c r="G617" s="166">
        <v>0.83366099999999999</v>
      </c>
    </row>
    <row r="618" spans="1:7" x14ac:dyDescent="0.4">
      <c r="A618" s="164">
        <v>34488</v>
      </c>
      <c r="B618" s="166"/>
      <c r="C618" s="166">
        <v>742.38000499999998</v>
      </c>
      <c r="D618" s="160"/>
      <c r="E618" s="166">
        <v>8.4113799999999994</v>
      </c>
      <c r="G618" s="166">
        <v>0.841275</v>
      </c>
    </row>
    <row r="619" spans="1:7" x14ac:dyDescent="0.4">
      <c r="A619" s="164">
        <v>34491</v>
      </c>
      <c r="B619" s="166"/>
      <c r="C619" s="166">
        <v>743.42999299999997</v>
      </c>
      <c r="D619" s="160"/>
      <c r="E619" s="166">
        <v>8.6354520000000008</v>
      </c>
      <c r="G619" s="166">
        <v>0.83366099999999999</v>
      </c>
    </row>
    <row r="620" spans="1:7" x14ac:dyDescent="0.4">
      <c r="A620" s="164">
        <v>34492</v>
      </c>
      <c r="B620" s="166"/>
      <c r="C620" s="166">
        <v>739.29998799999998</v>
      </c>
      <c r="D620" s="160"/>
      <c r="E620" s="166">
        <v>8.6354520000000008</v>
      </c>
      <c r="G620" s="166">
        <v>0.83746799999999999</v>
      </c>
    </row>
    <row r="621" spans="1:7" x14ac:dyDescent="0.4">
      <c r="A621" s="164">
        <v>34493</v>
      </c>
      <c r="B621" s="166"/>
      <c r="C621" s="166">
        <v>729.78997800000002</v>
      </c>
      <c r="D621" s="160"/>
      <c r="E621" s="166">
        <v>8.4975690000000004</v>
      </c>
      <c r="G621" s="166">
        <v>0.79559400000000002</v>
      </c>
    </row>
    <row r="622" spans="1:7" x14ac:dyDescent="0.4">
      <c r="A622" s="164">
        <v>34494</v>
      </c>
      <c r="B622" s="166"/>
      <c r="C622" s="166">
        <v>728.88000499999998</v>
      </c>
      <c r="D622" s="160"/>
      <c r="E622" s="166">
        <v>8.5492729999999995</v>
      </c>
      <c r="G622" s="166">
        <v>0.822241</v>
      </c>
    </row>
    <row r="623" spans="1:7" x14ac:dyDescent="0.4">
      <c r="A623" s="164">
        <v>34495</v>
      </c>
      <c r="B623" s="166"/>
      <c r="C623" s="166">
        <v>734.25</v>
      </c>
      <c r="D623" s="160"/>
      <c r="E623" s="166">
        <v>8.6354520000000008</v>
      </c>
      <c r="G623" s="166">
        <v>0.80701500000000004</v>
      </c>
    </row>
    <row r="624" spans="1:7" x14ac:dyDescent="0.4">
      <c r="A624" s="164">
        <v>34498</v>
      </c>
      <c r="B624" s="166"/>
      <c r="C624" s="166">
        <v>731.70001200000002</v>
      </c>
      <c r="D624" s="160"/>
      <c r="E624" s="166">
        <v>8.7905840000000008</v>
      </c>
      <c r="G624" s="166">
        <v>0.822241</v>
      </c>
    </row>
    <row r="625" spans="1:7" x14ac:dyDescent="0.4">
      <c r="A625" s="164">
        <v>34499</v>
      </c>
      <c r="B625" s="166"/>
      <c r="C625" s="166">
        <v>735.97997999999995</v>
      </c>
      <c r="D625" s="160"/>
      <c r="E625" s="166">
        <v>8.9629469999999998</v>
      </c>
      <c r="G625" s="166">
        <v>0.82414399999999999</v>
      </c>
    </row>
    <row r="626" spans="1:7" x14ac:dyDescent="0.4">
      <c r="A626" s="164">
        <v>34500</v>
      </c>
      <c r="B626" s="166"/>
      <c r="C626" s="166">
        <v>735.84002699999996</v>
      </c>
      <c r="D626" s="160"/>
      <c r="E626" s="166">
        <v>8.7905840000000008</v>
      </c>
      <c r="G626" s="166">
        <v>0.84698399999999996</v>
      </c>
    </row>
    <row r="627" spans="1:7" x14ac:dyDescent="0.4">
      <c r="A627" s="164">
        <v>34501</v>
      </c>
      <c r="B627" s="166"/>
      <c r="C627" s="166">
        <v>734.96997099999999</v>
      </c>
      <c r="D627" s="160"/>
      <c r="E627" s="166">
        <v>8.6699289999999998</v>
      </c>
      <c r="G627" s="166">
        <v>0.80320800000000003</v>
      </c>
    </row>
    <row r="628" spans="1:7" x14ac:dyDescent="0.4">
      <c r="A628" s="164">
        <v>34502</v>
      </c>
      <c r="B628" s="166"/>
      <c r="C628" s="166">
        <v>729.34997599999997</v>
      </c>
      <c r="D628" s="160"/>
      <c r="E628" s="166">
        <v>8.6009799999999998</v>
      </c>
      <c r="G628" s="166">
        <v>0.80701500000000004</v>
      </c>
    </row>
    <row r="629" spans="1:7" x14ac:dyDescent="0.4">
      <c r="A629" s="164">
        <v>34505</v>
      </c>
      <c r="B629" s="166"/>
      <c r="C629" s="166">
        <v>718.84997599999997</v>
      </c>
      <c r="D629" s="160"/>
      <c r="E629" s="166">
        <v>8.4975690000000004</v>
      </c>
      <c r="G629" s="166">
        <v>0.826048</v>
      </c>
    </row>
    <row r="630" spans="1:7" x14ac:dyDescent="0.4">
      <c r="A630" s="164">
        <v>34506</v>
      </c>
      <c r="B630" s="166"/>
      <c r="C630" s="166">
        <v>708.78997800000002</v>
      </c>
      <c r="D630" s="160"/>
      <c r="E630" s="166">
        <v>8.4113799999999994</v>
      </c>
      <c r="G630" s="166">
        <v>0.79178800000000005</v>
      </c>
    </row>
    <row r="631" spans="1:7" x14ac:dyDescent="0.4">
      <c r="A631" s="164">
        <v>34507</v>
      </c>
      <c r="B631" s="166"/>
      <c r="C631" s="166">
        <v>712.73999000000003</v>
      </c>
      <c r="D631" s="160"/>
      <c r="E631" s="166">
        <v>8.5492729999999995</v>
      </c>
      <c r="G631" s="166">
        <v>0.79940100000000003</v>
      </c>
    </row>
    <row r="632" spans="1:7" x14ac:dyDescent="0.4">
      <c r="A632" s="164">
        <v>34508</v>
      </c>
      <c r="B632" s="166"/>
      <c r="C632" s="166">
        <v>700.84997599999997</v>
      </c>
      <c r="D632" s="160"/>
      <c r="E632" s="166">
        <v>8.3941479999999995</v>
      </c>
      <c r="G632" s="166">
        <v>0.76514099999999996</v>
      </c>
    </row>
    <row r="633" spans="1:7" x14ac:dyDescent="0.4">
      <c r="A633" s="164">
        <v>34509</v>
      </c>
      <c r="B633" s="166"/>
      <c r="C633" s="166">
        <v>693.78997800000002</v>
      </c>
      <c r="D633" s="160"/>
      <c r="E633" s="166">
        <v>8.2562510000000007</v>
      </c>
      <c r="G633" s="166">
        <v>0.77989200000000003</v>
      </c>
    </row>
    <row r="634" spans="1:7" x14ac:dyDescent="0.4">
      <c r="A634" s="164">
        <v>34512</v>
      </c>
      <c r="B634" s="166"/>
      <c r="C634" s="166">
        <v>702.67999299999997</v>
      </c>
      <c r="D634" s="160"/>
      <c r="E634" s="166">
        <v>8.4803280000000001</v>
      </c>
      <c r="G634" s="166">
        <v>0.79940100000000003</v>
      </c>
    </row>
    <row r="635" spans="1:7" x14ac:dyDescent="0.4">
      <c r="A635" s="164">
        <v>34513</v>
      </c>
      <c r="B635" s="166"/>
      <c r="C635" s="166">
        <v>702.04998799999998</v>
      </c>
      <c r="D635" s="160"/>
      <c r="E635" s="166">
        <v>8.4286180000000002</v>
      </c>
      <c r="G635" s="166">
        <v>0.81462800000000002</v>
      </c>
    </row>
    <row r="636" spans="1:7" x14ac:dyDescent="0.4">
      <c r="A636" s="164">
        <v>34514</v>
      </c>
      <c r="B636" s="166"/>
      <c r="C636" s="166">
        <v>704.01000999999997</v>
      </c>
      <c r="D636" s="160"/>
      <c r="E636" s="166">
        <v>8.3251980000000003</v>
      </c>
      <c r="G636" s="166">
        <v>0.79559400000000002</v>
      </c>
    </row>
    <row r="637" spans="1:7" x14ac:dyDescent="0.4">
      <c r="A637" s="164">
        <v>34515</v>
      </c>
      <c r="B637" s="166"/>
      <c r="C637" s="166">
        <v>705.96002199999998</v>
      </c>
      <c r="D637" s="160"/>
      <c r="E637" s="166">
        <v>8.1011220000000002</v>
      </c>
      <c r="G637" s="166">
        <v>0.80701500000000004</v>
      </c>
    </row>
    <row r="638" spans="1:7" x14ac:dyDescent="0.4">
      <c r="A638" s="164">
        <v>34516</v>
      </c>
      <c r="B638" s="166"/>
      <c r="C638" s="166">
        <v>706.84997599999997</v>
      </c>
      <c r="D638" s="160"/>
      <c r="E638" s="166">
        <v>7.8598150000000002</v>
      </c>
      <c r="G638" s="166">
        <v>0.78417400000000004</v>
      </c>
    </row>
    <row r="639" spans="1:7" x14ac:dyDescent="0.4">
      <c r="A639" s="164">
        <v>34520</v>
      </c>
      <c r="B639" s="166"/>
      <c r="C639" s="166">
        <v>703.59002699999996</v>
      </c>
      <c r="D639" s="160"/>
      <c r="E639" s="166">
        <v>7.7563979999999999</v>
      </c>
      <c r="G639" s="166">
        <v>0.80701500000000004</v>
      </c>
    </row>
    <row r="640" spans="1:7" x14ac:dyDescent="0.4">
      <c r="A640" s="164">
        <v>34521</v>
      </c>
      <c r="B640" s="166"/>
      <c r="C640" s="166">
        <v>701</v>
      </c>
      <c r="D640" s="160"/>
      <c r="E640" s="166">
        <v>7.8598150000000002</v>
      </c>
      <c r="G640" s="166">
        <v>0.79559400000000002</v>
      </c>
    </row>
    <row r="641" spans="1:7" x14ac:dyDescent="0.4">
      <c r="A641" s="164">
        <v>34522</v>
      </c>
      <c r="B641" s="166"/>
      <c r="C641" s="166">
        <v>706.53002900000001</v>
      </c>
      <c r="D641" s="160"/>
      <c r="E641" s="166">
        <v>7.8253409999999999</v>
      </c>
      <c r="G641" s="166">
        <v>0.81653100000000001</v>
      </c>
    </row>
    <row r="642" spans="1:7" x14ac:dyDescent="0.4">
      <c r="A642" s="164">
        <v>34523</v>
      </c>
      <c r="B642" s="166"/>
      <c r="C642" s="166">
        <v>707.46002199999998</v>
      </c>
      <c r="D642" s="160"/>
      <c r="E642" s="166">
        <v>7.8081079999999998</v>
      </c>
      <c r="G642" s="166">
        <v>0.82414399999999999</v>
      </c>
    </row>
    <row r="643" spans="1:7" x14ac:dyDescent="0.4">
      <c r="A643" s="164">
        <v>34526</v>
      </c>
      <c r="B643" s="166"/>
      <c r="C643" s="166">
        <v>706.830017</v>
      </c>
      <c r="D643" s="160"/>
      <c r="E643" s="166">
        <v>7.6702149999999998</v>
      </c>
      <c r="G643" s="166">
        <v>0.822241</v>
      </c>
    </row>
    <row r="644" spans="1:7" x14ac:dyDescent="0.4">
      <c r="A644" s="164">
        <v>34527</v>
      </c>
      <c r="B644" s="166"/>
      <c r="C644" s="166">
        <v>709.59002699999996</v>
      </c>
      <c r="D644" s="160"/>
      <c r="E644" s="166">
        <v>7.7046900000000003</v>
      </c>
      <c r="G644" s="166">
        <v>0.86411499999999997</v>
      </c>
    </row>
    <row r="645" spans="1:7" x14ac:dyDescent="0.4">
      <c r="A645" s="164">
        <v>34528</v>
      </c>
      <c r="B645" s="166"/>
      <c r="C645" s="166">
        <v>719.34997599999997</v>
      </c>
      <c r="D645" s="160"/>
      <c r="E645" s="166">
        <v>7.8253409999999999</v>
      </c>
      <c r="G645" s="166">
        <v>0.904084</v>
      </c>
    </row>
    <row r="646" spans="1:7" x14ac:dyDescent="0.4">
      <c r="A646" s="164">
        <v>34529</v>
      </c>
      <c r="B646" s="166"/>
      <c r="C646" s="166">
        <v>721.55999799999995</v>
      </c>
      <c r="D646" s="160"/>
      <c r="E646" s="166">
        <v>8.0321789999999993</v>
      </c>
      <c r="G646" s="166">
        <v>0.87172799999999995</v>
      </c>
    </row>
    <row r="647" spans="1:7" x14ac:dyDescent="0.4">
      <c r="A647" s="164">
        <v>34530</v>
      </c>
      <c r="B647" s="166"/>
      <c r="C647" s="166">
        <v>721.35998500000005</v>
      </c>
      <c r="D647" s="160"/>
      <c r="E647" s="166">
        <v>7.8425760000000002</v>
      </c>
      <c r="G647" s="166">
        <v>0.86030799999999996</v>
      </c>
    </row>
    <row r="648" spans="1:7" x14ac:dyDescent="0.4">
      <c r="A648" s="164">
        <v>34533</v>
      </c>
      <c r="B648" s="166"/>
      <c r="C648" s="166">
        <v>722.61999500000002</v>
      </c>
      <c r="D648" s="160"/>
      <c r="E648" s="166">
        <v>7.8425760000000002</v>
      </c>
      <c r="G648" s="166">
        <v>0.86411499999999997</v>
      </c>
    </row>
    <row r="649" spans="1:7" x14ac:dyDescent="0.4">
      <c r="A649" s="164">
        <v>34534</v>
      </c>
      <c r="B649" s="166"/>
      <c r="C649" s="166">
        <v>719.32000700000003</v>
      </c>
      <c r="D649" s="160"/>
      <c r="E649" s="166">
        <v>7.6702149999999998</v>
      </c>
      <c r="G649" s="166">
        <v>0.84317799999999998</v>
      </c>
    </row>
    <row r="650" spans="1:7" x14ac:dyDescent="0.4">
      <c r="A650" s="164">
        <v>34535</v>
      </c>
      <c r="B650" s="166"/>
      <c r="C650" s="166">
        <v>712.77002000000005</v>
      </c>
      <c r="D650" s="160"/>
      <c r="E650" s="166">
        <v>7.7046900000000003</v>
      </c>
      <c r="G650" s="166">
        <v>0.81082100000000001</v>
      </c>
    </row>
    <row r="651" spans="1:7" x14ac:dyDescent="0.4">
      <c r="A651" s="164">
        <v>34536</v>
      </c>
      <c r="B651" s="166"/>
      <c r="C651" s="166">
        <v>715.03002900000001</v>
      </c>
      <c r="D651" s="160"/>
      <c r="E651" s="166">
        <v>8.6009799999999998</v>
      </c>
      <c r="G651" s="166">
        <v>0.85269399999999995</v>
      </c>
    </row>
    <row r="652" spans="1:7" x14ac:dyDescent="0.4">
      <c r="A652" s="164">
        <v>34537</v>
      </c>
      <c r="B652" s="166"/>
      <c r="C652" s="166">
        <v>716.67999299999997</v>
      </c>
      <c r="D652" s="160"/>
      <c r="E652" s="166">
        <v>8.4630890000000001</v>
      </c>
      <c r="G652" s="166">
        <v>0.94405399999999995</v>
      </c>
    </row>
    <row r="653" spans="1:7" x14ac:dyDescent="0.4">
      <c r="A653" s="164">
        <v>34540</v>
      </c>
      <c r="B653" s="166"/>
      <c r="C653" s="166">
        <v>716.88000499999998</v>
      </c>
      <c r="D653" s="160"/>
      <c r="E653" s="166">
        <v>8.5837420000000009</v>
      </c>
      <c r="G653" s="166">
        <v>0.96499100000000004</v>
      </c>
    </row>
    <row r="654" spans="1:7" x14ac:dyDescent="0.4">
      <c r="A654" s="164">
        <v>34541</v>
      </c>
      <c r="B654" s="166"/>
      <c r="C654" s="166">
        <v>715.65997300000004</v>
      </c>
      <c r="D654" s="160"/>
      <c r="E654" s="166">
        <v>8.6009799999999998</v>
      </c>
      <c r="G654" s="166">
        <v>0.95547499999999996</v>
      </c>
    </row>
    <row r="655" spans="1:7" x14ac:dyDescent="0.4">
      <c r="A655" s="164">
        <v>34542</v>
      </c>
      <c r="B655" s="166"/>
      <c r="C655" s="166">
        <v>712.13000499999998</v>
      </c>
      <c r="D655" s="160"/>
      <c r="E655" s="166">
        <v>8.6182169999999996</v>
      </c>
      <c r="G655" s="166">
        <v>0.94595799999999997</v>
      </c>
    </row>
    <row r="656" spans="1:7" x14ac:dyDescent="0.4">
      <c r="A656" s="164">
        <v>34543</v>
      </c>
      <c r="B656" s="166"/>
      <c r="C656" s="166">
        <v>712.42999299999997</v>
      </c>
      <c r="D656" s="160"/>
      <c r="E656" s="166">
        <v>8.5837420000000009</v>
      </c>
      <c r="G656" s="166">
        <v>0.97070100000000004</v>
      </c>
    </row>
    <row r="657" spans="1:7" x14ac:dyDescent="0.4">
      <c r="A657" s="164">
        <v>34544</v>
      </c>
      <c r="B657" s="166"/>
      <c r="C657" s="166">
        <v>722.15997300000004</v>
      </c>
      <c r="D657" s="160"/>
      <c r="E657" s="166">
        <v>8.5320370000000008</v>
      </c>
      <c r="G657" s="166">
        <v>1.025898</v>
      </c>
    </row>
    <row r="658" spans="1:7" x14ac:dyDescent="0.4">
      <c r="A658" s="164">
        <v>34547</v>
      </c>
      <c r="B658" s="166"/>
      <c r="C658" s="166">
        <v>724.84997599999997</v>
      </c>
      <c r="D658" s="160"/>
      <c r="E658" s="166">
        <v>8.6699289999999998</v>
      </c>
      <c r="G658" s="166">
        <v>1.016381</v>
      </c>
    </row>
    <row r="659" spans="1:7" x14ac:dyDescent="0.4">
      <c r="A659" s="164">
        <v>34548</v>
      </c>
      <c r="B659" s="166"/>
      <c r="C659" s="166">
        <v>724.79998799999998</v>
      </c>
      <c r="D659" s="160"/>
      <c r="E659" s="166">
        <v>8.5837420000000009</v>
      </c>
      <c r="G659" s="166">
        <v>0.99163800000000002</v>
      </c>
    </row>
    <row r="660" spans="1:7" x14ac:dyDescent="0.4">
      <c r="A660" s="164">
        <v>34549</v>
      </c>
      <c r="B660" s="166"/>
      <c r="C660" s="166">
        <v>723.69000200000005</v>
      </c>
      <c r="D660" s="160"/>
      <c r="E660" s="166">
        <v>8.6871650000000002</v>
      </c>
      <c r="G660" s="166">
        <v>1.0087680000000001</v>
      </c>
    </row>
    <row r="661" spans="1:7" x14ac:dyDescent="0.4">
      <c r="A661" s="164">
        <v>34550</v>
      </c>
      <c r="B661" s="166"/>
      <c r="C661" s="166">
        <v>720.17999299999997</v>
      </c>
      <c r="D661" s="160"/>
      <c r="E661" s="166">
        <v>8.8447899999999997</v>
      </c>
      <c r="G661" s="166">
        <v>1.012575</v>
      </c>
    </row>
    <row r="662" spans="1:7" x14ac:dyDescent="0.4">
      <c r="A662" s="164">
        <v>34551</v>
      </c>
      <c r="B662" s="166"/>
      <c r="C662" s="166">
        <v>718.669983</v>
      </c>
      <c r="D662" s="160"/>
      <c r="E662" s="166">
        <v>8.739706</v>
      </c>
      <c r="G662" s="166">
        <v>1.012575</v>
      </c>
    </row>
    <row r="663" spans="1:7" x14ac:dyDescent="0.4">
      <c r="A663" s="164">
        <v>34554</v>
      </c>
      <c r="B663" s="166"/>
      <c r="C663" s="166">
        <v>720.46997099999999</v>
      </c>
      <c r="D663" s="160"/>
      <c r="E663" s="166">
        <v>8.8623080000000005</v>
      </c>
      <c r="G663" s="166">
        <v>1.027801</v>
      </c>
    </row>
    <row r="664" spans="1:7" x14ac:dyDescent="0.4">
      <c r="A664" s="164">
        <v>34555</v>
      </c>
      <c r="B664" s="166"/>
      <c r="C664" s="166">
        <v>722.60998500000005</v>
      </c>
      <c r="D664" s="160"/>
      <c r="E664" s="166">
        <v>9.0374499999999998</v>
      </c>
      <c r="G664" s="166">
        <v>1.023995</v>
      </c>
    </row>
    <row r="665" spans="1:7" x14ac:dyDescent="0.4">
      <c r="A665" s="164">
        <v>34556</v>
      </c>
      <c r="B665" s="166"/>
      <c r="C665" s="166">
        <v>728.20001200000002</v>
      </c>
      <c r="D665" s="160"/>
      <c r="E665" s="166">
        <v>8.9849069999999998</v>
      </c>
      <c r="G665" s="166">
        <v>1.0544480000000001</v>
      </c>
    </row>
    <row r="666" spans="1:7" x14ac:dyDescent="0.4">
      <c r="A666" s="164">
        <v>34557</v>
      </c>
      <c r="B666" s="166"/>
      <c r="C666" s="166">
        <v>728.20001200000002</v>
      </c>
      <c r="D666" s="160"/>
      <c r="E666" s="166">
        <v>9.0549649999999993</v>
      </c>
      <c r="G666" s="166">
        <v>1.044932</v>
      </c>
    </row>
    <row r="667" spans="1:7" x14ac:dyDescent="0.4">
      <c r="A667" s="164">
        <v>34558</v>
      </c>
      <c r="B667" s="166"/>
      <c r="C667" s="166">
        <v>731.60998500000005</v>
      </c>
      <c r="D667" s="160"/>
      <c r="E667" s="166">
        <v>8.9323639999999997</v>
      </c>
      <c r="G667" s="166">
        <v>1.0582549999999999</v>
      </c>
    </row>
    <row r="668" spans="1:7" x14ac:dyDescent="0.4">
      <c r="A668" s="164">
        <v>34561</v>
      </c>
      <c r="B668" s="166"/>
      <c r="C668" s="166">
        <v>732.89001499999995</v>
      </c>
      <c r="D668" s="160"/>
      <c r="E668" s="166">
        <v>9.0199359999999995</v>
      </c>
      <c r="G668" s="166">
        <v>1.0581050000000001</v>
      </c>
    </row>
    <row r="669" spans="1:7" x14ac:dyDescent="0.4">
      <c r="A669" s="164">
        <v>34562</v>
      </c>
      <c r="B669" s="166"/>
      <c r="C669" s="166">
        <v>735.51000999999997</v>
      </c>
      <c r="D669" s="160"/>
      <c r="E669" s="166">
        <v>9.0549649999999993</v>
      </c>
      <c r="G669" s="166">
        <v>1.0619259999999999</v>
      </c>
    </row>
    <row r="670" spans="1:7" x14ac:dyDescent="0.4">
      <c r="A670" s="164">
        <v>34563</v>
      </c>
      <c r="B670" s="166"/>
      <c r="C670" s="166">
        <v>742.65997300000004</v>
      </c>
      <c r="D670" s="160"/>
      <c r="E670" s="166">
        <v>9.0899929999999998</v>
      </c>
      <c r="G670" s="166">
        <v>1.0695650000000001</v>
      </c>
    </row>
    <row r="671" spans="1:7" x14ac:dyDescent="0.4">
      <c r="A671" s="164">
        <v>34564</v>
      </c>
      <c r="B671" s="166"/>
      <c r="C671" s="166">
        <v>742.169983</v>
      </c>
      <c r="D671" s="160"/>
      <c r="E671" s="166">
        <v>9.2826540000000008</v>
      </c>
      <c r="G671" s="166">
        <v>1.0581050000000001</v>
      </c>
    </row>
    <row r="672" spans="1:7" x14ac:dyDescent="0.4">
      <c r="A672" s="164">
        <v>34565</v>
      </c>
      <c r="B672" s="166"/>
      <c r="C672" s="166">
        <v>742.42999299999997</v>
      </c>
      <c r="D672" s="160"/>
      <c r="E672" s="166">
        <v>9.5453740000000007</v>
      </c>
      <c r="G672" s="166">
        <v>1.0657460000000001</v>
      </c>
    </row>
    <row r="673" spans="1:7" x14ac:dyDescent="0.4">
      <c r="A673" s="164">
        <v>34568</v>
      </c>
      <c r="B673" s="166"/>
      <c r="C673" s="166">
        <v>742.28997800000002</v>
      </c>
      <c r="D673" s="160"/>
      <c r="E673" s="166">
        <v>9.4928270000000001</v>
      </c>
      <c r="G673" s="166">
        <v>1.0657460000000001</v>
      </c>
    </row>
    <row r="674" spans="1:7" x14ac:dyDescent="0.4">
      <c r="A674" s="164">
        <v>34569</v>
      </c>
      <c r="B674" s="166"/>
      <c r="C674" s="166">
        <v>747.97997999999995</v>
      </c>
      <c r="D674" s="160"/>
      <c r="E674" s="166">
        <v>9.4753150000000002</v>
      </c>
      <c r="G674" s="166">
        <v>1.0695650000000001</v>
      </c>
    </row>
    <row r="675" spans="1:7" x14ac:dyDescent="0.4">
      <c r="A675" s="164">
        <v>34570</v>
      </c>
      <c r="B675" s="166"/>
      <c r="C675" s="166">
        <v>751.71997099999999</v>
      </c>
      <c r="D675" s="160"/>
      <c r="E675" s="166">
        <v>9.4402849999999994</v>
      </c>
      <c r="G675" s="166">
        <v>1.0657460000000001</v>
      </c>
    </row>
    <row r="676" spans="1:7" x14ac:dyDescent="0.4">
      <c r="A676" s="164">
        <v>34571</v>
      </c>
      <c r="B676" s="166"/>
      <c r="C676" s="166">
        <v>754.79998799999998</v>
      </c>
      <c r="D676" s="160"/>
      <c r="E676" s="166">
        <v>9.7205139999999997</v>
      </c>
      <c r="G676" s="166">
        <v>1.071475</v>
      </c>
    </row>
    <row r="677" spans="1:7" x14ac:dyDescent="0.4">
      <c r="A677" s="164">
        <v>34572</v>
      </c>
      <c r="B677" s="166"/>
      <c r="C677" s="166">
        <v>762.94000200000005</v>
      </c>
      <c r="D677" s="160"/>
      <c r="E677" s="166">
        <v>9.8080920000000003</v>
      </c>
      <c r="G677" s="166">
        <v>1.0924849999999999</v>
      </c>
    </row>
    <row r="678" spans="1:7" x14ac:dyDescent="0.4">
      <c r="A678" s="164">
        <v>34575</v>
      </c>
      <c r="B678" s="166"/>
      <c r="C678" s="166">
        <v>763.21002199999998</v>
      </c>
      <c r="D678" s="160"/>
      <c r="E678" s="166">
        <v>9.7205139999999997</v>
      </c>
      <c r="G678" s="166">
        <v>1.0810249999999999</v>
      </c>
    </row>
    <row r="679" spans="1:7" x14ac:dyDescent="0.4">
      <c r="A679" s="164">
        <v>34576</v>
      </c>
      <c r="B679" s="166"/>
      <c r="C679" s="166">
        <v>766.46002199999998</v>
      </c>
      <c r="D679" s="160"/>
      <c r="E679" s="166">
        <v>9.7205139999999997</v>
      </c>
      <c r="G679" s="166">
        <v>1.107764</v>
      </c>
    </row>
    <row r="680" spans="1:7" x14ac:dyDescent="0.4">
      <c r="A680" s="164">
        <v>34577</v>
      </c>
      <c r="B680" s="166"/>
      <c r="C680" s="166">
        <v>765.61999500000002</v>
      </c>
      <c r="D680" s="160"/>
      <c r="E680" s="166">
        <v>9.5979159999999997</v>
      </c>
      <c r="G680" s="166">
        <v>1.1058539999999999</v>
      </c>
    </row>
    <row r="681" spans="1:7" x14ac:dyDescent="0.4">
      <c r="A681" s="164">
        <v>34578</v>
      </c>
      <c r="B681" s="166"/>
      <c r="C681" s="166">
        <v>758.95001200000002</v>
      </c>
      <c r="D681" s="160"/>
      <c r="E681" s="166">
        <v>9.5103449999999992</v>
      </c>
      <c r="G681" s="166">
        <v>1.0695650000000001</v>
      </c>
    </row>
    <row r="682" spans="1:7" x14ac:dyDescent="0.4">
      <c r="A682" s="164">
        <v>34579</v>
      </c>
      <c r="B682" s="166"/>
      <c r="C682" s="166">
        <v>759.22997999999995</v>
      </c>
      <c r="D682" s="160"/>
      <c r="E682" s="166">
        <v>9.4227690000000006</v>
      </c>
      <c r="G682" s="166">
        <v>1.0810249999999999</v>
      </c>
    </row>
    <row r="683" spans="1:7" x14ac:dyDescent="0.4">
      <c r="A683" s="164">
        <v>34583</v>
      </c>
      <c r="B683" s="166"/>
      <c r="C683" s="166">
        <v>759.47997999999995</v>
      </c>
      <c r="D683" s="160"/>
      <c r="E683" s="166">
        <v>9.4578039999999994</v>
      </c>
      <c r="G683" s="166">
        <v>1.0867549999999999</v>
      </c>
    </row>
    <row r="684" spans="1:7" x14ac:dyDescent="0.4">
      <c r="A684" s="164">
        <v>34584</v>
      </c>
      <c r="B684" s="166"/>
      <c r="C684" s="166">
        <v>764.28002900000001</v>
      </c>
      <c r="D684" s="160"/>
      <c r="E684" s="166">
        <v>9.4578039999999994</v>
      </c>
      <c r="G684" s="166">
        <v>1.103944</v>
      </c>
    </row>
    <row r="685" spans="1:7" x14ac:dyDescent="0.4">
      <c r="A685" s="164">
        <v>34585</v>
      </c>
      <c r="B685" s="166"/>
      <c r="C685" s="166">
        <v>769.29998799999998</v>
      </c>
      <c r="D685" s="160"/>
      <c r="E685" s="166">
        <v>9.5103449999999992</v>
      </c>
      <c r="G685" s="166">
        <v>1.103944</v>
      </c>
    </row>
    <row r="686" spans="1:7" x14ac:dyDescent="0.4">
      <c r="A686" s="164">
        <v>34586</v>
      </c>
      <c r="B686" s="166"/>
      <c r="C686" s="166">
        <v>763.72997999999995</v>
      </c>
      <c r="D686" s="160"/>
      <c r="E686" s="166">
        <v>9.4227690000000006</v>
      </c>
      <c r="G686" s="166">
        <v>1.0924849999999999</v>
      </c>
    </row>
    <row r="687" spans="1:7" x14ac:dyDescent="0.4">
      <c r="A687" s="164">
        <v>34589</v>
      </c>
      <c r="B687" s="166"/>
      <c r="C687" s="166">
        <v>760.01000999999997</v>
      </c>
      <c r="D687" s="160"/>
      <c r="E687" s="166">
        <v>9.5103449999999992</v>
      </c>
      <c r="G687" s="166">
        <v>1.0924849999999999</v>
      </c>
    </row>
    <row r="688" spans="1:7" x14ac:dyDescent="0.4">
      <c r="A688" s="164">
        <v>34590</v>
      </c>
      <c r="B688" s="166"/>
      <c r="C688" s="166">
        <v>765.830017</v>
      </c>
      <c r="D688" s="160"/>
      <c r="E688" s="166">
        <v>9.7029969999999999</v>
      </c>
      <c r="G688" s="166">
        <v>1.094395</v>
      </c>
    </row>
    <row r="689" spans="1:7" x14ac:dyDescent="0.4">
      <c r="A689" s="164">
        <v>34591</v>
      </c>
      <c r="B689" s="166"/>
      <c r="C689" s="166">
        <v>768.60998500000005</v>
      </c>
      <c r="D689" s="160"/>
      <c r="E689" s="166">
        <v>9.773066</v>
      </c>
      <c r="G689" s="166">
        <v>1.073385</v>
      </c>
    </row>
    <row r="690" spans="1:7" x14ac:dyDescent="0.4">
      <c r="A690" s="164">
        <v>34592</v>
      </c>
      <c r="B690" s="166"/>
      <c r="C690" s="166">
        <v>778.65997300000004</v>
      </c>
      <c r="D690" s="160"/>
      <c r="E690" s="166">
        <v>9.773066</v>
      </c>
      <c r="G690" s="166">
        <v>1.1001240000000001</v>
      </c>
    </row>
    <row r="691" spans="1:7" x14ac:dyDescent="0.4">
      <c r="A691" s="164">
        <v>34593</v>
      </c>
      <c r="B691" s="166"/>
      <c r="C691" s="166">
        <v>777.90997300000004</v>
      </c>
      <c r="D691" s="160"/>
      <c r="E691" s="166">
        <v>9.9482009999999992</v>
      </c>
      <c r="G691" s="166">
        <v>1.1115839999999999</v>
      </c>
    </row>
    <row r="692" spans="1:7" x14ac:dyDescent="0.4">
      <c r="A692" s="164">
        <v>34596</v>
      </c>
      <c r="B692" s="166"/>
      <c r="C692" s="166">
        <v>776.71997099999999</v>
      </c>
      <c r="D692" s="160"/>
      <c r="E692" s="166">
        <v>9.8606300000000005</v>
      </c>
      <c r="G692" s="166">
        <v>1.0848450000000001</v>
      </c>
    </row>
    <row r="693" spans="1:7" x14ac:dyDescent="0.4">
      <c r="A693" s="164">
        <v>34597</v>
      </c>
      <c r="B693" s="166"/>
      <c r="C693" s="166">
        <v>766.73999000000003</v>
      </c>
      <c r="D693" s="160"/>
      <c r="E693" s="166">
        <v>9.8431139999999999</v>
      </c>
      <c r="G693" s="166">
        <v>1.0561959999999999</v>
      </c>
    </row>
    <row r="694" spans="1:7" x14ac:dyDescent="0.4">
      <c r="A694" s="164">
        <v>34598</v>
      </c>
      <c r="B694" s="166"/>
      <c r="C694" s="166">
        <v>760.71002199999998</v>
      </c>
      <c r="D694" s="160"/>
      <c r="E694" s="166">
        <v>9.7380320000000005</v>
      </c>
      <c r="G694" s="166">
        <v>1.042826</v>
      </c>
    </row>
    <row r="695" spans="1:7" x14ac:dyDescent="0.4">
      <c r="A695" s="164">
        <v>34599</v>
      </c>
      <c r="B695" s="166"/>
      <c r="C695" s="166">
        <v>760.44000200000005</v>
      </c>
      <c r="D695" s="160"/>
      <c r="E695" s="166">
        <v>9.7555460000000007</v>
      </c>
      <c r="G695" s="166">
        <v>1.0351859999999999</v>
      </c>
    </row>
    <row r="696" spans="1:7" x14ac:dyDescent="0.4">
      <c r="A696" s="164">
        <v>34600</v>
      </c>
      <c r="B696" s="166"/>
      <c r="C696" s="166">
        <v>757.46002199999998</v>
      </c>
      <c r="D696" s="160"/>
      <c r="E696" s="166">
        <v>9.6854849999999999</v>
      </c>
      <c r="G696" s="166">
        <v>1.037096</v>
      </c>
    </row>
    <row r="697" spans="1:7" x14ac:dyDescent="0.4">
      <c r="A697" s="164">
        <v>34603</v>
      </c>
      <c r="B697" s="166"/>
      <c r="C697" s="166">
        <v>755.63000499999998</v>
      </c>
      <c r="D697" s="160"/>
      <c r="E697" s="166">
        <v>9.6679709999999996</v>
      </c>
      <c r="G697" s="166">
        <v>1.037096</v>
      </c>
    </row>
    <row r="698" spans="1:7" x14ac:dyDescent="0.4">
      <c r="A698" s="164">
        <v>34604</v>
      </c>
      <c r="B698" s="166"/>
      <c r="C698" s="166">
        <v>755.36999500000002</v>
      </c>
      <c r="D698" s="160"/>
      <c r="E698" s="166">
        <v>9.6679709999999996</v>
      </c>
      <c r="G698" s="166">
        <v>1.0351859999999999</v>
      </c>
    </row>
    <row r="699" spans="1:7" x14ac:dyDescent="0.4">
      <c r="A699" s="164">
        <v>34605</v>
      </c>
      <c r="B699" s="166"/>
      <c r="C699" s="166">
        <v>760.01000999999997</v>
      </c>
      <c r="D699" s="160"/>
      <c r="E699" s="166">
        <v>9.5979159999999997</v>
      </c>
      <c r="G699" s="166">
        <v>1.0351859999999999</v>
      </c>
    </row>
    <row r="700" spans="1:7" x14ac:dyDescent="0.4">
      <c r="A700" s="164">
        <v>34606</v>
      </c>
      <c r="B700" s="166"/>
      <c r="C700" s="166">
        <v>759.34002699999996</v>
      </c>
      <c r="D700" s="160"/>
      <c r="E700" s="166">
        <v>9.7380320000000005</v>
      </c>
      <c r="G700" s="166">
        <v>1.042826</v>
      </c>
    </row>
    <row r="701" spans="1:7" x14ac:dyDescent="0.4">
      <c r="A701" s="164">
        <v>34607</v>
      </c>
      <c r="B701" s="166"/>
      <c r="C701" s="166">
        <v>764.28997800000002</v>
      </c>
      <c r="D701" s="160"/>
      <c r="E701" s="166">
        <v>9.7555460000000007</v>
      </c>
      <c r="G701" s="166">
        <v>1.0294559999999999</v>
      </c>
    </row>
    <row r="702" spans="1:7" x14ac:dyDescent="0.4">
      <c r="A702" s="164">
        <v>34610</v>
      </c>
      <c r="B702" s="166"/>
      <c r="C702" s="166">
        <v>760.88000499999998</v>
      </c>
      <c r="D702" s="160"/>
      <c r="E702" s="166">
        <v>9.6504569999999994</v>
      </c>
      <c r="G702" s="166">
        <v>1.012267</v>
      </c>
    </row>
    <row r="703" spans="1:7" x14ac:dyDescent="0.4">
      <c r="A703" s="164">
        <v>34611</v>
      </c>
      <c r="B703" s="166"/>
      <c r="C703" s="166">
        <v>747.29998799999998</v>
      </c>
      <c r="D703" s="160"/>
      <c r="E703" s="166">
        <v>9.5803999999999991</v>
      </c>
      <c r="G703" s="166">
        <v>1.0313669999999999</v>
      </c>
    </row>
    <row r="704" spans="1:7" x14ac:dyDescent="0.4">
      <c r="A704" s="164">
        <v>34612</v>
      </c>
      <c r="B704" s="166"/>
      <c r="C704" s="166">
        <v>746.28002900000001</v>
      </c>
      <c r="D704" s="160"/>
      <c r="E704" s="166">
        <v>9.6854849999999999</v>
      </c>
      <c r="G704" s="166">
        <v>1.157422</v>
      </c>
    </row>
    <row r="705" spans="1:7" x14ac:dyDescent="0.4">
      <c r="A705" s="164">
        <v>34613</v>
      </c>
      <c r="B705" s="166"/>
      <c r="C705" s="166">
        <v>744.19000200000005</v>
      </c>
      <c r="D705" s="160"/>
      <c r="E705" s="166">
        <v>9.6329419999999999</v>
      </c>
      <c r="G705" s="166">
        <v>1.107764</v>
      </c>
    </row>
    <row r="706" spans="1:7" x14ac:dyDescent="0.4">
      <c r="A706" s="164">
        <v>34614</v>
      </c>
      <c r="B706" s="166"/>
      <c r="C706" s="166">
        <v>749.96002199999998</v>
      </c>
      <c r="D706" s="160"/>
      <c r="E706" s="166">
        <v>9.9657180000000007</v>
      </c>
      <c r="G706" s="166">
        <v>1.1306830000000001</v>
      </c>
    </row>
    <row r="707" spans="1:7" x14ac:dyDescent="0.4">
      <c r="A707" s="164">
        <v>34617</v>
      </c>
      <c r="B707" s="166"/>
      <c r="C707" s="166">
        <v>756.80999799999995</v>
      </c>
      <c r="D707" s="160"/>
      <c r="E707" s="166">
        <v>10.018262999999999</v>
      </c>
      <c r="G707" s="166">
        <v>1.187981</v>
      </c>
    </row>
    <row r="708" spans="1:7" x14ac:dyDescent="0.4">
      <c r="A708" s="164">
        <v>34618</v>
      </c>
      <c r="B708" s="166"/>
      <c r="C708" s="166">
        <v>765.57000700000003</v>
      </c>
      <c r="D708" s="160"/>
      <c r="E708" s="166">
        <v>10.035776</v>
      </c>
      <c r="G708" s="166">
        <v>1.210901</v>
      </c>
    </row>
    <row r="709" spans="1:7" x14ac:dyDescent="0.4">
      <c r="A709" s="164">
        <v>34619</v>
      </c>
      <c r="B709" s="166"/>
      <c r="C709" s="166">
        <v>767</v>
      </c>
      <c r="D709" s="160"/>
      <c r="E709" s="166">
        <v>10.245949</v>
      </c>
      <c r="G709" s="166">
        <v>1.2872980000000001</v>
      </c>
    </row>
    <row r="710" spans="1:7" x14ac:dyDescent="0.4">
      <c r="A710" s="164">
        <v>34620</v>
      </c>
      <c r="B710" s="166"/>
      <c r="C710" s="166">
        <v>767.89001499999995</v>
      </c>
      <c r="D710" s="160"/>
      <c r="E710" s="166">
        <v>10.123347000000001</v>
      </c>
      <c r="G710" s="166">
        <v>1.2567390000000001</v>
      </c>
    </row>
    <row r="711" spans="1:7" x14ac:dyDescent="0.4">
      <c r="A711" s="164">
        <v>34621</v>
      </c>
      <c r="B711" s="166"/>
      <c r="C711" s="166">
        <v>767.080017</v>
      </c>
      <c r="D711" s="160"/>
      <c r="E711" s="166">
        <v>10.245949</v>
      </c>
      <c r="G711" s="166">
        <v>1.2567390000000001</v>
      </c>
    </row>
    <row r="712" spans="1:7" x14ac:dyDescent="0.4">
      <c r="A712" s="164">
        <v>34624</v>
      </c>
      <c r="B712" s="166"/>
      <c r="C712" s="166">
        <v>765.78002900000001</v>
      </c>
      <c r="D712" s="160"/>
      <c r="E712" s="166">
        <v>10.26346</v>
      </c>
      <c r="G712" s="166">
        <v>1.21472</v>
      </c>
    </row>
    <row r="713" spans="1:7" x14ac:dyDescent="0.4">
      <c r="A713" s="164">
        <v>34625</v>
      </c>
      <c r="B713" s="166"/>
      <c r="C713" s="166">
        <v>764.80999799999995</v>
      </c>
      <c r="D713" s="160"/>
      <c r="E713" s="166">
        <v>10.438611999999999</v>
      </c>
      <c r="G713" s="166">
        <v>1.260559</v>
      </c>
    </row>
    <row r="714" spans="1:7" x14ac:dyDescent="0.4">
      <c r="A714" s="164">
        <v>34626</v>
      </c>
      <c r="B714" s="166"/>
      <c r="C714" s="166">
        <v>770.61999500000002</v>
      </c>
      <c r="D714" s="160"/>
      <c r="E714" s="166">
        <v>10.561204</v>
      </c>
      <c r="G714" s="166">
        <v>1.260559</v>
      </c>
    </row>
    <row r="715" spans="1:7" x14ac:dyDescent="0.4">
      <c r="A715" s="164">
        <v>34627</v>
      </c>
      <c r="B715" s="166"/>
      <c r="C715" s="166">
        <v>768.23999000000003</v>
      </c>
      <c r="D715" s="160"/>
      <c r="E715" s="166">
        <v>10.508661</v>
      </c>
      <c r="G715" s="166">
        <v>1.2529189999999999</v>
      </c>
    </row>
    <row r="716" spans="1:7" x14ac:dyDescent="0.4">
      <c r="A716" s="164">
        <v>34628</v>
      </c>
      <c r="B716" s="166"/>
      <c r="C716" s="166">
        <v>765.38000499999998</v>
      </c>
      <c r="D716" s="160"/>
      <c r="E716" s="166">
        <v>10.456123</v>
      </c>
      <c r="G716" s="166">
        <v>1.3025770000000001</v>
      </c>
    </row>
    <row r="717" spans="1:7" x14ac:dyDescent="0.4">
      <c r="A717" s="164">
        <v>34631</v>
      </c>
      <c r="B717" s="166"/>
      <c r="C717" s="166">
        <v>761.21002199999998</v>
      </c>
      <c r="D717" s="160"/>
      <c r="E717" s="166">
        <v>10.228436</v>
      </c>
      <c r="G717" s="166">
        <v>1.291118</v>
      </c>
    </row>
    <row r="718" spans="1:7" x14ac:dyDescent="0.4">
      <c r="A718" s="164">
        <v>34632</v>
      </c>
      <c r="B718" s="166"/>
      <c r="C718" s="166">
        <v>758.26000999999997</v>
      </c>
      <c r="D718" s="160"/>
      <c r="E718" s="166">
        <v>10.351032999999999</v>
      </c>
      <c r="G718" s="166">
        <v>1.3025770000000001</v>
      </c>
    </row>
    <row r="719" spans="1:7" x14ac:dyDescent="0.4">
      <c r="A719" s="164">
        <v>34633</v>
      </c>
      <c r="B719" s="166"/>
      <c r="C719" s="166">
        <v>763.23999000000003</v>
      </c>
      <c r="D719" s="160"/>
      <c r="E719" s="166">
        <v>10.421097</v>
      </c>
      <c r="G719" s="166">
        <v>1.321677</v>
      </c>
    </row>
    <row r="720" spans="1:7" x14ac:dyDescent="0.4">
      <c r="A720" s="164">
        <v>34634</v>
      </c>
      <c r="B720" s="166"/>
      <c r="C720" s="166">
        <v>767.46997099999999</v>
      </c>
      <c r="D720" s="160"/>
      <c r="E720" s="166">
        <v>10.386062000000001</v>
      </c>
      <c r="G720" s="166">
        <v>1.3063979999999999</v>
      </c>
    </row>
    <row r="721" spans="1:7" x14ac:dyDescent="0.4">
      <c r="A721" s="164">
        <v>34635</v>
      </c>
      <c r="B721" s="166"/>
      <c r="C721" s="166">
        <v>776.15002400000003</v>
      </c>
      <c r="D721" s="160"/>
      <c r="E721" s="166">
        <v>10.666292</v>
      </c>
      <c r="G721" s="166">
        <v>1.2872980000000001</v>
      </c>
    </row>
    <row r="722" spans="1:7" x14ac:dyDescent="0.4">
      <c r="A722" s="164">
        <v>34638</v>
      </c>
      <c r="B722" s="166"/>
      <c r="C722" s="166">
        <v>777.48999000000003</v>
      </c>
      <c r="D722" s="160"/>
      <c r="E722" s="166">
        <v>10.438611999999999</v>
      </c>
      <c r="G722" s="166">
        <v>1.3197669999999999</v>
      </c>
    </row>
    <row r="723" spans="1:7" x14ac:dyDescent="0.4">
      <c r="A723" s="164">
        <v>34639</v>
      </c>
      <c r="B723" s="166"/>
      <c r="C723" s="166">
        <v>772.19000200000005</v>
      </c>
      <c r="D723" s="160"/>
      <c r="E723" s="166">
        <v>10.351032999999999</v>
      </c>
      <c r="G723" s="166">
        <v>1.3178570000000001</v>
      </c>
    </row>
    <row r="724" spans="1:7" x14ac:dyDescent="0.4">
      <c r="A724" s="164">
        <v>34640</v>
      </c>
      <c r="B724" s="166"/>
      <c r="C724" s="166">
        <v>771.82000700000003</v>
      </c>
      <c r="D724" s="160"/>
      <c r="E724" s="166">
        <v>10.403575</v>
      </c>
      <c r="G724" s="166">
        <v>1.2643789999999999</v>
      </c>
    </row>
    <row r="725" spans="1:7" x14ac:dyDescent="0.4">
      <c r="A725" s="164">
        <v>34641</v>
      </c>
      <c r="B725" s="166"/>
      <c r="C725" s="166">
        <v>772.09997599999997</v>
      </c>
      <c r="D725" s="160"/>
      <c r="E725" s="166">
        <v>10.298489</v>
      </c>
      <c r="G725" s="166">
        <v>1.2681990000000001</v>
      </c>
    </row>
    <row r="726" spans="1:7" x14ac:dyDescent="0.4">
      <c r="A726" s="164">
        <v>34642</v>
      </c>
      <c r="B726" s="166"/>
      <c r="C726" s="166">
        <v>766.080017</v>
      </c>
      <c r="D726" s="160"/>
      <c r="E726" s="166">
        <v>10.103177000000001</v>
      </c>
      <c r="G726" s="166">
        <v>1.2338199999999999</v>
      </c>
    </row>
    <row r="727" spans="1:7" x14ac:dyDescent="0.4">
      <c r="A727" s="164">
        <v>34645</v>
      </c>
      <c r="B727" s="166"/>
      <c r="C727" s="166">
        <v>762.30999799999995</v>
      </c>
      <c r="D727" s="160"/>
      <c r="E727" s="166">
        <v>10.209713000000001</v>
      </c>
      <c r="G727" s="166">
        <v>1.245279</v>
      </c>
    </row>
    <row r="728" spans="1:7" x14ac:dyDescent="0.4">
      <c r="A728" s="164">
        <v>34646</v>
      </c>
      <c r="B728" s="166"/>
      <c r="C728" s="166">
        <v>767.53997800000002</v>
      </c>
      <c r="D728" s="160"/>
      <c r="E728" s="166">
        <v>10.369519</v>
      </c>
      <c r="G728" s="166">
        <v>1.291118</v>
      </c>
    </row>
    <row r="729" spans="1:7" x14ac:dyDescent="0.4">
      <c r="A729" s="164">
        <v>34647</v>
      </c>
      <c r="B729" s="166"/>
      <c r="C729" s="166">
        <v>767.25</v>
      </c>
      <c r="D729" s="160"/>
      <c r="E729" s="166">
        <v>10.511559</v>
      </c>
      <c r="G729" s="166">
        <v>1.272019</v>
      </c>
    </row>
    <row r="730" spans="1:7" x14ac:dyDescent="0.4">
      <c r="A730" s="164">
        <v>34648</v>
      </c>
      <c r="B730" s="166"/>
      <c r="C730" s="166">
        <v>764.38000499999998</v>
      </c>
      <c r="D730" s="160"/>
      <c r="E730" s="166">
        <v>10.227467000000001</v>
      </c>
      <c r="G730" s="166">
        <v>1.2624690000000001</v>
      </c>
    </row>
    <row r="731" spans="1:7" x14ac:dyDescent="0.4">
      <c r="A731" s="164">
        <v>34649</v>
      </c>
      <c r="B731" s="166"/>
      <c r="C731" s="166">
        <v>762.11999500000002</v>
      </c>
      <c r="D731" s="160"/>
      <c r="E731" s="166">
        <v>10.280737</v>
      </c>
      <c r="G731" s="166">
        <v>1.2567390000000001</v>
      </c>
    </row>
    <row r="732" spans="1:7" x14ac:dyDescent="0.4">
      <c r="A732" s="164">
        <v>34652</v>
      </c>
      <c r="B732" s="166"/>
      <c r="C732" s="166">
        <v>768.14001499999995</v>
      </c>
      <c r="D732" s="160"/>
      <c r="E732" s="166">
        <v>10.351761</v>
      </c>
      <c r="G732" s="166">
        <v>1.2987580000000001</v>
      </c>
    </row>
    <row r="733" spans="1:7" x14ac:dyDescent="0.4">
      <c r="A733" s="164">
        <v>34653</v>
      </c>
      <c r="B733" s="166"/>
      <c r="C733" s="166">
        <v>769.02002000000005</v>
      </c>
      <c r="D733" s="160"/>
      <c r="E733" s="166">
        <v>10.387271</v>
      </c>
      <c r="G733" s="166">
        <v>1.2643789999999999</v>
      </c>
    </row>
    <row r="734" spans="1:7" x14ac:dyDescent="0.4">
      <c r="A734" s="164">
        <v>34654</v>
      </c>
      <c r="B734" s="166"/>
      <c r="C734" s="166">
        <v>769.64001499999995</v>
      </c>
      <c r="D734" s="160"/>
      <c r="E734" s="166">
        <v>10.334</v>
      </c>
      <c r="G734" s="166">
        <v>1.251009</v>
      </c>
    </row>
    <row r="735" spans="1:7" x14ac:dyDescent="0.4">
      <c r="A735" s="164">
        <v>34655</v>
      </c>
      <c r="B735" s="166"/>
      <c r="C735" s="166">
        <v>765.84002699999996</v>
      </c>
      <c r="D735" s="160"/>
      <c r="E735" s="166">
        <v>10.387271</v>
      </c>
      <c r="G735" s="166">
        <v>1.2223599999999999</v>
      </c>
    </row>
    <row r="736" spans="1:7" x14ac:dyDescent="0.4">
      <c r="A736" s="164">
        <v>34656</v>
      </c>
      <c r="B736" s="166"/>
      <c r="C736" s="166">
        <v>764.669983</v>
      </c>
      <c r="D736" s="160"/>
      <c r="E736" s="166">
        <v>10.405025</v>
      </c>
      <c r="G736" s="166">
        <v>1.2260420000000001</v>
      </c>
    </row>
    <row r="737" spans="1:7" x14ac:dyDescent="0.4">
      <c r="A737" s="164">
        <v>34659</v>
      </c>
      <c r="B737" s="166"/>
      <c r="C737" s="166">
        <v>757.73999000000003</v>
      </c>
      <c r="D737" s="160"/>
      <c r="E737" s="166">
        <v>10.351761</v>
      </c>
      <c r="G737" s="166">
        <v>1.168571</v>
      </c>
    </row>
    <row r="738" spans="1:7" x14ac:dyDescent="0.4">
      <c r="A738" s="164">
        <v>34660</v>
      </c>
      <c r="B738" s="166"/>
      <c r="C738" s="166">
        <v>741.21002199999998</v>
      </c>
      <c r="D738" s="160"/>
      <c r="E738" s="166">
        <v>9.9078630000000008</v>
      </c>
      <c r="G738" s="166">
        <v>1.145583</v>
      </c>
    </row>
    <row r="739" spans="1:7" x14ac:dyDescent="0.4">
      <c r="A739" s="164">
        <v>34661</v>
      </c>
      <c r="B739" s="166"/>
      <c r="C739" s="166">
        <v>736.70001200000002</v>
      </c>
      <c r="D739" s="160"/>
      <c r="E739" s="166">
        <v>9.9433760000000007</v>
      </c>
      <c r="G739" s="166">
        <v>1.130258</v>
      </c>
    </row>
    <row r="740" spans="1:7" x14ac:dyDescent="0.4">
      <c r="A740" s="164">
        <v>34663</v>
      </c>
      <c r="B740" s="166"/>
      <c r="C740" s="166">
        <v>742.52002000000005</v>
      </c>
      <c r="D740" s="160"/>
      <c r="E740" s="166">
        <v>10.049912000000001</v>
      </c>
      <c r="G740" s="166">
        <v>1.1570769999999999</v>
      </c>
    </row>
    <row r="741" spans="1:7" x14ac:dyDescent="0.4">
      <c r="A741" s="164">
        <v>34666</v>
      </c>
      <c r="B741" s="166"/>
      <c r="C741" s="166">
        <v>745.72997999999995</v>
      </c>
      <c r="D741" s="160"/>
      <c r="E741" s="166">
        <v>10.032145999999999</v>
      </c>
      <c r="G741" s="166">
        <v>1.1589929999999999</v>
      </c>
    </row>
    <row r="742" spans="1:7" x14ac:dyDescent="0.4">
      <c r="A742" s="164">
        <v>34667</v>
      </c>
      <c r="B742" s="166"/>
      <c r="C742" s="166">
        <v>751.47997999999995</v>
      </c>
      <c r="D742" s="160"/>
      <c r="E742" s="166">
        <v>10.032145999999999</v>
      </c>
      <c r="G742" s="166">
        <v>1.1724030000000001</v>
      </c>
    </row>
    <row r="743" spans="1:7" x14ac:dyDescent="0.4">
      <c r="A743" s="164">
        <v>34668</v>
      </c>
      <c r="B743" s="166"/>
      <c r="C743" s="166">
        <v>750.32000700000003</v>
      </c>
      <c r="D743" s="160"/>
      <c r="E743" s="166">
        <v>10.049912000000001</v>
      </c>
      <c r="G743" s="166">
        <v>1.1417520000000001</v>
      </c>
    </row>
    <row r="744" spans="1:7" x14ac:dyDescent="0.4">
      <c r="A744" s="164">
        <v>34669</v>
      </c>
      <c r="B744" s="166"/>
      <c r="C744" s="166">
        <v>740.60998500000005</v>
      </c>
      <c r="D744" s="160"/>
      <c r="E744" s="166">
        <v>9.8723500000000008</v>
      </c>
      <c r="G744" s="166">
        <v>1.1091850000000001</v>
      </c>
    </row>
    <row r="745" spans="1:7" x14ac:dyDescent="0.4">
      <c r="A745" s="164">
        <v>34670</v>
      </c>
      <c r="B745" s="166"/>
      <c r="C745" s="166">
        <v>745.02002000000005</v>
      </c>
      <c r="D745" s="160"/>
      <c r="E745" s="166">
        <v>10.138684</v>
      </c>
      <c r="G745" s="166">
        <v>1.120679</v>
      </c>
    </row>
    <row r="746" spans="1:7" x14ac:dyDescent="0.4">
      <c r="A746" s="164">
        <v>34673</v>
      </c>
      <c r="B746" s="166"/>
      <c r="C746" s="166">
        <v>745.71002199999998</v>
      </c>
      <c r="D746" s="160"/>
      <c r="E746" s="166">
        <v>10.138684</v>
      </c>
      <c r="G746" s="166">
        <v>1.1398360000000001</v>
      </c>
    </row>
    <row r="747" spans="1:7" x14ac:dyDescent="0.4">
      <c r="A747" s="164">
        <v>34674</v>
      </c>
      <c r="B747" s="166"/>
      <c r="C747" s="166">
        <v>741.22997999999995</v>
      </c>
      <c r="D747" s="160"/>
      <c r="E747" s="166">
        <v>10.174196999999999</v>
      </c>
      <c r="G747" s="166">
        <v>1.15133</v>
      </c>
    </row>
    <row r="748" spans="1:7" x14ac:dyDescent="0.4">
      <c r="A748" s="164">
        <v>34675</v>
      </c>
      <c r="B748" s="166"/>
      <c r="C748" s="166">
        <v>734.27002000000005</v>
      </c>
      <c r="D748" s="160"/>
      <c r="E748" s="166">
        <v>10.120931000000001</v>
      </c>
      <c r="G748" s="166">
        <v>1.122595</v>
      </c>
    </row>
    <row r="749" spans="1:7" x14ac:dyDescent="0.4">
      <c r="A749" s="164">
        <v>34676</v>
      </c>
      <c r="B749" s="166"/>
      <c r="C749" s="166">
        <v>719.11999500000002</v>
      </c>
      <c r="D749" s="160"/>
      <c r="E749" s="166">
        <v>9.9611319999999992</v>
      </c>
      <c r="G749" s="166">
        <v>1.0996060000000001</v>
      </c>
    </row>
    <row r="750" spans="1:7" x14ac:dyDescent="0.4">
      <c r="A750" s="164">
        <v>34677</v>
      </c>
      <c r="B750" s="166"/>
      <c r="C750" s="166">
        <v>719.04998799999998</v>
      </c>
      <c r="D750" s="160"/>
      <c r="E750" s="166">
        <v>10.156444</v>
      </c>
      <c r="G750" s="166">
        <v>1.1111009999999999</v>
      </c>
    </row>
    <row r="751" spans="1:7" x14ac:dyDescent="0.4">
      <c r="A751" s="164">
        <v>34680</v>
      </c>
      <c r="B751" s="166"/>
      <c r="C751" s="166">
        <v>719.11999500000002</v>
      </c>
      <c r="D751" s="160"/>
      <c r="E751" s="166">
        <v>10.032145999999999</v>
      </c>
      <c r="G751" s="166">
        <v>1.1187640000000001</v>
      </c>
    </row>
    <row r="752" spans="1:7" x14ac:dyDescent="0.4">
      <c r="A752" s="164">
        <v>34681</v>
      </c>
      <c r="B752" s="166"/>
      <c r="C752" s="166">
        <v>719.48999000000003</v>
      </c>
      <c r="D752" s="160"/>
      <c r="E752" s="166">
        <v>9.9078630000000008</v>
      </c>
      <c r="G752" s="166">
        <v>1.114932</v>
      </c>
    </row>
    <row r="753" spans="1:7" x14ac:dyDescent="0.4">
      <c r="A753" s="164">
        <v>34682</v>
      </c>
      <c r="B753" s="166"/>
      <c r="C753" s="166">
        <v>725.669983</v>
      </c>
      <c r="D753" s="160"/>
      <c r="E753" s="166">
        <v>9.9788829999999997</v>
      </c>
      <c r="G753" s="166">
        <v>1.1609080000000001</v>
      </c>
    </row>
    <row r="754" spans="1:7" x14ac:dyDescent="0.4">
      <c r="A754" s="164">
        <v>34683</v>
      </c>
      <c r="B754" s="166"/>
      <c r="C754" s="166">
        <v>730.67999299999997</v>
      </c>
      <c r="D754" s="160"/>
      <c r="E754" s="166">
        <v>10.014395</v>
      </c>
      <c r="G754" s="166">
        <v>1.13792</v>
      </c>
    </row>
    <row r="755" spans="1:7" x14ac:dyDescent="0.4">
      <c r="A755" s="164">
        <v>34684</v>
      </c>
      <c r="B755" s="166"/>
      <c r="C755" s="166">
        <v>729.07000700000003</v>
      </c>
      <c r="D755" s="160"/>
      <c r="E755" s="166">
        <v>9.9611319999999992</v>
      </c>
      <c r="G755" s="166">
        <v>1.1417520000000001</v>
      </c>
    </row>
    <row r="756" spans="1:7" x14ac:dyDescent="0.4">
      <c r="A756" s="164">
        <v>34687</v>
      </c>
      <c r="B756" s="166"/>
      <c r="C756" s="166">
        <v>727.89001499999995</v>
      </c>
      <c r="D756" s="160"/>
      <c r="E756" s="166">
        <v>10.174196999999999</v>
      </c>
      <c r="G756" s="166">
        <v>1.199222</v>
      </c>
    </row>
    <row r="757" spans="1:7" x14ac:dyDescent="0.4">
      <c r="A757" s="164">
        <v>34688</v>
      </c>
      <c r="B757" s="166"/>
      <c r="C757" s="166">
        <v>728.51000999999997</v>
      </c>
      <c r="D757" s="160"/>
      <c r="E757" s="166">
        <v>10.049912000000001</v>
      </c>
      <c r="G757" s="166">
        <v>1.1800660000000001</v>
      </c>
    </row>
    <row r="758" spans="1:7" x14ac:dyDescent="0.4">
      <c r="A758" s="164">
        <v>34689</v>
      </c>
      <c r="B758" s="166"/>
      <c r="C758" s="166">
        <v>737.11999500000002</v>
      </c>
      <c r="D758" s="160"/>
      <c r="E758" s="166">
        <v>10.458294</v>
      </c>
      <c r="G758" s="166">
        <v>1.176234</v>
      </c>
    </row>
    <row r="759" spans="1:7" x14ac:dyDescent="0.4">
      <c r="A759" s="164">
        <v>34690</v>
      </c>
      <c r="B759" s="166"/>
      <c r="C759" s="166">
        <v>739.34002699999996</v>
      </c>
      <c r="D759" s="160"/>
      <c r="E759" s="166">
        <v>10.440536</v>
      </c>
      <c r="G759" s="166">
        <v>1.183897</v>
      </c>
    </row>
    <row r="760" spans="1:7" x14ac:dyDescent="0.4">
      <c r="A760" s="164">
        <v>34691</v>
      </c>
      <c r="B760" s="166"/>
      <c r="C760" s="166">
        <v>742.19000200000005</v>
      </c>
      <c r="D760" s="160"/>
      <c r="E760" s="166">
        <v>10.440536</v>
      </c>
      <c r="G760" s="166">
        <v>1.19156</v>
      </c>
    </row>
    <row r="761" spans="1:7" x14ac:dyDescent="0.4">
      <c r="A761" s="164">
        <v>34695</v>
      </c>
      <c r="B761" s="166"/>
      <c r="C761" s="166">
        <v>746.19000200000005</v>
      </c>
      <c r="D761" s="160"/>
      <c r="E761" s="166">
        <v>10.547072</v>
      </c>
      <c r="G761" s="166">
        <v>1.199222</v>
      </c>
    </row>
    <row r="762" spans="1:7" x14ac:dyDescent="0.4">
      <c r="A762" s="164">
        <v>34696</v>
      </c>
      <c r="B762" s="166"/>
      <c r="C762" s="166">
        <v>742.46002199999998</v>
      </c>
      <c r="D762" s="160"/>
      <c r="E762" s="166">
        <v>10.369519</v>
      </c>
      <c r="G762" s="166">
        <v>1.199222</v>
      </c>
    </row>
    <row r="763" spans="1:7" x14ac:dyDescent="0.4">
      <c r="A763" s="164">
        <v>34697</v>
      </c>
      <c r="B763" s="166"/>
      <c r="C763" s="166">
        <v>749.53002900000001</v>
      </c>
      <c r="D763" s="160"/>
      <c r="E763" s="166">
        <v>10.564837000000001</v>
      </c>
      <c r="G763" s="166">
        <v>1.2107159999999999</v>
      </c>
    </row>
    <row r="764" spans="1:7" x14ac:dyDescent="0.4">
      <c r="A764" s="164">
        <v>34698</v>
      </c>
      <c r="B764" s="166"/>
      <c r="C764" s="166">
        <v>751.96002199999998</v>
      </c>
      <c r="D764" s="160"/>
      <c r="E764" s="166">
        <v>10.440536</v>
      </c>
      <c r="G764" s="166">
        <v>1.1953910000000001</v>
      </c>
    </row>
    <row r="765" spans="1:7" x14ac:dyDescent="0.4">
      <c r="A765" s="164">
        <v>34702</v>
      </c>
      <c r="B765" s="166"/>
      <c r="C765" s="166">
        <v>743.580017</v>
      </c>
      <c r="D765" s="160"/>
      <c r="E765" s="166">
        <v>10.476053</v>
      </c>
      <c r="G765" s="166">
        <v>1.176234</v>
      </c>
    </row>
    <row r="766" spans="1:7" x14ac:dyDescent="0.4">
      <c r="A766" s="164">
        <v>34703</v>
      </c>
      <c r="B766" s="166"/>
      <c r="C766" s="166">
        <v>745.84002699999996</v>
      </c>
      <c r="D766" s="160"/>
      <c r="E766" s="166">
        <v>10.564837000000001</v>
      </c>
      <c r="G766" s="166">
        <v>1.206885</v>
      </c>
    </row>
    <row r="767" spans="1:7" x14ac:dyDescent="0.4">
      <c r="A767" s="164">
        <v>34704</v>
      </c>
      <c r="B767" s="166"/>
      <c r="C767" s="166">
        <v>745.65997300000004</v>
      </c>
      <c r="D767" s="160"/>
      <c r="E767" s="166">
        <v>10.511559</v>
      </c>
      <c r="G767" s="166">
        <v>1.19156</v>
      </c>
    </row>
    <row r="768" spans="1:7" x14ac:dyDescent="0.4">
      <c r="A768" s="164">
        <v>34705</v>
      </c>
      <c r="B768" s="166"/>
      <c r="C768" s="166">
        <v>749.69000200000005</v>
      </c>
      <c r="D768" s="160"/>
      <c r="E768" s="166">
        <v>10.671362999999999</v>
      </c>
      <c r="G768" s="166">
        <v>1.287344</v>
      </c>
    </row>
    <row r="769" spans="1:7" x14ac:dyDescent="0.4">
      <c r="A769" s="164">
        <v>34708</v>
      </c>
      <c r="B769" s="166"/>
      <c r="C769" s="166">
        <v>752.09002699999996</v>
      </c>
      <c r="D769" s="160"/>
      <c r="E769" s="166">
        <v>10.724632</v>
      </c>
      <c r="G769" s="166">
        <v>1.2629189999999999</v>
      </c>
    </row>
    <row r="770" spans="1:7" x14ac:dyDescent="0.4">
      <c r="A770" s="164">
        <v>34709</v>
      </c>
      <c r="B770" s="166"/>
      <c r="C770" s="166">
        <v>756.52002000000005</v>
      </c>
      <c r="D770" s="160"/>
      <c r="E770" s="166">
        <v>10.884435</v>
      </c>
      <c r="G770" s="166">
        <v>1.3390679999999999</v>
      </c>
    </row>
    <row r="771" spans="1:7" x14ac:dyDescent="0.4">
      <c r="A771" s="164">
        <v>34710</v>
      </c>
      <c r="B771" s="166"/>
      <c r="C771" s="166">
        <v>755.73999000000003</v>
      </c>
      <c r="D771" s="160"/>
      <c r="E771" s="166">
        <v>10.79566</v>
      </c>
      <c r="G771" s="166">
        <v>1.4329369999999999</v>
      </c>
    </row>
    <row r="772" spans="1:7" x14ac:dyDescent="0.4">
      <c r="A772" s="164">
        <v>34711</v>
      </c>
      <c r="B772" s="166"/>
      <c r="C772" s="166">
        <v>756.51000999999997</v>
      </c>
      <c r="D772" s="160"/>
      <c r="E772" s="166">
        <v>10.79566</v>
      </c>
      <c r="G772" s="166">
        <v>1.390792</v>
      </c>
    </row>
    <row r="773" spans="1:7" x14ac:dyDescent="0.4">
      <c r="A773" s="164">
        <v>34712</v>
      </c>
      <c r="B773" s="166"/>
      <c r="C773" s="166">
        <v>762.15997300000004</v>
      </c>
      <c r="D773" s="160"/>
      <c r="E773" s="166">
        <v>10.848926000000001</v>
      </c>
      <c r="G773" s="166">
        <v>1.3754660000000001</v>
      </c>
    </row>
    <row r="774" spans="1:7" x14ac:dyDescent="0.4">
      <c r="A774" s="164">
        <v>34715</v>
      </c>
      <c r="B774" s="166"/>
      <c r="C774" s="166">
        <v>768.15997300000004</v>
      </c>
      <c r="D774" s="160"/>
      <c r="E774" s="166">
        <v>11.00873</v>
      </c>
      <c r="G774" s="166">
        <v>1.363972</v>
      </c>
    </row>
    <row r="775" spans="1:7" x14ac:dyDescent="0.4">
      <c r="A775" s="164">
        <v>34716</v>
      </c>
      <c r="B775" s="166"/>
      <c r="C775" s="166">
        <v>772.14001499999995</v>
      </c>
      <c r="D775" s="160"/>
      <c r="E775" s="166">
        <v>11.00873</v>
      </c>
      <c r="G775" s="166">
        <v>1.379297</v>
      </c>
    </row>
    <row r="776" spans="1:7" x14ac:dyDescent="0.4">
      <c r="A776" s="164">
        <v>34717</v>
      </c>
      <c r="B776" s="166"/>
      <c r="C776" s="166">
        <v>772.38000499999998</v>
      </c>
      <c r="D776" s="160"/>
      <c r="E776" s="166">
        <v>10.973219</v>
      </c>
      <c r="G776" s="166">
        <v>1.3984540000000001</v>
      </c>
    </row>
    <row r="777" spans="1:7" x14ac:dyDescent="0.4">
      <c r="A777" s="164">
        <v>34718</v>
      </c>
      <c r="B777" s="166"/>
      <c r="C777" s="166">
        <v>768.54998799999998</v>
      </c>
      <c r="D777" s="160"/>
      <c r="E777" s="166">
        <v>10.866687000000001</v>
      </c>
      <c r="G777" s="166">
        <v>1.4061170000000001</v>
      </c>
    </row>
    <row r="778" spans="1:7" x14ac:dyDescent="0.4">
      <c r="A778" s="164">
        <v>34719</v>
      </c>
      <c r="B778" s="166"/>
      <c r="C778" s="166">
        <v>762.04998799999998</v>
      </c>
      <c r="D778" s="160"/>
      <c r="E778" s="166">
        <v>10.706877</v>
      </c>
      <c r="G778" s="166">
        <v>1.3065009999999999</v>
      </c>
    </row>
    <row r="779" spans="1:7" x14ac:dyDescent="0.4">
      <c r="A779" s="164">
        <v>34722</v>
      </c>
      <c r="B779" s="166"/>
      <c r="C779" s="166">
        <v>759.51000999999997</v>
      </c>
      <c r="D779" s="160"/>
      <c r="E779" s="166">
        <v>10.547072</v>
      </c>
      <c r="G779" s="166">
        <v>1.295007</v>
      </c>
    </row>
    <row r="780" spans="1:7" x14ac:dyDescent="0.4">
      <c r="A780" s="164">
        <v>34723</v>
      </c>
      <c r="B780" s="166"/>
      <c r="C780" s="166">
        <v>763.20001200000002</v>
      </c>
      <c r="D780" s="160"/>
      <c r="E780" s="166">
        <v>10.511559</v>
      </c>
      <c r="G780" s="166">
        <v>1.2758510000000001</v>
      </c>
    </row>
    <row r="781" spans="1:7" x14ac:dyDescent="0.4">
      <c r="A781" s="164">
        <v>34724</v>
      </c>
      <c r="B781" s="166"/>
      <c r="C781" s="166">
        <v>760.97997999999995</v>
      </c>
      <c r="D781" s="160"/>
      <c r="E781" s="166">
        <v>10.280737</v>
      </c>
      <c r="G781" s="166">
        <v>1.2562139999999999</v>
      </c>
    </row>
    <row r="782" spans="1:7" x14ac:dyDescent="0.4">
      <c r="A782" s="164">
        <v>34725</v>
      </c>
      <c r="B782" s="166"/>
      <c r="C782" s="166">
        <v>757.55999799999995</v>
      </c>
      <c r="D782" s="160"/>
      <c r="E782" s="166">
        <v>10.280737</v>
      </c>
      <c r="G782" s="166">
        <v>1.2107159999999999</v>
      </c>
    </row>
    <row r="783" spans="1:7" x14ac:dyDescent="0.4">
      <c r="A783" s="164">
        <v>34726</v>
      </c>
      <c r="B783" s="166"/>
      <c r="C783" s="166">
        <v>758.90997300000004</v>
      </c>
      <c r="D783" s="160"/>
      <c r="E783" s="166">
        <v>10.298494</v>
      </c>
      <c r="G783" s="166">
        <v>1.2222109999999999</v>
      </c>
    </row>
    <row r="784" spans="1:7" x14ac:dyDescent="0.4">
      <c r="A784" s="164">
        <v>34729</v>
      </c>
      <c r="B784" s="166"/>
      <c r="C784" s="166">
        <v>751.830017</v>
      </c>
      <c r="D784" s="160"/>
      <c r="E784" s="166">
        <v>10.191953</v>
      </c>
      <c r="G784" s="166">
        <v>1.2298739999999999</v>
      </c>
    </row>
    <row r="785" spans="1:7" x14ac:dyDescent="0.4">
      <c r="A785" s="164">
        <v>34730</v>
      </c>
      <c r="B785" s="166"/>
      <c r="C785" s="166">
        <v>755.20001200000002</v>
      </c>
      <c r="D785" s="160"/>
      <c r="E785" s="166">
        <v>10.245222999999999</v>
      </c>
      <c r="G785" s="166">
        <v>1.237536</v>
      </c>
    </row>
    <row r="786" spans="1:7" x14ac:dyDescent="0.4">
      <c r="A786" s="164">
        <v>34731</v>
      </c>
      <c r="B786" s="166"/>
      <c r="C786" s="166">
        <v>758.30999799999995</v>
      </c>
      <c r="D786" s="160"/>
      <c r="E786" s="166">
        <v>10.458294</v>
      </c>
      <c r="G786" s="166">
        <v>1.2298739999999999</v>
      </c>
    </row>
    <row r="787" spans="1:7" x14ac:dyDescent="0.4">
      <c r="A787" s="164">
        <v>34732</v>
      </c>
      <c r="B787" s="166"/>
      <c r="C787" s="166">
        <v>763.64001499999995</v>
      </c>
      <c r="D787" s="160"/>
      <c r="E787" s="166">
        <v>10.564837000000001</v>
      </c>
      <c r="G787" s="166">
        <v>1.2758510000000001</v>
      </c>
    </row>
    <row r="788" spans="1:7" x14ac:dyDescent="0.4">
      <c r="A788" s="164">
        <v>34733</v>
      </c>
      <c r="B788" s="166"/>
      <c r="C788" s="166">
        <v>772.05999799999995</v>
      </c>
      <c r="D788" s="160"/>
      <c r="E788" s="166">
        <v>10.600344</v>
      </c>
      <c r="G788" s="166">
        <v>1.241368</v>
      </c>
    </row>
    <row r="789" spans="1:7" x14ac:dyDescent="0.4">
      <c r="A789" s="164">
        <v>34736</v>
      </c>
      <c r="B789" s="166"/>
      <c r="C789" s="166">
        <v>778.84997599999997</v>
      </c>
      <c r="D789" s="160"/>
      <c r="E789" s="166">
        <v>10.708325</v>
      </c>
      <c r="G789" s="166">
        <v>1.241368</v>
      </c>
    </row>
    <row r="790" spans="1:7" x14ac:dyDescent="0.4">
      <c r="A790" s="164">
        <v>34737</v>
      </c>
      <c r="B790" s="166"/>
      <c r="C790" s="166">
        <v>778.96997099999999</v>
      </c>
      <c r="D790" s="160"/>
      <c r="E790" s="166">
        <v>10.690326000000001</v>
      </c>
      <c r="G790" s="166">
        <v>1.2509459999999999</v>
      </c>
    </row>
    <row r="791" spans="1:7" x14ac:dyDescent="0.4">
      <c r="A791" s="164">
        <v>34738</v>
      </c>
      <c r="B791" s="166"/>
      <c r="C791" s="166">
        <v>783.77002000000005</v>
      </c>
      <c r="D791" s="160"/>
      <c r="E791" s="166">
        <v>10.690326000000001</v>
      </c>
      <c r="G791" s="166">
        <v>1.296923</v>
      </c>
    </row>
    <row r="792" spans="1:7" x14ac:dyDescent="0.4">
      <c r="A792" s="164">
        <v>34739</v>
      </c>
      <c r="B792" s="166"/>
      <c r="C792" s="166">
        <v>785.44000200000005</v>
      </c>
      <c r="D792" s="160"/>
      <c r="E792" s="166">
        <v>10.798310000000001</v>
      </c>
      <c r="G792" s="166">
        <v>1.3371519999999999</v>
      </c>
    </row>
    <row r="793" spans="1:7" x14ac:dyDescent="0.4">
      <c r="A793" s="164">
        <v>34740</v>
      </c>
      <c r="B793" s="166"/>
      <c r="C793" s="166">
        <v>790.42999299999997</v>
      </c>
      <c r="D793" s="160"/>
      <c r="E793" s="166">
        <v>10.798310000000001</v>
      </c>
      <c r="G793" s="166">
        <v>1.340983</v>
      </c>
    </row>
    <row r="794" spans="1:7" x14ac:dyDescent="0.4">
      <c r="A794" s="164">
        <v>34743</v>
      </c>
      <c r="B794" s="166"/>
      <c r="C794" s="166">
        <v>789.419983</v>
      </c>
      <c r="D794" s="160"/>
      <c r="E794" s="166">
        <v>10.780315999999999</v>
      </c>
      <c r="G794" s="166">
        <v>1.3446750000000001</v>
      </c>
    </row>
    <row r="795" spans="1:7" x14ac:dyDescent="0.4">
      <c r="A795" s="164">
        <v>34744</v>
      </c>
      <c r="B795" s="166"/>
      <c r="C795" s="166">
        <v>790.61999500000002</v>
      </c>
      <c r="D795" s="160"/>
      <c r="E795" s="166">
        <v>10.888303000000001</v>
      </c>
      <c r="G795" s="166">
        <v>1.3197030000000001</v>
      </c>
    </row>
    <row r="796" spans="1:7" x14ac:dyDescent="0.4">
      <c r="A796" s="164">
        <v>34745</v>
      </c>
      <c r="B796" s="166"/>
      <c r="C796" s="166">
        <v>795.63000499999998</v>
      </c>
      <c r="D796" s="160"/>
      <c r="E796" s="166">
        <v>10.888303000000001</v>
      </c>
      <c r="G796" s="166">
        <v>1.3081769999999999</v>
      </c>
    </row>
    <row r="797" spans="1:7" x14ac:dyDescent="0.4">
      <c r="A797" s="164">
        <v>34746</v>
      </c>
      <c r="B797" s="166"/>
      <c r="C797" s="166">
        <v>793.30999799999995</v>
      </c>
      <c r="D797" s="160"/>
      <c r="E797" s="166">
        <v>10.870302000000001</v>
      </c>
      <c r="G797" s="166">
        <v>1.3273870000000001</v>
      </c>
    </row>
    <row r="798" spans="1:7" x14ac:dyDescent="0.4">
      <c r="A798" s="164">
        <v>34747</v>
      </c>
      <c r="B798" s="166"/>
      <c r="C798" s="166">
        <v>786.96997099999999</v>
      </c>
      <c r="D798" s="160"/>
      <c r="E798" s="166">
        <v>10.798310000000001</v>
      </c>
      <c r="G798" s="166">
        <v>1.3062560000000001</v>
      </c>
    </row>
    <row r="799" spans="1:7" x14ac:dyDescent="0.4">
      <c r="A799" s="164">
        <v>34751</v>
      </c>
      <c r="B799" s="166"/>
      <c r="C799" s="166">
        <v>784.61999500000002</v>
      </c>
      <c r="D799" s="160"/>
      <c r="E799" s="166">
        <v>10.690326000000001</v>
      </c>
      <c r="G799" s="166">
        <v>1.2601530000000001</v>
      </c>
    </row>
    <row r="800" spans="1:7" x14ac:dyDescent="0.4">
      <c r="A800" s="164">
        <v>34752</v>
      </c>
      <c r="B800" s="166"/>
      <c r="C800" s="166">
        <v>787.92999299999997</v>
      </c>
      <c r="D800" s="160"/>
      <c r="E800" s="166">
        <v>10.690326000000001</v>
      </c>
      <c r="G800" s="166">
        <v>1.2543899999999999</v>
      </c>
    </row>
    <row r="801" spans="1:7" x14ac:dyDescent="0.4">
      <c r="A801" s="164">
        <v>34753</v>
      </c>
      <c r="B801" s="166"/>
      <c r="C801" s="166">
        <v>791.34997599999997</v>
      </c>
      <c r="D801" s="160"/>
      <c r="E801" s="166">
        <v>10.690326000000001</v>
      </c>
      <c r="G801" s="166">
        <v>1.2351799999999999</v>
      </c>
    </row>
    <row r="802" spans="1:7" x14ac:dyDescent="0.4">
      <c r="A802" s="164">
        <v>34754</v>
      </c>
      <c r="B802" s="166"/>
      <c r="C802" s="166">
        <v>791.080017</v>
      </c>
      <c r="D802" s="160"/>
      <c r="E802" s="166">
        <v>10.780315999999999</v>
      </c>
      <c r="G802" s="166">
        <v>1.198682</v>
      </c>
    </row>
    <row r="803" spans="1:7" x14ac:dyDescent="0.4">
      <c r="A803" s="164">
        <v>34757</v>
      </c>
      <c r="B803" s="166"/>
      <c r="C803" s="166">
        <v>784.5</v>
      </c>
      <c r="D803" s="160"/>
      <c r="E803" s="166">
        <v>10.654331000000001</v>
      </c>
      <c r="G803" s="166">
        <v>1.1756310000000001</v>
      </c>
    </row>
    <row r="804" spans="1:7" x14ac:dyDescent="0.4">
      <c r="A804" s="164">
        <v>34758</v>
      </c>
      <c r="B804" s="166"/>
      <c r="C804" s="166">
        <v>793.72997999999995</v>
      </c>
      <c r="D804" s="160"/>
      <c r="E804" s="166">
        <v>10.834305000000001</v>
      </c>
      <c r="G804" s="166">
        <v>1.2140500000000001</v>
      </c>
    </row>
    <row r="805" spans="1:7" x14ac:dyDescent="0.4">
      <c r="A805" s="164">
        <v>34759</v>
      </c>
      <c r="B805" s="166"/>
      <c r="C805" s="166">
        <v>791.86999500000002</v>
      </c>
      <c r="D805" s="160"/>
      <c r="E805" s="166">
        <v>10.8523</v>
      </c>
      <c r="G805" s="166">
        <v>1.2294179999999999</v>
      </c>
    </row>
    <row r="806" spans="1:7" x14ac:dyDescent="0.4">
      <c r="A806" s="164">
        <v>34760</v>
      </c>
      <c r="B806" s="166"/>
      <c r="C806" s="166">
        <v>793.67999299999997</v>
      </c>
      <c r="D806" s="160"/>
      <c r="E806" s="166">
        <v>11.122261</v>
      </c>
      <c r="G806" s="166">
        <v>1.2294179999999999</v>
      </c>
    </row>
    <row r="807" spans="1:7" x14ac:dyDescent="0.4">
      <c r="A807" s="164">
        <v>34761</v>
      </c>
      <c r="B807" s="166"/>
      <c r="C807" s="166">
        <v>798.78997800000002</v>
      </c>
      <c r="D807" s="160"/>
      <c r="E807" s="166">
        <v>11.500202</v>
      </c>
      <c r="G807" s="166">
        <v>1.237101</v>
      </c>
    </row>
    <row r="808" spans="1:7" x14ac:dyDescent="0.4">
      <c r="A808" s="164">
        <v>34764</v>
      </c>
      <c r="B808" s="166"/>
      <c r="C808" s="166">
        <v>797.77002000000005</v>
      </c>
      <c r="D808" s="160"/>
      <c r="E808" s="166">
        <v>11.554195999999999</v>
      </c>
      <c r="G808" s="166">
        <v>1.2217340000000001</v>
      </c>
    </row>
    <row r="809" spans="1:7" x14ac:dyDescent="0.4">
      <c r="A809" s="164">
        <v>34765</v>
      </c>
      <c r="B809" s="166"/>
      <c r="C809" s="166">
        <v>791.330017</v>
      </c>
      <c r="D809" s="160"/>
      <c r="E809" s="166">
        <v>11.482212000000001</v>
      </c>
      <c r="G809" s="166">
        <v>1.177551</v>
      </c>
    </row>
    <row r="810" spans="1:7" x14ac:dyDescent="0.4">
      <c r="A810" s="164">
        <v>34766</v>
      </c>
      <c r="B810" s="166"/>
      <c r="C810" s="166">
        <v>795.80999799999995</v>
      </c>
      <c r="D810" s="160"/>
      <c r="E810" s="166">
        <v>11.482212000000001</v>
      </c>
      <c r="G810" s="166">
        <v>1.2159709999999999</v>
      </c>
    </row>
    <row r="811" spans="1:7" x14ac:dyDescent="0.4">
      <c r="A811" s="164">
        <v>34767</v>
      </c>
      <c r="B811" s="166"/>
      <c r="C811" s="166">
        <v>796.23999000000003</v>
      </c>
      <c r="D811" s="160"/>
      <c r="E811" s="166">
        <v>11.608185000000001</v>
      </c>
      <c r="G811" s="166">
        <v>1.2217340000000001</v>
      </c>
    </row>
    <row r="812" spans="1:7" x14ac:dyDescent="0.4">
      <c r="A812" s="164">
        <v>34768</v>
      </c>
      <c r="B812" s="166"/>
      <c r="C812" s="166">
        <v>802.21997099999999</v>
      </c>
      <c r="D812" s="160"/>
      <c r="E812" s="166">
        <v>11.680168999999999</v>
      </c>
      <c r="G812" s="166">
        <v>1.2140500000000001</v>
      </c>
    </row>
    <row r="813" spans="1:7" x14ac:dyDescent="0.4">
      <c r="A813" s="164">
        <v>34771</v>
      </c>
      <c r="B813" s="166"/>
      <c r="C813" s="166">
        <v>802.30999799999995</v>
      </c>
      <c r="D813" s="160"/>
      <c r="E813" s="166">
        <v>11.806152000000001</v>
      </c>
      <c r="G813" s="166">
        <v>1.171789</v>
      </c>
    </row>
    <row r="814" spans="1:7" x14ac:dyDescent="0.4">
      <c r="A814" s="164">
        <v>34772</v>
      </c>
      <c r="B814" s="166"/>
      <c r="C814" s="166">
        <v>808.23999000000003</v>
      </c>
      <c r="D814" s="160"/>
      <c r="E814" s="166">
        <v>11.734166999999999</v>
      </c>
      <c r="G814" s="166">
        <v>1.0757399999999999</v>
      </c>
    </row>
    <row r="815" spans="1:7" x14ac:dyDescent="0.4">
      <c r="A815" s="164">
        <v>34773</v>
      </c>
      <c r="B815" s="166"/>
      <c r="C815" s="166">
        <v>807.38000499999998</v>
      </c>
      <c r="D815" s="160"/>
      <c r="E815" s="166">
        <v>11.770161999999999</v>
      </c>
      <c r="G815" s="166">
        <v>1.0757399999999999</v>
      </c>
    </row>
    <row r="816" spans="1:7" x14ac:dyDescent="0.4">
      <c r="A816" s="164">
        <v>34774</v>
      </c>
      <c r="B816" s="166"/>
      <c r="C816" s="166">
        <v>809.34002699999996</v>
      </c>
      <c r="D816" s="160"/>
      <c r="E816" s="166">
        <v>12.022119999999999</v>
      </c>
      <c r="G816" s="166">
        <v>1.0834239999999999</v>
      </c>
    </row>
    <row r="817" spans="1:7" x14ac:dyDescent="0.4">
      <c r="A817" s="164">
        <v>34775</v>
      </c>
      <c r="B817" s="166"/>
      <c r="C817" s="166">
        <v>808.330017</v>
      </c>
      <c r="D817" s="160"/>
      <c r="E817" s="166">
        <v>11.896144</v>
      </c>
      <c r="G817" s="166">
        <v>1.079583</v>
      </c>
    </row>
    <row r="818" spans="1:7" x14ac:dyDescent="0.4">
      <c r="A818" s="164">
        <v>34778</v>
      </c>
      <c r="B818" s="166"/>
      <c r="C818" s="166">
        <v>810.48999000000003</v>
      </c>
      <c r="D818" s="160"/>
      <c r="E818" s="166">
        <v>12.022119999999999</v>
      </c>
      <c r="G818" s="166">
        <v>1.0834239999999999</v>
      </c>
    </row>
    <row r="819" spans="1:7" x14ac:dyDescent="0.4">
      <c r="A819" s="164">
        <v>34779</v>
      </c>
      <c r="B819" s="166"/>
      <c r="C819" s="166">
        <v>809.78002900000001</v>
      </c>
      <c r="D819" s="160"/>
      <c r="E819" s="166">
        <v>11.842153</v>
      </c>
      <c r="G819" s="166">
        <v>1.11416</v>
      </c>
    </row>
    <row r="820" spans="1:7" x14ac:dyDescent="0.4">
      <c r="A820" s="164">
        <v>34780</v>
      </c>
      <c r="B820" s="166"/>
      <c r="C820" s="166">
        <v>809.09997599999997</v>
      </c>
      <c r="D820" s="160"/>
      <c r="E820" s="166">
        <v>11.752164</v>
      </c>
      <c r="G820" s="166">
        <v>1.1698679999999999</v>
      </c>
    </row>
    <row r="821" spans="1:7" x14ac:dyDescent="0.4">
      <c r="A821" s="164">
        <v>34781</v>
      </c>
      <c r="B821" s="166"/>
      <c r="C821" s="166">
        <v>811.39001499999995</v>
      </c>
      <c r="D821" s="160"/>
      <c r="E821" s="166">
        <v>12.004125999999999</v>
      </c>
      <c r="G821" s="166">
        <v>1.1410530000000001</v>
      </c>
    </row>
    <row r="822" spans="1:7" x14ac:dyDescent="0.4">
      <c r="A822" s="164">
        <v>34782</v>
      </c>
      <c r="B822" s="166"/>
      <c r="C822" s="166">
        <v>818.65997300000004</v>
      </c>
      <c r="D822" s="160"/>
      <c r="E822" s="166">
        <v>12.040117</v>
      </c>
      <c r="G822" s="166">
        <v>1.160263</v>
      </c>
    </row>
    <row r="823" spans="1:7" x14ac:dyDescent="0.4">
      <c r="A823" s="164">
        <v>34785</v>
      </c>
      <c r="B823" s="166"/>
      <c r="C823" s="166">
        <v>822.63000499999998</v>
      </c>
      <c r="D823" s="160"/>
      <c r="E823" s="166">
        <v>12.238083</v>
      </c>
      <c r="G823" s="166">
        <v>1.1429739999999999</v>
      </c>
    </row>
    <row r="824" spans="1:7" x14ac:dyDescent="0.4">
      <c r="A824" s="164">
        <v>34786</v>
      </c>
      <c r="B824" s="166"/>
      <c r="C824" s="166">
        <v>826.14001499999995</v>
      </c>
      <c r="D824" s="160"/>
      <c r="E824" s="166">
        <v>12.166100999999999</v>
      </c>
      <c r="G824" s="166">
        <v>1.0565310000000001</v>
      </c>
    </row>
    <row r="825" spans="1:7" x14ac:dyDescent="0.4">
      <c r="A825" s="164">
        <v>34787</v>
      </c>
      <c r="B825" s="166"/>
      <c r="C825" s="166">
        <v>819.15997300000004</v>
      </c>
      <c r="D825" s="160"/>
      <c r="E825" s="166">
        <v>11.950132999999999</v>
      </c>
      <c r="G825" s="166">
        <v>1.0565310000000001</v>
      </c>
    </row>
    <row r="826" spans="1:7" x14ac:dyDescent="0.4">
      <c r="A826" s="164">
        <v>34788</v>
      </c>
      <c r="B826" s="166"/>
      <c r="C826" s="166">
        <v>816.85998500000005</v>
      </c>
      <c r="D826" s="160"/>
      <c r="E826" s="166">
        <v>11.860148000000001</v>
      </c>
      <c r="G826" s="166">
        <v>1.0872660000000001</v>
      </c>
    </row>
    <row r="827" spans="1:7" x14ac:dyDescent="0.4">
      <c r="A827" s="164">
        <v>34789</v>
      </c>
      <c r="B827" s="166"/>
      <c r="C827" s="166">
        <v>817.21002199999998</v>
      </c>
      <c r="D827" s="160"/>
      <c r="E827" s="166">
        <v>11.824153000000001</v>
      </c>
      <c r="G827" s="166">
        <v>1.0834239999999999</v>
      </c>
    </row>
    <row r="828" spans="1:7" x14ac:dyDescent="0.4">
      <c r="A828" s="164">
        <v>34792</v>
      </c>
      <c r="B828" s="166"/>
      <c r="C828" s="166">
        <v>818.04998799999998</v>
      </c>
      <c r="D828" s="160"/>
      <c r="E828" s="166">
        <v>11.932138</v>
      </c>
      <c r="G828" s="166">
        <v>1.091108</v>
      </c>
    </row>
    <row r="829" spans="1:7" x14ac:dyDescent="0.4">
      <c r="A829" s="164">
        <v>34793</v>
      </c>
      <c r="B829" s="166"/>
      <c r="C829" s="166">
        <v>813.71997099999999</v>
      </c>
      <c r="D829" s="160"/>
      <c r="E829" s="166">
        <v>11.950132999999999</v>
      </c>
      <c r="G829" s="166">
        <v>1.0411630000000001</v>
      </c>
    </row>
    <row r="830" spans="1:7" x14ac:dyDescent="0.4">
      <c r="A830" s="164">
        <v>34794</v>
      </c>
      <c r="B830" s="166"/>
      <c r="C830" s="166">
        <v>816.32000700000003</v>
      </c>
      <c r="D830" s="160"/>
      <c r="E830" s="166">
        <v>12.094113</v>
      </c>
      <c r="G830" s="166">
        <v>1.068057</v>
      </c>
    </row>
    <row r="831" spans="1:7" x14ac:dyDescent="0.4">
      <c r="A831" s="164">
        <v>34795</v>
      </c>
      <c r="B831" s="166"/>
      <c r="C831" s="166">
        <v>813.79998799999998</v>
      </c>
      <c r="D831" s="160"/>
      <c r="E831" s="166">
        <v>12.076107</v>
      </c>
      <c r="G831" s="166">
        <v>1.1295280000000001</v>
      </c>
    </row>
    <row r="832" spans="1:7" x14ac:dyDescent="0.4">
      <c r="A832" s="164">
        <v>34796</v>
      </c>
      <c r="B832" s="166"/>
      <c r="C832" s="166">
        <v>814.69000200000005</v>
      </c>
      <c r="D832" s="160"/>
      <c r="E832" s="166">
        <v>12.094113</v>
      </c>
      <c r="G832" s="166">
        <v>1.1295280000000001</v>
      </c>
    </row>
    <row r="833" spans="1:7" x14ac:dyDescent="0.4">
      <c r="A833" s="164">
        <v>34799</v>
      </c>
      <c r="B833" s="166"/>
      <c r="C833" s="166">
        <v>821.26000999999997</v>
      </c>
      <c r="D833" s="160"/>
      <c r="E833" s="166">
        <v>12.382066999999999</v>
      </c>
      <c r="G833" s="166">
        <v>1.125686</v>
      </c>
    </row>
    <row r="834" spans="1:7" x14ac:dyDescent="0.4">
      <c r="A834" s="164">
        <v>34800</v>
      </c>
      <c r="B834" s="166"/>
      <c r="C834" s="166">
        <v>824.830017</v>
      </c>
      <c r="D834" s="160"/>
      <c r="E834" s="166">
        <v>12.490046</v>
      </c>
      <c r="G834" s="166">
        <v>1.160263</v>
      </c>
    </row>
    <row r="835" spans="1:7" x14ac:dyDescent="0.4">
      <c r="A835" s="164">
        <v>34801</v>
      </c>
      <c r="B835" s="166"/>
      <c r="C835" s="166">
        <v>828.53002900000001</v>
      </c>
      <c r="D835" s="160"/>
      <c r="E835" s="166">
        <v>12.544040000000001</v>
      </c>
      <c r="G835" s="166">
        <v>1.198682</v>
      </c>
    </row>
    <row r="836" spans="1:7" x14ac:dyDescent="0.4">
      <c r="A836" s="164">
        <v>34802</v>
      </c>
      <c r="B836" s="166"/>
      <c r="C836" s="166">
        <v>832.64001499999995</v>
      </c>
      <c r="D836" s="160"/>
      <c r="E836" s="166">
        <v>12.436052</v>
      </c>
      <c r="G836" s="166">
        <v>1.1756310000000001</v>
      </c>
    </row>
    <row r="837" spans="1:7" x14ac:dyDescent="0.4">
      <c r="A837" s="164">
        <v>34806</v>
      </c>
      <c r="B837" s="166"/>
      <c r="C837" s="166">
        <v>830.82000700000003</v>
      </c>
      <c r="D837" s="160"/>
      <c r="E837" s="166">
        <v>12.652021</v>
      </c>
      <c r="G837" s="166">
        <v>1.179473</v>
      </c>
    </row>
    <row r="838" spans="1:7" x14ac:dyDescent="0.4">
      <c r="A838" s="164">
        <v>34807</v>
      </c>
      <c r="B838" s="166"/>
      <c r="C838" s="166">
        <v>825.73999000000003</v>
      </c>
      <c r="D838" s="160"/>
      <c r="E838" s="166">
        <v>12.706013</v>
      </c>
      <c r="G838" s="166">
        <v>1.152579</v>
      </c>
    </row>
    <row r="839" spans="1:7" x14ac:dyDescent="0.4">
      <c r="A839" s="164">
        <v>34808</v>
      </c>
      <c r="B839" s="166"/>
      <c r="C839" s="166">
        <v>816.54998799999998</v>
      </c>
      <c r="D839" s="160"/>
      <c r="E839" s="166">
        <v>12.544040000000001</v>
      </c>
      <c r="G839" s="166">
        <v>1.1180019999999999</v>
      </c>
    </row>
    <row r="840" spans="1:7" x14ac:dyDescent="0.4">
      <c r="A840" s="164">
        <v>34809</v>
      </c>
      <c r="B840" s="166"/>
      <c r="C840" s="166">
        <v>819.01000999999997</v>
      </c>
      <c r="D840" s="160"/>
      <c r="E840" s="166">
        <v>12.813999000000001</v>
      </c>
      <c r="G840" s="166">
        <v>1.1564209999999999</v>
      </c>
    </row>
    <row r="841" spans="1:7" x14ac:dyDescent="0.4">
      <c r="A841" s="164">
        <v>34810</v>
      </c>
      <c r="B841" s="166"/>
      <c r="C841" s="166">
        <v>823.44000200000005</v>
      </c>
      <c r="D841" s="160"/>
      <c r="E841" s="166">
        <v>13.191939</v>
      </c>
      <c r="G841" s="166">
        <v>1.2025239999999999</v>
      </c>
    </row>
    <row r="842" spans="1:7" x14ac:dyDescent="0.4">
      <c r="A842" s="164">
        <v>34813</v>
      </c>
      <c r="B842" s="166"/>
      <c r="C842" s="166">
        <v>828.90997300000004</v>
      </c>
      <c r="D842" s="160"/>
      <c r="E842" s="166">
        <v>13.461900999999999</v>
      </c>
      <c r="G842" s="166">
        <v>1.198682</v>
      </c>
    </row>
    <row r="843" spans="1:7" x14ac:dyDescent="0.4">
      <c r="A843" s="164">
        <v>34814</v>
      </c>
      <c r="B843" s="166"/>
      <c r="C843" s="166">
        <v>831.28002900000001</v>
      </c>
      <c r="D843" s="160"/>
      <c r="E843" s="166">
        <v>13.479893000000001</v>
      </c>
      <c r="G843" s="166">
        <v>1.160263</v>
      </c>
    </row>
    <row r="844" spans="1:7" x14ac:dyDescent="0.4">
      <c r="A844" s="164">
        <v>34815</v>
      </c>
      <c r="B844" s="166"/>
      <c r="C844" s="166">
        <v>836.90997300000004</v>
      </c>
      <c r="D844" s="160"/>
      <c r="E844" s="166">
        <v>13.71386</v>
      </c>
      <c r="G844" s="166">
        <v>1.1756310000000001</v>
      </c>
    </row>
    <row r="845" spans="1:7" x14ac:dyDescent="0.4">
      <c r="A845" s="164">
        <v>34816</v>
      </c>
      <c r="B845" s="166"/>
      <c r="C845" s="166">
        <v>840.95001200000002</v>
      </c>
      <c r="D845" s="160"/>
      <c r="E845" s="166">
        <v>13.947818</v>
      </c>
      <c r="G845" s="166">
        <v>1.1641049999999999</v>
      </c>
    </row>
    <row r="846" spans="1:7" x14ac:dyDescent="0.4">
      <c r="A846" s="164">
        <v>34817</v>
      </c>
      <c r="B846" s="166"/>
      <c r="C846" s="166">
        <v>843.97997999999995</v>
      </c>
      <c r="D846" s="160"/>
      <c r="E846" s="166">
        <v>13.623868</v>
      </c>
      <c r="G846" s="166">
        <v>1.1756310000000001</v>
      </c>
    </row>
    <row r="847" spans="1:7" x14ac:dyDescent="0.4">
      <c r="A847" s="164">
        <v>34820</v>
      </c>
      <c r="B847" s="166"/>
      <c r="C847" s="166">
        <v>841.63000499999998</v>
      </c>
      <c r="D847" s="160"/>
      <c r="E847" s="166">
        <v>13.263927000000001</v>
      </c>
      <c r="G847" s="166">
        <v>1.1756310000000001</v>
      </c>
    </row>
    <row r="848" spans="1:7" x14ac:dyDescent="0.4">
      <c r="A848" s="164">
        <v>34821</v>
      </c>
      <c r="B848" s="166"/>
      <c r="C848" s="166">
        <v>841.78997800000002</v>
      </c>
      <c r="D848" s="160"/>
      <c r="E848" s="166">
        <v>13.371911000000001</v>
      </c>
      <c r="G848" s="166">
        <v>1.171789</v>
      </c>
    </row>
    <row r="849" spans="1:7" x14ac:dyDescent="0.4">
      <c r="A849" s="164">
        <v>34822</v>
      </c>
      <c r="B849" s="166"/>
      <c r="C849" s="166">
        <v>850.26000999999997</v>
      </c>
      <c r="D849" s="160"/>
      <c r="E849" s="166">
        <v>13.569879</v>
      </c>
      <c r="G849" s="166">
        <v>1.171789</v>
      </c>
    </row>
    <row r="850" spans="1:7" x14ac:dyDescent="0.4">
      <c r="A850" s="164">
        <v>34823</v>
      </c>
      <c r="B850" s="166"/>
      <c r="C850" s="166">
        <v>846.75</v>
      </c>
      <c r="D850" s="160"/>
      <c r="E850" s="166">
        <v>13.642636</v>
      </c>
      <c r="G850" s="166">
        <v>1.183314</v>
      </c>
    </row>
    <row r="851" spans="1:7" x14ac:dyDescent="0.4">
      <c r="A851" s="164">
        <v>34824</v>
      </c>
      <c r="B851" s="166"/>
      <c r="C851" s="166">
        <v>843.53002900000001</v>
      </c>
      <c r="D851" s="160"/>
      <c r="E851" s="166">
        <v>13.551691</v>
      </c>
      <c r="G851" s="166">
        <v>1.1948399999999999</v>
      </c>
    </row>
    <row r="852" spans="1:7" x14ac:dyDescent="0.4">
      <c r="A852" s="164">
        <v>34827</v>
      </c>
      <c r="B852" s="166"/>
      <c r="C852" s="166">
        <v>849.28997800000002</v>
      </c>
      <c r="D852" s="160"/>
      <c r="E852" s="166">
        <v>13.642636</v>
      </c>
      <c r="G852" s="166">
        <v>1.2447859999999999</v>
      </c>
    </row>
    <row r="853" spans="1:7" x14ac:dyDescent="0.4">
      <c r="A853" s="164">
        <v>34828</v>
      </c>
      <c r="B853" s="166"/>
      <c r="C853" s="166">
        <v>848.169983</v>
      </c>
      <c r="D853" s="160"/>
      <c r="E853" s="166">
        <v>13.62445</v>
      </c>
      <c r="G853" s="166">
        <v>1.2678370000000001</v>
      </c>
    </row>
    <row r="854" spans="1:7" x14ac:dyDescent="0.4">
      <c r="A854" s="164">
        <v>34829</v>
      </c>
      <c r="B854" s="166"/>
      <c r="C854" s="166">
        <v>847.61999500000002</v>
      </c>
      <c r="D854" s="160"/>
      <c r="E854" s="166">
        <v>13.660826</v>
      </c>
      <c r="G854" s="166">
        <v>1.2736000000000001</v>
      </c>
    </row>
    <row r="855" spans="1:7" x14ac:dyDescent="0.4">
      <c r="A855" s="164">
        <v>34830</v>
      </c>
      <c r="B855" s="166"/>
      <c r="C855" s="166">
        <v>853.830017</v>
      </c>
      <c r="D855" s="160"/>
      <c r="E855" s="166">
        <v>13.715400000000001</v>
      </c>
      <c r="G855" s="166">
        <v>1.2601530000000001</v>
      </c>
    </row>
    <row r="856" spans="1:7" x14ac:dyDescent="0.4">
      <c r="A856" s="164">
        <v>34831</v>
      </c>
      <c r="B856" s="166"/>
      <c r="C856" s="166">
        <v>858.94000200000005</v>
      </c>
      <c r="D856" s="160"/>
      <c r="E856" s="166">
        <v>13.733591000000001</v>
      </c>
      <c r="G856" s="166">
        <v>1.3408340000000001</v>
      </c>
    </row>
    <row r="857" spans="1:7" x14ac:dyDescent="0.4">
      <c r="A857" s="164">
        <v>34834</v>
      </c>
      <c r="B857" s="166"/>
      <c r="C857" s="166">
        <v>863.05999799999995</v>
      </c>
      <c r="D857" s="160"/>
      <c r="E857" s="166">
        <v>13.824545000000001</v>
      </c>
      <c r="G857" s="166">
        <v>1.3408340000000001</v>
      </c>
    </row>
    <row r="858" spans="1:7" x14ac:dyDescent="0.4">
      <c r="A858" s="164">
        <v>34835</v>
      </c>
      <c r="B858" s="166"/>
      <c r="C858" s="166">
        <v>868.25</v>
      </c>
      <c r="D858" s="160"/>
      <c r="E858" s="166">
        <v>13.769969</v>
      </c>
      <c r="G858" s="166">
        <v>1.3446750000000001</v>
      </c>
    </row>
    <row r="859" spans="1:7" x14ac:dyDescent="0.4">
      <c r="A859" s="164">
        <v>34836</v>
      </c>
      <c r="B859" s="166"/>
      <c r="C859" s="166">
        <v>871.92999299999997</v>
      </c>
      <c r="D859" s="160"/>
      <c r="E859" s="166">
        <v>13.806348</v>
      </c>
      <c r="G859" s="166">
        <v>1.3523590000000001</v>
      </c>
    </row>
    <row r="860" spans="1:7" x14ac:dyDescent="0.4">
      <c r="A860" s="164">
        <v>34837</v>
      </c>
      <c r="B860" s="166"/>
      <c r="C860" s="166">
        <v>864.05999799999995</v>
      </c>
      <c r="D860" s="160"/>
      <c r="E860" s="166">
        <v>13.551691</v>
      </c>
      <c r="G860" s="166">
        <v>1.3331500000000001</v>
      </c>
    </row>
    <row r="861" spans="1:7" x14ac:dyDescent="0.4">
      <c r="A861" s="164">
        <v>34838</v>
      </c>
      <c r="B861" s="166"/>
      <c r="C861" s="166">
        <v>864.57000700000003</v>
      </c>
      <c r="D861" s="160"/>
      <c r="E861" s="166">
        <v>13.588066</v>
      </c>
      <c r="G861" s="166">
        <v>1.3139400000000001</v>
      </c>
    </row>
    <row r="862" spans="1:7" x14ac:dyDescent="0.4">
      <c r="A862" s="164">
        <v>34841</v>
      </c>
      <c r="B862" s="166"/>
      <c r="C862" s="166">
        <v>871.17999299999997</v>
      </c>
      <c r="D862" s="160"/>
      <c r="E862" s="166">
        <v>13.860925</v>
      </c>
      <c r="G862" s="166">
        <v>1.356201</v>
      </c>
    </row>
    <row r="863" spans="1:7" x14ac:dyDescent="0.4">
      <c r="A863" s="164">
        <v>34842</v>
      </c>
      <c r="B863" s="166"/>
      <c r="C863" s="166">
        <v>879.64001499999995</v>
      </c>
      <c r="D863" s="160"/>
      <c r="E863" s="166">
        <v>14.151972000000001</v>
      </c>
      <c r="G863" s="166">
        <v>1.348517</v>
      </c>
    </row>
    <row r="864" spans="1:7" x14ac:dyDescent="0.4">
      <c r="A864" s="164">
        <v>34843</v>
      </c>
      <c r="B864" s="166"/>
      <c r="C864" s="166">
        <v>877.97997999999995</v>
      </c>
      <c r="D864" s="160"/>
      <c r="E864" s="166">
        <v>13.988258999999999</v>
      </c>
      <c r="G864" s="166">
        <v>1.336991</v>
      </c>
    </row>
    <row r="865" spans="1:7" x14ac:dyDescent="0.4">
      <c r="A865" s="164">
        <v>34844</v>
      </c>
      <c r="B865" s="166"/>
      <c r="C865" s="166">
        <v>877.32000700000003</v>
      </c>
      <c r="D865" s="160"/>
      <c r="E865" s="166">
        <v>14.079205999999999</v>
      </c>
      <c r="G865" s="166">
        <v>1.3331500000000001</v>
      </c>
    </row>
    <row r="866" spans="1:7" x14ac:dyDescent="0.4">
      <c r="A866" s="164">
        <v>34845</v>
      </c>
      <c r="B866" s="166"/>
      <c r="C866" s="166">
        <v>871.86999500000002</v>
      </c>
      <c r="D866" s="160"/>
      <c r="E866" s="166">
        <v>13.824545000000001</v>
      </c>
      <c r="G866" s="166">
        <v>1.3156620000000001</v>
      </c>
    </row>
    <row r="867" spans="1:7" x14ac:dyDescent="0.4">
      <c r="A867" s="164">
        <v>34849</v>
      </c>
      <c r="B867" s="166"/>
      <c r="C867" s="166">
        <v>858.70001200000002</v>
      </c>
      <c r="D867" s="160"/>
      <c r="E867" s="166">
        <v>13.47893</v>
      </c>
      <c r="G867" s="166">
        <v>1.2944739999999999</v>
      </c>
    </row>
    <row r="868" spans="1:7" x14ac:dyDescent="0.4">
      <c r="A868" s="164">
        <v>34850</v>
      </c>
      <c r="B868" s="166"/>
      <c r="C868" s="166">
        <v>864.580017</v>
      </c>
      <c r="D868" s="160"/>
      <c r="E868" s="166">
        <v>13.533498</v>
      </c>
      <c r="G868" s="166">
        <v>1.2809889999999999</v>
      </c>
    </row>
    <row r="869" spans="1:7" x14ac:dyDescent="0.4">
      <c r="A869" s="164">
        <v>34851</v>
      </c>
      <c r="B869" s="166"/>
      <c r="C869" s="166">
        <v>868.82000700000003</v>
      </c>
      <c r="D869" s="160"/>
      <c r="E869" s="166">
        <v>13.715400000000001</v>
      </c>
      <c r="G869" s="166">
        <v>1.3002530000000001</v>
      </c>
    </row>
    <row r="870" spans="1:7" x14ac:dyDescent="0.4">
      <c r="A870" s="164">
        <v>34852</v>
      </c>
      <c r="B870" s="166"/>
      <c r="C870" s="166">
        <v>872.96997099999999</v>
      </c>
      <c r="D870" s="160"/>
      <c r="E870" s="166">
        <v>13.660826</v>
      </c>
      <c r="G870" s="166">
        <v>1.2983260000000001</v>
      </c>
    </row>
    <row r="871" spans="1:7" x14ac:dyDescent="0.4">
      <c r="A871" s="164">
        <v>34855</v>
      </c>
      <c r="B871" s="166"/>
      <c r="C871" s="166">
        <v>882.84997599999997</v>
      </c>
      <c r="D871" s="160"/>
      <c r="E871" s="166">
        <v>13.278832</v>
      </c>
      <c r="G871" s="166">
        <v>1.340705</v>
      </c>
    </row>
    <row r="872" spans="1:7" x14ac:dyDescent="0.4">
      <c r="A872" s="164">
        <v>34856</v>
      </c>
      <c r="B872" s="166"/>
      <c r="C872" s="166">
        <v>879.40002400000003</v>
      </c>
      <c r="D872" s="160"/>
      <c r="E872" s="166">
        <v>13.297025</v>
      </c>
      <c r="G872" s="166">
        <v>1.356115</v>
      </c>
    </row>
    <row r="873" spans="1:7" x14ac:dyDescent="0.4">
      <c r="A873" s="164">
        <v>34857</v>
      </c>
      <c r="B873" s="166"/>
      <c r="C873" s="166">
        <v>881.580017</v>
      </c>
      <c r="D873" s="160"/>
      <c r="E873" s="166">
        <v>13.078744</v>
      </c>
      <c r="G873" s="166">
        <v>1.3291470000000001</v>
      </c>
    </row>
    <row r="874" spans="1:7" x14ac:dyDescent="0.4">
      <c r="A874" s="164">
        <v>34858</v>
      </c>
      <c r="B874" s="166"/>
      <c r="C874" s="166">
        <v>886.13000499999998</v>
      </c>
      <c r="D874" s="160"/>
      <c r="E874" s="166">
        <v>13.005981</v>
      </c>
      <c r="G874" s="166">
        <v>1.3233680000000001</v>
      </c>
    </row>
    <row r="875" spans="1:7" x14ac:dyDescent="0.4">
      <c r="A875" s="164">
        <v>34859</v>
      </c>
      <c r="B875" s="166"/>
      <c r="C875" s="166">
        <v>884.38000499999998</v>
      </c>
      <c r="D875" s="160"/>
      <c r="E875" s="166">
        <v>12.969606000000001</v>
      </c>
      <c r="G875" s="166">
        <v>1.340705</v>
      </c>
    </row>
    <row r="876" spans="1:7" x14ac:dyDescent="0.4">
      <c r="A876" s="164">
        <v>34862</v>
      </c>
      <c r="B876" s="166"/>
      <c r="C876" s="166">
        <v>887.97997999999995</v>
      </c>
      <c r="D876" s="160"/>
      <c r="E876" s="166">
        <v>13.133317</v>
      </c>
      <c r="G876" s="166">
        <v>1.3614120000000001</v>
      </c>
    </row>
    <row r="877" spans="1:7" x14ac:dyDescent="0.4">
      <c r="A877" s="164">
        <v>34863</v>
      </c>
      <c r="B877" s="166"/>
      <c r="C877" s="166">
        <v>894.22997999999995</v>
      </c>
      <c r="D877" s="160"/>
      <c r="E877" s="166">
        <v>13.351603000000001</v>
      </c>
      <c r="G877" s="166">
        <v>1.356115</v>
      </c>
    </row>
    <row r="878" spans="1:7" x14ac:dyDescent="0.4">
      <c r="A878" s="164">
        <v>34864</v>
      </c>
      <c r="B878" s="166"/>
      <c r="C878" s="166">
        <v>895.71997099999999</v>
      </c>
      <c r="D878" s="160"/>
      <c r="E878" s="166">
        <v>13.533498</v>
      </c>
      <c r="G878" s="166">
        <v>1.344557</v>
      </c>
    </row>
    <row r="879" spans="1:7" x14ac:dyDescent="0.4">
      <c r="A879" s="164">
        <v>34865</v>
      </c>
      <c r="B879" s="166"/>
      <c r="C879" s="166">
        <v>902.67999299999997</v>
      </c>
      <c r="D879" s="160"/>
      <c r="E879" s="166">
        <v>13.533498</v>
      </c>
      <c r="G879" s="166">
        <v>1.344557</v>
      </c>
    </row>
    <row r="880" spans="1:7" x14ac:dyDescent="0.4">
      <c r="A880" s="164">
        <v>34866</v>
      </c>
      <c r="B880" s="166"/>
      <c r="C880" s="166">
        <v>908.65002400000003</v>
      </c>
      <c r="D880" s="160"/>
      <c r="E880" s="166">
        <v>13.47893</v>
      </c>
      <c r="G880" s="166">
        <v>1.3522620000000001</v>
      </c>
    </row>
    <row r="881" spans="1:7" x14ac:dyDescent="0.4">
      <c r="A881" s="164">
        <v>34869</v>
      </c>
      <c r="B881" s="166"/>
      <c r="C881" s="166">
        <v>922.09002699999996</v>
      </c>
      <c r="D881" s="160"/>
      <c r="E881" s="166">
        <v>13.642636</v>
      </c>
      <c r="G881" s="166">
        <v>1.3676729999999999</v>
      </c>
    </row>
    <row r="882" spans="1:7" x14ac:dyDescent="0.4">
      <c r="A882" s="164">
        <v>34870</v>
      </c>
      <c r="B882" s="166"/>
      <c r="C882" s="166">
        <v>929.830017</v>
      </c>
      <c r="D882" s="160"/>
      <c r="E882" s="166">
        <v>14.224729999999999</v>
      </c>
      <c r="G882" s="166">
        <v>1.460135</v>
      </c>
    </row>
    <row r="883" spans="1:7" x14ac:dyDescent="0.4">
      <c r="A883" s="164">
        <v>34871</v>
      </c>
      <c r="B883" s="166"/>
      <c r="C883" s="166">
        <v>929.19000200000005</v>
      </c>
      <c r="D883" s="160"/>
      <c r="E883" s="166">
        <v>14.133778</v>
      </c>
      <c r="G883" s="166">
        <v>1.5217769999999999</v>
      </c>
    </row>
    <row r="884" spans="1:7" x14ac:dyDescent="0.4">
      <c r="A884" s="164">
        <v>34872</v>
      </c>
      <c r="B884" s="166"/>
      <c r="C884" s="166">
        <v>940.09002699999996</v>
      </c>
      <c r="D884" s="160"/>
      <c r="E884" s="166">
        <v>14.188349000000001</v>
      </c>
      <c r="G884" s="166">
        <v>1.5140720000000001</v>
      </c>
    </row>
    <row r="885" spans="1:7" x14ac:dyDescent="0.4">
      <c r="A885" s="164">
        <v>34873</v>
      </c>
      <c r="B885" s="166"/>
      <c r="C885" s="166">
        <v>938.86999500000002</v>
      </c>
      <c r="D885" s="160"/>
      <c r="E885" s="166">
        <v>14.352062</v>
      </c>
      <c r="G885" s="166">
        <v>1.5025139999999999</v>
      </c>
    </row>
    <row r="886" spans="1:7" x14ac:dyDescent="0.4">
      <c r="A886" s="164">
        <v>34876</v>
      </c>
      <c r="B886" s="166"/>
      <c r="C886" s="166">
        <v>926.97997999999995</v>
      </c>
      <c r="D886" s="160"/>
      <c r="E886" s="166">
        <v>14.297482</v>
      </c>
      <c r="G886" s="166">
        <v>1.4832510000000001</v>
      </c>
    </row>
    <row r="887" spans="1:7" x14ac:dyDescent="0.4">
      <c r="A887" s="164">
        <v>34877</v>
      </c>
      <c r="B887" s="166"/>
      <c r="C887" s="166">
        <v>919.55999799999995</v>
      </c>
      <c r="D887" s="160"/>
      <c r="E887" s="166">
        <v>13.879116</v>
      </c>
      <c r="G887" s="166">
        <v>1.429314</v>
      </c>
    </row>
    <row r="888" spans="1:7" x14ac:dyDescent="0.4">
      <c r="A888" s="164">
        <v>34878</v>
      </c>
      <c r="B888" s="166"/>
      <c r="C888" s="166">
        <v>920.52002000000005</v>
      </c>
      <c r="D888" s="160"/>
      <c r="E888" s="166">
        <v>13.988258999999999</v>
      </c>
      <c r="G888" s="166">
        <v>1.43702</v>
      </c>
    </row>
    <row r="889" spans="1:7" x14ac:dyDescent="0.4">
      <c r="A889" s="164">
        <v>34879</v>
      </c>
      <c r="B889" s="166"/>
      <c r="C889" s="166">
        <v>926.80999799999995</v>
      </c>
      <c r="D889" s="160"/>
      <c r="E889" s="166">
        <v>14.115586</v>
      </c>
      <c r="G889" s="166">
        <v>1.456283</v>
      </c>
    </row>
    <row r="890" spans="1:7" x14ac:dyDescent="0.4">
      <c r="A890" s="164">
        <v>34880</v>
      </c>
      <c r="B890" s="166"/>
      <c r="C890" s="166">
        <v>933.45001200000002</v>
      </c>
      <c r="D890" s="160"/>
      <c r="E890" s="166">
        <v>13.970062</v>
      </c>
      <c r="G890" s="166">
        <v>1.431241</v>
      </c>
    </row>
    <row r="891" spans="1:7" x14ac:dyDescent="0.4">
      <c r="A891" s="164">
        <v>34883</v>
      </c>
      <c r="B891" s="166"/>
      <c r="C891" s="166">
        <v>934.53002900000001</v>
      </c>
      <c r="D891" s="160"/>
      <c r="E891" s="166">
        <v>14.206531999999999</v>
      </c>
      <c r="G891" s="166">
        <v>1.4466509999999999</v>
      </c>
    </row>
    <row r="892" spans="1:7" x14ac:dyDescent="0.4">
      <c r="A892" s="164">
        <v>34885</v>
      </c>
      <c r="B892" s="166"/>
      <c r="C892" s="166">
        <v>941.82000700000003</v>
      </c>
      <c r="D892" s="160"/>
      <c r="E892" s="166">
        <v>14.079205999999999</v>
      </c>
      <c r="G892" s="166">
        <v>1.4331670000000001</v>
      </c>
    </row>
    <row r="893" spans="1:7" x14ac:dyDescent="0.4">
      <c r="A893" s="164">
        <v>34886</v>
      </c>
      <c r="B893" s="166"/>
      <c r="C893" s="166">
        <v>952.92999299999997</v>
      </c>
      <c r="D893" s="160"/>
      <c r="E893" s="166">
        <v>14.388439</v>
      </c>
      <c r="G893" s="166">
        <v>1.4485779999999999</v>
      </c>
    </row>
    <row r="894" spans="1:7" x14ac:dyDescent="0.4">
      <c r="A894" s="164">
        <v>34887</v>
      </c>
      <c r="B894" s="166"/>
      <c r="C894" s="166">
        <v>969.76000999999997</v>
      </c>
      <c r="D894" s="160"/>
      <c r="E894" s="166">
        <v>14.479391</v>
      </c>
      <c r="G894" s="166">
        <v>1.498661</v>
      </c>
    </row>
    <row r="895" spans="1:7" x14ac:dyDescent="0.4">
      <c r="A895" s="164">
        <v>34890</v>
      </c>
      <c r="B895" s="166"/>
      <c r="C895" s="166">
        <v>976.63000499999998</v>
      </c>
      <c r="D895" s="160"/>
      <c r="E895" s="166">
        <v>14.643103</v>
      </c>
      <c r="G895" s="166">
        <v>1.498661</v>
      </c>
    </row>
    <row r="896" spans="1:7" x14ac:dyDescent="0.4">
      <c r="A896" s="164">
        <v>34891</v>
      </c>
      <c r="B896" s="166"/>
      <c r="C896" s="166">
        <v>970.21997099999999</v>
      </c>
      <c r="D896" s="160"/>
      <c r="E896" s="166">
        <v>14.515767</v>
      </c>
      <c r="G896" s="166">
        <v>1.4524300000000001</v>
      </c>
    </row>
    <row r="897" spans="1:7" x14ac:dyDescent="0.4">
      <c r="A897" s="164">
        <v>34892</v>
      </c>
      <c r="B897" s="166"/>
      <c r="C897" s="166">
        <v>988.63000499999998</v>
      </c>
      <c r="D897" s="160"/>
      <c r="E897" s="166">
        <v>14.788626000000001</v>
      </c>
      <c r="G897" s="166">
        <v>1.4485779999999999</v>
      </c>
    </row>
    <row r="898" spans="1:7" x14ac:dyDescent="0.4">
      <c r="A898" s="164">
        <v>34893</v>
      </c>
      <c r="B898" s="166"/>
      <c r="C898" s="166">
        <v>994.15002400000003</v>
      </c>
      <c r="D898" s="160"/>
      <c r="E898" s="166">
        <v>15.097856999999999</v>
      </c>
      <c r="G898" s="166">
        <v>1.467841</v>
      </c>
    </row>
    <row r="899" spans="1:7" x14ac:dyDescent="0.4">
      <c r="A899" s="164">
        <v>34894</v>
      </c>
      <c r="B899" s="166"/>
      <c r="C899" s="166">
        <v>999.330017</v>
      </c>
      <c r="D899" s="160"/>
      <c r="E899" s="166">
        <v>15.116047999999999</v>
      </c>
      <c r="G899" s="166">
        <v>1.5025139999999999</v>
      </c>
    </row>
    <row r="900" spans="1:7" x14ac:dyDescent="0.4">
      <c r="A900" s="164">
        <v>34897</v>
      </c>
      <c r="B900" s="166"/>
      <c r="C900" s="166">
        <v>1005.8900149999999</v>
      </c>
      <c r="D900" s="160"/>
      <c r="E900" s="166">
        <v>15.607182999999999</v>
      </c>
      <c r="G900" s="166">
        <v>1.510219</v>
      </c>
    </row>
    <row r="901" spans="1:7" x14ac:dyDescent="0.4">
      <c r="A901" s="164">
        <v>34898</v>
      </c>
      <c r="B901" s="166"/>
      <c r="C901" s="166">
        <v>988.53002900000001</v>
      </c>
      <c r="D901" s="160"/>
      <c r="E901" s="166">
        <v>15.570807</v>
      </c>
      <c r="G901" s="166">
        <v>1.4832510000000001</v>
      </c>
    </row>
    <row r="902" spans="1:7" x14ac:dyDescent="0.4">
      <c r="A902" s="164">
        <v>34899</v>
      </c>
      <c r="B902" s="166"/>
      <c r="C902" s="166">
        <v>952.86999500000002</v>
      </c>
      <c r="D902" s="160"/>
      <c r="E902" s="166">
        <v>14.734047</v>
      </c>
      <c r="G902" s="166">
        <v>1.4023460000000001</v>
      </c>
    </row>
    <row r="903" spans="1:7" x14ac:dyDescent="0.4">
      <c r="A903" s="164">
        <v>34900</v>
      </c>
      <c r="B903" s="166"/>
      <c r="C903" s="166">
        <v>960.57000700000003</v>
      </c>
      <c r="D903" s="160"/>
      <c r="E903" s="166">
        <v>15.152423000000001</v>
      </c>
      <c r="G903" s="166">
        <v>1.450504</v>
      </c>
    </row>
    <row r="904" spans="1:7" x14ac:dyDescent="0.4">
      <c r="A904" s="164">
        <v>34901</v>
      </c>
      <c r="B904" s="166"/>
      <c r="C904" s="166">
        <v>961.77002000000005</v>
      </c>
      <c r="D904" s="160"/>
      <c r="E904" s="166">
        <v>15.079669000000001</v>
      </c>
      <c r="G904" s="166">
        <v>1.3484100000000001</v>
      </c>
    </row>
    <row r="905" spans="1:7" x14ac:dyDescent="0.4">
      <c r="A905" s="164">
        <v>34904</v>
      </c>
      <c r="B905" s="166"/>
      <c r="C905" s="166">
        <v>978.57000700000003</v>
      </c>
      <c r="D905" s="160"/>
      <c r="E905" s="166">
        <v>15.643556</v>
      </c>
      <c r="G905" s="166">
        <v>1.3984939999999999</v>
      </c>
    </row>
    <row r="906" spans="1:7" x14ac:dyDescent="0.4">
      <c r="A906" s="164">
        <v>34905</v>
      </c>
      <c r="B906" s="166"/>
      <c r="C906" s="166">
        <v>993.75</v>
      </c>
      <c r="D906" s="160"/>
      <c r="E906" s="166">
        <v>15.77089</v>
      </c>
      <c r="G906" s="166">
        <v>1.4100509999999999</v>
      </c>
    </row>
    <row r="907" spans="1:7" x14ac:dyDescent="0.4">
      <c r="A907" s="164">
        <v>34906</v>
      </c>
      <c r="B907" s="166"/>
      <c r="C907" s="166">
        <v>1000.179993</v>
      </c>
      <c r="D907" s="160"/>
      <c r="E907" s="166">
        <v>15.86185</v>
      </c>
      <c r="G907" s="166">
        <v>1.3984939999999999</v>
      </c>
    </row>
    <row r="908" spans="1:7" x14ac:dyDescent="0.4">
      <c r="A908" s="164">
        <v>34907</v>
      </c>
      <c r="B908" s="166"/>
      <c r="C908" s="166">
        <v>1010.659973</v>
      </c>
      <c r="D908" s="160"/>
      <c r="E908" s="166">
        <v>16.116503000000002</v>
      </c>
      <c r="G908" s="166">
        <v>1.442798</v>
      </c>
    </row>
    <row r="909" spans="1:7" x14ac:dyDescent="0.4">
      <c r="A909" s="164">
        <v>34908</v>
      </c>
      <c r="B909" s="166"/>
      <c r="C909" s="166">
        <v>1005.280029</v>
      </c>
      <c r="D909" s="160"/>
      <c r="E909" s="166">
        <v>16.098324000000002</v>
      </c>
      <c r="G909" s="166">
        <v>1.4023460000000001</v>
      </c>
    </row>
    <row r="910" spans="1:7" x14ac:dyDescent="0.4">
      <c r="A910" s="164">
        <v>34911</v>
      </c>
      <c r="B910" s="166"/>
      <c r="C910" s="166">
        <v>1001.210022</v>
      </c>
      <c r="D910" s="160"/>
      <c r="E910" s="166">
        <v>15.843659000000001</v>
      </c>
      <c r="G910" s="166">
        <v>1.3869359999999999</v>
      </c>
    </row>
    <row r="911" spans="1:7" x14ac:dyDescent="0.4">
      <c r="A911" s="164">
        <v>34912</v>
      </c>
      <c r="B911" s="166"/>
      <c r="C911" s="166">
        <v>991.10998500000005</v>
      </c>
      <c r="D911" s="160"/>
      <c r="E911" s="166">
        <v>15.952788</v>
      </c>
      <c r="G911" s="166">
        <v>1.340705</v>
      </c>
    </row>
    <row r="912" spans="1:7" x14ac:dyDescent="0.4">
      <c r="A912" s="164">
        <v>34913</v>
      </c>
      <c r="B912" s="166"/>
      <c r="C912" s="166">
        <v>983.75</v>
      </c>
      <c r="D912" s="160"/>
      <c r="E912" s="166">
        <v>15.643556</v>
      </c>
      <c r="G912" s="166">
        <v>1.3676729999999999</v>
      </c>
    </row>
    <row r="913" spans="1:7" x14ac:dyDescent="0.4">
      <c r="A913" s="164">
        <v>34914</v>
      </c>
      <c r="B913" s="166"/>
      <c r="C913" s="166">
        <v>982.70001200000002</v>
      </c>
      <c r="D913" s="160"/>
      <c r="E913" s="166">
        <v>15.86185</v>
      </c>
      <c r="G913" s="166">
        <v>1.3869359999999999</v>
      </c>
    </row>
    <row r="914" spans="1:7" x14ac:dyDescent="0.4">
      <c r="A914" s="164">
        <v>34915</v>
      </c>
      <c r="B914" s="166"/>
      <c r="C914" s="166">
        <v>991.09002699999996</v>
      </c>
      <c r="D914" s="160"/>
      <c r="E914" s="166">
        <v>15.807270000000001</v>
      </c>
      <c r="G914" s="166">
        <v>1.36382</v>
      </c>
    </row>
    <row r="915" spans="1:7" x14ac:dyDescent="0.4">
      <c r="A915" s="164">
        <v>34918</v>
      </c>
      <c r="B915" s="166"/>
      <c r="C915" s="166">
        <v>995.21997099999999</v>
      </c>
      <c r="D915" s="160"/>
      <c r="E915" s="166">
        <v>15.843659000000001</v>
      </c>
      <c r="G915" s="166">
        <v>1.3368519999999999</v>
      </c>
    </row>
    <row r="916" spans="1:7" x14ac:dyDescent="0.4">
      <c r="A916" s="164">
        <v>34919</v>
      </c>
      <c r="B916" s="166"/>
      <c r="C916" s="166">
        <v>997.11999500000002</v>
      </c>
      <c r="D916" s="160"/>
      <c r="E916" s="166">
        <v>16.100676</v>
      </c>
      <c r="G916" s="166">
        <v>1.309884</v>
      </c>
    </row>
    <row r="917" spans="1:7" x14ac:dyDescent="0.4">
      <c r="A917" s="164">
        <v>34920</v>
      </c>
      <c r="B917" s="166"/>
      <c r="C917" s="166">
        <v>1005.099976</v>
      </c>
      <c r="D917" s="160"/>
      <c r="E917" s="166">
        <v>16.137394</v>
      </c>
      <c r="G917" s="166">
        <v>1.3291470000000001</v>
      </c>
    </row>
    <row r="918" spans="1:7" x14ac:dyDescent="0.4">
      <c r="A918" s="164">
        <v>34921</v>
      </c>
      <c r="B918" s="166"/>
      <c r="C918" s="166">
        <v>1000.6099850000001</v>
      </c>
      <c r="D918" s="160"/>
      <c r="E918" s="166">
        <v>16.027241</v>
      </c>
      <c r="G918" s="166">
        <v>1.3175889999999999</v>
      </c>
    </row>
    <row r="919" spans="1:7" x14ac:dyDescent="0.4">
      <c r="A919" s="164">
        <v>34922</v>
      </c>
      <c r="B919" s="166"/>
      <c r="C919" s="166">
        <v>1004.1099850000001</v>
      </c>
      <c r="D919" s="160"/>
      <c r="E919" s="166">
        <v>16.045603</v>
      </c>
      <c r="G919" s="166">
        <v>1.327221</v>
      </c>
    </row>
    <row r="920" spans="1:7" x14ac:dyDescent="0.4">
      <c r="A920" s="164">
        <v>34925</v>
      </c>
      <c r="B920" s="166"/>
      <c r="C920" s="166">
        <v>1012.440002</v>
      </c>
      <c r="D920" s="160"/>
      <c r="E920" s="166">
        <v>16.265906999999999</v>
      </c>
      <c r="G920" s="166">
        <v>1.3368519999999999</v>
      </c>
    </row>
    <row r="921" spans="1:7" x14ac:dyDescent="0.4">
      <c r="A921" s="164">
        <v>34926</v>
      </c>
      <c r="B921" s="166"/>
      <c r="C921" s="166">
        <v>1012.369995</v>
      </c>
      <c r="D921" s="160"/>
      <c r="E921" s="166">
        <v>16.449497000000001</v>
      </c>
      <c r="G921" s="166">
        <v>1.3580410000000001</v>
      </c>
    </row>
    <row r="922" spans="1:7" x14ac:dyDescent="0.4">
      <c r="A922" s="164">
        <v>34927</v>
      </c>
      <c r="B922" s="166"/>
      <c r="C922" s="166">
        <v>1025.75</v>
      </c>
      <c r="D922" s="160"/>
      <c r="E922" s="166">
        <v>16.504572</v>
      </c>
      <c r="G922" s="166">
        <v>1.375275</v>
      </c>
    </row>
    <row r="923" spans="1:7" x14ac:dyDescent="0.4">
      <c r="A923" s="164">
        <v>34928</v>
      </c>
      <c r="B923" s="166"/>
      <c r="C923" s="166">
        <v>1029.23999</v>
      </c>
      <c r="D923" s="160"/>
      <c r="E923" s="166">
        <v>16.688155999999999</v>
      </c>
      <c r="G923" s="166">
        <v>1.379138</v>
      </c>
    </row>
    <row r="924" spans="1:7" x14ac:dyDescent="0.4">
      <c r="A924" s="164">
        <v>34929</v>
      </c>
      <c r="B924" s="166"/>
      <c r="C924" s="166">
        <v>1031.280029</v>
      </c>
      <c r="D924" s="160"/>
      <c r="E924" s="166">
        <v>16.357702</v>
      </c>
      <c r="G924" s="166">
        <v>1.3868640000000001</v>
      </c>
    </row>
    <row r="925" spans="1:7" x14ac:dyDescent="0.4">
      <c r="A925" s="164">
        <v>34932</v>
      </c>
      <c r="B925" s="166"/>
      <c r="C925" s="166">
        <v>1019.700012</v>
      </c>
      <c r="D925" s="160"/>
      <c r="E925" s="166">
        <v>15.678428</v>
      </c>
      <c r="G925" s="166">
        <v>1.363686</v>
      </c>
    </row>
    <row r="926" spans="1:7" x14ac:dyDescent="0.4">
      <c r="A926" s="164">
        <v>34933</v>
      </c>
      <c r="B926" s="166"/>
      <c r="C926" s="166">
        <v>1025.290039</v>
      </c>
      <c r="D926" s="160"/>
      <c r="E926" s="166">
        <v>15.806933000000001</v>
      </c>
      <c r="G926" s="166">
        <v>1.3830009999999999</v>
      </c>
    </row>
    <row r="927" spans="1:7" x14ac:dyDescent="0.4">
      <c r="A927" s="164">
        <v>34934</v>
      </c>
      <c r="B927" s="166"/>
      <c r="C927" s="166">
        <v>1028.1899410000001</v>
      </c>
      <c r="D927" s="160"/>
      <c r="E927" s="166">
        <v>15.660069</v>
      </c>
      <c r="G927" s="166">
        <v>1.40618</v>
      </c>
    </row>
    <row r="928" spans="1:7" x14ac:dyDescent="0.4">
      <c r="A928" s="164">
        <v>34935</v>
      </c>
      <c r="B928" s="166"/>
      <c r="C928" s="166">
        <v>1020.929993</v>
      </c>
      <c r="D928" s="160"/>
      <c r="E928" s="166">
        <v>15.403041</v>
      </c>
      <c r="G928" s="166">
        <v>1.4139060000000001</v>
      </c>
    </row>
    <row r="929" spans="1:7" x14ac:dyDescent="0.4">
      <c r="A929" s="164">
        <v>34936</v>
      </c>
      <c r="B929" s="166"/>
      <c r="C929" s="166">
        <v>1019.969971</v>
      </c>
      <c r="D929" s="160"/>
      <c r="E929" s="166">
        <v>15.256171</v>
      </c>
      <c r="G929" s="166">
        <v>1.3830009999999999</v>
      </c>
    </row>
    <row r="930" spans="1:7" x14ac:dyDescent="0.4">
      <c r="A930" s="164">
        <v>34939</v>
      </c>
      <c r="B930" s="166"/>
      <c r="C930" s="166">
        <v>1008.150024</v>
      </c>
      <c r="D930" s="160"/>
      <c r="E930" s="166">
        <v>14.925716</v>
      </c>
      <c r="G930" s="166">
        <v>1.3289169999999999</v>
      </c>
    </row>
    <row r="931" spans="1:7" x14ac:dyDescent="0.4">
      <c r="A931" s="164">
        <v>34940</v>
      </c>
      <c r="B931" s="166"/>
      <c r="C931" s="166">
        <v>1003.6400149999999</v>
      </c>
      <c r="D931" s="160"/>
      <c r="E931" s="166">
        <v>15.035868000000001</v>
      </c>
      <c r="G931" s="166">
        <v>1.3327800000000001</v>
      </c>
    </row>
    <row r="932" spans="1:7" x14ac:dyDescent="0.4">
      <c r="A932" s="164">
        <v>34941</v>
      </c>
      <c r="B932" s="166"/>
      <c r="C932" s="166">
        <v>1012.6099850000001</v>
      </c>
      <c r="D932" s="160"/>
      <c r="E932" s="166">
        <v>14.925716</v>
      </c>
      <c r="G932" s="166">
        <v>1.340506</v>
      </c>
    </row>
    <row r="933" spans="1:7" x14ac:dyDescent="0.4">
      <c r="A933" s="164">
        <v>34942</v>
      </c>
      <c r="B933" s="166"/>
      <c r="C933" s="166">
        <v>1020.1099850000001</v>
      </c>
      <c r="D933" s="160"/>
      <c r="E933" s="166">
        <v>15.182734</v>
      </c>
      <c r="G933" s="166">
        <v>1.3289169999999999</v>
      </c>
    </row>
    <row r="934" spans="1:7" x14ac:dyDescent="0.4">
      <c r="A934" s="164">
        <v>34943</v>
      </c>
      <c r="B934" s="166"/>
      <c r="C934" s="166">
        <v>1019.469971</v>
      </c>
      <c r="D934" s="160"/>
      <c r="E934" s="166">
        <v>15.090946000000001</v>
      </c>
      <c r="G934" s="166">
        <v>1.3269850000000001</v>
      </c>
    </row>
    <row r="935" spans="1:7" x14ac:dyDescent="0.4">
      <c r="A935" s="164">
        <v>34947</v>
      </c>
      <c r="B935" s="166"/>
      <c r="C935" s="166">
        <v>1039.3000489999999</v>
      </c>
      <c r="D935" s="160"/>
      <c r="E935" s="166">
        <v>14.852278999999999</v>
      </c>
      <c r="G935" s="166">
        <v>1.3443700000000001</v>
      </c>
    </row>
    <row r="936" spans="1:7" x14ac:dyDescent="0.4">
      <c r="A936" s="164">
        <v>34948</v>
      </c>
      <c r="B936" s="166"/>
      <c r="C936" s="166">
        <v>1044.280029</v>
      </c>
      <c r="D936" s="160"/>
      <c r="E936" s="166">
        <v>14.797198</v>
      </c>
      <c r="G936" s="166">
        <v>1.352095</v>
      </c>
    </row>
    <row r="937" spans="1:7" x14ac:dyDescent="0.4">
      <c r="A937" s="164">
        <v>34949</v>
      </c>
      <c r="B937" s="166"/>
      <c r="C937" s="166">
        <v>1051.079956</v>
      </c>
      <c r="D937" s="160"/>
      <c r="E937" s="166">
        <v>14.595250999999999</v>
      </c>
      <c r="G937" s="166">
        <v>1.3830009999999999</v>
      </c>
    </row>
    <row r="938" spans="1:7" x14ac:dyDescent="0.4">
      <c r="A938" s="164">
        <v>34950</v>
      </c>
      <c r="B938" s="166"/>
      <c r="C938" s="166">
        <v>1060.030029</v>
      </c>
      <c r="D938" s="160"/>
      <c r="E938" s="166">
        <v>14.521822</v>
      </c>
      <c r="G938" s="166">
        <v>1.3830009999999999</v>
      </c>
    </row>
    <row r="939" spans="1:7" x14ac:dyDescent="0.4">
      <c r="A939" s="164">
        <v>34953</v>
      </c>
      <c r="B939" s="166"/>
      <c r="C939" s="166">
        <v>1066.5600589999999</v>
      </c>
      <c r="D939" s="160"/>
      <c r="E939" s="166">
        <v>14.154643999999999</v>
      </c>
      <c r="G939" s="166">
        <v>1.367548</v>
      </c>
    </row>
    <row r="940" spans="1:7" x14ac:dyDescent="0.4">
      <c r="A940" s="164">
        <v>34954</v>
      </c>
      <c r="B940" s="166"/>
      <c r="C940" s="166">
        <v>1065</v>
      </c>
      <c r="D940" s="160"/>
      <c r="E940" s="166">
        <v>14.319876000000001</v>
      </c>
      <c r="G940" s="166">
        <v>1.3269850000000001</v>
      </c>
    </row>
    <row r="941" spans="1:7" x14ac:dyDescent="0.4">
      <c r="A941" s="164">
        <v>34955</v>
      </c>
      <c r="B941" s="166"/>
      <c r="C941" s="166">
        <v>1067.400024</v>
      </c>
      <c r="D941" s="160"/>
      <c r="E941" s="166">
        <v>13.897614000000001</v>
      </c>
      <c r="G941" s="166">
        <v>1.3096019999999999</v>
      </c>
    </row>
    <row r="942" spans="1:7" x14ac:dyDescent="0.4">
      <c r="A942" s="164">
        <v>34956</v>
      </c>
      <c r="B942" s="166"/>
      <c r="C942" s="166">
        <v>1066.959961</v>
      </c>
      <c r="D942" s="160"/>
      <c r="E942" s="166">
        <v>13.714028000000001</v>
      </c>
      <c r="G942" s="166">
        <v>1.236202</v>
      </c>
    </row>
    <row r="943" spans="1:7" x14ac:dyDescent="0.4">
      <c r="A943" s="164">
        <v>34957</v>
      </c>
      <c r="B943" s="166"/>
      <c r="C943" s="166">
        <v>1051.099976</v>
      </c>
      <c r="D943" s="160"/>
      <c r="E943" s="166">
        <v>13.548798</v>
      </c>
      <c r="G943" s="166">
        <v>1.108719</v>
      </c>
    </row>
    <row r="944" spans="1:7" x14ac:dyDescent="0.4">
      <c r="A944" s="164">
        <v>34960</v>
      </c>
      <c r="B944" s="166"/>
      <c r="C944" s="166">
        <v>1050.1800539999999</v>
      </c>
      <c r="D944" s="160"/>
      <c r="E944" s="166">
        <v>13.824184000000001</v>
      </c>
      <c r="G944" s="166">
        <v>1.133829</v>
      </c>
    </row>
    <row r="945" spans="1:7" x14ac:dyDescent="0.4">
      <c r="A945" s="164">
        <v>34961</v>
      </c>
      <c r="B945" s="166"/>
      <c r="C945" s="166">
        <v>1060.3199460000001</v>
      </c>
      <c r="D945" s="160"/>
      <c r="E945" s="166">
        <v>14.209723</v>
      </c>
      <c r="G945" s="166">
        <v>1.1357600000000001</v>
      </c>
    </row>
    <row r="946" spans="1:7" x14ac:dyDescent="0.4">
      <c r="A946" s="164">
        <v>34962</v>
      </c>
      <c r="B946" s="166"/>
      <c r="C946" s="166">
        <v>1065.089966</v>
      </c>
      <c r="D946" s="160"/>
      <c r="E946" s="166">
        <v>14.062851</v>
      </c>
      <c r="G946" s="166">
        <v>1.1318969999999999</v>
      </c>
    </row>
    <row r="947" spans="1:7" x14ac:dyDescent="0.4">
      <c r="A947" s="164">
        <v>34963</v>
      </c>
      <c r="B947" s="166"/>
      <c r="C947" s="166">
        <v>1058.51001</v>
      </c>
      <c r="D947" s="160"/>
      <c r="E947" s="166">
        <v>13.860898000000001</v>
      </c>
      <c r="G947" s="166">
        <v>1.1434869999999999</v>
      </c>
    </row>
    <row r="948" spans="1:7" x14ac:dyDescent="0.4">
      <c r="A948" s="164">
        <v>34964</v>
      </c>
      <c r="B948" s="166"/>
      <c r="C948" s="166">
        <v>1053.3900149999999</v>
      </c>
      <c r="D948" s="160"/>
      <c r="E948" s="166">
        <v>13.787461</v>
      </c>
      <c r="G948" s="166">
        <v>1.145418</v>
      </c>
    </row>
    <row r="949" spans="1:7" x14ac:dyDescent="0.4">
      <c r="A949" s="164">
        <v>34967</v>
      </c>
      <c r="B949" s="166"/>
      <c r="C949" s="166">
        <v>1046.150024</v>
      </c>
      <c r="D949" s="160"/>
      <c r="E949" s="166">
        <v>13.622239</v>
      </c>
      <c r="G949" s="166">
        <v>1.159422</v>
      </c>
    </row>
    <row r="950" spans="1:7" x14ac:dyDescent="0.4">
      <c r="A950" s="164">
        <v>34968</v>
      </c>
      <c r="B950" s="166"/>
      <c r="C950" s="166">
        <v>1038.0500489999999</v>
      </c>
      <c r="D950" s="160"/>
      <c r="E950" s="166">
        <v>13.640597</v>
      </c>
      <c r="G950" s="166">
        <v>1.155076</v>
      </c>
    </row>
    <row r="951" spans="1:7" x14ac:dyDescent="0.4">
      <c r="A951" s="164">
        <v>34969</v>
      </c>
      <c r="B951" s="166"/>
      <c r="C951" s="166">
        <v>1026.540039</v>
      </c>
      <c r="D951" s="160"/>
      <c r="E951" s="166">
        <v>13.860898000000001</v>
      </c>
      <c r="G951" s="166">
        <v>1.1203080000000001</v>
      </c>
    </row>
    <row r="952" spans="1:7" x14ac:dyDescent="0.4">
      <c r="A952" s="164">
        <v>34970</v>
      </c>
      <c r="B952" s="166"/>
      <c r="C952" s="166">
        <v>1047.0500489999999</v>
      </c>
      <c r="D952" s="160"/>
      <c r="E952" s="166">
        <v>13.787461</v>
      </c>
      <c r="G952" s="166">
        <v>1.1666650000000001</v>
      </c>
    </row>
    <row r="953" spans="1:7" x14ac:dyDescent="0.4">
      <c r="A953" s="164">
        <v>34971</v>
      </c>
      <c r="B953" s="166"/>
      <c r="C953" s="166">
        <v>1043.540039</v>
      </c>
      <c r="D953" s="160"/>
      <c r="E953" s="166">
        <v>13.879258999999999</v>
      </c>
      <c r="G953" s="166">
        <v>1.151213</v>
      </c>
    </row>
    <row r="954" spans="1:7" x14ac:dyDescent="0.4">
      <c r="A954" s="164">
        <v>34974</v>
      </c>
      <c r="B954" s="166"/>
      <c r="C954" s="166">
        <v>1027.5699460000001</v>
      </c>
      <c r="D954" s="160"/>
      <c r="E954" s="166">
        <v>13.732393999999999</v>
      </c>
      <c r="G954" s="166">
        <v>1.1628019999999999</v>
      </c>
    </row>
    <row r="955" spans="1:7" x14ac:dyDescent="0.4">
      <c r="A955" s="164">
        <v>34975</v>
      </c>
      <c r="B955" s="166"/>
      <c r="C955" s="166">
        <v>1020.450012</v>
      </c>
      <c r="D955" s="160"/>
      <c r="E955" s="166">
        <v>13.934335000000001</v>
      </c>
      <c r="G955" s="166">
        <v>1.1628019999999999</v>
      </c>
    </row>
    <row r="956" spans="1:7" x14ac:dyDescent="0.4">
      <c r="A956" s="164">
        <v>34976</v>
      </c>
      <c r="B956" s="166"/>
      <c r="C956" s="166">
        <v>1002.27002</v>
      </c>
      <c r="D956" s="160"/>
      <c r="E956" s="166">
        <v>13.7691</v>
      </c>
      <c r="G956" s="166">
        <v>1.124171</v>
      </c>
    </row>
    <row r="957" spans="1:7" x14ac:dyDescent="0.4">
      <c r="A957" s="164">
        <v>34977</v>
      </c>
      <c r="B957" s="166"/>
      <c r="C957" s="166">
        <v>1014.200012</v>
      </c>
      <c r="D957" s="160"/>
      <c r="E957" s="166">
        <v>13.879258999999999</v>
      </c>
      <c r="G957" s="166">
        <v>1.128034</v>
      </c>
    </row>
    <row r="958" spans="1:7" x14ac:dyDescent="0.4">
      <c r="A958" s="164">
        <v>34978</v>
      </c>
      <c r="B958" s="166"/>
      <c r="C958" s="166">
        <v>1012.039978</v>
      </c>
      <c r="D958" s="160"/>
      <c r="E958" s="166">
        <v>13.824184000000001</v>
      </c>
      <c r="G958" s="166">
        <v>1.102924</v>
      </c>
    </row>
    <row r="959" spans="1:7" x14ac:dyDescent="0.4">
      <c r="A959" s="164">
        <v>34981</v>
      </c>
      <c r="B959" s="166"/>
      <c r="C959" s="166">
        <v>984.73999000000003</v>
      </c>
      <c r="D959" s="160"/>
      <c r="E959" s="166">
        <v>13.512083000000001</v>
      </c>
      <c r="G959" s="166">
        <v>1.075882</v>
      </c>
    </row>
    <row r="960" spans="1:7" x14ac:dyDescent="0.4">
      <c r="A960" s="164">
        <v>34982</v>
      </c>
      <c r="B960" s="166"/>
      <c r="C960" s="166">
        <v>983.46997099999999</v>
      </c>
      <c r="D960" s="160"/>
      <c r="E960" s="166">
        <v>13.328493</v>
      </c>
      <c r="G960" s="166">
        <v>1.0720190000000001</v>
      </c>
    </row>
    <row r="961" spans="1:7" x14ac:dyDescent="0.4">
      <c r="A961" s="164">
        <v>34983</v>
      </c>
      <c r="B961" s="166"/>
      <c r="C961" s="166">
        <v>1001.570007</v>
      </c>
      <c r="D961" s="160"/>
      <c r="E961" s="166">
        <v>13.585520000000001</v>
      </c>
      <c r="G961" s="166">
        <v>1.077814</v>
      </c>
    </row>
    <row r="962" spans="1:7" x14ac:dyDescent="0.4">
      <c r="A962" s="164">
        <v>34984</v>
      </c>
      <c r="B962" s="166"/>
      <c r="C962" s="166">
        <v>1015.630005</v>
      </c>
      <c r="D962" s="160"/>
      <c r="E962" s="166">
        <v>13.658949</v>
      </c>
      <c r="G962" s="166">
        <v>1.091334</v>
      </c>
    </row>
    <row r="963" spans="1:7" x14ac:dyDescent="0.4">
      <c r="A963" s="164">
        <v>34985</v>
      </c>
      <c r="B963" s="166"/>
      <c r="C963" s="166">
        <v>1018.380005</v>
      </c>
      <c r="D963" s="160"/>
      <c r="E963" s="166">
        <v>13.585520000000001</v>
      </c>
      <c r="G963" s="166">
        <v>1.112581</v>
      </c>
    </row>
    <row r="964" spans="1:7" x14ac:dyDescent="0.4">
      <c r="A964" s="164">
        <v>34988</v>
      </c>
      <c r="B964" s="166"/>
      <c r="C964" s="166">
        <v>1018.130005</v>
      </c>
      <c r="D964" s="160"/>
      <c r="E964" s="166">
        <v>13.805823</v>
      </c>
      <c r="G964" s="166">
        <v>1.116444</v>
      </c>
    </row>
    <row r="965" spans="1:7" x14ac:dyDescent="0.4">
      <c r="A965" s="164">
        <v>34989</v>
      </c>
      <c r="B965" s="166"/>
      <c r="C965" s="166">
        <v>1035.4399410000001</v>
      </c>
      <c r="D965" s="160"/>
      <c r="E965" s="166">
        <v>14.228075</v>
      </c>
      <c r="G965" s="166">
        <v>1.1318969999999999</v>
      </c>
    </row>
    <row r="966" spans="1:7" x14ac:dyDescent="0.4">
      <c r="A966" s="164">
        <v>34990</v>
      </c>
      <c r="B966" s="166"/>
      <c r="C966" s="166">
        <v>1045.369995</v>
      </c>
      <c r="D966" s="160"/>
      <c r="E966" s="166">
        <v>14.154643999999999</v>
      </c>
      <c r="G966" s="166">
        <v>1.155076</v>
      </c>
    </row>
    <row r="967" spans="1:7" x14ac:dyDescent="0.4">
      <c r="A967" s="164">
        <v>34991</v>
      </c>
      <c r="B967" s="166"/>
      <c r="C967" s="166">
        <v>1046.969971</v>
      </c>
      <c r="D967" s="160"/>
      <c r="E967" s="166">
        <v>14.430019</v>
      </c>
      <c r="G967" s="166">
        <v>1.07395</v>
      </c>
    </row>
    <row r="968" spans="1:7" x14ac:dyDescent="0.4">
      <c r="A968" s="164">
        <v>34992</v>
      </c>
      <c r="B968" s="166"/>
      <c r="C968" s="166">
        <v>1039.530029</v>
      </c>
      <c r="D968" s="160"/>
      <c r="E968" s="166">
        <v>14.007774</v>
      </c>
      <c r="G968" s="166">
        <v>1.0855399999999999</v>
      </c>
    </row>
    <row r="969" spans="1:7" x14ac:dyDescent="0.4">
      <c r="A969" s="164">
        <v>34995</v>
      </c>
      <c r="B969" s="166"/>
      <c r="C969" s="166">
        <v>1036.920044</v>
      </c>
      <c r="D969" s="160"/>
      <c r="E969" s="166">
        <v>14.540176000000001</v>
      </c>
      <c r="G969" s="166">
        <v>1.0855399999999999</v>
      </c>
    </row>
    <row r="970" spans="1:7" x14ac:dyDescent="0.4">
      <c r="A970" s="164">
        <v>34996</v>
      </c>
      <c r="B970" s="166"/>
      <c r="C970" s="166">
        <v>1039.23999</v>
      </c>
      <c r="D970" s="160"/>
      <c r="E970" s="166">
        <v>14.393304000000001</v>
      </c>
      <c r="G970" s="166">
        <v>1.0855399999999999</v>
      </c>
    </row>
    <row r="971" spans="1:7" x14ac:dyDescent="0.4">
      <c r="A971" s="164">
        <v>34997</v>
      </c>
      <c r="B971" s="166"/>
      <c r="C971" s="166">
        <v>1026.469971</v>
      </c>
      <c r="D971" s="160"/>
      <c r="E971" s="166">
        <v>14.117929999999999</v>
      </c>
      <c r="G971" s="166">
        <v>1.07395</v>
      </c>
    </row>
    <row r="972" spans="1:7" x14ac:dyDescent="0.4">
      <c r="A972" s="164">
        <v>34998</v>
      </c>
      <c r="B972" s="166"/>
      <c r="C972" s="166">
        <v>1017.570007</v>
      </c>
      <c r="D972" s="160"/>
      <c r="E972" s="166">
        <v>14.081215</v>
      </c>
      <c r="G972" s="166">
        <v>1.077814</v>
      </c>
    </row>
    <row r="973" spans="1:7" x14ac:dyDescent="0.4">
      <c r="A973" s="164">
        <v>34999</v>
      </c>
      <c r="B973" s="166"/>
      <c r="C973" s="166">
        <v>1025.5500489999999</v>
      </c>
      <c r="D973" s="160"/>
      <c r="E973" s="166">
        <v>14.173</v>
      </c>
      <c r="G973" s="166">
        <v>1.07395</v>
      </c>
    </row>
    <row r="974" spans="1:7" x14ac:dyDescent="0.4">
      <c r="A974" s="164">
        <v>35002</v>
      </c>
      <c r="B974" s="166"/>
      <c r="C974" s="166">
        <v>1039.6899410000001</v>
      </c>
      <c r="D974" s="160"/>
      <c r="E974" s="166">
        <v>14.430019</v>
      </c>
      <c r="G974" s="166">
        <v>1.0894029999999999</v>
      </c>
    </row>
    <row r="975" spans="1:7" x14ac:dyDescent="0.4">
      <c r="A975" s="164">
        <v>35003</v>
      </c>
      <c r="B975" s="166"/>
      <c r="C975" s="166">
        <v>1036.0600589999999</v>
      </c>
      <c r="D975" s="160"/>
      <c r="E975" s="166">
        <v>14.283158999999999</v>
      </c>
      <c r="G975" s="166">
        <v>1.122239</v>
      </c>
    </row>
    <row r="976" spans="1:7" x14ac:dyDescent="0.4">
      <c r="A976" s="164">
        <v>35004</v>
      </c>
      <c r="B976" s="166"/>
      <c r="C976" s="166">
        <v>1040.5</v>
      </c>
      <c r="D976" s="160"/>
      <c r="E976" s="166">
        <v>14.228075</v>
      </c>
      <c r="G976" s="166">
        <v>1.1318969999999999</v>
      </c>
    </row>
    <row r="977" spans="1:7" x14ac:dyDescent="0.4">
      <c r="A977" s="164">
        <v>35005</v>
      </c>
      <c r="B977" s="166"/>
      <c r="C977" s="166">
        <v>1057.3199460000001</v>
      </c>
      <c r="D977" s="160"/>
      <c r="E977" s="166">
        <v>14.631971</v>
      </c>
      <c r="G977" s="166">
        <v>1.1318969999999999</v>
      </c>
    </row>
    <row r="978" spans="1:7" x14ac:dyDescent="0.4">
      <c r="A978" s="164">
        <v>35006</v>
      </c>
      <c r="B978" s="166"/>
      <c r="C978" s="166">
        <v>1065.660034</v>
      </c>
      <c r="D978" s="160"/>
      <c r="E978" s="166">
        <v>14.907355000000001</v>
      </c>
      <c r="G978" s="166">
        <v>1.128034</v>
      </c>
    </row>
    <row r="979" spans="1:7" x14ac:dyDescent="0.4">
      <c r="A979" s="164">
        <v>35009</v>
      </c>
      <c r="B979" s="166"/>
      <c r="C979" s="166">
        <v>1062.1400149999999</v>
      </c>
      <c r="D979" s="160"/>
      <c r="E979" s="166">
        <v>14.760472999999999</v>
      </c>
      <c r="G979" s="166">
        <v>1.1782550000000001</v>
      </c>
    </row>
    <row r="980" spans="1:7" x14ac:dyDescent="0.4">
      <c r="A980" s="164">
        <v>35010</v>
      </c>
      <c r="B980" s="166"/>
      <c r="C980" s="166">
        <v>1043.900024</v>
      </c>
      <c r="D980" s="160"/>
      <c r="E980" s="166">
        <v>14.503463999999999</v>
      </c>
      <c r="G980" s="166">
        <v>1.224612</v>
      </c>
    </row>
    <row r="981" spans="1:7" x14ac:dyDescent="0.4">
      <c r="A981" s="164">
        <v>35011</v>
      </c>
      <c r="B981" s="166"/>
      <c r="C981" s="166">
        <v>1047.9399410000001</v>
      </c>
      <c r="D981" s="160"/>
      <c r="E981" s="166">
        <v>14.503458999999999</v>
      </c>
      <c r="G981" s="166">
        <v>1.2014339999999999</v>
      </c>
    </row>
    <row r="982" spans="1:7" x14ac:dyDescent="0.4">
      <c r="A982" s="164">
        <v>35012</v>
      </c>
      <c r="B982" s="166"/>
      <c r="C982" s="166">
        <v>1065.589966</v>
      </c>
      <c r="D982" s="160"/>
      <c r="E982" s="166">
        <v>14.596190999999999</v>
      </c>
      <c r="G982" s="166">
        <v>1.2168859999999999</v>
      </c>
    </row>
    <row r="983" spans="1:7" x14ac:dyDescent="0.4">
      <c r="A983" s="164">
        <v>35013</v>
      </c>
      <c r="B983" s="166"/>
      <c r="C983" s="166">
        <v>1063.869995</v>
      </c>
      <c r="D983" s="160"/>
      <c r="E983" s="166">
        <v>14.447824000000001</v>
      </c>
      <c r="G983" s="166">
        <v>1.2284759999999999</v>
      </c>
    </row>
    <row r="984" spans="1:7" x14ac:dyDescent="0.4">
      <c r="A984" s="164">
        <v>35016</v>
      </c>
      <c r="B984" s="166"/>
      <c r="C984" s="166">
        <v>1058.459961</v>
      </c>
      <c r="D984" s="160"/>
      <c r="E984" s="166">
        <v>14.447824000000001</v>
      </c>
      <c r="G984" s="166">
        <v>1.263244</v>
      </c>
    </row>
    <row r="985" spans="1:7" x14ac:dyDescent="0.4">
      <c r="A985" s="164">
        <v>35017</v>
      </c>
      <c r="B985" s="166"/>
      <c r="C985" s="166">
        <v>1040.619995</v>
      </c>
      <c r="D985" s="160"/>
      <c r="E985" s="166">
        <v>14.151076</v>
      </c>
      <c r="G985" s="166">
        <v>1.2825599999999999</v>
      </c>
    </row>
    <row r="986" spans="1:7" x14ac:dyDescent="0.4">
      <c r="A986" s="164">
        <v>35018</v>
      </c>
      <c r="B986" s="166"/>
      <c r="C986" s="166">
        <v>1041.849976</v>
      </c>
      <c r="D986" s="160"/>
      <c r="E986" s="166">
        <v>14.169625999999999</v>
      </c>
      <c r="G986" s="166">
        <v>1.267107</v>
      </c>
    </row>
    <row r="987" spans="1:7" x14ac:dyDescent="0.4">
      <c r="A987" s="164">
        <v>35019</v>
      </c>
      <c r="B987" s="166"/>
      <c r="C987" s="166">
        <v>1044.4799800000001</v>
      </c>
      <c r="D987" s="160"/>
      <c r="E987" s="166">
        <v>14.188167999999999</v>
      </c>
      <c r="G987" s="166">
        <v>1.23427</v>
      </c>
    </row>
    <row r="988" spans="1:7" x14ac:dyDescent="0.4">
      <c r="A988" s="164">
        <v>35020</v>
      </c>
      <c r="B988" s="166"/>
      <c r="C988" s="166">
        <v>1045.030029</v>
      </c>
      <c r="D988" s="160"/>
      <c r="E988" s="166">
        <v>14.113986000000001</v>
      </c>
      <c r="G988" s="166">
        <v>1.240065</v>
      </c>
    </row>
    <row r="989" spans="1:7" x14ac:dyDescent="0.4">
      <c r="A989" s="164">
        <v>35023</v>
      </c>
      <c r="B989" s="166"/>
      <c r="C989" s="166">
        <v>1029.469971</v>
      </c>
      <c r="D989" s="160"/>
      <c r="E989" s="166">
        <v>13.798684</v>
      </c>
      <c r="G989" s="166">
        <v>1.1937070000000001</v>
      </c>
    </row>
    <row r="990" spans="1:7" x14ac:dyDescent="0.4">
      <c r="A990" s="164">
        <v>35024</v>
      </c>
      <c r="B990" s="166"/>
      <c r="C990" s="166">
        <v>1024.98999</v>
      </c>
      <c r="D990" s="160"/>
      <c r="E990" s="166">
        <v>14.021243</v>
      </c>
      <c r="G990" s="166">
        <v>1.1974309999999999</v>
      </c>
    </row>
    <row r="991" spans="1:7" x14ac:dyDescent="0.4">
      <c r="A991" s="164">
        <v>35025</v>
      </c>
      <c r="B991" s="166"/>
      <c r="C991" s="166">
        <v>1021.23999</v>
      </c>
      <c r="D991" s="160"/>
      <c r="E991" s="166">
        <v>14.132531</v>
      </c>
      <c r="G991" s="166">
        <v>1.1974309999999999</v>
      </c>
    </row>
    <row r="992" spans="1:7" x14ac:dyDescent="0.4">
      <c r="A992" s="164">
        <v>35027</v>
      </c>
      <c r="B992" s="166"/>
      <c r="C992" s="166">
        <v>1030.170044</v>
      </c>
      <c r="D992" s="160"/>
      <c r="E992" s="166">
        <v>14.225263999999999</v>
      </c>
      <c r="G992" s="166">
        <v>1.245871</v>
      </c>
    </row>
    <row r="993" spans="1:7" x14ac:dyDescent="0.4">
      <c r="A993" s="164">
        <v>35030</v>
      </c>
      <c r="B993" s="166"/>
      <c r="C993" s="166">
        <v>1029.3199460000001</v>
      </c>
      <c r="D993" s="160"/>
      <c r="E993" s="166">
        <v>14.225263999999999</v>
      </c>
      <c r="G993" s="166">
        <v>1.220683</v>
      </c>
    </row>
    <row r="994" spans="1:7" x14ac:dyDescent="0.4">
      <c r="A994" s="164">
        <v>35031</v>
      </c>
      <c r="B994" s="166"/>
      <c r="C994" s="166">
        <v>1050.0500489999999</v>
      </c>
      <c r="D994" s="160"/>
      <c r="E994" s="166">
        <v>14.392173</v>
      </c>
      <c r="G994" s="166">
        <v>1.240059</v>
      </c>
    </row>
    <row r="995" spans="1:7" x14ac:dyDescent="0.4">
      <c r="A995" s="164">
        <v>35032</v>
      </c>
      <c r="B995" s="166"/>
      <c r="C995" s="166">
        <v>1057.5699460000001</v>
      </c>
      <c r="D995" s="160"/>
      <c r="E995" s="166">
        <v>14.410731999999999</v>
      </c>
      <c r="G995" s="166">
        <v>1.216807</v>
      </c>
    </row>
    <row r="996" spans="1:7" x14ac:dyDescent="0.4">
      <c r="A996" s="164">
        <v>35033</v>
      </c>
      <c r="B996" s="166"/>
      <c r="C996" s="166">
        <v>1059.1999510000001</v>
      </c>
      <c r="D996" s="160"/>
      <c r="E996" s="166">
        <v>14.336539999999999</v>
      </c>
      <c r="G996" s="166">
        <v>1.1819310000000001</v>
      </c>
    </row>
    <row r="997" spans="1:7" x14ac:dyDescent="0.4">
      <c r="A997" s="164">
        <v>35034</v>
      </c>
      <c r="B997" s="166"/>
      <c r="C997" s="166">
        <v>1055.3100589999999</v>
      </c>
      <c r="D997" s="160"/>
      <c r="E997" s="166">
        <v>14.058337999999999</v>
      </c>
      <c r="G997" s="166">
        <v>1.1664300000000001</v>
      </c>
    </row>
    <row r="998" spans="1:7" x14ac:dyDescent="0.4">
      <c r="A998" s="164">
        <v>35037</v>
      </c>
      <c r="B998" s="166"/>
      <c r="C998" s="166">
        <v>1069.790039</v>
      </c>
      <c r="D998" s="160"/>
      <c r="E998" s="166">
        <v>14.262352</v>
      </c>
      <c r="G998" s="166">
        <v>1.224558</v>
      </c>
    </row>
    <row r="999" spans="1:7" x14ac:dyDescent="0.4">
      <c r="A999" s="164">
        <v>35038</v>
      </c>
      <c r="B999" s="166"/>
      <c r="C999" s="166">
        <v>1065.8900149999999</v>
      </c>
      <c r="D999" s="160"/>
      <c r="E999" s="166">
        <v>14.206715000000001</v>
      </c>
      <c r="G999" s="166">
        <v>1.224558</v>
      </c>
    </row>
    <row r="1000" spans="1:7" x14ac:dyDescent="0.4">
      <c r="A1000" s="164">
        <v>35039</v>
      </c>
      <c r="B1000" s="166"/>
      <c r="C1000" s="166">
        <v>1061.7299800000001</v>
      </c>
      <c r="D1000" s="160"/>
      <c r="E1000" s="166">
        <v>14.206715000000001</v>
      </c>
      <c r="G1000" s="166">
        <v>1.201306</v>
      </c>
    </row>
    <row r="1001" spans="1:7" x14ac:dyDescent="0.4">
      <c r="A1001" s="164">
        <v>35040</v>
      </c>
      <c r="B1001" s="166"/>
      <c r="C1001" s="166">
        <v>1053.170044</v>
      </c>
      <c r="D1001" s="160"/>
      <c r="E1001" s="166">
        <v>14.058337999999999</v>
      </c>
      <c r="G1001" s="166">
        <v>1.1954940000000001</v>
      </c>
    </row>
    <row r="1002" spans="1:7" x14ac:dyDescent="0.4">
      <c r="A1002" s="164">
        <v>35041</v>
      </c>
      <c r="B1002" s="166"/>
      <c r="C1002" s="166">
        <v>1062.410034</v>
      </c>
      <c r="D1002" s="160"/>
      <c r="E1002" s="166">
        <v>14.373635</v>
      </c>
      <c r="G1002" s="166">
        <v>1.220683</v>
      </c>
    </row>
    <row r="1003" spans="1:7" x14ac:dyDescent="0.4">
      <c r="A1003" s="164">
        <v>35044</v>
      </c>
      <c r="B1003" s="166"/>
      <c r="C1003" s="166">
        <v>1061.5</v>
      </c>
      <c r="D1003" s="160"/>
      <c r="E1003" s="166">
        <v>14.280894</v>
      </c>
      <c r="G1003" s="166">
        <v>1.1974309999999999</v>
      </c>
    </row>
    <row r="1004" spans="1:7" x14ac:dyDescent="0.4">
      <c r="A1004" s="164">
        <v>35045</v>
      </c>
      <c r="B1004" s="166"/>
      <c r="C1004" s="166">
        <v>1052.0699460000001</v>
      </c>
      <c r="D1004" s="160"/>
      <c r="E1004" s="166">
        <v>14.151076</v>
      </c>
      <c r="G1004" s="166">
        <v>1.1780550000000001</v>
      </c>
    </row>
    <row r="1005" spans="1:7" x14ac:dyDescent="0.4">
      <c r="A1005" s="164">
        <v>35046</v>
      </c>
      <c r="B1005" s="166"/>
      <c r="C1005" s="166">
        <v>1056.540039</v>
      </c>
      <c r="D1005" s="160"/>
      <c r="E1005" s="166">
        <v>14.021243</v>
      </c>
      <c r="G1005" s="166">
        <v>1.189681</v>
      </c>
    </row>
    <row r="1006" spans="1:7" x14ac:dyDescent="0.4">
      <c r="A1006" s="164">
        <v>35047</v>
      </c>
      <c r="B1006" s="166"/>
      <c r="C1006" s="166">
        <v>1038.1899410000001</v>
      </c>
      <c r="D1006" s="160"/>
      <c r="E1006" s="166">
        <v>13.90996</v>
      </c>
      <c r="G1006" s="166">
        <v>1.1858059999999999</v>
      </c>
    </row>
    <row r="1007" spans="1:7" x14ac:dyDescent="0.4">
      <c r="A1007" s="164">
        <v>35048</v>
      </c>
      <c r="B1007" s="166"/>
      <c r="C1007" s="166">
        <v>1030.4799800000001</v>
      </c>
      <c r="D1007" s="160"/>
      <c r="E1007" s="166">
        <v>13.39066</v>
      </c>
      <c r="G1007" s="166">
        <v>1.0928009999999999</v>
      </c>
    </row>
    <row r="1008" spans="1:7" x14ac:dyDescent="0.4">
      <c r="A1008" s="164">
        <v>35051</v>
      </c>
      <c r="B1008" s="166"/>
      <c r="C1008" s="166">
        <v>1002.559998</v>
      </c>
      <c r="D1008" s="160"/>
      <c r="E1008" s="166">
        <v>13.205197999999999</v>
      </c>
      <c r="G1008" s="166">
        <v>0.99979700000000005</v>
      </c>
    </row>
    <row r="1009" spans="1:7" x14ac:dyDescent="0.4">
      <c r="A1009" s="164">
        <v>35052</v>
      </c>
      <c r="B1009" s="166"/>
      <c r="C1009" s="166">
        <v>1026.410034</v>
      </c>
      <c r="D1009" s="160"/>
      <c r="E1009" s="166">
        <v>13.631766000000001</v>
      </c>
      <c r="G1009" s="166">
        <v>1.015298</v>
      </c>
    </row>
    <row r="1010" spans="1:7" x14ac:dyDescent="0.4">
      <c r="A1010" s="164">
        <v>35053</v>
      </c>
      <c r="B1010" s="166"/>
      <c r="C1010" s="166">
        <v>1025.2700199999999</v>
      </c>
      <c r="D1010" s="160"/>
      <c r="E1010" s="166">
        <v>13.260837</v>
      </c>
      <c r="G1010" s="166">
        <v>1.011423</v>
      </c>
    </row>
    <row r="1011" spans="1:7" x14ac:dyDescent="0.4">
      <c r="A1011" s="164">
        <v>35054</v>
      </c>
      <c r="B1011" s="166"/>
      <c r="C1011" s="166">
        <v>1040.6400149999999</v>
      </c>
      <c r="D1011" s="160"/>
      <c r="E1011" s="166">
        <v>13.483401000000001</v>
      </c>
      <c r="G1011" s="166">
        <v>1.007547</v>
      </c>
    </row>
    <row r="1012" spans="1:7" x14ac:dyDescent="0.4">
      <c r="A1012" s="164">
        <v>35055</v>
      </c>
      <c r="B1012" s="166"/>
      <c r="C1012" s="166">
        <v>1046.8900149999999</v>
      </c>
      <c r="D1012" s="160"/>
      <c r="E1012" s="166">
        <v>13.539032000000001</v>
      </c>
      <c r="G1012" s="166">
        <v>0.99979700000000005</v>
      </c>
    </row>
    <row r="1013" spans="1:7" x14ac:dyDescent="0.4">
      <c r="A1013" s="164">
        <v>35059</v>
      </c>
      <c r="B1013" s="166"/>
      <c r="C1013" s="166">
        <v>1049.369995</v>
      </c>
      <c r="D1013" s="160"/>
      <c r="E1013" s="166">
        <v>13.613223</v>
      </c>
      <c r="G1013" s="166">
        <v>0.99398500000000001</v>
      </c>
    </row>
    <row r="1014" spans="1:7" x14ac:dyDescent="0.4">
      <c r="A1014" s="164">
        <v>35060</v>
      </c>
      <c r="B1014" s="166"/>
      <c r="C1014" s="166">
        <v>1048.130005</v>
      </c>
      <c r="D1014" s="160"/>
      <c r="E1014" s="166">
        <v>13.650316999999999</v>
      </c>
      <c r="G1014" s="166">
        <v>1.0036719999999999</v>
      </c>
    </row>
    <row r="1015" spans="1:7" x14ac:dyDescent="0.4">
      <c r="A1015" s="164">
        <v>35061</v>
      </c>
      <c r="B1015" s="166"/>
      <c r="C1015" s="166">
        <v>1042.219971</v>
      </c>
      <c r="D1015" s="160"/>
      <c r="E1015" s="166">
        <v>13.372116</v>
      </c>
      <c r="G1015" s="166">
        <v>0.99204700000000001</v>
      </c>
    </row>
    <row r="1016" spans="1:7" x14ac:dyDescent="0.4">
      <c r="A1016" s="164">
        <v>35062</v>
      </c>
      <c r="B1016" s="166"/>
      <c r="C1016" s="166">
        <v>1052.130005</v>
      </c>
      <c r="D1016" s="160"/>
      <c r="E1016" s="166">
        <v>13.557581000000001</v>
      </c>
      <c r="G1016" s="166">
        <v>0.98817200000000005</v>
      </c>
    </row>
    <row r="1017" spans="1:7" x14ac:dyDescent="0.4">
      <c r="A1017" s="164">
        <v>35066</v>
      </c>
      <c r="B1017" s="166"/>
      <c r="C1017" s="166">
        <v>1058.650024</v>
      </c>
      <c r="D1017" s="160"/>
      <c r="E1017" s="166">
        <v>13.483401000000001</v>
      </c>
      <c r="G1017" s="166">
        <v>0.99592199999999997</v>
      </c>
    </row>
    <row r="1018" spans="1:7" x14ac:dyDescent="0.4">
      <c r="A1018" s="164">
        <v>35067</v>
      </c>
      <c r="B1018" s="166"/>
      <c r="C1018" s="166">
        <v>1046.26001</v>
      </c>
      <c r="D1018" s="160"/>
      <c r="E1018" s="166">
        <v>13.242293</v>
      </c>
      <c r="G1018" s="166">
        <v>0.99592199999999997</v>
      </c>
    </row>
    <row r="1019" spans="1:7" x14ac:dyDescent="0.4">
      <c r="A1019" s="164">
        <v>35068</v>
      </c>
      <c r="B1019" s="166"/>
      <c r="C1019" s="166">
        <v>1029.8199460000001</v>
      </c>
      <c r="D1019" s="160"/>
      <c r="E1019" s="166">
        <v>12.889896999999999</v>
      </c>
      <c r="G1019" s="166">
        <v>0.97848299999999999</v>
      </c>
    </row>
    <row r="1020" spans="1:7" x14ac:dyDescent="0.4">
      <c r="A1020" s="164">
        <v>35069</v>
      </c>
      <c r="B1020" s="166"/>
      <c r="C1020" s="166">
        <v>1033.469971</v>
      </c>
      <c r="D1020" s="160"/>
      <c r="E1020" s="166">
        <v>13.149557</v>
      </c>
      <c r="G1020" s="166">
        <v>1.0618000000000001</v>
      </c>
    </row>
    <row r="1021" spans="1:7" x14ac:dyDescent="0.4">
      <c r="A1021" s="164">
        <v>35072</v>
      </c>
      <c r="B1021" s="166"/>
      <c r="C1021" s="166">
        <v>1032.369995</v>
      </c>
      <c r="D1021" s="160"/>
      <c r="E1021" s="166">
        <v>13.223748000000001</v>
      </c>
      <c r="G1021" s="166">
        <v>1.0734250000000001</v>
      </c>
    </row>
    <row r="1022" spans="1:7" x14ac:dyDescent="0.4">
      <c r="A1022" s="164">
        <v>35073</v>
      </c>
      <c r="B1022" s="166"/>
      <c r="C1022" s="166">
        <v>998.80999799999995</v>
      </c>
      <c r="D1022" s="160"/>
      <c r="E1022" s="166">
        <v>12.871357</v>
      </c>
      <c r="G1022" s="166">
        <v>1.015298</v>
      </c>
    </row>
    <row r="1023" spans="1:7" x14ac:dyDescent="0.4">
      <c r="A1023" s="164">
        <v>35074</v>
      </c>
      <c r="B1023" s="166"/>
      <c r="C1023" s="166">
        <v>990.21002199999998</v>
      </c>
      <c r="D1023" s="160"/>
      <c r="E1023" s="166">
        <v>12.945544</v>
      </c>
      <c r="G1023" s="166">
        <v>1.0618000000000001</v>
      </c>
    </row>
    <row r="1024" spans="1:7" x14ac:dyDescent="0.4">
      <c r="A1024" s="164">
        <v>35075</v>
      </c>
      <c r="B1024" s="166"/>
      <c r="C1024" s="166">
        <v>1011.099976</v>
      </c>
      <c r="D1024" s="160"/>
      <c r="E1024" s="166">
        <v>12.945544</v>
      </c>
      <c r="G1024" s="166">
        <v>1.085051</v>
      </c>
    </row>
    <row r="1025" spans="1:7" x14ac:dyDescent="0.4">
      <c r="A1025" s="164">
        <v>35076</v>
      </c>
      <c r="B1025" s="166"/>
      <c r="C1025" s="166">
        <v>1008.22998</v>
      </c>
      <c r="D1025" s="160"/>
      <c r="E1025" s="166">
        <v>12.815715000000001</v>
      </c>
      <c r="G1025" s="166">
        <v>1.0501739999999999</v>
      </c>
    </row>
    <row r="1026" spans="1:7" x14ac:dyDescent="0.4">
      <c r="A1026" s="164">
        <v>35079</v>
      </c>
      <c r="B1026" s="166"/>
      <c r="C1026" s="166">
        <v>988.57000700000003</v>
      </c>
      <c r="D1026" s="160"/>
      <c r="E1026" s="166">
        <v>12.333505000000001</v>
      </c>
      <c r="G1026" s="166">
        <v>1.057925</v>
      </c>
    </row>
    <row r="1027" spans="1:7" x14ac:dyDescent="0.4">
      <c r="A1027" s="164">
        <v>35080</v>
      </c>
      <c r="B1027" s="166"/>
      <c r="C1027" s="166">
        <v>995.86999500000002</v>
      </c>
      <c r="D1027" s="160"/>
      <c r="E1027" s="166">
        <v>12.908452</v>
      </c>
      <c r="G1027" s="166">
        <v>1.071488</v>
      </c>
    </row>
    <row r="1028" spans="1:7" x14ac:dyDescent="0.4">
      <c r="A1028" s="164">
        <v>35081</v>
      </c>
      <c r="B1028" s="166"/>
      <c r="C1028" s="166">
        <v>998.29998799999998</v>
      </c>
      <c r="D1028" s="160"/>
      <c r="E1028" s="166">
        <v>13.001185</v>
      </c>
      <c r="G1028" s="166">
        <v>1.0540499999999999</v>
      </c>
    </row>
    <row r="1029" spans="1:7" x14ac:dyDescent="0.4">
      <c r="A1029" s="164">
        <v>35082</v>
      </c>
      <c r="B1029" s="166"/>
      <c r="C1029" s="166">
        <v>1007.23999</v>
      </c>
      <c r="D1029" s="160"/>
      <c r="E1029" s="166">
        <v>14.280894</v>
      </c>
      <c r="G1029" s="166">
        <v>0.99010900000000002</v>
      </c>
    </row>
    <row r="1030" spans="1:7" x14ac:dyDescent="0.4">
      <c r="A1030" s="164">
        <v>35083</v>
      </c>
      <c r="B1030" s="166"/>
      <c r="C1030" s="166">
        <v>1018.450012</v>
      </c>
      <c r="D1030" s="160"/>
      <c r="E1030" s="166">
        <v>15.134036999999999</v>
      </c>
      <c r="G1030" s="166">
        <v>0.92616900000000002</v>
      </c>
    </row>
    <row r="1031" spans="1:7" x14ac:dyDescent="0.4">
      <c r="A1031" s="164">
        <v>35086</v>
      </c>
      <c r="B1031" s="166"/>
      <c r="C1031" s="166">
        <v>1029.4399410000001</v>
      </c>
      <c r="D1031" s="160"/>
      <c r="E1031" s="166">
        <v>15.171137999999999</v>
      </c>
      <c r="G1031" s="166">
        <v>0.94554400000000005</v>
      </c>
    </row>
    <row r="1032" spans="1:7" x14ac:dyDescent="0.4">
      <c r="A1032" s="164">
        <v>35087</v>
      </c>
      <c r="B1032" s="166"/>
      <c r="C1032" s="166">
        <v>1028.040039</v>
      </c>
      <c r="D1032" s="160"/>
      <c r="E1032" s="166">
        <v>15.282416</v>
      </c>
      <c r="G1032" s="166">
        <v>0.98042099999999999</v>
      </c>
    </row>
    <row r="1033" spans="1:7" x14ac:dyDescent="0.4">
      <c r="A1033" s="164">
        <v>35088</v>
      </c>
      <c r="B1033" s="166"/>
      <c r="C1033" s="166">
        <v>1043.459961</v>
      </c>
      <c r="D1033" s="160"/>
      <c r="E1033" s="166">
        <v>15.875909</v>
      </c>
      <c r="G1033" s="166">
        <v>0.99979700000000005</v>
      </c>
    </row>
    <row r="1034" spans="1:7" x14ac:dyDescent="0.4">
      <c r="A1034" s="164">
        <v>35089</v>
      </c>
      <c r="B1034" s="166"/>
      <c r="C1034" s="166">
        <v>1035.9499510000001</v>
      </c>
      <c r="D1034" s="160"/>
      <c r="E1034" s="166">
        <v>15.449335</v>
      </c>
      <c r="G1034" s="166">
        <v>0.93779400000000002</v>
      </c>
    </row>
    <row r="1035" spans="1:7" x14ac:dyDescent="0.4">
      <c r="A1035" s="164">
        <v>35090</v>
      </c>
      <c r="B1035" s="166"/>
      <c r="C1035" s="166">
        <v>1040.959961</v>
      </c>
      <c r="D1035" s="160"/>
      <c r="E1035" s="166">
        <v>15.542070000000001</v>
      </c>
      <c r="G1035" s="166">
        <v>0.94942000000000004</v>
      </c>
    </row>
    <row r="1036" spans="1:7" x14ac:dyDescent="0.4">
      <c r="A1036" s="164">
        <v>35093</v>
      </c>
      <c r="B1036" s="166"/>
      <c r="C1036" s="166">
        <v>1042.51001</v>
      </c>
      <c r="D1036" s="160"/>
      <c r="E1036" s="166">
        <v>15.801724999999999</v>
      </c>
      <c r="G1036" s="166">
        <v>0.90291699999999997</v>
      </c>
    </row>
    <row r="1037" spans="1:7" x14ac:dyDescent="0.4">
      <c r="A1037" s="164">
        <v>35094</v>
      </c>
      <c r="B1037" s="166"/>
      <c r="C1037" s="166">
        <v>1051.3000489999999</v>
      </c>
      <c r="D1037" s="160"/>
      <c r="E1037" s="166">
        <v>16.117014000000001</v>
      </c>
      <c r="G1037" s="166">
        <v>0.84672700000000001</v>
      </c>
    </row>
    <row r="1038" spans="1:7" x14ac:dyDescent="0.4">
      <c r="A1038" s="164">
        <v>35095</v>
      </c>
      <c r="B1038" s="166"/>
      <c r="C1038" s="166">
        <v>1059.790039</v>
      </c>
      <c r="D1038" s="160"/>
      <c r="E1038" s="166">
        <v>16.098471</v>
      </c>
      <c r="G1038" s="166">
        <v>0.85641500000000004</v>
      </c>
    </row>
    <row r="1039" spans="1:7" x14ac:dyDescent="0.4">
      <c r="A1039" s="164">
        <v>35096</v>
      </c>
      <c r="B1039" s="166"/>
      <c r="C1039" s="166">
        <v>1069.459961</v>
      </c>
      <c r="D1039" s="160"/>
      <c r="E1039" s="166">
        <v>16.172653</v>
      </c>
      <c r="G1039" s="166">
        <v>0.87966599999999995</v>
      </c>
    </row>
    <row r="1040" spans="1:7" x14ac:dyDescent="0.4">
      <c r="A1040" s="164">
        <v>35097</v>
      </c>
      <c r="B1040" s="166"/>
      <c r="C1040" s="166">
        <v>1072.1099850000001</v>
      </c>
      <c r="D1040" s="160"/>
      <c r="E1040" s="166">
        <v>16.265384999999998</v>
      </c>
      <c r="G1040" s="166">
        <v>0.90679299999999996</v>
      </c>
    </row>
    <row r="1041" spans="1:7" x14ac:dyDescent="0.4">
      <c r="A1041" s="164">
        <v>35100</v>
      </c>
      <c r="B1041" s="166"/>
      <c r="C1041" s="166">
        <v>1083.339966</v>
      </c>
      <c r="D1041" s="160"/>
      <c r="E1041" s="166">
        <v>16.654866999999999</v>
      </c>
      <c r="G1041" s="166">
        <v>0.90679299999999996</v>
      </c>
    </row>
    <row r="1042" spans="1:7" x14ac:dyDescent="0.4">
      <c r="A1042" s="164">
        <v>35101</v>
      </c>
      <c r="B1042" s="166"/>
      <c r="C1042" s="166">
        <v>1089.079956</v>
      </c>
      <c r="D1042" s="160"/>
      <c r="E1042" s="166">
        <v>17.025808000000001</v>
      </c>
      <c r="G1042" s="166">
        <v>0.91841799999999996</v>
      </c>
    </row>
    <row r="1043" spans="1:7" x14ac:dyDescent="0.4">
      <c r="A1043" s="164">
        <v>35102</v>
      </c>
      <c r="B1043" s="166"/>
      <c r="C1043" s="166">
        <v>1084.880005</v>
      </c>
      <c r="D1043" s="160"/>
      <c r="E1043" s="166">
        <v>16.857412</v>
      </c>
      <c r="G1043" s="166">
        <v>0.87579099999999999</v>
      </c>
    </row>
    <row r="1044" spans="1:7" x14ac:dyDescent="0.4">
      <c r="A1044" s="164">
        <v>35103</v>
      </c>
      <c r="B1044" s="166"/>
      <c r="C1044" s="166">
        <v>1093.170044</v>
      </c>
      <c r="D1044" s="160"/>
      <c r="E1044" s="166">
        <v>16.988377</v>
      </c>
      <c r="G1044" s="166">
        <v>0.86416599999999999</v>
      </c>
    </row>
    <row r="1045" spans="1:7" x14ac:dyDescent="0.4">
      <c r="A1045" s="164">
        <v>35104</v>
      </c>
      <c r="B1045" s="166"/>
      <c r="C1045" s="166">
        <v>1094.599976</v>
      </c>
      <c r="D1045" s="160"/>
      <c r="E1045" s="166">
        <v>16.988377</v>
      </c>
      <c r="G1045" s="166">
        <v>0.86029</v>
      </c>
    </row>
    <row r="1046" spans="1:7" x14ac:dyDescent="0.4">
      <c r="A1046" s="164">
        <v>35107</v>
      </c>
      <c r="B1046" s="166"/>
      <c r="C1046" s="166">
        <v>1095.380005</v>
      </c>
      <c r="D1046" s="160"/>
      <c r="E1046" s="166">
        <v>17.250319999999999</v>
      </c>
      <c r="G1046" s="166">
        <v>0.87966599999999995</v>
      </c>
    </row>
    <row r="1047" spans="1:7" x14ac:dyDescent="0.4">
      <c r="A1047" s="164">
        <v>35108</v>
      </c>
      <c r="B1047" s="166"/>
      <c r="C1047" s="166">
        <v>1087.219971</v>
      </c>
      <c r="D1047" s="160"/>
      <c r="E1047" s="166">
        <v>17.007088</v>
      </c>
      <c r="G1047" s="166">
        <v>0.87191600000000002</v>
      </c>
    </row>
    <row r="1048" spans="1:7" x14ac:dyDescent="0.4">
      <c r="A1048" s="164">
        <v>35109</v>
      </c>
      <c r="B1048" s="166"/>
      <c r="C1048" s="166">
        <v>1088.030029</v>
      </c>
      <c r="D1048" s="160"/>
      <c r="E1048" s="166">
        <v>17.100643000000002</v>
      </c>
      <c r="G1048" s="166">
        <v>0.85641500000000004</v>
      </c>
    </row>
    <row r="1049" spans="1:7" x14ac:dyDescent="0.4">
      <c r="A1049" s="164">
        <v>35110</v>
      </c>
      <c r="B1049" s="166"/>
      <c r="C1049" s="166">
        <v>1090.540039</v>
      </c>
      <c r="D1049" s="160"/>
      <c r="E1049" s="166">
        <v>17.605803000000002</v>
      </c>
      <c r="G1049" s="166">
        <v>0.86804099999999995</v>
      </c>
    </row>
    <row r="1050" spans="1:7" x14ac:dyDescent="0.4">
      <c r="A1050" s="164">
        <v>35111</v>
      </c>
      <c r="B1050" s="166"/>
      <c r="C1050" s="166">
        <v>1090.709961</v>
      </c>
      <c r="D1050" s="160"/>
      <c r="E1050" s="166">
        <v>17.661926000000001</v>
      </c>
      <c r="G1050" s="166">
        <v>0.85253999999999996</v>
      </c>
    </row>
    <row r="1051" spans="1:7" x14ac:dyDescent="0.4">
      <c r="A1051" s="164">
        <v>35115</v>
      </c>
      <c r="B1051" s="166"/>
      <c r="C1051" s="166">
        <v>1083.23999</v>
      </c>
      <c r="D1051" s="160"/>
      <c r="E1051" s="166">
        <v>17.830313</v>
      </c>
      <c r="G1051" s="166">
        <v>0.89904200000000001</v>
      </c>
    </row>
    <row r="1052" spans="1:7" x14ac:dyDescent="0.4">
      <c r="A1052" s="164">
        <v>35116</v>
      </c>
      <c r="B1052" s="166"/>
      <c r="C1052" s="166">
        <v>1096.849976</v>
      </c>
      <c r="D1052" s="160"/>
      <c r="E1052" s="166">
        <v>17.998698999999998</v>
      </c>
      <c r="G1052" s="166">
        <v>0.91841799999999996</v>
      </c>
    </row>
    <row r="1053" spans="1:7" x14ac:dyDescent="0.4">
      <c r="A1053" s="164">
        <v>35117</v>
      </c>
      <c r="B1053" s="166"/>
      <c r="C1053" s="166">
        <v>1117.1099850000001</v>
      </c>
      <c r="D1053" s="160"/>
      <c r="E1053" s="166">
        <v>18.578704999999999</v>
      </c>
      <c r="G1053" s="166">
        <v>0.92616900000000002</v>
      </c>
    </row>
    <row r="1054" spans="1:7" x14ac:dyDescent="0.4">
      <c r="A1054" s="164">
        <v>35118</v>
      </c>
      <c r="B1054" s="166"/>
      <c r="C1054" s="166">
        <v>1117.790039</v>
      </c>
      <c r="D1054" s="160"/>
      <c r="E1054" s="166">
        <v>18.803217</v>
      </c>
      <c r="G1054" s="166">
        <v>0.92616900000000002</v>
      </c>
    </row>
    <row r="1055" spans="1:7" x14ac:dyDescent="0.4">
      <c r="A1055" s="164">
        <v>35121</v>
      </c>
      <c r="B1055" s="166"/>
      <c r="C1055" s="166">
        <v>1113.0500489999999</v>
      </c>
      <c r="D1055" s="160"/>
      <c r="E1055" s="166">
        <v>18.690968000000002</v>
      </c>
      <c r="G1055" s="166">
        <v>0.91454299999999999</v>
      </c>
    </row>
    <row r="1056" spans="1:7" x14ac:dyDescent="0.4">
      <c r="A1056" s="164">
        <v>35122</v>
      </c>
      <c r="B1056" s="166"/>
      <c r="C1056" s="166">
        <v>1106.170044</v>
      </c>
      <c r="D1056" s="160"/>
      <c r="E1056" s="166">
        <v>19.270956000000002</v>
      </c>
      <c r="G1056" s="166">
        <v>0.88741700000000001</v>
      </c>
    </row>
    <row r="1057" spans="1:7" x14ac:dyDescent="0.4">
      <c r="A1057" s="164">
        <v>35123</v>
      </c>
      <c r="B1057" s="166"/>
      <c r="C1057" s="166">
        <v>1107.5500489999999</v>
      </c>
      <c r="D1057" s="160"/>
      <c r="E1057" s="166">
        <v>19.065151</v>
      </c>
      <c r="G1057" s="166">
        <v>0.86029</v>
      </c>
    </row>
    <row r="1058" spans="1:7" x14ac:dyDescent="0.4">
      <c r="A1058" s="164">
        <v>35124</v>
      </c>
      <c r="B1058" s="166"/>
      <c r="C1058" s="166">
        <v>1100.0500489999999</v>
      </c>
      <c r="D1058" s="160"/>
      <c r="E1058" s="166">
        <v>18.354182999999999</v>
      </c>
      <c r="G1058" s="166">
        <v>0.85253999999999996</v>
      </c>
    </row>
    <row r="1059" spans="1:7" x14ac:dyDescent="0.4">
      <c r="A1059" s="164">
        <v>35125</v>
      </c>
      <c r="B1059" s="166"/>
      <c r="C1059" s="166">
        <v>1086.079956</v>
      </c>
      <c r="D1059" s="160"/>
      <c r="E1059" s="166">
        <v>17.680638999999999</v>
      </c>
      <c r="G1059" s="166">
        <v>0.83316400000000002</v>
      </c>
    </row>
    <row r="1060" spans="1:7" x14ac:dyDescent="0.4">
      <c r="A1060" s="164">
        <v>35128</v>
      </c>
      <c r="B1060" s="166"/>
      <c r="C1060" s="166">
        <v>1084.880005</v>
      </c>
      <c r="D1060" s="160"/>
      <c r="E1060" s="166">
        <v>17.381284999999998</v>
      </c>
      <c r="G1060" s="166">
        <v>0.81378799999999996</v>
      </c>
    </row>
    <row r="1061" spans="1:7" x14ac:dyDescent="0.4">
      <c r="A1061" s="164">
        <v>35129</v>
      </c>
      <c r="B1061" s="166"/>
      <c r="C1061" s="166">
        <v>1096.8100589999999</v>
      </c>
      <c r="D1061" s="160"/>
      <c r="E1061" s="166">
        <v>17.811610999999999</v>
      </c>
      <c r="G1061" s="166">
        <v>0.82541399999999998</v>
      </c>
    </row>
    <row r="1062" spans="1:7" x14ac:dyDescent="0.4">
      <c r="A1062" s="164">
        <v>35130</v>
      </c>
      <c r="B1062" s="166"/>
      <c r="C1062" s="166">
        <v>1091.8199460000001</v>
      </c>
      <c r="D1062" s="160"/>
      <c r="E1062" s="166">
        <v>17.512253000000001</v>
      </c>
      <c r="G1062" s="166">
        <v>0.81185099999999999</v>
      </c>
    </row>
    <row r="1063" spans="1:7" x14ac:dyDescent="0.4">
      <c r="A1063" s="164">
        <v>35131</v>
      </c>
      <c r="B1063" s="166"/>
      <c r="C1063" s="166">
        <v>1093.119995</v>
      </c>
      <c r="D1063" s="160"/>
      <c r="E1063" s="166">
        <v>17.530956</v>
      </c>
      <c r="G1063" s="166">
        <v>0.80022499999999996</v>
      </c>
    </row>
    <row r="1064" spans="1:7" x14ac:dyDescent="0.4">
      <c r="A1064" s="164">
        <v>35132</v>
      </c>
      <c r="B1064" s="166"/>
      <c r="C1064" s="166">
        <v>1063.7299800000001</v>
      </c>
      <c r="D1064" s="160"/>
      <c r="E1064" s="166">
        <v>17.100643000000002</v>
      </c>
      <c r="G1064" s="166">
        <v>0.80603800000000003</v>
      </c>
    </row>
    <row r="1065" spans="1:7" x14ac:dyDescent="0.4">
      <c r="A1065" s="164">
        <v>35135</v>
      </c>
      <c r="B1065" s="166"/>
      <c r="C1065" s="166">
        <v>1080.5</v>
      </c>
      <c r="D1065" s="160"/>
      <c r="E1065" s="166">
        <v>17.549671</v>
      </c>
      <c r="G1065" s="166">
        <v>0.80216299999999996</v>
      </c>
    </row>
    <row r="1066" spans="1:7" x14ac:dyDescent="0.4">
      <c r="A1066" s="164">
        <v>35136</v>
      </c>
      <c r="B1066" s="166"/>
      <c r="C1066" s="166">
        <v>1073.0500489999999</v>
      </c>
      <c r="D1066" s="160"/>
      <c r="E1066" s="166">
        <v>17.100643000000002</v>
      </c>
      <c r="G1066" s="166">
        <v>0.80022499999999996</v>
      </c>
    </row>
    <row r="1067" spans="1:7" x14ac:dyDescent="0.4">
      <c r="A1067" s="164">
        <v>35137</v>
      </c>
      <c r="B1067" s="166"/>
      <c r="C1067" s="166">
        <v>1088.6400149999999</v>
      </c>
      <c r="D1067" s="160"/>
      <c r="E1067" s="166">
        <v>17.343861</v>
      </c>
      <c r="G1067" s="166">
        <v>0.798288</v>
      </c>
    </row>
    <row r="1068" spans="1:7" x14ac:dyDescent="0.4">
      <c r="A1068" s="164">
        <v>35138</v>
      </c>
      <c r="B1068" s="166"/>
      <c r="C1068" s="166">
        <v>1091.0699460000001</v>
      </c>
      <c r="D1068" s="160"/>
      <c r="E1068" s="166">
        <v>17.493545999999998</v>
      </c>
      <c r="G1068" s="166">
        <v>0.79441300000000004</v>
      </c>
    </row>
    <row r="1069" spans="1:7" x14ac:dyDescent="0.4">
      <c r="A1069" s="164">
        <v>35139</v>
      </c>
      <c r="B1069" s="166"/>
      <c r="C1069" s="166">
        <v>1099.589966</v>
      </c>
      <c r="D1069" s="160"/>
      <c r="E1069" s="166">
        <v>17.942575000000001</v>
      </c>
      <c r="G1069" s="166">
        <v>0.80216299999999996</v>
      </c>
    </row>
    <row r="1070" spans="1:7" x14ac:dyDescent="0.4">
      <c r="A1070" s="164">
        <v>35142</v>
      </c>
      <c r="B1070" s="166"/>
      <c r="C1070" s="166">
        <v>1114.420044</v>
      </c>
      <c r="D1070" s="160"/>
      <c r="E1070" s="166">
        <v>18.653542999999999</v>
      </c>
      <c r="G1070" s="166">
        <v>0.80991299999999999</v>
      </c>
    </row>
    <row r="1071" spans="1:7" x14ac:dyDescent="0.4">
      <c r="A1071" s="164">
        <v>35143</v>
      </c>
      <c r="B1071" s="166"/>
      <c r="C1071" s="166">
        <v>1112.5</v>
      </c>
      <c r="D1071" s="160"/>
      <c r="E1071" s="166">
        <v>18.223227000000001</v>
      </c>
      <c r="G1071" s="166">
        <v>0.798288</v>
      </c>
    </row>
    <row r="1072" spans="1:7" x14ac:dyDescent="0.4">
      <c r="A1072" s="164">
        <v>35144</v>
      </c>
      <c r="B1072" s="166"/>
      <c r="C1072" s="166">
        <v>1101.8199460000001</v>
      </c>
      <c r="D1072" s="160"/>
      <c r="E1072" s="166">
        <v>17.512253000000001</v>
      </c>
      <c r="G1072" s="166">
        <v>0.78278700000000001</v>
      </c>
    </row>
    <row r="1073" spans="1:7" x14ac:dyDescent="0.4">
      <c r="A1073" s="164">
        <v>35145</v>
      </c>
      <c r="B1073" s="166"/>
      <c r="C1073" s="166">
        <v>1099.790039</v>
      </c>
      <c r="D1073" s="160"/>
      <c r="E1073" s="166">
        <v>17.194186999999999</v>
      </c>
      <c r="G1073" s="166">
        <v>0.77891200000000005</v>
      </c>
    </row>
    <row r="1074" spans="1:7" x14ac:dyDescent="0.4">
      <c r="A1074" s="164">
        <v>35146</v>
      </c>
      <c r="B1074" s="166"/>
      <c r="C1074" s="166">
        <v>1102.219971</v>
      </c>
      <c r="D1074" s="160"/>
      <c r="E1074" s="166">
        <v>17.100643000000002</v>
      </c>
      <c r="G1074" s="166">
        <v>0.78666199999999997</v>
      </c>
    </row>
    <row r="1075" spans="1:7" x14ac:dyDescent="0.4">
      <c r="A1075" s="164">
        <v>35149</v>
      </c>
      <c r="B1075" s="166"/>
      <c r="C1075" s="166">
        <v>1087.089966</v>
      </c>
      <c r="D1075" s="160"/>
      <c r="E1075" s="166">
        <v>16.277418000000001</v>
      </c>
      <c r="G1075" s="166">
        <v>0.744035</v>
      </c>
    </row>
    <row r="1076" spans="1:7" x14ac:dyDescent="0.4">
      <c r="A1076" s="164">
        <v>35150</v>
      </c>
      <c r="B1076" s="166"/>
      <c r="C1076" s="166">
        <v>1088.349976</v>
      </c>
      <c r="D1076" s="160"/>
      <c r="E1076" s="166">
        <v>16.576772999999999</v>
      </c>
      <c r="G1076" s="166">
        <v>0.74016000000000004</v>
      </c>
    </row>
    <row r="1077" spans="1:7" x14ac:dyDescent="0.4">
      <c r="A1077" s="164">
        <v>35151</v>
      </c>
      <c r="B1077" s="166"/>
      <c r="C1077" s="166">
        <v>1093.880005</v>
      </c>
      <c r="D1077" s="160"/>
      <c r="E1077" s="166">
        <v>16.651615</v>
      </c>
      <c r="G1077" s="166">
        <v>0.78278700000000001</v>
      </c>
    </row>
    <row r="1078" spans="1:7" x14ac:dyDescent="0.4">
      <c r="A1078" s="164">
        <v>35152</v>
      </c>
      <c r="B1078" s="166"/>
      <c r="C1078" s="166">
        <v>1094.829956</v>
      </c>
      <c r="D1078" s="160"/>
      <c r="E1078" s="166">
        <v>16.427091999999998</v>
      </c>
      <c r="G1078" s="166">
        <v>0.74984799999999996</v>
      </c>
    </row>
    <row r="1079" spans="1:7" x14ac:dyDescent="0.4">
      <c r="A1079" s="164">
        <v>35153</v>
      </c>
      <c r="B1079" s="166"/>
      <c r="C1079" s="166">
        <v>1101.400024</v>
      </c>
      <c r="D1079" s="160"/>
      <c r="E1079" s="166">
        <v>16.651615</v>
      </c>
      <c r="G1079" s="166">
        <v>0.76147299999999996</v>
      </c>
    </row>
    <row r="1080" spans="1:7" x14ac:dyDescent="0.4">
      <c r="A1080" s="164">
        <v>35156</v>
      </c>
      <c r="B1080" s="166"/>
      <c r="C1080" s="166">
        <v>1106.5699460000001</v>
      </c>
      <c r="D1080" s="160"/>
      <c r="E1080" s="166">
        <v>16.520636</v>
      </c>
      <c r="G1080" s="166">
        <v>0.79053700000000005</v>
      </c>
    </row>
    <row r="1081" spans="1:7" x14ac:dyDescent="0.4">
      <c r="A1081" s="164">
        <v>35157</v>
      </c>
      <c r="B1081" s="166"/>
      <c r="C1081" s="166">
        <v>1111.290039</v>
      </c>
      <c r="D1081" s="160"/>
      <c r="E1081" s="166">
        <v>17.605803000000002</v>
      </c>
      <c r="G1081" s="166">
        <v>0.77503599999999995</v>
      </c>
    </row>
    <row r="1082" spans="1:7" x14ac:dyDescent="0.4">
      <c r="A1082" s="164">
        <v>35158</v>
      </c>
      <c r="B1082" s="166"/>
      <c r="C1082" s="166">
        <v>1115.849976</v>
      </c>
      <c r="D1082" s="160"/>
      <c r="E1082" s="166">
        <v>17.923871999999999</v>
      </c>
      <c r="G1082" s="166">
        <v>0.76147299999999996</v>
      </c>
    </row>
    <row r="1083" spans="1:7" x14ac:dyDescent="0.4">
      <c r="A1083" s="164">
        <v>35159</v>
      </c>
      <c r="B1083" s="166"/>
      <c r="C1083" s="166">
        <v>1118.209961</v>
      </c>
      <c r="D1083" s="160"/>
      <c r="E1083" s="166">
        <v>17.624507999999999</v>
      </c>
      <c r="G1083" s="166">
        <v>0.74790999999999996</v>
      </c>
    </row>
    <row r="1084" spans="1:7" x14ac:dyDescent="0.4">
      <c r="A1084" s="164">
        <v>35163</v>
      </c>
      <c r="B1084" s="166"/>
      <c r="C1084" s="166">
        <v>1105.660034</v>
      </c>
      <c r="D1084" s="160"/>
      <c r="E1084" s="166">
        <v>17.867739</v>
      </c>
      <c r="G1084" s="166">
        <v>0.75566100000000003</v>
      </c>
    </row>
    <row r="1085" spans="1:7" x14ac:dyDescent="0.4">
      <c r="A1085" s="164">
        <v>35164</v>
      </c>
      <c r="B1085" s="166"/>
      <c r="C1085" s="166">
        <v>1109.150024</v>
      </c>
      <c r="D1085" s="160"/>
      <c r="E1085" s="166">
        <v>17.643218999999998</v>
      </c>
      <c r="G1085" s="166">
        <v>0.80603800000000003</v>
      </c>
    </row>
    <row r="1086" spans="1:7" x14ac:dyDescent="0.4">
      <c r="A1086" s="164">
        <v>35165</v>
      </c>
      <c r="B1086" s="166"/>
      <c r="C1086" s="166">
        <v>1105.280029</v>
      </c>
      <c r="D1086" s="160"/>
      <c r="E1086" s="166">
        <v>17.362576000000001</v>
      </c>
      <c r="G1086" s="166">
        <v>0.80603800000000003</v>
      </c>
    </row>
    <row r="1087" spans="1:7" x14ac:dyDescent="0.4">
      <c r="A1087" s="164">
        <v>35166</v>
      </c>
      <c r="B1087" s="166"/>
      <c r="C1087" s="166">
        <v>1097.1400149999999</v>
      </c>
      <c r="D1087" s="160"/>
      <c r="E1087" s="166">
        <v>17.587105000000001</v>
      </c>
      <c r="G1087" s="166">
        <v>0.798288</v>
      </c>
    </row>
    <row r="1088" spans="1:7" x14ac:dyDescent="0.4">
      <c r="A1088" s="164">
        <v>35167</v>
      </c>
      <c r="B1088" s="166"/>
      <c r="C1088" s="166">
        <v>1100.9399410000001</v>
      </c>
      <c r="D1088" s="160"/>
      <c r="E1088" s="166">
        <v>16.689022000000001</v>
      </c>
      <c r="G1088" s="166">
        <v>0.79053700000000005</v>
      </c>
    </row>
    <row r="1089" spans="1:7" x14ac:dyDescent="0.4">
      <c r="A1089" s="164">
        <v>35170</v>
      </c>
      <c r="B1089" s="166"/>
      <c r="C1089" s="166">
        <v>1110.4399410000001</v>
      </c>
      <c r="D1089" s="160"/>
      <c r="E1089" s="166">
        <v>17.08193</v>
      </c>
      <c r="G1089" s="166">
        <v>0.798288</v>
      </c>
    </row>
    <row r="1090" spans="1:7" x14ac:dyDescent="0.4">
      <c r="A1090" s="164">
        <v>35171</v>
      </c>
      <c r="B1090" s="166"/>
      <c r="C1090" s="166">
        <v>1124.920044</v>
      </c>
      <c r="D1090" s="160"/>
      <c r="E1090" s="166">
        <v>17.287741</v>
      </c>
      <c r="G1090" s="166">
        <v>0.80216299999999996</v>
      </c>
    </row>
    <row r="1091" spans="1:7" x14ac:dyDescent="0.4">
      <c r="A1091" s="164">
        <v>35172</v>
      </c>
      <c r="B1091" s="166"/>
      <c r="C1091" s="166">
        <v>1120.869995</v>
      </c>
      <c r="D1091" s="160"/>
      <c r="E1091" s="166">
        <v>15.753545000000001</v>
      </c>
      <c r="G1091" s="166">
        <v>0.78278700000000001</v>
      </c>
    </row>
    <row r="1092" spans="1:7" x14ac:dyDescent="0.4">
      <c r="A1092" s="164">
        <v>35173</v>
      </c>
      <c r="B1092" s="166"/>
      <c r="C1092" s="166">
        <v>1136.3000489999999</v>
      </c>
      <c r="D1092" s="160"/>
      <c r="E1092" s="166">
        <v>15.790965</v>
      </c>
      <c r="G1092" s="166">
        <v>0.76728600000000002</v>
      </c>
    </row>
    <row r="1093" spans="1:7" x14ac:dyDescent="0.4">
      <c r="A1093" s="164">
        <v>35174</v>
      </c>
      <c r="B1093" s="166"/>
      <c r="C1093" s="166">
        <v>1138.6999510000001</v>
      </c>
      <c r="D1093" s="160"/>
      <c r="E1093" s="166">
        <v>15.772258000000001</v>
      </c>
      <c r="G1093" s="166">
        <v>0.77697400000000005</v>
      </c>
    </row>
    <row r="1094" spans="1:7" x14ac:dyDescent="0.4">
      <c r="A1094" s="164">
        <v>35177</v>
      </c>
      <c r="B1094" s="166"/>
      <c r="C1094" s="166">
        <v>1153.5</v>
      </c>
      <c r="D1094" s="160"/>
      <c r="E1094" s="166">
        <v>16.052894999999999</v>
      </c>
      <c r="G1094" s="166">
        <v>0.77891200000000005</v>
      </c>
    </row>
    <row r="1095" spans="1:7" x14ac:dyDescent="0.4">
      <c r="A1095" s="164">
        <v>35178</v>
      </c>
      <c r="B1095" s="166"/>
      <c r="C1095" s="166">
        <v>1166.76001</v>
      </c>
      <c r="D1095" s="160"/>
      <c r="E1095" s="166">
        <v>16.015478000000002</v>
      </c>
      <c r="G1095" s="166">
        <v>0.76728600000000002</v>
      </c>
    </row>
    <row r="1096" spans="1:7" x14ac:dyDescent="0.4">
      <c r="A1096" s="164">
        <v>35179</v>
      </c>
      <c r="B1096" s="166"/>
      <c r="C1096" s="166">
        <v>1176.829956</v>
      </c>
      <c r="D1096" s="160"/>
      <c r="E1096" s="166">
        <v>15.978070000000001</v>
      </c>
      <c r="G1096" s="166">
        <v>0.75178500000000004</v>
      </c>
    </row>
    <row r="1097" spans="1:7" x14ac:dyDescent="0.4">
      <c r="A1097" s="164">
        <v>35180</v>
      </c>
      <c r="B1097" s="166"/>
      <c r="C1097" s="166">
        <v>1184.170044</v>
      </c>
      <c r="D1097" s="160"/>
      <c r="E1097" s="166">
        <v>16.202580999999999</v>
      </c>
      <c r="G1097" s="166">
        <v>0.77116099999999999</v>
      </c>
    </row>
    <row r="1098" spans="1:7" x14ac:dyDescent="0.4">
      <c r="A1098" s="164">
        <v>35181</v>
      </c>
      <c r="B1098" s="166"/>
      <c r="C1098" s="166">
        <v>1186.8900149999999</v>
      </c>
      <c r="D1098" s="160"/>
      <c r="E1098" s="166">
        <v>16.127742999999999</v>
      </c>
      <c r="G1098" s="166">
        <v>0.76728600000000002</v>
      </c>
    </row>
    <row r="1099" spans="1:7" x14ac:dyDescent="0.4">
      <c r="A1099" s="164">
        <v>35184</v>
      </c>
      <c r="B1099" s="166"/>
      <c r="C1099" s="166">
        <v>1188.1999510000001</v>
      </c>
      <c r="D1099" s="160"/>
      <c r="E1099" s="166">
        <v>16.258700999999999</v>
      </c>
      <c r="G1099" s="166">
        <v>0.76728600000000002</v>
      </c>
    </row>
    <row r="1100" spans="1:7" x14ac:dyDescent="0.4">
      <c r="A1100" s="164">
        <v>35185</v>
      </c>
      <c r="B1100" s="166"/>
      <c r="C1100" s="166">
        <v>1190.5200199999999</v>
      </c>
      <c r="D1100" s="160"/>
      <c r="E1100" s="166">
        <v>16.127742999999999</v>
      </c>
      <c r="G1100" s="166">
        <v>0.75566100000000003</v>
      </c>
    </row>
    <row r="1101" spans="1:7" x14ac:dyDescent="0.4">
      <c r="A1101" s="164">
        <v>35186</v>
      </c>
      <c r="B1101" s="166"/>
      <c r="C1101" s="166">
        <v>1199.660034</v>
      </c>
      <c r="D1101" s="160"/>
      <c r="E1101" s="166">
        <v>16.146447999999999</v>
      </c>
      <c r="G1101" s="166">
        <v>0.75566100000000003</v>
      </c>
    </row>
    <row r="1102" spans="1:7" x14ac:dyDescent="0.4">
      <c r="A1102" s="164">
        <v>35187</v>
      </c>
      <c r="B1102" s="166"/>
      <c r="C1102" s="166">
        <v>1178.329956</v>
      </c>
      <c r="D1102" s="160"/>
      <c r="E1102" s="166">
        <v>16.146447999999999</v>
      </c>
      <c r="G1102" s="166">
        <v>0.73628499999999997</v>
      </c>
    </row>
    <row r="1103" spans="1:7" x14ac:dyDescent="0.4">
      <c r="A1103" s="164">
        <v>35188</v>
      </c>
      <c r="B1103" s="166"/>
      <c r="C1103" s="166">
        <v>1184.599976</v>
      </c>
      <c r="D1103" s="160"/>
      <c r="E1103" s="166">
        <v>16.183868</v>
      </c>
      <c r="G1103" s="166">
        <v>0.74016000000000004</v>
      </c>
    </row>
    <row r="1104" spans="1:7" x14ac:dyDescent="0.4">
      <c r="A1104" s="164">
        <v>35191</v>
      </c>
      <c r="B1104" s="166"/>
      <c r="C1104" s="166">
        <v>1186.3100589999999</v>
      </c>
      <c r="D1104" s="160"/>
      <c r="E1104" s="166">
        <v>16.015478000000002</v>
      </c>
      <c r="G1104" s="166">
        <v>0.79441300000000004</v>
      </c>
    </row>
    <row r="1105" spans="1:7" x14ac:dyDescent="0.4">
      <c r="A1105" s="164">
        <v>35192</v>
      </c>
      <c r="B1105" s="166"/>
      <c r="C1105" s="166">
        <v>1182.670044</v>
      </c>
      <c r="D1105" s="160"/>
      <c r="E1105" s="166">
        <v>15.847094999999999</v>
      </c>
      <c r="G1105" s="166">
        <v>0.83316400000000002</v>
      </c>
    </row>
    <row r="1106" spans="1:7" x14ac:dyDescent="0.4">
      <c r="A1106" s="164">
        <v>35193</v>
      </c>
      <c r="B1106" s="166"/>
      <c r="C1106" s="166">
        <v>1183.4300539999999</v>
      </c>
      <c r="D1106" s="160"/>
      <c r="E1106" s="166">
        <v>16.059452</v>
      </c>
      <c r="G1106" s="166">
        <v>0.82928900000000005</v>
      </c>
    </row>
    <row r="1107" spans="1:7" x14ac:dyDescent="0.4">
      <c r="A1107" s="164">
        <v>35194</v>
      </c>
      <c r="B1107" s="166"/>
      <c r="C1107" s="166">
        <v>1187.8199460000001</v>
      </c>
      <c r="D1107" s="160"/>
      <c r="E1107" s="166">
        <v>16.230089</v>
      </c>
      <c r="G1107" s="166">
        <v>0.80991299999999999</v>
      </c>
    </row>
    <row r="1108" spans="1:7" x14ac:dyDescent="0.4">
      <c r="A1108" s="164">
        <v>35195</v>
      </c>
      <c r="B1108" s="166"/>
      <c r="C1108" s="166">
        <v>1202.76001</v>
      </c>
      <c r="D1108" s="160"/>
      <c r="E1108" s="166">
        <v>16.135287999999999</v>
      </c>
      <c r="G1108" s="166">
        <v>0.84479000000000004</v>
      </c>
    </row>
    <row r="1109" spans="1:7" x14ac:dyDescent="0.4">
      <c r="A1109" s="164">
        <v>35198</v>
      </c>
      <c r="B1109" s="166"/>
      <c r="C1109" s="166">
        <v>1221.869995</v>
      </c>
      <c r="D1109" s="160"/>
      <c r="E1109" s="166">
        <v>16.324898000000001</v>
      </c>
      <c r="G1109" s="166">
        <v>0.83897699999999997</v>
      </c>
    </row>
    <row r="1110" spans="1:7" x14ac:dyDescent="0.4">
      <c r="A1110" s="164">
        <v>35199</v>
      </c>
      <c r="B1110" s="166"/>
      <c r="C1110" s="166">
        <v>1234.48999</v>
      </c>
      <c r="D1110" s="160"/>
      <c r="E1110" s="166">
        <v>16.476582000000001</v>
      </c>
      <c r="G1110" s="166">
        <v>0.85253999999999996</v>
      </c>
    </row>
    <row r="1111" spans="1:7" x14ac:dyDescent="0.4">
      <c r="A1111" s="164">
        <v>35200</v>
      </c>
      <c r="B1111" s="166"/>
      <c r="C1111" s="166">
        <v>1233.5600589999999</v>
      </c>
      <c r="D1111" s="160"/>
      <c r="E1111" s="166">
        <v>16.533463000000001</v>
      </c>
      <c r="G1111" s="166">
        <v>0.88354200000000005</v>
      </c>
    </row>
    <row r="1112" spans="1:7" x14ac:dyDescent="0.4">
      <c r="A1112" s="164">
        <v>35201</v>
      </c>
      <c r="B1112" s="166"/>
      <c r="C1112" s="166">
        <v>1239.3100589999999</v>
      </c>
      <c r="D1112" s="160"/>
      <c r="E1112" s="166">
        <v>16.476582000000001</v>
      </c>
      <c r="G1112" s="166">
        <v>0.87966599999999995</v>
      </c>
    </row>
    <row r="1113" spans="1:7" x14ac:dyDescent="0.4">
      <c r="A1113" s="164">
        <v>35202</v>
      </c>
      <c r="B1113" s="166"/>
      <c r="C1113" s="166">
        <v>1241.880005</v>
      </c>
      <c r="D1113" s="160"/>
      <c r="E1113" s="166">
        <v>16.817855999999999</v>
      </c>
      <c r="G1113" s="166">
        <v>0.85641500000000004</v>
      </c>
    </row>
    <row r="1114" spans="1:7" x14ac:dyDescent="0.4">
      <c r="A1114" s="164">
        <v>35205</v>
      </c>
      <c r="B1114" s="166"/>
      <c r="C1114" s="166">
        <v>1248.1099850000001</v>
      </c>
      <c r="D1114" s="160"/>
      <c r="E1114" s="166">
        <v>17.007465</v>
      </c>
      <c r="G1114" s="166">
        <v>0.86610299999999996</v>
      </c>
    </row>
    <row r="1115" spans="1:7" x14ac:dyDescent="0.4">
      <c r="A1115" s="164">
        <v>35206</v>
      </c>
      <c r="B1115" s="166"/>
      <c r="C1115" s="166">
        <v>1244.420044</v>
      </c>
      <c r="D1115" s="160"/>
      <c r="E1115" s="166">
        <v>16.836822999999999</v>
      </c>
      <c r="G1115" s="166">
        <v>0.84091499999999997</v>
      </c>
    </row>
    <row r="1116" spans="1:7" x14ac:dyDescent="0.4">
      <c r="A1116" s="164">
        <v>35207</v>
      </c>
      <c r="B1116" s="166"/>
      <c r="C1116" s="166">
        <v>1247.380005</v>
      </c>
      <c r="D1116" s="160"/>
      <c r="E1116" s="166">
        <v>16.742027</v>
      </c>
      <c r="G1116" s="166">
        <v>0.80797600000000003</v>
      </c>
    </row>
    <row r="1117" spans="1:7" x14ac:dyDescent="0.4">
      <c r="A1117" s="164">
        <v>35208</v>
      </c>
      <c r="B1117" s="166"/>
      <c r="C1117" s="166">
        <v>1248.650024</v>
      </c>
      <c r="D1117" s="160"/>
      <c r="E1117" s="166">
        <v>16.571383000000001</v>
      </c>
      <c r="G1117" s="166">
        <v>0.81378799999999996</v>
      </c>
    </row>
    <row r="1118" spans="1:7" x14ac:dyDescent="0.4">
      <c r="A1118" s="164">
        <v>35209</v>
      </c>
      <c r="B1118" s="166"/>
      <c r="C1118" s="166">
        <v>1247.8000489999999</v>
      </c>
      <c r="D1118" s="160"/>
      <c r="E1118" s="166">
        <v>16.495536999999999</v>
      </c>
      <c r="G1118" s="166">
        <v>0.82928900000000005</v>
      </c>
    </row>
    <row r="1119" spans="1:7" x14ac:dyDescent="0.4">
      <c r="A1119" s="164">
        <v>35213</v>
      </c>
      <c r="B1119" s="166"/>
      <c r="C1119" s="166">
        <v>1236.3000489999999</v>
      </c>
      <c r="D1119" s="160"/>
      <c r="E1119" s="166">
        <v>16.419692999999999</v>
      </c>
      <c r="G1119" s="166">
        <v>0.81766300000000003</v>
      </c>
    </row>
    <row r="1120" spans="1:7" x14ac:dyDescent="0.4">
      <c r="A1120" s="164">
        <v>35214</v>
      </c>
      <c r="B1120" s="166"/>
      <c r="C1120" s="166">
        <v>1225.630005</v>
      </c>
      <c r="D1120" s="160"/>
      <c r="E1120" s="166">
        <v>16.211130000000001</v>
      </c>
      <c r="G1120" s="166">
        <v>0.77116099999999999</v>
      </c>
    </row>
    <row r="1121" spans="1:7" x14ac:dyDescent="0.4">
      <c r="A1121" s="164">
        <v>35215</v>
      </c>
      <c r="B1121" s="166"/>
      <c r="C1121" s="166">
        <v>1233.4799800000001</v>
      </c>
      <c r="D1121" s="160"/>
      <c r="E1121" s="166">
        <v>16.268013</v>
      </c>
      <c r="G1121" s="166">
        <v>0.79053700000000005</v>
      </c>
    </row>
    <row r="1122" spans="1:7" x14ac:dyDescent="0.4">
      <c r="A1122" s="164">
        <v>35216</v>
      </c>
      <c r="B1122" s="166"/>
      <c r="C1122" s="166">
        <v>1243.4300539999999</v>
      </c>
      <c r="D1122" s="160"/>
      <c r="E1122" s="166">
        <v>16.192177000000001</v>
      </c>
      <c r="G1122" s="166">
        <v>0.80991299999999999</v>
      </c>
    </row>
    <row r="1123" spans="1:7" x14ac:dyDescent="0.4">
      <c r="A1123" s="164">
        <v>35219</v>
      </c>
      <c r="B1123" s="166"/>
      <c r="C1123" s="166">
        <v>1238.7299800000001</v>
      </c>
      <c r="D1123" s="160"/>
      <c r="E1123" s="166">
        <v>15.983613</v>
      </c>
      <c r="G1123" s="166">
        <v>0.76728600000000002</v>
      </c>
    </row>
    <row r="1124" spans="1:7" x14ac:dyDescent="0.4">
      <c r="A1124" s="164">
        <v>35220</v>
      </c>
      <c r="B1124" s="166"/>
      <c r="C1124" s="166">
        <v>1243.6800539999999</v>
      </c>
      <c r="D1124" s="160"/>
      <c r="E1124" s="166">
        <v>16.059452</v>
      </c>
      <c r="G1124" s="166">
        <v>0.74984799999999996</v>
      </c>
    </row>
    <row r="1125" spans="1:7" x14ac:dyDescent="0.4">
      <c r="A1125" s="164">
        <v>35221</v>
      </c>
      <c r="B1125" s="166"/>
      <c r="C1125" s="166">
        <v>1249.150024</v>
      </c>
      <c r="D1125" s="160"/>
      <c r="E1125" s="166">
        <v>15.907761000000001</v>
      </c>
      <c r="G1125" s="166">
        <v>0.77891200000000005</v>
      </c>
    </row>
    <row r="1126" spans="1:7" x14ac:dyDescent="0.4">
      <c r="A1126" s="164">
        <v>35222</v>
      </c>
      <c r="B1126" s="166"/>
      <c r="C1126" s="166">
        <v>1232.5200199999999</v>
      </c>
      <c r="D1126" s="160"/>
      <c r="E1126" s="166">
        <v>15.357906</v>
      </c>
      <c r="G1126" s="166">
        <v>0.75178500000000004</v>
      </c>
    </row>
    <row r="1127" spans="1:7" x14ac:dyDescent="0.4">
      <c r="A1127" s="164">
        <v>35223</v>
      </c>
      <c r="B1127" s="166"/>
      <c r="C1127" s="166">
        <v>1229.76001</v>
      </c>
      <c r="D1127" s="160"/>
      <c r="E1127" s="166">
        <v>15.433757</v>
      </c>
      <c r="G1127" s="166">
        <v>0.75566100000000003</v>
      </c>
    </row>
    <row r="1128" spans="1:7" x14ac:dyDescent="0.4">
      <c r="A1128" s="164">
        <v>35226</v>
      </c>
      <c r="B1128" s="166"/>
      <c r="C1128" s="166">
        <v>1230.040039</v>
      </c>
      <c r="D1128" s="160"/>
      <c r="E1128" s="166">
        <v>15.566473</v>
      </c>
      <c r="G1128" s="166">
        <v>0.74790999999999996</v>
      </c>
    </row>
    <row r="1129" spans="1:7" x14ac:dyDescent="0.4">
      <c r="A1129" s="164">
        <v>35227</v>
      </c>
      <c r="B1129" s="166"/>
      <c r="C1129" s="166">
        <v>1230.76001</v>
      </c>
      <c r="D1129" s="160"/>
      <c r="E1129" s="166">
        <v>15.64232</v>
      </c>
      <c r="G1129" s="166">
        <v>0.744035</v>
      </c>
    </row>
    <row r="1130" spans="1:7" x14ac:dyDescent="0.4">
      <c r="A1130" s="164">
        <v>35228</v>
      </c>
      <c r="B1130" s="166"/>
      <c r="C1130" s="166">
        <v>1235.469971</v>
      </c>
      <c r="D1130" s="160"/>
      <c r="E1130" s="166">
        <v>15.623362999999999</v>
      </c>
      <c r="G1130" s="166">
        <v>0.75178500000000004</v>
      </c>
    </row>
    <row r="1131" spans="1:7" x14ac:dyDescent="0.4">
      <c r="A1131" s="164">
        <v>35229</v>
      </c>
      <c r="B1131" s="166"/>
      <c r="C1131" s="166">
        <v>1225.650024</v>
      </c>
      <c r="D1131" s="160"/>
      <c r="E1131" s="166">
        <v>15.661281000000001</v>
      </c>
      <c r="G1131" s="166">
        <v>0.76341099999999995</v>
      </c>
    </row>
    <row r="1132" spans="1:7" x14ac:dyDescent="0.4">
      <c r="A1132" s="164">
        <v>35230</v>
      </c>
      <c r="B1132" s="166"/>
      <c r="C1132" s="166">
        <v>1213.1800539999999</v>
      </c>
      <c r="D1132" s="160"/>
      <c r="E1132" s="166">
        <v>15.4148</v>
      </c>
      <c r="G1132" s="166">
        <v>0.74209800000000004</v>
      </c>
    </row>
    <row r="1133" spans="1:7" x14ac:dyDescent="0.4">
      <c r="A1133" s="164">
        <v>35233</v>
      </c>
      <c r="B1133" s="166"/>
      <c r="C1133" s="166">
        <v>1207.6400149999999</v>
      </c>
      <c r="D1133" s="160"/>
      <c r="E1133" s="166">
        <v>15.547516999999999</v>
      </c>
      <c r="G1133" s="166">
        <v>0.73240899999999998</v>
      </c>
    </row>
    <row r="1134" spans="1:7" x14ac:dyDescent="0.4">
      <c r="A1134" s="164">
        <v>35234</v>
      </c>
      <c r="B1134" s="166"/>
      <c r="C1134" s="166">
        <v>1183.079956</v>
      </c>
      <c r="D1134" s="160"/>
      <c r="E1134" s="166">
        <v>15.357906</v>
      </c>
      <c r="G1134" s="166">
        <v>0.70528299999999999</v>
      </c>
    </row>
    <row r="1135" spans="1:7" x14ac:dyDescent="0.4">
      <c r="A1135" s="164">
        <v>35235</v>
      </c>
      <c r="B1135" s="166"/>
      <c r="C1135" s="166">
        <v>1179.2700199999999</v>
      </c>
      <c r="D1135" s="160"/>
      <c r="E1135" s="166">
        <v>15.490629</v>
      </c>
      <c r="G1135" s="166">
        <v>0.71690900000000002</v>
      </c>
    </row>
    <row r="1136" spans="1:7" x14ac:dyDescent="0.4">
      <c r="A1136" s="164">
        <v>35236</v>
      </c>
      <c r="B1136" s="166"/>
      <c r="C1136" s="166">
        <v>1167.339966</v>
      </c>
      <c r="D1136" s="160"/>
      <c r="E1136" s="166">
        <v>15.282071</v>
      </c>
      <c r="G1136" s="166">
        <v>0.70528299999999999</v>
      </c>
    </row>
    <row r="1137" spans="1:7" x14ac:dyDescent="0.4">
      <c r="A1137" s="164">
        <v>35237</v>
      </c>
      <c r="B1137" s="166"/>
      <c r="C1137" s="166">
        <v>1175.4399410000001</v>
      </c>
      <c r="D1137" s="160"/>
      <c r="E1137" s="166">
        <v>14.959747</v>
      </c>
      <c r="G1137" s="166">
        <v>0.70140800000000003</v>
      </c>
    </row>
    <row r="1138" spans="1:7" x14ac:dyDescent="0.4">
      <c r="A1138" s="164">
        <v>35240</v>
      </c>
      <c r="B1138" s="166"/>
      <c r="C1138" s="166">
        <v>1182.900024</v>
      </c>
      <c r="D1138" s="160"/>
      <c r="E1138" s="166">
        <v>15.111426</v>
      </c>
      <c r="G1138" s="166">
        <v>0.68978200000000001</v>
      </c>
    </row>
    <row r="1139" spans="1:7" x14ac:dyDescent="0.4">
      <c r="A1139" s="164">
        <v>35241</v>
      </c>
      <c r="B1139" s="166"/>
      <c r="C1139" s="166">
        <v>1172.579956</v>
      </c>
      <c r="D1139" s="160"/>
      <c r="E1139" s="166">
        <v>15.130385</v>
      </c>
      <c r="G1139" s="166">
        <v>0.639405</v>
      </c>
    </row>
    <row r="1140" spans="1:7" x14ac:dyDescent="0.4">
      <c r="A1140" s="164">
        <v>35242</v>
      </c>
      <c r="B1140" s="166"/>
      <c r="C1140" s="166">
        <v>1153.290039</v>
      </c>
      <c r="D1140" s="160"/>
      <c r="E1140" s="166">
        <v>14.959747</v>
      </c>
      <c r="G1140" s="166">
        <v>0.61615399999999998</v>
      </c>
    </row>
    <row r="1141" spans="1:7" x14ac:dyDescent="0.4">
      <c r="A1141" s="164">
        <v>35243</v>
      </c>
      <c r="B1141" s="166"/>
      <c r="C1141" s="166">
        <v>1166.01001</v>
      </c>
      <c r="D1141" s="160"/>
      <c r="E1141" s="166">
        <v>14.997662999999999</v>
      </c>
      <c r="G1141" s="166">
        <v>0.639405</v>
      </c>
    </row>
    <row r="1142" spans="1:7" x14ac:dyDescent="0.4">
      <c r="A1142" s="164">
        <v>35244</v>
      </c>
      <c r="B1142" s="166"/>
      <c r="C1142" s="166">
        <v>1185.0200199999999</v>
      </c>
      <c r="D1142" s="160"/>
      <c r="E1142" s="166">
        <v>15.016633000000001</v>
      </c>
      <c r="G1142" s="166">
        <v>0.65103100000000003</v>
      </c>
    </row>
    <row r="1143" spans="1:7" x14ac:dyDescent="0.4">
      <c r="A1143" s="164">
        <v>35247</v>
      </c>
      <c r="B1143" s="166"/>
      <c r="C1143" s="166">
        <v>1197.4499510000001</v>
      </c>
      <c r="D1143" s="160"/>
      <c r="E1143" s="166">
        <v>15.395833</v>
      </c>
      <c r="G1143" s="166">
        <v>0.66653099999999998</v>
      </c>
    </row>
    <row r="1144" spans="1:7" x14ac:dyDescent="0.4">
      <c r="A1144" s="164">
        <v>35248</v>
      </c>
      <c r="B1144" s="166"/>
      <c r="C1144" s="166">
        <v>1191.150024</v>
      </c>
      <c r="D1144" s="160"/>
      <c r="E1144" s="166">
        <v>15.168305</v>
      </c>
      <c r="G1144" s="166">
        <v>0.65103100000000003</v>
      </c>
    </row>
    <row r="1145" spans="1:7" x14ac:dyDescent="0.4">
      <c r="A1145" s="164">
        <v>35249</v>
      </c>
      <c r="B1145" s="166"/>
      <c r="C1145" s="166">
        <v>1181.599976</v>
      </c>
      <c r="D1145" s="160"/>
      <c r="E1145" s="166">
        <v>14.940785</v>
      </c>
      <c r="G1145" s="166">
        <v>0.60065299999999999</v>
      </c>
    </row>
    <row r="1146" spans="1:7" x14ac:dyDescent="0.4">
      <c r="A1146" s="164">
        <v>35251</v>
      </c>
      <c r="B1146" s="166"/>
      <c r="C1146" s="166">
        <v>1158.349976</v>
      </c>
      <c r="D1146" s="160"/>
      <c r="E1146" s="166">
        <v>14.845986</v>
      </c>
      <c r="G1146" s="166">
        <v>0.60452799999999995</v>
      </c>
    </row>
    <row r="1147" spans="1:7" x14ac:dyDescent="0.4">
      <c r="A1147" s="164">
        <v>35254</v>
      </c>
      <c r="B1147" s="166"/>
      <c r="C1147" s="166">
        <v>1148.8199460000001</v>
      </c>
      <c r="D1147" s="160"/>
      <c r="E1147" s="166">
        <v>14.921825999999999</v>
      </c>
      <c r="G1147" s="166">
        <v>0.59290299999999996</v>
      </c>
    </row>
    <row r="1148" spans="1:7" x14ac:dyDescent="0.4">
      <c r="A1148" s="164">
        <v>35255</v>
      </c>
      <c r="B1148" s="166"/>
      <c r="C1148" s="166">
        <v>1153.589966</v>
      </c>
      <c r="D1148" s="160"/>
      <c r="E1148" s="166">
        <v>15.016633000000001</v>
      </c>
      <c r="G1148" s="166">
        <v>0.589028</v>
      </c>
    </row>
    <row r="1149" spans="1:7" x14ac:dyDescent="0.4">
      <c r="A1149" s="164">
        <v>35256</v>
      </c>
      <c r="B1149" s="166"/>
      <c r="C1149" s="166">
        <v>1141.1899410000001</v>
      </c>
      <c r="D1149" s="160"/>
      <c r="E1149" s="166">
        <v>14.997662999999999</v>
      </c>
      <c r="G1149" s="166">
        <v>0.58127799999999996</v>
      </c>
    </row>
    <row r="1150" spans="1:7" x14ac:dyDescent="0.4">
      <c r="A1150" s="164">
        <v>35257</v>
      </c>
      <c r="B1150" s="166"/>
      <c r="C1150" s="166">
        <v>1106.3599850000001</v>
      </c>
      <c r="D1150" s="160"/>
      <c r="E1150" s="166">
        <v>14.561579999999999</v>
      </c>
      <c r="G1150" s="166">
        <v>0.55415099999999995</v>
      </c>
    </row>
    <row r="1151" spans="1:7" x14ac:dyDescent="0.4">
      <c r="A1151" s="164">
        <v>35258</v>
      </c>
      <c r="B1151" s="166"/>
      <c r="C1151" s="166">
        <v>1103.48999</v>
      </c>
      <c r="D1151" s="160"/>
      <c r="E1151" s="166">
        <v>14.457295</v>
      </c>
      <c r="G1151" s="166">
        <v>0.55996400000000002</v>
      </c>
    </row>
    <row r="1152" spans="1:7" x14ac:dyDescent="0.4">
      <c r="A1152" s="164">
        <v>35261</v>
      </c>
      <c r="B1152" s="166"/>
      <c r="C1152" s="166">
        <v>1060.1899410000001</v>
      </c>
      <c r="D1152" s="160"/>
      <c r="E1152" s="166">
        <v>13.784205999999999</v>
      </c>
      <c r="G1152" s="166">
        <v>0.53283800000000003</v>
      </c>
    </row>
    <row r="1153" spans="1:7" x14ac:dyDescent="0.4">
      <c r="A1153" s="164">
        <v>35262</v>
      </c>
      <c r="B1153" s="166"/>
      <c r="C1153" s="166">
        <v>1053.469971</v>
      </c>
      <c r="D1153" s="160"/>
      <c r="E1153" s="166">
        <v>14.523655</v>
      </c>
      <c r="G1153" s="166">
        <v>0.52315</v>
      </c>
    </row>
    <row r="1154" spans="1:7" x14ac:dyDescent="0.4">
      <c r="A1154" s="164">
        <v>35263</v>
      </c>
      <c r="B1154" s="166"/>
      <c r="C1154" s="166">
        <v>1086.650024</v>
      </c>
      <c r="D1154" s="160"/>
      <c r="E1154" s="166">
        <v>14.277174</v>
      </c>
      <c r="G1154" s="166">
        <v>0.52315</v>
      </c>
    </row>
    <row r="1155" spans="1:7" x14ac:dyDescent="0.4">
      <c r="A1155" s="164">
        <v>35264</v>
      </c>
      <c r="B1155" s="166"/>
      <c r="C1155" s="166">
        <v>1109.8199460000001</v>
      </c>
      <c r="D1155" s="160"/>
      <c r="E1155" s="166">
        <v>14.296137999999999</v>
      </c>
      <c r="G1155" s="166">
        <v>0.64715500000000004</v>
      </c>
    </row>
    <row r="1156" spans="1:7" x14ac:dyDescent="0.4">
      <c r="A1156" s="164">
        <v>35265</v>
      </c>
      <c r="B1156" s="166"/>
      <c r="C1156" s="166">
        <v>1097.6800539999999</v>
      </c>
      <c r="D1156" s="160"/>
      <c r="E1156" s="166">
        <v>14.220286</v>
      </c>
      <c r="G1156" s="166">
        <v>0.64327999999999996</v>
      </c>
    </row>
    <row r="1157" spans="1:7" x14ac:dyDescent="0.4">
      <c r="A1157" s="164">
        <v>35268</v>
      </c>
      <c r="B1157" s="166"/>
      <c r="C1157" s="166">
        <v>1081.3900149999999</v>
      </c>
      <c r="D1157" s="160"/>
      <c r="E1157" s="166">
        <v>14.030688</v>
      </c>
      <c r="G1157" s="166">
        <v>0.62778</v>
      </c>
    </row>
    <row r="1158" spans="1:7" x14ac:dyDescent="0.4">
      <c r="A1158" s="164">
        <v>35269</v>
      </c>
      <c r="B1158" s="166"/>
      <c r="C1158" s="166">
        <v>1049.0699460000001</v>
      </c>
      <c r="D1158" s="160"/>
      <c r="E1158" s="166">
        <v>13.689397</v>
      </c>
      <c r="G1158" s="166">
        <v>0.63553000000000004</v>
      </c>
    </row>
    <row r="1159" spans="1:7" x14ac:dyDescent="0.4">
      <c r="A1159" s="164">
        <v>35270</v>
      </c>
      <c r="B1159" s="166"/>
      <c r="C1159" s="166">
        <v>1042.369995</v>
      </c>
      <c r="D1159" s="160"/>
      <c r="E1159" s="166">
        <v>13.916926999999999</v>
      </c>
      <c r="G1159" s="166">
        <v>0.64521799999999996</v>
      </c>
    </row>
    <row r="1160" spans="1:7" x14ac:dyDescent="0.4">
      <c r="A1160" s="164">
        <v>35271</v>
      </c>
      <c r="B1160" s="166"/>
      <c r="C1160" s="166">
        <v>1062.3900149999999</v>
      </c>
      <c r="D1160" s="160"/>
      <c r="E1160" s="166">
        <v>15.718163000000001</v>
      </c>
      <c r="G1160" s="166">
        <v>0.65103100000000003</v>
      </c>
    </row>
    <row r="1161" spans="1:7" x14ac:dyDescent="0.4">
      <c r="A1161" s="164">
        <v>35272</v>
      </c>
      <c r="B1161" s="166"/>
      <c r="C1161" s="166">
        <v>1079.4399410000001</v>
      </c>
      <c r="D1161" s="160"/>
      <c r="E1161" s="166">
        <v>15.756079</v>
      </c>
      <c r="G1161" s="166">
        <v>0.68203199999999997</v>
      </c>
    </row>
    <row r="1162" spans="1:7" x14ac:dyDescent="0.4">
      <c r="A1162" s="164">
        <v>35275</v>
      </c>
      <c r="B1162" s="166"/>
      <c r="C1162" s="166">
        <v>1066.469971</v>
      </c>
      <c r="D1162" s="160"/>
      <c r="E1162" s="166">
        <v>15.888797</v>
      </c>
      <c r="G1162" s="166">
        <v>0.68978200000000001</v>
      </c>
    </row>
    <row r="1163" spans="1:7" x14ac:dyDescent="0.4">
      <c r="A1163" s="164">
        <v>35276</v>
      </c>
      <c r="B1163" s="166"/>
      <c r="C1163" s="166">
        <v>1071.9499510000001</v>
      </c>
      <c r="D1163" s="160"/>
      <c r="E1163" s="166">
        <v>16.286968000000002</v>
      </c>
      <c r="G1163" s="166">
        <v>0.66265600000000002</v>
      </c>
    </row>
    <row r="1164" spans="1:7" x14ac:dyDescent="0.4">
      <c r="A1164" s="164">
        <v>35277</v>
      </c>
      <c r="B1164" s="166"/>
      <c r="C1164" s="166">
        <v>1080.589966</v>
      </c>
      <c r="D1164" s="160"/>
      <c r="E1164" s="166">
        <v>16.305928999999999</v>
      </c>
      <c r="G1164" s="166">
        <v>0.68203199999999997</v>
      </c>
    </row>
    <row r="1165" spans="1:7" x14ac:dyDescent="0.4">
      <c r="A1165" s="164">
        <v>35278</v>
      </c>
      <c r="B1165" s="166"/>
      <c r="C1165" s="166">
        <v>1098.849976</v>
      </c>
      <c r="D1165" s="160"/>
      <c r="E1165" s="166">
        <v>16.268013</v>
      </c>
      <c r="G1165" s="166">
        <v>0.65878099999999995</v>
      </c>
    </row>
    <row r="1166" spans="1:7" x14ac:dyDescent="0.4">
      <c r="A1166" s="164">
        <v>35279</v>
      </c>
      <c r="B1166" s="166"/>
      <c r="C1166" s="166">
        <v>1124.920044</v>
      </c>
      <c r="D1166" s="160"/>
      <c r="E1166" s="166">
        <v>16.514498</v>
      </c>
      <c r="G1166" s="166">
        <v>0.67040599999999995</v>
      </c>
    </row>
    <row r="1167" spans="1:7" x14ac:dyDescent="0.4">
      <c r="A1167" s="164">
        <v>35282</v>
      </c>
      <c r="B1167" s="166"/>
      <c r="C1167" s="166">
        <v>1120.530029</v>
      </c>
      <c r="D1167" s="160"/>
      <c r="E1167" s="166">
        <v>16.571383000000001</v>
      </c>
      <c r="G1167" s="166">
        <v>0.65103100000000003</v>
      </c>
    </row>
    <row r="1168" spans="1:7" x14ac:dyDescent="0.4">
      <c r="A1168" s="164">
        <v>35283</v>
      </c>
      <c r="B1168" s="166"/>
      <c r="C1168" s="166">
        <v>1128.869995</v>
      </c>
      <c r="D1168" s="160"/>
      <c r="E1168" s="166">
        <v>16.628256</v>
      </c>
      <c r="G1168" s="166">
        <v>0.66653099999999998</v>
      </c>
    </row>
    <row r="1169" spans="1:7" x14ac:dyDescent="0.4">
      <c r="A1169" s="164">
        <v>35284</v>
      </c>
      <c r="B1169" s="166"/>
      <c r="C1169" s="166">
        <v>1141.1099850000001</v>
      </c>
      <c r="D1169" s="160"/>
      <c r="E1169" s="166">
        <v>17.304300000000001</v>
      </c>
      <c r="G1169" s="166">
        <v>0.693658</v>
      </c>
    </row>
    <row r="1170" spans="1:7" x14ac:dyDescent="0.4">
      <c r="A1170" s="164">
        <v>35285</v>
      </c>
      <c r="B1170" s="166"/>
      <c r="C1170" s="166">
        <v>1137.51001</v>
      </c>
      <c r="D1170" s="160"/>
      <c r="E1170" s="166">
        <v>17.438734</v>
      </c>
      <c r="G1170" s="166">
        <v>0.68590700000000004</v>
      </c>
    </row>
    <row r="1171" spans="1:7" x14ac:dyDescent="0.4">
      <c r="A1171" s="164">
        <v>35286</v>
      </c>
      <c r="B1171" s="166"/>
      <c r="C1171" s="166">
        <v>1137.2700199999999</v>
      </c>
      <c r="D1171" s="160"/>
      <c r="E1171" s="166">
        <v>17.265892000000001</v>
      </c>
      <c r="G1171" s="166">
        <v>0.71690900000000002</v>
      </c>
    </row>
    <row r="1172" spans="1:7" x14ac:dyDescent="0.4">
      <c r="A1172" s="164">
        <v>35289</v>
      </c>
      <c r="B1172" s="166"/>
      <c r="C1172" s="166">
        <v>1138.2700199999999</v>
      </c>
      <c r="D1172" s="160"/>
      <c r="E1172" s="166">
        <v>17.22747</v>
      </c>
      <c r="G1172" s="166">
        <v>0.71303300000000003</v>
      </c>
    </row>
    <row r="1173" spans="1:7" x14ac:dyDescent="0.4">
      <c r="A1173" s="164">
        <v>35290</v>
      </c>
      <c r="B1173" s="166"/>
      <c r="C1173" s="166">
        <v>1126.150024</v>
      </c>
      <c r="D1173" s="160"/>
      <c r="E1173" s="166">
        <v>16.804953000000001</v>
      </c>
      <c r="G1173" s="166">
        <v>0.69753299999999996</v>
      </c>
    </row>
    <row r="1174" spans="1:7" x14ac:dyDescent="0.4">
      <c r="A1174" s="164">
        <v>35291</v>
      </c>
      <c r="B1174" s="166"/>
      <c r="C1174" s="166">
        <v>1133.51001</v>
      </c>
      <c r="D1174" s="160"/>
      <c r="E1174" s="166">
        <v>17.093048</v>
      </c>
      <c r="G1174" s="166">
        <v>0.70528299999999999</v>
      </c>
    </row>
    <row r="1175" spans="1:7" x14ac:dyDescent="0.4">
      <c r="A1175" s="164">
        <v>35292</v>
      </c>
      <c r="B1175" s="166"/>
      <c r="C1175" s="166">
        <v>1134.6899410000001</v>
      </c>
      <c r="D1175" s="160"/>
      <c r="E1175" s="166">
        <v>17.035416000000001</v>
      </c>
      <c r="G1175" s="166">
        <v>0.68978200000000001</v>
      </c>
    </row>
    <row r="1176" spans="1:7" x14ac:dyDescent="0.4">
      <c r="A1176" s="164">
        <v>35293</v>
      </c>
      <c r="B1176" s="166"/>
      <c r="C1176" s="166">
        <v>1133.650024</v>
      </c>
      <c r="D1176" s="160"/>
      <c r="E1176" s="166">
        <v>16.900977999999999</v>
      </c>
      <c r="G1176" s="166">
        <v>0.69753299999999996</v>
      </c>
    </row>
    <row r="1177" spans="1:7" x14ac:dyDescent="0.4">
      <c r="A1177" s="164">
        <v>35296</v>
      </c>
      <c r="B1177" s="166"/>
      <c r="C1177" s="166">
        <v>1130.910034</v>
      </c>
      <c r="D1177" s="160"/>
      <c r="E1177" s="166">
        <v>16.900977999999999</v>
      </c>
      <c r="G1177" s="166">
        <v>0.73240899999999998</v>
      </c>
    </row>
    <row r="1178" spans="1:7" x14ac:dyDescent="0.4">
      <c r="A1178" s="164">
        <v>35297</v>
      </c>
      <c r="B1178" s="166"/>
      <c r="C1178" s="166">
        <v>1124.670044</v>
      </c>
      <c r="D1178" s="160"/>
      <c r="E1178" s="166">
        <v>16.977798</v>
      </c>
      <c r="G1178" s="166">
        <v>0.72853400000000001</v>
      </c>
    </row>
    <row r="1179" spans="1:7" x14ac:dyDescent="0.4">
      <c r="A1179" s="164">
        <v>35298</v>
      </c>
      <c r="B1179" s="166"/>
      <c r="C1179" s="166">
        <v>1126.839966</v>
      </c>
      <c r="D1179" s="160"/>
      <c r="E1179" s="166">
        <v>17.246684999999999</v>
      </c>
      <c r="G1179" s="166">
        <v>0.71303300000000003</v>
      </c>
    </row>
    <row r="1180" spans="1:7" x14ac:dyDescent="0.4">
      <c r="A1180" s="164">
        <v>35299</v>
      </c>
      <c r="B1180" s="166"/>
      <c r="C1180" s="166">
        <v>1143.959961</v>
      </c>
      <c r="D1180" s="160"/>
      <c r="E1180" s="166">
        <v>17.304300000000001</v>
      </c>
      <c r="G1180" s="166">
        <v>0.72078399999999998</v>
      </c>
    </row>
    <row r="1181" spans="1:7" x14ac:dyDescent="0.4">
      <c r="A1181" s="164">
        <v>35300</v>
      </c>
      <c r="B1181" s="166"/>
      <c r="C1181" s="166">
        <v>1143.0500489999999</v>
      </c>
      <c r="D1181" s="160"/>
      <c r="E1181" s="166">
        <v>17.361916000000001</v>
      </c>
      <c r="G1181" s="166">
        <v>0.74016000000000004</v>
      </c>
    </row>
    <row r="1182" spans="1:7" x14ac:dyDescent="0.4">
      <c r="A1182" s="164">
        <v>35303</v>
      </c>
      <c r="B1182" s="166"/>
      <c r="C1182" s="166">
        <v>1139.219971</v>
      </c>
      <c r="D1182" s="160"/>
      <c r="E1182" s="166">
        <v>17.285097</v>
      </c>
      <c r="G1182" s="166">
        <v>0.74790999999999996</v>
      </c>
    </row>
    <row r="1183" spans="1:7" x14ac:dyDescent="0.4">
      <c r="A1183" s="164">
        <v>35304</v>
      </c>
      <c r="B1183" s="166"/>
      <c r="C1183" s="166">
        <v>1149.0200199999999</v>
      </c>
      <c r="D1183" s="160"/>
      <c r="E1183" s="166">
        <v>17.169861000000001</v>
      </c>
      <c r="G1183" s="166">
        <v>0.77067699999999995</v>
      </c>
    </row>
    <row r="1184" spans="1:7" x14ac:dyDescent="0.4">
      <c r="A1184" s="164">
        <v>35305</v>
      </c>
      <c r="B1184" s="166"/>
      <c r="C1184" s="166">
        <v>1153.880005</v>
      </c>
      <c r="D1184" s="160"/>
      <c r="E1184" s="166">
        <v>17.669198999999999</v>
      </c>
      <c r="G1184" s="166">
        <v>0.77116099999999999</v>
      </c>
    </row>
    <row r="1185" spans="1:7" x14ac:dyDescent="0.4">
      <c r="A1185" s="164">
        <v>35306</v>
      </c>
      <c r="B1185" s="166"/>
      <c r="C1185" s="166">
        <v>1145.030029</v>
      </c>
      <c r="D1185" s="160"/>
      <c r="E1185" s="166">
        <v>17.688406000000001</v>
      </c>
      <c r="G1185" s="166">
        <v>0.75953599999999999</v>
      </c>
    </row>
    <row r="1186" spans="1:7" x14ac:dyDescent="0.4">
      <c r="A1186" s="164">
        <v>35307</v>
      </c>
      <c r="B1186" s="166"/>
      <c r="C1186" s="166">
        <v>1141.5</v>
      </c>
      <c r="D1186" s="160"/>
      <c r="E1186" s="166">
        <v>17.573181000000002</v>
      </c>
      <c r="G1186" s="166">
        <v>0.75178500000000004</v>
      </c>
    </row>
    <row r="1187" spans="1:7" x14ac:dyDescent="0.4">
      <c r="A1187" s="164">
        <v>35311</v>
      </c>
      <c r="B1187" s="166"/>
      <c r="C1187" s="166">
        <v>1142.290039</v>
      </c>
      <c r="D1187" s="160"/>
      <c r="E1187" s="166">
        <v>17.707623000000002</v>
      </c>
      <c r="G1187" s="166">
        <v>0.74790999999999996</v>
      </c>
    </row>
    <row r="1188" spans="1:7" x14ac:dyDescent="0.4">
      <c r="A1188" s="164">
        <v>35312</v>
      </c>
      <c r="B1188" s="166"/>
      <c r="C1188" s="166">
        <v>1143.8199460000001</v>
      </c>
      <c r="D1188" s="160"/>
      <c r="E1188" s="166">
        <v>17.611601</v>
      </c>
      <c r="G1188" s="166">
        <v>0.74790999999999996</v>
      </c>
    </row>
    <row r="1189" spans="1:7" x14ac:dyDescent="0.4">
      <c r="A1189" s="164">
        <v>35313</v>
      </c>
      <c r="B1189" s="166"/>
      <c r="C1189" s="166">
        <v>1125.660034</v>
      </c>
      <c r="D1189" s="160"/>
      <c r="E1189" s="166">
        <v>17.381124</v>
      </c>
      <c r="G1189" s="166">
        <v>0.70915799999999996</v>
      </c>
    </row>
    <row r="1190" spans="1:7" x14ac:dyDescent="0.4">
      <c r="A1190" s="164">
        <v>35314</v>
      </c>
      <c r="B1190" s="166"/>
      <c r="C1190" s="166">
        <v>1139.3900149999999</v>
      </c>
      <c r="D1190" s="160"/>
      <c r="E1190" s="166">
        <v>17.746027000000002</v>
      </c>
      <c r="G1190" s="166">
        <v>0.71303300000000003</v>
      </c>
    </row>
    <row r="1191" spans="1:7" x14ac:dyDescent="0.4">
      <c r="A1191" s="164">
        <v>35317</v>
      </c>
      <c r="B1191" s="166"/>
      <c r="C1191" s="166">
        <v>1148.709961</v>
      </c>
      <c r="D1191" s="160"/>
      <c r="E1191" s="166">
        <v>18.072528999999999</v>
      </c>
      <c r="G1191" s="166">
        <v>0.68203199999999997</v>
      </c>
    </row>
    <row r="1192" spans="1:7" x14ac:dyDescent="0.4">
      <c r="A1192" s="164">
        <v>35318</v>
      </c>
      <c r="B1192" s="166"/>
      <c r="C1192" s="166">
        <v>1149.4300539999999</v>
      </c>
      <c r="D1192" s="160"/>
      <c r="E1192" s="166">
        <v>18.149346999999999</v>
      </c>
      <c r="G1192" s="166">
        <v>0.66653099999999998</v>
      </c>
    </row>
    <row r="1193" spans="1:7" x14ac:dyDescent="0.4">
      <c r="A1193" s="164">
        <v>35319</v>
      </c>
      <c r="B1193" s="166"/>
      <c r="C1193" s="166">
        <v>1153.9499510000001</v>
      </c>
      <c r="D1193" s="160"/>
      <c r="E1193" s="166">
        <v>18.130137999999999</v>
      </c>
      <c r="G1193" s="166">
        <v>0.65490599999999999</v>
      </c>
    </row>
    <row r="1194" spans="1:7" x14ac:dyDescent="0.4">
      <c r="A1194" s="164">
        <v>35320</v>
      </c>
      <c r="B1194" s="166"/>
      <c r="C1194" s="166">
        <v>1165.8100589999999</v>
      </c>
      <c r="D1194" s="160"/>
      <c r="E1194" s="166">
        <v>18.014906</v>
      </c>
      <c r="G1194" s="166">
        <v>0.63165499999999997</v>
      </c>
    </row>
    <row r="1195" spans="1:7" x14ac:dyDescent="0.4">
      <c r="A1195" s="164">
        <v>35321</v>
      </c>
      <c r="B1195" s="166"/>
      <c r="C1195" s="166">
        <v>1188.670044</v>
      </c>
      <c r="D1195" s="160"/>
      <c r="E1195" s="166">
        <v>18.763929000000001</v>
      </c>
      <c r="G1195" s="166">
        <v>0.65103100000000003</v>
      </c>
    </row>
    <row r="1196" spans="1:7" x14ac:dyDescent="0.4">
      <c r="A1196" s="164">
        <v>35324</v>
      </c>
      <c r="B1196" s="166"/>
      <c r="C1196" s="166">
        <v>1193.959961</v>
      </c>
      <c r="D1196" s="160"/>
      <c r="E1196" s="166">
        <v>18.859953000000001</v>
      </c>
      <c r="G1196" s="166">
        <v>0.693658</v>
      </c>
    </row>
    <row r="1197" spans="1:7" x14ac:dyDescent="0.4">
      <c r="A1197" s="164">
        <v>35325</v>
      </c>
      <c r="B1197" s="166"/>
      <c r="C1197" s="166">
        <v>1203.3100589999999</v>
      </c>
      <c r="D1197" s="160"/>
      <c r="E1197" s="166">
        <v>18.994394</v>
      </c>
      <c r="G1197" s="166">
        <v>0.71303300000000003</v>
      </c>
    </row>
    <row r="1198" spans="1:7" x14ac:dyDescent="0.4">
      <c r="A1198" s="164">
        <v>35326</v>
      </c>
      <c r="B1198" s="166"/>
      <c r="C1198" s="166">
        <v>1205.709961</v>
      </c>
      <c r="D1198" s="160"/>
      <c r="E1198" s="166">
        <v>19.128838999999999</v>
      </c>
      <c r="G1198" s="166">
        <v>0.72853400000000001</v>
      </c>
    </row>
    <row r="1199" spans="1:7" x14ac:dyDescent="0.4">
      <c r="A1199" s="164">
        <v>35327</v>
      </c>
      <c r="B1199" s="166"/>
      <c r="C1199" s="166">
        <v>1212.089966</v>
      </c>
      <c r="D1199" s="160"/>
      <c r="E1199" s="166">
        <v>18.975182</v>
      </c>
      <c r="G1199" s="166">
        <v>0.72465900000000005</v>
      </c>
    </row>
    <row r="1200" spans="1:7" x14ac:dyDescent="0.4">
      <c r="A1200" s="164">
        <v>35328</v>
      </c>
      <c r="B1200" s="166"/>
      <c r="C1200" s="166">
        <v>1219.6899410000001</v>
      </c>
      <c r="D1200" s="160"/>
      <c r="E1200" s="166">
        <v>18.898367</v>
      </c>
      <c r="G1200" s="166">
        <v>0.70915799999999996</v>
      </c>
    </row>
    <row r="1201" spans="1:7" x14ac:dyDescent="0.4">
      <c r="A1201" s="164">
        <v>35331</v>
      </c>
      <c r="B1201" s="166"/>
      <c r="C1201" s="166">
        <v>1211.469971</v>
      </c>
      <c r="D1201" s="160"/>
      <c r="E1201" s="166">
        <v>19.090425</v>
      </c>
      <c r="G1201" s="166">
        <v>0.693658</v>
      </c>
    </row>
    <row r="1202" spans="1:7" x14ac:dyDescent="0.4">
      <c r="A1202" s="164">
        <v>35332</v>
      </c>
      <c r="B1202" s="166"/>
      <c r="C1202" s="166">
        <v>1215.2700199999999</v>
      </c>
      <c r="D1202" s="160"/>
      <c r="E1202" s="166">
        <v>19.071225999999999</v>
      </c>
      <c r="G1202" s="166">
        <v>0.69753299999999996</v>
      </c>
    </row>
    <row r="1203" spans="1:7" x14ac:dyDescent="0.4">
      <c r="A1203" s="164">
        <v>35333</v>
      </c>
      <c r="B1203" s="166"/>
      <c r="C1203" s="166">
        <v>1224.660034</v>
      </c>
      <c r="D1203" s="160"/>
      <c r="E1203" s="166">
        <v>19.436122999999998</v>
      </c>
      <c r="G1203" s="166">
        <v>0.693658</v>
      </c>
    </row>
    <row r="1204" spans="1:7" x14ac:dyDescent="0.4">
      <c r="A1204" s="164">
        <v>35334</v>
      </c>
      <c r="B1204" s="166"/>
      <c r="C1204" s="166">
        <v>1227.9799800000001</v>
      </c>
      <c r="D1204" s="160"/>
      <c r="E1204" s="166">
        <v>19.109634</v>
      </c>
      <c r="G1204" s="166">
        <v>0.693658</v>
      </c>
    </row>
    <row r="1205" spans="1:7" x14ac:dyDescent="0.4">
      <c r="A1205" s="164">
        <v>35335</v>
      </c>
      <c r="B1205" s="166"/>
      <c r="C1205" s="166">
        <v>1230.0500489999999</v>
      </c>
      <c r="D1205" s="160"/>
      <c r="E1205" s="166">
        <v>19.167252999999999</v>
      </c>
      <c r="G1205" s="166">
        <v>0.69172</v>
      </c>
    </row>
    <row r="1206" spans="1:7" x14ac:dyDescent="0.4">
      <c r="A1206" s="164">
        <v>35338</v>
      </c>
      <c r="B1206" s="166"/>
      <c r="C1206" s="166">
        <v>1226.920044</v>
      </c>
      <c r="D1206" s="160"/>
      <c r="E1206" s="166">
        <v>19.128838999999999</v>
      </c>
      <c r="G1206" s="166">
        <v>0.68784500000000004</v>
      </c>
    </row>
    <row r="1207" spans="1:7" x14ac:dyDescent="0.4">
      <c r="A1207" s="164">
        <v>35339</v>
      </c>
      <c r="B1207" s="166"/>
      <c r="C1207" s="166">
        <v>1221.51001</v>
      </c>
      <c r="D1207" s="160"/>
      <c r="E1207" s="166">
        <v>19.013608999999999</v>
      </c>
      <c r="G1207" s="166">
        <v>0.76341099999999995</v>
      </c>
    </row>
    <row r="1208" spans="1:7" x14ac:dyDescent="0.4">
      <c r="A1208" s="164">
        <v>35340</v>
      </c>
      <c r="B1208" s="166"/>
      <c r="C1208" s="166">
        <v>1236.1099850000001</v>
      </c>
      <c r="D1208" s="160"/>
      <c r="E1208" s="166">
        <v>19.340105000000001</v>
      </c>
      <c r="G1208" s="166">
        <v>0.73240899999999998</v>
      </c>
    </row>
    <row r="1209" spans="1:7" x14ac:dyDescent="0.4">
      <c r="A1209" s="164">
        <v>35341</v>
      </c>
      <c r="B1209" s="166"/>
      <c r="C1209" s="166">
        <v>1233.089966</v>
      </c>
      <c r="D1209" s="160"/>
      <c r="E1209" s="166">
        <v>19.205656000000001</v>
      </c>
      <c r="G1209" s="166">
        <v>0.693658</v>
      </c>
    </row>
    <row r="1210" spans="1:7" x14ac:dyDescent="0.4">
      <c r="A1210" s="164">
        <v>35342</v>
      </c>
      <c r="B1210" s="166"/>
      <c r="C1210" s="166">
        <v>1247.5600589999999</v>
      </c>
      <c r="D1210" s="160"/>
      <c r="E1210" s="166">
        <v>19.455334000000001</v>
      </c>
      <c r="G1210" s="166">
        <v>0.70722099999999999</v>
      </c>
    </row>
    <row r="1211" spans="1:7" x14ac:dyDescent="0.4">
      <c r="A1211" s="164">
        <v>35345</v>
      </c>
      <c r="B1211" s="166"/>
      <c r="C1211" s="166">
        <v>1250.869995</v>
      </c>
      <c r="D1211" s="160"/>
      <c r="E1211" s="166">
        <v>19.647393999999998</v>
      </c>
      <c r="G1211" s="166">
        <v>0.71690900000000002</v>
      </c>
    </row>
    <row r="1212" spans="1:7" x14ac:dyDescent="0.4">
      <c r="A1212" s="164">
        <v>35346</v>
      </c>
      <c r="B1212" s="166"/>
      <c r="C1212" s="166">
        <v>1240.150024</v>
      </c>
      <c r="D1212" s="160"/>
      <c r="E1212" s="166">
        <v>19.724208999999998</v>
      </c>
      <c r="G1212" s="166">
        <v>0.72078399999999998</v>
      </c>
    </row>
    <row r="1213" spans="1:7" x14ac:dyDescent="0.4">
      <c r="A1213" s="164">
        <v>35347</v>
      </c>
      <c r="B1213" s="166"/>
      <c r="C1213" s="166">
        <v>1237.9799800000001</v>
      </c>
      <c r="D1213" s="160"/>
      <c r="E1213" s="166">
        <v>19.397718000000001</v>
      </c>
      <c r="G1213" s="166">
        <v>0.71303300000000003</v>
      </c>
    </row>
    <row r="1214" spans="1:7" x14ac:dyDescent="0.4">
      <c r="A1214" s="164">
        <v>35348</v>
      </c>
      <c r="B1214" s="166"/>
      <c r="C1214" s="166">
        <v>1236.969971</v>
      </c>
      <c r="D1214" s="160"/>
      <c r="E1214" s="166">
        <v>19.628181000000001</v>
      </c>
      <c r="G1214" s="166">
        <v>0.74984799999999996</v>
      </c>
    </row>
    <row r="1215" spans="1:7" x14ac:dyDescent="0.4">
      <c r="A1215" s="164">
        <v>35349</v>
      </c>
      <c r="B1215" s="166"/>
      <c r="C1215" s="166">
        <v>1248.2700199999999</v>
      </c>
      <c r="D1215" s="160"/>
      <c r="E1215" s="166">
        <v>19.954674000000001</v>
      </c>
      <c r="G1215" s="166">
        <v>0.75178500000000004</v>
      </c>
    </row>
    <row r="1216" spans="1:7" x14ac:dyDescent="0.4">
      <c r="A1216" s="164">
        <v>35352</v>
      </c>
      <c r="B1216" s="166"/>
      <c r="C1216" s="166">
        <v>1256.3599850000001</v>
      </c>
      <c r="D1216" s="160"/>
      <c r="E1216" s="166">
        <v>19.973887999999999</v>
      </c>
      <c r="G1216" s="166">
        <v>0.78278700000000001</v>
      </c>
    </row>
    <row r="1217" spans="1:7" x14ac:dyDescent="0.4">
      <c r="A1217" s="164">
        <v>35353</v>
      </c>
      <c r="B1217" s="166"/>
      <c r="C1217" s="166">
        <v>1258.099976</v>
      </c>
      <c r="D1217" s="160"/>
      <c r="E1217" s="166">
        <v>19.89706</v>
      </c>
      <c r="G1217" s="166">
        <v>0.78278700000000001</v>
      </c>
    </row>
    <row r="1218" spans="1:7" x14ac:dyDescent="0.4">
      <c r="A1218" s="164">
        <v>35354</v>
      </c>
      <c r="B1218" s="166"/>
      <c r="C1218" s="166">
        <v>1250.98999</v>
      </c>
      <c r="D1218" s="160"/>
      <c r="E1218" s="166">
        <v>19.608972999999999</v>
      </c>
      <c r="G1218" s="166">
        <v>0.798288</v>
      </c>
    </row>
    <row r="1219" spans="1:7" x14ac:dyDescent="0.4">
      <c r="A1219" s="164">
        <v>35355</v>
      </c>
      <c r="B1219" s="166"/>
      <c r="C1219" s="166">
        <v>1241.959961</v>
      </c>
      <c r="D1219" s="160"/>
      <c r="E1219" s="166">
        <v>19.301689</v>
      </c>
      <c r="G1219" s="166">
        <v>0.81766300000000003</v>
      </c>
    </row>
    <row r="1220" spans="1:7" x14ac:dyDescent="0.4">
      <c r="A1220" s="164">
        <v>35356</v>
      </c>
      <c r="B1220" s="166"/>
      <c r="C1220" s="166">
        <v>1242.4799800000001</v>
      </c>
      <c r="D1220" s="160"/>
      <c r="E1220" s="166">
        <v>19.877866999999998</v>
      </c>
      <c r="G1220" s="166">
        <v>0.82347599999999999</v>
      </c>
    </row>
    <row r="1221" spans="1:7" x14ac:dyDescent="0.4">
      <c r="A1221" s="164">
        <v>35359</v>
      </c>
      <c r="B1221" s="166"/>
      <c r="C1221" s="166">
        <v>1236.410034</v>
      </c>
      <c r="D1221" s="160"/>
      <c r="E1221" s="166">
        <v>19.993095</v>
      </c>
      <c r="G1221" s="166">
        <v>0.79441300000000004</v>
      </c>
    </row>
    <row r="1222" spans="1:7" x14ac:dyDescent="0.4">
      <c r="A1222" s="164">
        <v>35360</v>
      </c>
      <c r="B1222" s="166"/>
      <c r="C1222" s="166">
        <v>1220</v>
      </c>
      <c r="D1222" s="160"/>
      <c r="E1222" s="166">
        <v>19.512947</v>
      </c>
      <c r="G1222" s="166">
        <v>0.77116099999999999</v>
      </c>
    </row>
    <row r="1223" spans="1:7" x14ac:dyDescent="0.4">
      <c r="A1223" s="164">
        <v>35361</v>
      </c>
      <c r="B1223" s="166"/>
      <c r="C1223" s="166">
        <v>1227.880005</v>
      </c>
      <c r="D1223" s="160"/>
      <c r="E1223" s="166">
        <v>19.858656</v>
      </c>
      <c r="G1223" s="166">
        <v>0.76728600000000002</v>
      </c>
    </row>
    <row r="1224" spans="1:7" x14ac:dyDescent="0.4">
      <c r="A1224" s="164">
        <v>35362</v>
      </c>
      <c r="B1224" s="166"/>
      <c r="C1224" s="166">
        <v>1227</v>
      </c>
      <c r="D1224" s="160"/>
      <c r="E1224" s="166">
        <v>19.570561999999999</v>
      </c>
      <c r="G1224" s="166">
        <v>0.76728600000000002</v>
      </c>
    </row>
    <row r="1225" spans="1:7" x14ac:dyDescent="0.4">
      <c r="A1225" s="164">
        <v>35363</v>
      </c>
      <c r="B1225" s="166"/>
      <c r="C1225" s="166">
        <v>1222.599976</v>
      </c>
      <c r="D1225" s="160"/>
      <c r="E1225" s="166">
        <v>19.436122999999998</v>
      </c>
      <c r="G1225" s="166">
        <v>0.75953599999999999</v>
      </c>
    </row>
    <row r="1226" spans="1:7" x14ac:dyDescent="0.4">
      <c r="A1226" s="164">
        <v>35366</v>
      </c>
      <c r="B1226" s="166"/>
      <c r="C1226" s="166">
        <v>1215.8900149999999</v>
      </c>
      <c r="D1226" s="160"/>
      <c r="E1226" s="166">
        <v>19.570561999999999</v>
      </c>
      <c r="G1226" s="166">
        <v>0.75953599999999999</v>
      </c>
    </row>
    <row r="1227" spans="1:7" x14ac:dyDescent="0.4">
      <c r="A1227" s="164">
        <v>35367</v>
      </c>
      <c r="B1227" s="166"/>
      <c r="C1227" s="166">
        <v>1203.0500489999999</v>
      </c>
      <c r="D1227" s="160"/>
      <c r="E1227" s="166">
        <v>19.301689</v>
      </c>
      <c r="G1227" s="166">
        <v>0.72078399999999998</v>
      </c>
    </row>
    <row r="1228" spans="1:7" x14ac:dyDescent="0.4">
      <c r="A1228" s="164">
        <v>35368</v>
      </c>
      <c r="B1228" s="166"/>
      <c r="C1228" s="166">
        <v>1206.2299800000001</v>
      </c>
      <c r="D1228" s="160"/>
      <c r="E1228" s="166">
        <v>19.416917999999999</v>
      </c>
      <c r="G1228" s="166">
        <v>0.70915799999999996</v>
      </c>
    </row>
    <row r="1229" spans="1:7" x14ac:dyDescent="0.4">
      <c r="A1229" s="164">
        <v>35369</v>
      </c>
      <c r="B1229" s="166"/>
      <c r="C1229" s="166">
        <v>1221.51001</v>
      </c>
      <c r="D1229" s="160"/>
      <c r="E1229" s="166">
        <v>19.820232000000001</v>
      </c>
      <c r="G1229" s="166">
        <v>0.71303300000000003</v>
      </c>
    </row>
    <row r="1230" spans="1:7" x14ac:dyDescent="0.4">
      <c r="A1230" s="164">
        <v>35370</v>
      </c>
      <c r="B1230" s="166"/>
      <c r="C1230" s="166">
        <v>1221.780029</v>
      </c>
      <c r="D1230" s="160"/>
      <c r="E1230" s="166">
        <v>19.589766999999998</v>
      </c>
      <c r="G1230" s="166">
        <v>0.75178500000000004</v>
      </c>
    </row>
    <row r="1231" spans="1:7" x14ac:dyDescent="0.4">
      <c r="A1231" s="164">
        <v>35373</v>
      </c>
      <c r="B1231" s="166"/>
      <c r="C1231" s="166">
        <v>1220.4799800000001</v>
      </c>
      <c r="D1231" s="160"/>
      <c r="E1231" s="166">
        <v>19.781834</v>
      </c>
      <c r="G1231" s="166">
        <v>0.75566100000000003</v>
      </c>
    </row>
    <row r="1232" spans="1:7" x14ac:dyDescent="0.4">
      <c r="A1232" s="164">
        <v>35374</v>
      </c>
      <c r="B1232" s="166"/>
      <c r="C1232" s="166">
        <v>1229.0699460000001</v>
      </c>
      <c r="D1232" s="160"/>
      <c r="E1232" s="166">
        <v>20.012284999999999</v>
      </c>
      <c r="G1232" s="166">
        <v>0.79053700000000005</v>
      </c>
    </row>
    <row r="1233" spans="1:7" x14ac:dyDescent="0.4">
      <c r="A1233" s="164">
        <v>35375</v>
      </c>
      <c r="B1233" s="166"/>
      <c r="C1233" s="166">
        <v>1245.48999</v>
      </c>
      <c r="D1233" s="160"/>
      <c r="E1233" s="166">
        <v>20.715085999999999</v>
      </c>
      <c r="G1233" s="166">
        <v>0.79053700000000005</v>
      </c>
    </row>
    <row r="1234" spans="1:7" x14ac:dyDescent="0.4">
      <c r="A1234" s="164">
        <v>35376</v>
      </c>
      <c r="B1234" s="166"/>
      <c r="C1234" s="166">
        <v>1254.1400149999999</v>
      </c>
      <c r="D1234" s="160"/>
      <c r="E1234" s="166">
        <v>20.773337999999999</v>
      </c>
      <c r="G1234" s="166">
        <v>0.80216299999999996</v>
      </c>
    </row>
    <row r="1235" spans="1:7" x14ac:dyDescent="0.4">
      <c r="A1235" s="164">
        <v>35377</v>
      </c>
      <c r="B1235" s="166"/>
      <c r="C1235" s="166">
        <v>1257.51001</v>
      </c>
      <c r="D1235" s="160"/>
      <c r="E1235" s="166">
        <v>20.870408999999999</v>
      </c>
      <c r="G1235" s="166">
        <v>0.81378799999999996</v>
      </c>
    </row>
    <row r="1236" spans="1:7" x14ac:dyDescent="0.4">
      <c r="A1236" s="164">
        <v>35380</v>
      </c>
      <c r="B1236" s="166"/>
      <c r="C1236" s="166">
        <v>1262.670044</v>
      </c>
      <c r="D1236" s="160"/>
      <c r="E1236" s="166">
        <v>20.889828000000001</v>
      </c>
      <c r="G1236" s="166">
        <v>0.80603800000000003</v>
      </c>
    </row>
    <row r="1237" spans="1:7" x14ac:dyDescent="0.4">
      <c r="A1237" s="164">
        <v>35381</v>
      </c>
      <c r="B1237" s="166"/>
      <c r="C1237" s="166">
        <v>1256.530029</v>
      </c>
      <c r="D1237" s="160"/>
      <c r="E1237" s="166">
        <v>20.695684</v>
      </c>
      <c r="G1237" s="166">
        <v>0.78278700000000001</v>
      </c>
    </row>
    <row r="1238" spans="1:7" x14ac:dyDescent="0.4">
      <c r="A1238" s="164">
        <v>35382</v>
      </c>
      <c r="B1238" s="166"/>
      <c r="C1238" s="166">
        <v>1260.719971</v>
      </c>
      <c r="D1238" s="160"/>
      <c r="E1238" s="166">
        <v>20.928650000000001</v>
      </c>
      <c r="G1238" s="166">
        <v>0.79247500000000004</v>
      </c>
    </row>
    <row r="1239" spans="1:7" x14ac:dyDescent="0.4">
      <c r="A1239" s="164">
        <v>35383</v>
      </c>
      <c r="B1239" s="166"/>
      <c r="C1239" s="166">
        <v>1270.3599850000001</v>
      </c>
      <c r="D1239" s="160"/>
      <c r="E1239" s="166">
        <v>21.258699</v>
      </c>
      <c r="G1239" s="166">
        <v>0.79441300000000004</v>
      </c>
    </row>
    <row r="1240" spans="1:7" x14ac:dyDescent="0.4">
      <c r="A1240" s="164">
        <v>35384</v>
      </c>
      <c r="B1240" s="166"/>
      <c r="C1240" s="166">
        <v>1261.8000489999999</v>
      </c>
      <c r="D1240" s="160"/>
      <c r="E1240" s="166">
        <v>22.520626</v>
      </c>
      <c r="G1240" s="166">
        <v>0.77503599999999995</v>
      </c>
    </row>
    <row r="1241" spans="1:7" x14ac:dyDescent="0.4">
      <c r="A1241" s="164">
        <v>35387</v>
      </c>
      <c r="B1241" s="166"/>
      <c r="C1241" s="166">
        <v>1254.5699460000001</v>
      </c>
      <c r="D1241" s="160"/>
      <c r="E1241" s="166">
        <v>22.792418000000001</v>
      </c>
      <c r="G1241" s="166">
        <v>0.76728600000000002</v>
      </c>
    </row>
    <row r="1242" spans="1:7" x14ac:dyDescent="0.4">
      <c r="A1242" s="164">
        <v>35388</v>
      </c>
      <c r="B1242" s="166"/>
      <c r="C1242" s="166">
        <v>1262.619995</v>
      </c>
      <c r="D1242" s="160"/>
      <c r="E1242" s="166">
        <v>23.937881000000001</v>
      </c>
      <c r="G1242" s="166">
        <v>0.77116099999999999</v>
      </c>
    </row>
    <row r="1243" spans="1:7" x14ac:dyDescent="0.4">
      <c r="A1243" s="164">
        <v>35389</v>
      </c>
      <c r="B1243" s="166"/>
      <c r="C1243" s="166">
        <v>1264.9399410000001</v>
      </c>
      <c r="D1243" s="160"/>
      <c r="E1243" s="166">
        <v>23.704906000000001</v>
      </c>
      <c r="G1243" s="166">
        <v>0.77503599999999995</v>
      </c>
    </row>
    <row r="1244" spans="1:7" x14ac:dyDescent="0.4">
      <c r="A1244" s="164">
        <v>35390</v>
      </c>
      <c r="B1244" s="166"/>
      <c r="C1244" s="166">
        <v>1258.079956</v>
      </c>
      <c r="D1244" s="160"/>
      <c r="E1244" s="166">
        <v>23.937881000000001</v>
      </c>
      <c r="G1244" s="166">
        <v>0.75953599999999999</v>
      </c>
    </row>
    <row r="1245" spans="1:7" x14ac:dyDescent="0.4">
      <c r="A1245" s="164">
        <v>35391</v>
      </c>
      <c r="B1245" s="166"/>
      <c r="C1245" s="166">
        <v>1274.3599850000001</v>
      </c>
      <c r="D1245" s="160"/>
      <c r="E1245" s="166">
        <v>24.617381999999999</v>
      </c>
      <c r="G1245" s="166">
        <v>0.78278700000000001</v>
      </c>
    </row>
    <row r="1246" spans="1:7" x14ac:dyDescent="0.4">
      <c r="A1246" s="164">
        <v>35394</v>
      </c>
      <c r="B1246" s="166"/>
      <c r="C1246" s="166">
        <v>1280.369995</v>
      </c>
      <c r="D1246" s="160"/>
      <c r="E1246" s="166">
        <v>24.481472</v>
      </c>
      <c r="G1246" s="166">
        <v>0.77503599999999995</v>
      </c>
    </row>
    <row r="1247" spans="1:7" x14ac:dyDescent="0.4">
      <c r="A1247" s="164">
        <v>35395</v>
      </c>
      <c r="B1247" s="166"/>
      <c r="C1247" s="166">
        <v>1281.1999510000001</v>
      </c>
      <c r="D1247" s="160"/>
      <c r="E1247" s="166">
        <v>24.539721</v>
      </c>
      <c r="G1247" s="166">
        <v>0.75178500000000004</v>
      </c>
    </row>
    <row r="1248" spans="1:7" x14ac:dyDescent="0.4">
      <c r="A1248" s="164">
        <v>35396</v>
      </c>
      <c r="B1248" s="166"/>
      <c r="C1248" s="166">
        <v>1287.3199460000001</v>
      </c>
      <c r="D1248" s="160"/>
      <c r="E1248" s="166">
        <v>24.559132000000002</v>
      </c>
      <c r="G1248" s="166">
        <v>0.75953599999999999</v>
      </c>
    </row>
    <row r="1249" spans="1:7" x14ac:dyDescent="0.4">
      <c r="A1249" s="164">
        <v>35398</v>
      </c>
      <c r="B1249" s="166"/>
      <c r="C1249" s="166">
        <v>1292.6099850000001</v>
      </c>
      <c r="D1249" s="160"/>
      <c r="E1249" s="166">
        <v>24.753299999999999</v>
      </c>
      <c r="G1249" s="166">
        <v>0.74790999999999996</v>
      </c>
    </row>
    <row r="1250" spans="1:7" x14ac:dyDescent="0.4">
      <c r="A1250" s="164">
        <v>35401</v>
      </c>
      <c r="B1250" s="166"/>
      <c r="C1250" s="166">
        <v>1299.8199460000001</v>
      </c>
      <c r="D1250" s="160"/>
      <c r="E1250" s="166">
        <v>25.316292000000001</v>
      </c>
      <c r="G1250" s="166">
        <v>0.77891200000000005</v>
      </c>
    </row>
    <row r="1251" spans="1:7" x14ac:dyDescent="0.4">
      <c r="A1251" s="164">
        <v>35402</v>
      </c>
      <c r="B1251" s="166"/>
      <c r="C1251" s="166">
        <v>1300.369995</v>
      </c>
      <c r="D1251" s="160"/>
      <c r="E1251" s="166">
        <v>25.258047000000001</v>
      </c>
      <c r="G1251" s="166">
        <v>0.77891200000000005</v>
      </c>
    </row>
    <row r="1252" spans="1:7" x14ac:dyDescent="0.4">
      <c r="A1252" s="164">
        <v>35403</v>
      </c>
      <c r="B1252" s="166"/>
      <c r="C1252" s="166">
        <v>1297.0200199999999</v>
      </c>
      <c r="D1252" s="160"/>
      <c r="E1252" s="166">
        <v>25.160983999999999</v>
      </c>
      <c r="G1252" s="166">
        <v>0.77503599999999995</v>
      </c>
    </row>
    <row r="1253" spans="1:7" x14ac:dyDescent="0.4">
      <c r="A1253" s="164">
        <v>35404</v>
      </c>
      <c r="B1253" s="166"/>
      <c r="C1253" s="166">
        <v>1300.119995</v>
      </c>
      <c r="D1253" s="160"/>
      <c r="E1253" s="166">
        <v>24.617381999999999</v>
      </c>
      <c r="G1253" s="166">
        <v>0.77503599999999995</v>
      </c>
    </row>
    <row r="1254" spans="1:7" x14ac:dyDescent="0.4">
      <c r="A1254" s="164">
        <v>35405</v>
      </c>
      <c r="B1254" s="166"/>
      <c r="C1254" s="166">
        <v>1287.6800539999999</v>
      </c>
      <c r="D1254" s="160"/>
      <c r="E1254" s="166">
        <v>24.170840999999999</v>
      </c>
      <c r="G1254" s="166">
        <v>0.77891200000000005</v>
      </c>
    </row>
    <row r="1255" spans="1:7" x14ac:dyDescent="0.4">
      <c r="A1255" s="164">
        <v>35408</v>
      </c>
      <c r="B1255" s="166"/>
      <c r="C1255" s="166">
        <v>1316.2700199999999</v>
      </c>
      <c r="D1255" s="160"/>
      <c r="E1255" s="166">
        <v>24.850349000000001</v>
      </c>
      <c r="G1255" s="166">
        <v>0.77503599999999995</v>
      </c>
    </row>
    <row r="1256" spans="1:7" x14ac:dyDescent="0.4">
      <c r="A1256" s="164">
        <v>35409</v>
      </c>
      <c r="B1256" s="166"/>
      <c r="C1256" s="166">
        <v>1312.5500489999999</v>
      </c>
      <c r="D1256" s="160"/>
      <c r="E1256" s="166">
        <v>24.500895</v>
      </c>
      <c r="G1256" s="166">
        <v>0.75953599999999999</v>
      </c>
    </row>
    <row r="1257" spans="1:7" x14ac:dyDescent="0.4">
      <c r="A1257" s="164">
        <v>35410</v>
      </c>
      <c r="B1257" s="166"/>
      <c r="C1257" s="166">
        <v>1309.119995</v>
      </c>
      <c r="D1257" s="160"/>
      <c r="E1257" s="166">
        <v>24.248493</v>
      </c>
      <c r="G1257" s="166">
        <v>0.744035</v>
      </c>
    </row>
    <row r="1258" spans="1:7" x14ac:dyDescent="0.4">
      <c r="A1258" s="164">
        <v>35411</v>
      </c>
      <c r="B1258" s="166"/>
      <c r="C1258" s="166">
        <v>1298.329956</v>
      </c>
      <c r="D1258" s="160"/>
      <c r="E1258" s="166">
        <v>23.549579999999999</v>
      </c>
      <c r="G1258" s="166">
        <v>0.74016000000000004</v>
      </c>
    </row>
    <row r="1259" spans="1:7" x14ac:dyDescent="0.4">
      <c r="A1259" s="164">
        <v>35412</v>
      </c>
      <c r="B1259" s="166"/>
      <c r="C1259" s="166">
        <v>1284.910034</v>
      </c>
      <c r="D1259" s="160"/>
      <c r="E1259" s="166">
        <v>23.743722999999999</v>
      </c>
      <c r="G1259" s="166">
        <v>0.72078399999999998</v>
      </c>
    </row>
    <row r="1260" spans="1:7" x14ac:dyDescent="0.4">
      <c r="A1260" s="164">
        <v>35415</v>
      </c>
      <c r="B1260" s="166"/>
      <c r="C1260" s="166">
        <v>1260.9799800000001</v>
      </c>
      <c r="D1260" s="160"/>
      <c r="E1260" s="166">
        <v>23.083649000000001</v>
      </c>
      <c r="G1260" s="166">
        <v>0.70140800000000003</v>
      </c>
    </row>
    <row r="1261" spans="1:7" x14ac:dyDescent="0.4">
      <c r="A1261" s="164">
        <v>35416</v>
      </c>
      <c r="B1261" s="166"/>
      <c r="C1261" s="166">
        <v>1266.3199460000001</v>
      </c>
      <c r="D1261" s="160"/>
      <c r="E1261" s="166">
        <v>23.588429999999999</v>
      </c>
      <c r="G1261" s="166">
        <v>0.69753299999999996</v>
      </c>
    </row>
    <row r="1262" spans="1:7" x14ac:dyDescent="0.4">
      <c r="A1262" s="164">
        <v>35417</v>
      </c>
      <c r="B1262" s="166"/>
      <c r="C1262" s="166">
        <v>1285.380005</v>
      </c>
      <c r="D1262" s="160"/>
      <c r="E1262" s="166">
        <v>24.636790999999999</v>
      </c>
      <c r="G1262" s="166">
        <v>0.71690900000000002</v>
      </c>
    </row>
    <row r="1263" spans="1:7" x14ac:dyDescent="0.4">
      <c r="A1263" s="164">
        <v>35418</v>
      </c>
      <c r="B1263" s="166"/>
      <c r="C1263" s="166">
        <v>1295.8599850000001</v>
      </c>
      <c r="D1263" s="160"/>
      <c r="E1263" s="166">
        <v>24.559132000000002</v>
      </c>
      <c r="G1263" s="166">
        <v>0.68978200000000001</v>
      </c>
    </row>
    <row r="1264" spans="1:7" x14ac:dyDescent="0.4">
      <c r="A1264" s="164">
        <v>35419</v>
      </c>
      <c r="B1264" s="166"/>
      <c r="C1264" s="166">
        <v>1288.5600589999999</v>
      </c>
      <c r="D1264" s="160"/>
      <c r="E1264" s="166">
        <v>24.015535</v>
      </c>
      <c r="G1264" s="166">
        <v>0.72853400000000001</v>
      </c>
    </row>
    <row r="1265" spans="1:7" x14ac:dyDescent="0.4">
      <c r="A1265" s="164">
        <v>35422</v>
      </c>
      <c r="B1265" s="166"/>
      <c r="C1265" s="166">
        <v>1279.5200199999999</v>
      </c>
      <c r="D1265" s="160"/>
      <c r="E1265" s="166">
        <v>23.957293</v>
      </c>
      <c r="G1265" s="166">
        <v>0.72078399999999998</v>
      </c>
    </row>
    <row r="1266" spans="1:7" x14ac:dyDescent="0.4">
      <c r="A1266" s="164">
        <v>35423</v>
      </c>
      <c r="B1266" s="166"/>
      <c r="C1266" s="166">
        <v>1287.630005</v>
      </c>
      <c r="D1266" s="160"/>
      <c r="E1266" s="166">
        <v>24.190252000000001</v>
      </c>
      <c r="G1266" s="166">
        <v>0.71690900000000002</v>
      </c>
    </row>
    <row r="1267" spans="1:7" x14ac:dyDescent="0.4">
      <c r="A1267" s="164">
        <v>35425</v>
      </c>
      <c r="B1267" s="166"/>
      <c r="C1267" s="166">
        <v>1294.5699460000001</v>
      </c>
      <c r="D1267" s="160"/>
      <c r="E1267" s="166">
        <v>24.190252000000001</v>
      </c>
      <c r="G1267" s="166">
        <v>0.71303300000000003</v>
      </c>
    </row>
    <row r="1268" spans="1:7" x14ac:dyDescent="0.4">
      <c r="A1268" s="164">
        <v>35426</v>
      </c>
      <c r="B1268" s="166"/>
      <c r="C1268" s="166">
        <v>1291.380005</v>
      </c>
      <c r="D1268" s="160"/>
      <c r="E1268" s="166">
        <v>24.093201000000001</v>
      </c>
      <c r="G1268" s="166">
        <v>0.71690900000000002</v>
      </c>
    </row>
    <row r="1269" spans="1:7" x14ac:dyDescent="0.4">
      <c r="A1269" s="164">
        <v>35429</v>
      </c>
      <c r="B1269" s="166"/>
      <c r="C1269" s="166">
        <v>1287.75</v>
      </c>
      <c r="D1269" s="160"/>
      <c r="E1269" s="166">
        <v>23.860209999999999</v>
      </c>
      <c r="G1269" s="166">
        <v>0.67428200000000005</v>
      </c>
    </row>
    <row r="1270" spans="1:7" x14ac:dyDescent="0.4">
      <c r="A1270" s="164">
        <v>35430</v>
      </c>
      <c r="B1270" s="166"/>
      <c r="C1270" s="166">
        <v>1291.030029</v>
      </c>
      <c r="D1270" s="160"/>
      <c r="E1270" s="166">
        <v>23.530172</v>
      </c>
      <c r="G1270" s="166">
        <v>0.64715500000000004</v>
      </c>
    </row>
    <row r="1271" spans="1:7" x14ac:dyDescent="0.4">
      <c r="A1271" s="164">
        <v>35432</v>
      </c>
      <c r="B1271" s="166"/>
      <c r="C1271" s="166">
        <v>1280.6999510000001</v>
      </c>
      <c r="D1271" s="160"/>
      <c r="E1271" s="166">
        <v>23.801962</v>
      </c>
      <c r="G1271" s="166">
        <v>0.65103100000000003</v>
      </c>
    </row>
    <row r="1272" spans="1:7" x14ac:dyDescent="0.4">
      <c r="A1272" s="164">
        <v>35433</v>
      </c>
      <c r="B1272" s="166"/>
      <c r="C1272" s="166">
        <v>1310.6800539999999</v>
      </c>
      <c r="D1272" s="160"/>
      <c r="E1272" s="166">
        <v>24.714447</v>
      </c>
      <c r="G1272" s="166">
        <v>0.67428200000000005</v>
      </c>
    </row>
    <row r="1273" spans="1:7" x14ac:dyDescent="0.4">
      <c r="A1273" s="164">
        <v>35436</v>
      </c>
      <c r="B1273" s="166"/>
      <c r="C1273" s="166">
        <v>1316.400024</v>
      </c>
      <c r="D1273" s="160"/>
      <c r="E1273" s="166">
        <v>25.044491000000001</v>
      </c>
      <c r="G1273" s="166">
        <v>0.55415099999999995</v>
      </c>
    </row>
    <row r="1274" spans="1:7" x14ac:dyDescent="0.4">
      <c r="A1274" s="164">
        <v>35437</v>
      </c>
      <c r="B1274" s="166"/>
      <c r="C1274" s="166">
        <v>1327.7299800000001</v>
      </c>
      <c r="D1274" s="160"/>
      <c r="E1274" s="166">
        <v>25.374537</v>
      </c>
      <c r="G1274" s="166">
        <v>0.54252599999999995</v>
      </c>
    </row>
    <row r="1275" spans="1:7" x14ac:dyDescent="0.4">
      <c r="A1275" s="164">
        <v>35438</v>
      </c>
      <c r="B1275" s="166"/>
      <c r="C1275" s="166">
        <v>1320.349976</v>
      </c>
      <c r="D1275" s="160"/>
      <c r="E1275" s="166">
        <v>24.830929000000001</v>
      </c>
      <c r="G1275" s="166">
        <v>0.54640100000000003</v>
      </c>
    </row>
    <row r="1276" spans="1:7" x14ac:dyDescent="0.4">
      <c r="A1276" s="164">
        <v>35439</v>
      </c>
      <c r="B1276" s="166"/>
      <c r="C1276" s="166">
        <v>1326.1999510000001</v>
      </c>
      <c r="D1276" s="160"/>
      <c r="E1276" s="166">
        <v>25.141565</v>
      </c>
      <c r="G1276" s="166">
        <v>0.55027599999999999</v>
      </c>
    </row>
    <row r="1277" spans="1:7" x14ac:dyDescent="0.4">
      <c r="A1277" s="164">
        <v>35440</v>
      </c>
      <c r="B1277" s="166"/>
      <c r="C1277" s="166">
        <v>1332.0200199999999</v>
      </c>
      <c r="D1277" s="160"/>
      <c r="E1277" s="166">
        <v>25.316292000000001</v>
      </c>
      <c r="G1277" s="166">
        <v>0.56577699999999997</v>
      </c>
    </row>
    <row r="1278" spans="1:7" x14ac:dyDescent="0.4">
      <c r="A1278" s="164">
        <v>35443</v>
      </c>
      <c r="B1278" s="166"/>
      <c r="C1278" s="166">
        <v>1330.910034</v>
      </c>
      <c r="D1278" s="160"/>
      <c r="E1278" s="166">
        <v>25.452197999999999</v>
      </c>
      <c r="G1278" s="166">
        <v>0.56190099999999998</v>
      </c>
    </row>
    <row r="1279" spans="1:7" x14ac:dyDescent="0.4">
      <c r="A1279" s="164">
        <v>35444</v>
      </c>
      <c r="B1279" s="166"/>
      <c r="C1279" s="166">
        <v>1346.3599850000001</v>
      </c>
      <c r="D1279" s="160"/>
      <c r="E1279" s="166">
        <v>25.939979999999998</v>
      </c>
      <c r="G1279" s="166">
        <v>0.55415099999999995</v>
      </c>
    </row>
    <row r="1280" spans="1:7" x14ac:dyDescent="0.4">
      <c r="A1280" s="164">
        <v>35445</v>
      </c>
      <c r="B1280" s="166"/>
      <c r="C1280" s="166">
        <v>1333.530029</v>
      </c>
      <c r="D1280" s="160"/>
      <c r="E1280" s="166">
        <v>25.568686</v>
      </c>
      <c r="G1280" s="166">
        <v>0.534775</v>
      </c>
    </row>
    <row r="1281" spans="1:7" x14ac:dyDescent="0.4">
      <c r="A1281" s="164">
        <v>35446</v>
      </c>
      <c r="B1281" s="166"/>
      <c r="C1281" s="166">
        <v>1340.459961</v>
      </c>
      <c r="D1281" s="160"/>
      <c r="E1281" s="166">
        <v>25.704573</v>
      </c>
      <c r="G1281" s="166">
        <v>0.51927400000000001</v>
      </c>
    </row>
    <row r="1282" spans="1:7" x14ac:dyDescent="0.4">
      <c r="A1282" s="164">
        <v>35447</v>
      </c>
      <c r="B1282" s="166"/>
      <c r="C1282" s="166">
        <v>1349.0500489999999</v>
      </c>
      <c r="D1282" s="160"/>
      <c r="E1282" s="166">
        <v>25.665758</v>
      </c>
      <c r="G1282" s="166">
        <v>0.51927400000000001</v>
      </c>
    </row>
    <row r="1283" spans="1:7" x14ac:dyDescent="0.4">
      <c r="A1283" s="164">
        <v>35450</v>
      </c>
      <c r="B1283" s="166"/>
      <c r="C1283" s="166">
        <v>1364.280029</v>
      </c>
      <c r="D1283" s="160"/>
      <c r="E1283" s="166">
        <v>25.937546000000001</v>
      </c>
      <c r="G1283" s="166">
        <v>0.52508699999999997</v>
      </c>
    </row>
    <row r="1284" spans="1:7" x14ac:dyDescent="0.4">
      <c r="A1284" s="164">
        <v>35451</v>
      </c>
      <c r="B1284" s="166"/>
      <c r="C1284" s="166">
        <v>1376.969971</v>
      </c>
      <c r="D1284" s="160"/>
      <c r="E1284" s="166">
        <v>26.092873000000001</v>
      </c>
      <c r="G1284" s="166">
        <v>0.534775</v>
      </c>
    </row>
    <row r="1285" spans="1:7" x14ac:dyDescent="0.4">
      <c r="A1285" s="164">
        <v>35452</v>
      </c>
      <c r="B1285" s="166"/>
      <c r="C1285" s="166">
        <v>1388.0600589999999</v>
      </c>
      <c r="D1285" s="160"/>
      <c r="E1285" s="166">
        <v>24.539721</v>
      </c>
      <c r="G1285" s="166">
        <v>0.53283800000000003</v>
      </c>
    </row>
    <row r="1286" spans="1:7" x14ac:dyDescent="0.4">
      <c r="A1286" s="164">
        <v>35453</v>
      </c>
      <c r="B1286" s="166"/>
      <c r="C1286" s="166">
        <v>1378.369995</v>
      </c>
      <c r="D1286" s="160"/>
      <c r="E1286" s="166">
        <v>23.569016000000001</v>
      </c>
      <c r="G1286" s="166">
        <v>0.534775</v>
      </c>
    </row>
    <row r="1287" spans="1:7" x14ac:dyDescent="0.4">
      <c r="A1287" s="164">
        <v>35454</v>
      </c>
      <c r="B1287" s="166"/>
      <c r="C1287" s="166">
        <v>1363.829956</v>
      </c>
      <c r="D1287" s="160"/>
      <c r="E1287" s="166">
        <v>23.374851</v>
      </c>
      <c r="G1287" s="166">
        <v>0.52315</v>
      </c>
    </row>
    <row r="1288" spans="1:7" x14ac:dyDescent="0.4">
      <c r="A1288" s="164">
        <v>35457</v>
      </c>
      <c r="B1288" s="166"/>
      <c r="C1288" s="166">
        <v>1352.8100589999999</v>
      </c>
      <c r="D1288" s="160"/>
      <c r="E1288" s="166">
        <v>22.637114</v>
      </c>
      <c r="G1288" s="166">
        <v>0.51539900000000005</v>
      </c>
    </row>
    <row r="1289" spans="1:7" x14ac:dyDescent="0.4">
      <c r="A1289" s="164">
        <v>35458</v>
      </c>
      <c r="B1289" s="166"/>
      <c r="C1289" s="166">
        <v>1354.369995</v>
      </c>
      <c r="D1289" s="160"/>
      <c r="E1289" s="166">
        <v>23.413678999999998</v>
      </c>
      <c r="G1289" s="166">
        <v>0.51539900000000005</v>
      </c>
    </row>
    <row r="1290" spans="1:7" x14ac:dyDescent="0.4">
      <c r="A1290" s="164">
        <v>35459</v>
      </c>
      <c r="B1290" s="166"/>
      <c r="C1290" s="166">
        <v>1355.170044</v>
      </c>
      <c r="D1290" s="160"/>
      <c r="E1290" s="166">
        <v>24.287333</v>
      </c>
      <c r="G1290" s="166">
        <v>0.51539900000000005</v>
      </c>
    </row>
    <row r="1291" spans="1:7" x14ac:dyDescent="0.4">
      <c r="A1291" s="164">
        <v>35460</v>
      </c>
      <c r="B1291" s="166"/>
      <c r="C1291" s="166">
        <v>1371.0200199999999</v>
      </c>
      <c r="D1291" s="160"/>
      <c r="E1291" s="166">
        <v>24.423241000000001</v>
      </c>
      <c r="G1291" s="166">
        <v>0.51927400000000001</v>
      </c>
    </row>
    <row r="1292" spans="1:7" x14ac:dyDescent="0.4">
      <c r="A1292" s="164">
        <v>35461</v>
      </c>
      <c r="B1292" s="166"/>
      <c r="C1292" s="166">
        <v>1379.849976</v>
      </c>
      <c r="D1292" s="160"/>
      <c r="E1292" s="166">
        <v>24.364992000000001</v>
      </c>
      <c r="G1292" s="166">
        <v>0.51539900000000005</v>
      </c>
    </row>
    <row r="1293" spans="1:7" x14ac:dyDescent="0.4">
      <c r="A1293" s="164">
        <v>35464</v>
      </c>
      <c r="B1293" s="166"/>
      <c r="C1293" s="166">
        <v>1376.0500489999999</v>
      </c>
      <c r="D1293" s="160"/>
      <c r="E1293" s="166">
        <v>24.054359000000002</v>
      </c>
      <c r="G1293" s="166">
        <v>0.50571100000000002</v>
      </c>
    </row>
    <row r="1294" spans="1:7" x14ac:dyDescent="0.4">
      <c r="A1294" s="164">
        <v>35465</v>
      </c>
      <c r="B1294" s="166"/>
      <c r="C1294" s="166">
        <v>1373.75</v>
      </c>
      <c r="D1294" s="160"/>
      <c r="E1294" s="166">
        <v>23.860209999999999</v>
      </c>
      <c r="G1294" s="166">
        <v>0.47664699999999999</v>
      </c>
    </row>
    <row r="1295" spans="1:7" x14ac:dyDescent="0.4">
      <c r="A1295" s="164">
        <v>35466</v>
      </c>
      <c r="B1295" s="166"/>
      <c r="C1295" s="166">
        <v>1348.4399410000001</v>
      </c>
      <c r="D1295" s="160"/>
      <c r="E1295" s="166">
        <v>23.103069000000001</v>
      </c>
      <c r="G1295" s="166">
        <v>0.47277200000000003</v>
      </c>
    </row>
    <row r="1296" spans="1:7" x14ac:dyDescent="0.4">
      <c r="A1296" s="164">
        <v>35467</v>
      </c>
      <c r="B1296" s="166"/>
      <c r="C1296" s="166">
        <v>1346.400024</v>
      </c>
      <c r="D1296" s="160"/>
      <c r="E1296" s="166">
        <v>22.891396</v>
      </c>
      <c r="G1296" s="166">
        <v>0.49602299999999999</v>
      </c>
    </row>
    <row r="1297" spans="1:7" x14ac:dyDescent="0.4">
      <c r="A1297" s="164">
        <v>35468</v>
      </c>
      <c r="B1297" s="166"/>
      <c r="C1297" s="166">
        <v>1357.709961</v>
      </c>
      <c r="D1297" s="160"/>
      <c r="E1297" s="166">
        <v>23.322569000000001</v>
      </c>
      <c r="G1297" s="166">
        <v>0.49021100000000001</v>
      </c>
    </row>
    <row r="1298" spans="1:7" x14ac:dyDescent="0.4">
      <c r="A1298" s="164">
        <v>35471</v>
      </c>
      <c r="B1298" s="166"/>
      <c r="C1298" s="166">
        <v>1335.339966</v>
      </c>
      <c r="D1298" s="160"/>
      <c r="E1298" s="166">
        <v>22.381826</v>
      </c>
      <c r="G1298" s="166">
        <v>0.484398</v>
      </c>
    </row>
    <row r="1299" spans="1:7" x14ac:dyDescent="0.4">
      <c r="A1299" s="164">
        <v>35472</v>
      </c>
      <c r="B1299" s="166"/>
      <c r="C1299" s="166">
        <v>1331.51001</v>
      </c>
      <c r="D1299" s="160"/>
      <c r="E1299" s="166">
        <v>22.773796000000001</v>
      </c>
      <c r="G1299" s="166">
        <v>0.48633500000000002</v>
      </c>
    </row>
    <row r="1300" spans="1:7" x14ac:dyDescent="0.4">
      <c r="A1300" s="164">
        <v>35473</v>
      </c>
      <c r="B1300" s="166"/>
      <c r="C1300" s="166">
        <v>1358.959961</v>
      </c>
      <c r="D1300" s="160"/>
      <c r="E1300" s="166">
        <v>22.734601999999999</v>
      </c>
      <c r="G1300" s="166">
        <v>0.48827300000000001</v>
      </c>
    </row>
    <row r="1301" spans="1:7" x14ac:dyDescent="0.4">
      <c r="A1301" s="164">
        <v>35474</v>
      </c>
      <c r="B1301" s="166"/>
      <c r="C1301" s="166">
        <v>1370.8100589999999</v>
      </c>
      <c r="D1301" s="160"/>
      <c r="E1301" s="166">
        <v>22.950189999999999</v>
      </c>
      <c r="G1301" s="166">
        <v>0.49989899999999998</v>
      </c>
    </row>
    <row r="1302" spans="1:7" x14ac:dyDescent="0.4">
      <c r="A1302" s="164">
        <v>35475</v>
      </c>
      <c r="B1302" s="166"/>
      <c r="C1302" s="166">
        <v>1367.1899410000001</v>
      </c>
      <c r="D1302" s="160"/>
      <c r="E1302" s="166">
        <v>22.734601999999999</v>
      </c>
      <c r="G1302" s="166">
        <v>0.50571100000000002</v>
      </c>
    </row>
    <row r="1303" spans="1:7" x14ac:dyDescent="0.4">
      <c r="A1303" s="164">
        <v>35479</v>
      </c>
      <c r="B1303" s="166"/>
      <c r="C1303" s="166">
        <v>1365.790039</v>
      </c>
      <c r="D1303" s="160"/>
      <c r="E1303" s="166">
        <v>22.773796000000001</v>
      </c>
      <c r="G1303" s="166">
        <v>0.55415099999999995</v>
      </c>
    </row>
    <row r="1304" spans="1:7" x14ac:dyDescent="0.4">
      <c r="A1304" s="164">
        <v>35480</v>
      </c>
      <c r="B1304" s="166"/>
      <c r="C1304" s="166">
        <v>1365.579956</v>
      </c>
      <c r="D1304" s="160"/>
      <c r="E1304" s="166">
        <v>22.519020000000001</v>
      </c>
      <c r="G1304" s="166">
        <v>0.54640100000000003</v>
      </c>
    </row>
    <row r="1305" spans="1:7" x14ac:dyDescent="0.4">
      <c r="A1305" s="164">
        <v>35481</v>
      </c>
      <c r="B1305" s="166"/>
      <c r="C1305" s="166">
        <v>1347.400024</v>
      </c>
      <c r="D1305" s="160"/>
      <c r="E1305" s="166">
        <v>22.146630999999999</v>
      </c>
      <c r="G1305" s="166">
        <v>0.52702499999999997</v>
      </c>
    </row>
    <row r="1306" spans="1:7" x14ac:dyDescent="0.4">
      <c r="A1306" s="164">
        <v>35482</v>
      </c>
      <c r="B1306" s="166"/>
      <c r="C1306" s="166">
        <v>1334.3199460000001</v>
      </c>
      <c r="D1306" s="160"/>
      <c r="E1306" s="166">
        <v>21.578268000000001</v>
      </c>
      <c r="G1306" s="166">
        <v>0.50764900000000002</v>
      </c>
    </row>
    <row r="1307" spans="1:7" x14ac:dyDescent="0.4">
      <c r="A1307" s="164">
        <v>35485</v>
      </c>
      <c r="B1307" s="166"/>
      <c r="C1307" s="166">
        <v>1345.079956</v>
      </c>
      <c r="D1307" s="160"/>
      <c r="E1307" s="166">
        <v>22.558218</v>
      </c>
      <c r="G1307" s="166">
        <v>0.51539900000000005</v>
      </c>
    </row>
    <row r="1308" spans="1:7" x14ac:dyDescent="0.4">
      <c r="A1308" s="164">
        <v>35486</v>
      </c>
      <c r="B1308" s="166"/>
      <c r="C1308" s="166">
        <v>1347.6899410000001</v>
      </c>
      <c r="D1308" s="160"/>
      <c r="E1308" s="166">
        <v>22.969788000000001</v>
      </c>
      <c r="G1308" s="166">
        <v>0.52315</v>
      </c>
    </row>
    <row r="1309" spans="1:7" x14ac:dyDescent="0.4">
      <c r="A1309" s="164">
        <v>35487</v>
      </c>
      <c r="B1309" s="166"/>
      <c r="C1309" s="166">
        <v>1340.5500489999999</v>
      </c>
      <c r="D1309" s="160"/>
      <c r="E1309" s="166">
        <v>23.028582</v>
      </c>
      <c r="G1309" s="166">
        <v>0.53090000000000004</v>
      </c>
    </row>
    <row r="1310" spans="1:7" x14ac:dyDescent="0.4">
      <c r="A1310" s="164">
        <v>35488</v>
      </c>
      <c r="B1310" s="166"/>
      <c r="C1310" s="166">
        <v>1312.660034</v>
      </c>
      <c r="D1310" s="160"/>
      <c r="E1310" s="166">
        <v>22.421019000000001</v>
      </c>
      <c r="G1310" s="166">
        <v>0.52702499999999997</v>
      </c>
    </row>
    <row r="1311" spans="1:7" x14ac:dyDescent="0.4">
      <c r="A1311" s="164">
        <v>35489</v>
      </c>
      <c r="B1311" s="166"/>
      <c r="C1311" s="166">
        <v>1309</v>
      </c>
      <c r="D1311" s="160"/>
      <c r="E1311" s="166">
        <v>22.538618</v>
      </c>
      <c r="G1311" s="166">
        <v>0.50377400000000006</v>
      </c>
    </row>
    <row r="1312" spans="1:7" x14ac:dyDescent="0.4">
      <c r="A1312" s="164">
        <v>35492</v>
      </c>
      <c r="B1312" s="166"/>
      <c r="C1312" s="166">
        <v>1311.1800539999999</v>
      </c>
      <c r="D1312" s="160"/>
      <c r="E1312" s="166">
        <v>22.754206</v>
      </c>
      <c r="G1312" s="166">
        <v>0.49989899999999998</v>
      </c>
    </row>
    <row r="1313" spans="1:7" x14ac:dyDescent="0.4">
      <c r="A1313" s="164">
        <v>35493</v>
      </c>
      <c r="B1313" s="166"/>
      <c r="C1313" s="166">
        <v>1317.369995</v>
      </c>
      <c r="D1313" s="160"/>
      <c r="E1313" s="166">
        <v>22.715005999999999</v>
      </c>
      <c r="G1313" s="166">
        <v>0.51152399999999998</v>
      </c>
    </row>
    <row r="1314" spans="1:7" x14ac:dyDescent="0.4">
      <c r="A1314" s="164">
        <v>35494</v>
      </c>
      <c r="B1314" s="166"/>
      <c r="C1314" s="166">
        <v>1329.089966</v>
      </c>
      <c r="D1314" s="160"/>
      <c r="E1314" s="166">
        <v>22.812989999999999</v>
      </c>
      <c r="G1314" s="166">
        <v>0.52702499999999997</v>
      </c>
    </row>
    <row r="1315" spans="1:7" x14ac:dyDescent="0.4">
      <c r="A1315" s="164">
        <v>35495</v>
      </c>
      <c r="B1315" s="166"/>
      <c r="C1315" s="166">
        <v>1315.4300539999999</v>
      </c>
      <c r="D1315" s="160"/>
      <c r="E1315" s="166">
        <v>22.989384000000001</v>
      </c>
      <c r="G1315" s="166">
        <v>0.51539900000000005</v>
      </c>
    </row>
    <row r="1316" spans="1:7" x14ac:dyDescent="0.4">
      <c r="A1316" s="164">
        <v>35496</v>
      </c>
      <c r="B1316" s="166"/>
      <c r="C1316" s="166">
        <v>1311.8000489999999</v>
      </c>
      <c r="D1316" s="160"/>
      <c r="E1316" s="166">
        <v>22.695405999999998</v>
      </c>
      <c r="G1316" s="166">
        <v>0.51152399999999998</v>
      </c>
    </row>
    <row r="1317" spans="1:7" x14ac:dyDescent="0.4">
      <c r="A1317" s="164">
        <v>35499</v>
      </c>
      <c r="B1317" s="166"/>
      <c r="C1317" s="166">
        <v>1322.719971</v>
      </c>
      <c r="D1317" s="160"/>
      <c r="E1317" s="166">
        <v>22.910983999999999</v>
      </c>
      <c r="G1317" s="166">
        <v>0.51539900000000005</v>
      </c>
    </row>
    <row r="1318" spans="1:7" x14ac:dyDescent="0.4">
      <c r="A1318" s="164">
        <v>35500</v>
      </c>
      <c r="B1318" s="166"/>
      <c r="C1318" s="166">
        <v>1316.76001</v>
      </c>
      <c r="D1318" s="160"/>
      <c r="E1318" s="166">
        <v>22.891396</v>
      </c>
      <c r="G1318" s="166">
        <v>0.50764900000000002</v>
      </c>
    </row>
    <row r="1319" spans="1:7" x14ac:dyDescent="0.4">
      <c r="A1319" s="164">
        <v>35501</v>
      </c>
      <c r="B1319" s="166"/>
      <c r="C1319" s="166">
        <v>1304.130005</v>
      </c>
      <c r="D1319" s="160"/>
      <c r="E1319" s="166">
        <v>22.715005999999999</v>
      </c>
      <c r="G1319" s="166">
        <v>0.50377400000000006</v>
      </c>
    </row>
    <row r="1320" spans="1:7" x14ac:dyDescent="0.4">
      <c r="A1320" s="164">
        <v>35502</v>
      </c>
      <c r="B1320" s="166"/>
      <c r="C1320" s="166">
        <v>1293.280029</v>
      </c>
      <c r="D1320" s="160"/>
      <c r="E1320" s="166">
        <v>22.401426000000001</v>
      </c>
      <c r="G1320" s="166">
        <v>0.50764900000000002</v>
      </c>
    </row>
    <row r="1321" spans="1:7" x14ac:dyDescent="0.4">
      <c r="A1321" s="164">
        <v>35503</v>
      </c>
      <c r="B1321" s="166"/>
      <c r="C1321" s="166">
        <v>1292.969971</v>
      </c>
      <c r="D1321" s="160"/>
      <c r="E1321" s="166">
        <v>22.519020000000001</v>
      </c>
      <c r="G1321" s="166">
        <v>0.51346199999999997</v>
      </c>
    </row>
    <row r="1322" spans="1:7" x14ac:dyDescent="0.4">
      <c r="A1322" s="164">
        <v>35506</v>
      </c>
      <c r="B1322" s="166"/>
      <c r="C1322" s="166">
        <v>1279.4300539999999</v>
      </c>
      <c r="D1322" s="160"/>
      <c r="E1322" s="166">
        <v>21.872264999999999</v>
      </c>
      <c r="G1322" s="166">
        <v>0.51152399999999998</v>
      </c>
    </row>
    <row r="1323" spans="1:7" x14ac:dyDescent="0.4">
      <c r="A1323" s="164">
        <v>35507</v>
      </c>
      <c r="B1323" s="166"/>
      <c r="C1323" s="166">
        <v>1269.339966</v>
      </c>
      <c r="D1323" s="160"/>
      <c r="E1323" s="166">
        <v>21.852657000000001</v>
      </c>
      <c r="G1323" s="166">
        <v>0.50377400000000006</v>
      </c>
    </row>
    <row r="1324" spans="1:7" x14ac:dyDescent="0.4">
      <c r="A1324" s="164">
        <v>35508</v>
      </c>
      <c r="B1324" s="166"/>
      <c r="C1324" s="166">
        <v>1249.290039</v>
      </c>
      <c r="D1324" s="160"/>
      <c r="E1324" s="166">
        <v>21.617471999999999</v>
      </c>
      <c r="G1324" s="166">
        <v>0.49989899999999998</v>
      </c>
    </row>
    <row r="1325" spans="1:7" x14ac:dyDescent="0.4">
      <c r="A1325" s="164">
        <v>35509</v>
      </c>
      <c r="B1325" s="166"/>
      <c r="C1325" s="166">
        <v>1259.26001</v>
      </c>
      <c r="D1325" s="160"/>
      <c r="E1325" s="166">
        <v>21.460685999999999</v>
      </c>
      <c r="G1325" s="166">
        <v>0.534775</v>
      </c>
    </row>
    <row r="1326" spans="1:7" x14ac:dyDescent="0.4">
      <c r="A1326" s="164">
        <v>35510</v>
      </c>
      <c r="B1326" s="166"/>
      <c r="C1326" s="166">
        <v>1254.0699460000001</v>
      </c>
      <c r="D1326" s="160"/>
      <c r="E1326" s="166">
        <v>20.774723000000002</v>
      </c>
      <c r="G1326" s="166">
        <v>0.51539900000000005</v>
      </c>
    </row>
    <row r="1327" spans="1:7" x14ac:dyDescent="0.4">
      <c r="A1327" s="164">
        <v>35513</v>
      </c>
      <c r="B1327" s="166"/>
      <c r="C1327" s="166">
        <v>1242.6400149999999</v>
      </c>
      <c r="D1327" s="160"/>
      <c r="E1327" s="166">
        <v>21.441082000000002</v>
      </c>
      <c r="G1327" s="166">
        <v>0.51152399999999998</v>
      </c>
    </row>
    <row r="1328" spans="1:7" x14ac:dyDescent="0.4">
      <c r="A1328" s="164">
        <v>35514</v>
      </c>
      <c r="B1328" s="166"/>
      <c r="C1328" s="166">
        <v>1248.0600589999999</v>
      </c>
      <c r="D1328" s="160"/>
      <c r="E1328" s="166">
        <v>21.303894</v>
      </c>
      <c r="G1328" s="166">
        <v>0.51152399999999998</v>
      </c>
    </row>
    <row r="1329" spans="1:7" x14ac:dyDescent="0.4">
      <c r="A1329" s="164">
        <v>35515</v>
      </c>
      <c r="B1329" s="166"/>
      <c r="C1329" s="166">
        <v>1269.079956</v>
      </c>
      <c r="D1329" s="160"/>
      <c r="E1329" s="166">
        <v>21.989851000000002</v>
      </c>
      <c r="G1329" s="166">
        <v>0.51927400000000001</v>
      </c>
    </row>
    <row r="1330" spans="1:7" x14ac:dyDescent="0.4">
      <c r="A1330" s="164">
        <v>35516</v>
      </c>
      <c r="B1330" s="166"/>
      <c r="C1330" s="166">
        <v>1249.51001</v>
      </c>
      <c r="D1330" s="160"/>
      <c r="E1330" s="166">
        <v>21.480277999999998</v>
      </c>
      <c r="G1330" s="166">
        <v>0.57740199999999997</v>
      </c>
    </row>
    <row r="1331" spans="1:7" x14ac:dyDescent="0.4">
      <c r="A1331" s="164">
        <v>35520</v>
      </c>
      <c r="B1331" s="166"/>
      <c r="C1331" s="166">
        <v>1221.6999510000001</v>
      </c>
      <c r="D1331" s="160"/>
      <c r="E1331" s="166">
        <v>21.519480000000001</v>
      </c>
      <c r="G1331" s="166">
        <v>0.56577699999999997</v>
      </c>
    </row>
    <row r="1332" spans="1:7" x14ac:dyDescent="0.4">
      <c r="A1332" s="164">
        <v>35521</v>
      </c>
      <c r="B1332" s="166"/>
      <c r="C1332" s="166">
        <v>1216.9300539999999</v>
      </c>
      <c r="D1332" s="160"/>
      <c r="E1332" s="166">
        <v>21.441082000000002</v>
      </c>
      <c r="G1332" s="166">
        <v>0.54252599999999995</v>
      </c>
    </row>
    <row r="1333" spans="1:7" x14ac:dyDescent="0.4">
      <c r="A1333" s="164">
        <v>35522</v>
      </c>
      <c r="B1333" s="166"/>
      <c r="C1333" s="166">
        <v>1201</v>
      </c>
      <c r="D1333" s="160"/>
      <c r="E1333" s="166">
        <v>20.970711000000001</v>
      </c>
      <c r="G1333" s="166">
        <v>0.55802600000000002</v>
      </c>
    </row>
    <row r="1334" spans="1:7" x14ac:dyDescent="0.4">
      <c r="A1334" s="164">
        <v>35523</v>
      </c>
      <c r="B1334" s="166"/>
      <c r="C1334" s="166">
        <v>1213.76001</v>
      </c>
      <c r="D1334" s="160"/>
      <c r="E1334" s="166">
        <v>20.559142999999999</v>
      </c>
      <c r="G1334" s="166">
        <v>0.58515300000000003</v>
      </c>
    </row>
    <row r="1335" spans="1:7" x14ac:dyDescent="0.4">
      <c r="A1335" s="164">
        <v>35524</v>
      </c>
      <c r="B1335" s="166"/>
      <c r="C1335" s="166">
        <v>1236.7299800000001</v>
      </c>
      <c r="D1335" s="160"/>
      <c r="E1335" s="166">
        <v>20.265153999999999</v>
      </c>
      <c r="G1335" s="166">
        <v>0.59677800000000003</v>
      </c>
    </row>
    <row r="1336" spans="1:7" x14ac:dyDescent="0.4">
      <c r="A1336" s="164">
        <v>35527</v>
      </c>
      <c r="B1336" s="166"/>
      <c r="C1336" s="166">
        <v>1251.349976</v>
      </c>
      <c r="D1336" s="160"/>
      <c r="E1336" s="166">
        <v>20.774723000000002</v>
      </c>
      <c r="G1336" s="166">
        <v>0.60452799999999995</v>
      </c>
    </row>
    <row r="1337" spans="1:7" x14ac:dyDescent="0.4">
      <c r="A1337" s="164">
        <v>35528</v>
      </c>
      <c r="B1337" s="166"/>
      <c r="C1337" s="166">
        <v>1257.369995</v>
      </c>
      <c r="D1337" s="160"/>
      <c r="E1337" s="166">
        <v>21.421486000000002</v>
      </c>
      <c r="G1337" s="166">
        <v>0.59290299999999996</v>
      </c>
    </row>
    <row r="1338" spans="1:7" x14ac:dyDescent="0.4">
      <c r="A1338" s="164">
        <v>35529</v>
      </c>
      <c r="B1338" s="166"/>
      <c r="C1338" s="166">
        <v>1249.4300539999999</v>
      </c>
      <c r="D1338" s="160"/>
      <c r="E1338" s="166">
        <v>20.872726</v>
      </c>
      <c r="G1338" s="166">
        <v>0.589028</v>
      </c>
    </row>
    <row r="1339" spans="1:7" x14ac:dyDescent="0.4">
      <c r="A1339" s="164">
        <v>35530</v>
      </c>
      <c r="B1339" s="166"/>
      <c r="C1339" s="166">
        <v>1235.7700199999999</v>
      </c>
      <c r="D1339" s="160"/>
      <c r="E1339" s="166">
        <v>20.853110999999998</v>
      </c>
      <c r="G1339" s="166">
        <v>0.58515300000000003</v>
      </c>
    </row>
    <row r="1340" spans="1:7" x14ac:dyDescent="0.4">
      <c r="A1340" s="164">
        <v>35531</v>
      </c>
      <c r="B1340" s="166"/>
      <c r="C1340" s="166">
        <v>1206.900024</v>
      </c>
      <c r="D1340" s="160"/>
      <c r="E1340" s="166">
        <v>20.911912999999998</v>
      </c>
      <c r="G1340" s="166">
        <v>0.56577699999999997</v>
      </c>
    </row>
    <row r="1341" spans="1:7" x14ac:dyDescent="0.4">
      <c r="A1341" s="164">
        <v>35534</v>
      </c>
      <c r="B1341" s="166"/>
      <c r="C1341" s="166">
        <v>1216.410034</v>
      </c>
      <c r="D1341" s="160"/>
      <c r="E1341" s="166">
        <v>21.401892</v>
      </c>
      <c r="G1341" s="166">
        <v>0.58127799999999996</v>
      </c>
    </row>
    <row r="1342" spans="1:7" x14ac:dyDescent="0.4">
      <c r="A1342" s="164">
        <v>35535</v>
      </c>
      <c r="B1342" s="166"/>
      <c r="C1342" s="166">
        <v>1212.880005</v>
      </c>
      <c r="D1342" s="160"/>
      <c r="E1342" s="166">
        <v>21.617471999999999</v>
      </c>
      <c r="G1342" s="166">
        <v>0.57158900000000001</v>
      </c>
    </row>
    <row r="1343" spans="1:7" x14ac:dyDescent="0.4">
      <c r="A1343" s="164">
        <v>35536</v>
      </c>
      <c r="B1343" s="166"/>
      <c r="C1343" s="166">
        <v>1210.2700199999999</v>
      </c>
      <c r="D1343" s="160"/>
      <c r="E1343" s="166">
        <v>21.558681</v>
      </c>
      <c r="G1343" s="166">
        <v>0.575465</v>
      </c>
    </row>
    <row r="1344" spans="1:7" x14ac:dyDescent="0.4">
      <c r="A1344" s="164">
        <v>35537</v>
      </c>
      <c r="B1344" s="166"/>
      <c r="C1344" s="166">
        <v>1217.0699460000001</v>
      </c>
      <c r="D1344" s="160"/>
      <c r="E1344" s="166">
        <v>21.597866</v>
      </c>
      <c r="G1344" s="166">
        <v>0.589028</v>
      </c>
    </row>
    <row r="1345" spans="1:7" x14ac:dyDescent="0.4">
      <c r="A1345" s="164">
        <v>35538</v>
      </c>
      <c r="B1345" s="166"/>
      <c r="C1345" s="166">
        <v>1222.5699460000001</v>
      </c>
      <c r="D1345" s="160"/>
      <c r="E1345" s="166">
        <v>21.911448</v>
      </c>
      <c r="G1345" s="166">
        <v>0.56965200000000005</v>
      </c>
    </row>
    <row r="1346" spans="1:7" x14ac:dyDescent="0.4">
      <c r="A1346" s="164">
        <v>35541</v>
      </c>
      <c r="B1346" s="166"/>
      <c r="C1346" s="166">
        <v>1203.9499510000001</v>
      </c>
      <c r="D1346" s="160"/>
      <c r="E1346" s="166">
        <v>21.539068</v>
      </c>
      <c r="G1346" s="166">
        <v>0.55802600000000002</v>
      </c>
    </row>
    <row r="1347" spans="1:7" x14ac:dyDescent="0.4">
      <c r="A1347" s="164">
        <v>35542</v>
      </c>
      <c r="B1347" s="166"/>
      <c r="C1347" s="166">
        <v>1212.73999</v>
      </c>
      <c r="D1347" s="160"/>
      <c r="E1347" s="166">
        <v>21.950652999999999</v>
      </c>
      <c r="G1347" s="166">
        <v>0.57352700000000001</v>
      </c>
    </row>
    <row r="1348" spans="1:7" x14ac:dyDescent="0.4">
      <c r="A1348" s="164">
        <v>35543</v>
      </c>
      <c r="B1348" s="166"/>
      <c r="C1348" s="166">
        <v>1227.1400149999999</v>
      </c>
      <c r="D1348" s="160"/>
      <c r="E1348" s="166">
        <v>22.323021000000001</v>
      </c>
      <c r="G1348" s="166">
        <v>0.56190099999999998</v>
      </c>
    </row>
    <row r="1349" spans="1:7" x14ac:dyDescent="0.4">
      <c r="A1349" s="164">
        <v>35544</v>
      </c>
      <c r="B1349" s="166"/>
      <c r="C1349" s="166">
        <v>1228.099976</v>
      </c>
      <c r="D1349" s="160"/>
      <c r="E1349" s="166">
        <v>24.086912000000002</v>
      </c>
      <c r="G1349" s="166">
        <v>0.55415099999999995</v>
      </c>
    </row>
    <row r="1350" spans="1:7" x14ac:dyDescent="0.4">
      <c r="A1350" s="164">
        <v>35545</v>
      </c>
      <c r="B1350" s="166"/>
      <c r="C1350" s="166">
        <v>1209.290039</v>
      </c>
      <c r="D1350" s="160"/>
      <c r="E1350" s="166">
        <v>23.636133000000001</v>
      </c>
      <c r="G1350" s="166">
        <v>0.54252599999999995</v>
      </c>
    </row>
    <row r="1351" spans="1:7" x14ac:dyDescent="0.4">
      <c r="A1351" s="164">
        <v>35548</v>
      </c>
      <c r="B1351" s="166"/>
      <c r="C1351" s="166">
        <v>1217.030029</v>
      </c>
      <c r="D1351" s="160"/>
      <c r="E1351" s="166">
        <v>23.577352999999999</v>
      </c>
      <c r="G1351" s="166">
        <v>0.54640100000000003</v>
      </c>
    </row>
    <row r="1352" spans="1:7" x14ac:dyDescent="0.4">
      <c r="A1352" s="164">
        <v>35549</v>
      </c>
      <c r="B1352" s="166"/>
      <c r="C1352" s="166">
        <v>1242.630005</v>
      </c>
      <c r="D1352" s="160"/>
      <c r="E1352" s="166">
        <v>24.831672999999999</v>
      </c>
      <c r="G1352" s="166">
        <v>0.54833799999999999</v>
      </c>
    </row>
    <row r="1353" spans="1:7" x14ac:dyDescent="0.4">
      <c r="A1353" s="164">
        <v>35550</v>
      </c>
      <c r="B1353" s="166"/>
      <c r="C1353" s="166">
        <v>1260.76001</v>
      </c>
      <c r="D1353" s="160"/>
      <c r="E1353" s="166">
        <v>25.164857999999999</v>
      </c>
      <c r="G1353" s="166">
        <v>0.52702499999999997</v>
      </c>
    </row>
    <row r="1354" spans="1:7" x14ac:dyDescent="0.4">
      <c r="A1354" s="164">
        <v>35551</v>
      </c>
      <c r="B1354" s="166"/>
      <c r="C1354" s="166">
        <v>1270.5</v>
      </c>
      <c r="D1354" s="160"/>
      <c r="E1354" s="166">
        <v>25.302046000000001</v>
      </c>
      <c r="G1354" s="166">
        <v>0.52702499999999997</v>
      </c>
    </row>
    <row r="1355" spans="1:7" x14ac:dyDescent="0.4">
      <c r="A1355" s="164">
        <v>35552</v>
      </c>
      <c r="B1355" s="166"/>
      <c r="C1355" s="166">
        <v>1305.329956</v>
      </c>
      <c r="D1355" s="160"/>
      <c r="E1355" s="166">
        <v>25.419633999999999</v>
      </c>
      <c r="G1355" s="166">
        <v>0.52702499999999997</v>
      </c>
    </row>
    <row r="1356" spans="1:7" x14ac:dyDescent="0.4">
      <c r="A1356" s="164">
        <v>35555</v>
      </c>
      <c r="B1356" s="166"/>
      <c r="C1356" s="166">
        <v>1339.23999</v>
      </c>
      <c r="D1356" s="160"/>
      <c r="E1356" s="166">
        <v>26.046785</v>
      </c>
      <c r="G1356" s="166">
        <v>0.52702499999999997</v>
      </c>
    </row>
    <row r="1357" spans="1:7" x14ac:dyDescent="0.4">
      <c r="A1357" s="164">
        <v>35556</v>
      </c>
      <c r="B1357" s="166"/>
      <c r="C1357" s="166">
        <v>1328.3000489999999</v>
      </c>
      <c r="D1357" s="160"/>
      <c r="E1357" s="166">
        <v>25.948803000000002</v>
      </c>
      <c r="G1357" s="166">
        <v>0.52315</v>
      </c>
    </row>
    <row r="1358" spans="1:7" x14ac:dyDescent="0.4">
      <c r="A1358" s="164">
        <v>35557</v>
      </c>
      <c r="B1358" s="166"/>
      <c r="C1358" s="166">
        <v>1322.910034</v>
      </c>
      <c r="D1358" s="160"/>
      <c r="E1358" s="166">
        <v>25.667776</v>
      </c>
      <c r="G1358" s="166">
        <v>0.51152399999999998</v>
      </c>
    </row>
    <row r="1359" spans="1:7" x14ac:dyDescent="0.4">
      <c r="A1359" s="164">
        <v>35558</v>
      </c>
      <c r="B1359" s="166"/>
      <c r="C1359" s="166">
        <v>1330.829956</v>
      </c>
      <c r="D1359" s="160"/>
      <c r="E1359" s="166">
        <v>26.498968000000001</v>
      </c>
      <c r="G1359" s="166">
        <v>0.52702499999999997</v>
      </c>
    </row>
    <row r="1360" spans="1:7" x14ac:dyDescent="0.4">
      <c r="A1360" s="164">
        <v>35559</v>
      </c>
      <c r="B1360" s="166"/>
      <c r="C1360" s="166">
        <v>1335.0500489999999</v>
      </c>
      <c r="D1360" s="160"/>
      <c r="E1360" s="166">
        <v>26.518764000000001</v>
      </c>
      <c r="G1360" s="166">
        <v>0.52896200000000004</v>
      </c>
    </row>
    <row r="1361" spans="1:7" x14ac:dyDescent="0.4">
      <c r="A1361" s="164">
        <v>35562</v>
      </c>
      <c r="B1361" s="166"/>
      <c r="C1361" s="166">
        <v>1344.1899410000001</v>
      </c>
      <c r="D1361" s="160"/>
      <c r="E1361" s="166">
        <v>27.468692999999998</v>
      </c>
      <c r="G1361" s="166">
        <v>0.54446300000000003</v>
      </c>
    </row>
    <row r="1362" spans="1:7" x14ac:dyDescent="0.4">
      <c r="A1362" s="164">
        <v>35563</v>
      </c>
      <c r="B1362" s="166"/>
      <c r="C1362" s="166">
        <v>1333.589966</v>
      </c>
      <c r="D1362" s="160"/>
      <c r="E1362" s="166">
        <v>27.488475999999999</v>
      </c>
      <c r="G1362" s="166">
        <v>0.54446300000000003</v>
      </c>
    </row>
    <row r="1363" spans="1:7" x14ac:dyDescent="0.4">
      <c r="A1363" s="164">
        <v>35564</v>
      </c>
      <c r="B1363" s="166"/>
      <c r="C1363" s="166">
        <v>1335.5500489999999</v>
      </c>
      <c r="D1363" s="160"/>
      <c r="E1363" s="166">
        <v>27.528051000000001</v>
      </c>
      <c r="G1363" s="166">
        <v>0.54833799999999999</v>
      </c>
    </row>
    <row r="1364" spans="1:7" x14ac:dyDescent="0.4">
      <c r="A1364" s="164">
        <v>35565</v>
      </c>
      <c r="B1364" s="166"/>
      <c r="C1364" s="166">
        <v>1353.579956</v>
      </c>
      <c r="D1364" s="160"/>
      <c r="E1364" s="166">
        <v>27.528051000000001</v>
      </c>
      <c r="G1364" s="166">
        <v>0.55027599999999999</v>
      </c>
    </row>
    <row r="1365" spans="1:7" x14ac:dyDescent="0.4">
      <c r="A1365" s="164">
        <v>35566</v>
      </c>
      <c r="B1365" s="166"/>
      <c r="C1365" s="166">
        <v>1340.7299800000001</v>
      </c>
      <c r="D1365" s="160"/>
      <c r="E1365" s="166">
        <v>26.914567999999999</v>
      </c>
      <c r="G1365" s="166">
        <v>0.534775</v>
      </c>
    </row>
    <row r="1366" spans="1:7" x14ac:dyDescent="0.4">
      <c r="A1366" s="164">
        <v>35569</v>
      </c>
      <c r="B1366" s="166"/>
      <c r="C1366" s="166">
        <v>1341.23999</v>
      </c>
      <c r="D1366" s="160"/>
      <c r="E1366" s="166">
        <v>26.716660999999998</v>
      </c>
      <c r="G1366" s="166">
        <v>0.52702499999999997</v>
      </c>
    </row>
    <row r="1367" spans="1:7" x14ac:dyDescent="0.4">
      <c r="A1367" s="164">
        <v>35570</v>
      </c>
      <c r="B1367" s="166"/>
      <c r="C1367" s="166">
        <v>1363.880005</v>
      </c>
      <c r="D1367" s="160"/>
      <c r="E1367" s="166">
        <v>27.50827</v>
      </c>
      <c r="G1367" s="166">
        <v>0.534775</v>
      </c>
    </row>
    <row r="1368" spans="1:7" x14ac:dyDescent="0.4">
      <c r="A1368" s="164">
        <v>35571</v>
      </c>
      <c r="B1368" s="166"/>
      <c r="C1368" s="166">
        <v>1373.75</v>
      </c>
      <c r="D1368" s="160"/>
      <c r="E1368" s="166">
        <v>27.725951999999999</v>
      </c>
      <c r="G1368" s="166">
        <v>0.52315</v>
      </c>
    </row>
    <row r="1369" spans="1:7" x14ac:dyDescent="0.4">
      <c r="A1369" s="164">
        <v>35572</v>
      </c>
      <c r="B1369" s="166"/>
      <c r="C1369" s="166">
        <v>1372.599976</v>
      </c>
      <c r="D1369" s="160"/>
      <c r="E1369" s="166">
        <v>27.310368</v>
      </c>
      <c r="G1369" s="166">
        <v>0.51539900000000005</v>
      </c>
    </row>
    <row r="1370" spans="1:7" x14ac:dyDescent="0.4">
      <c r="A1370" s="164">
        <v>35573</v>
      </c>
      <c r="B1370" s="166"/>
      <c r="C1370" s="166">
        <v>1389.719971</v>
      </c>
      <c r="D1370" s="160"/>
      <c r="E1370" s="166">
        <v>27.448893000000002</v>
      </c>
      <c r="G1370" s="166">
        <v>0.52315</v>
      </c>
    </row>
    <row r="1371" spans="1:7" x14ac:dyDescent="0.4">
      <c r="A1371" s="164">
        <v>35577</v>
      </c>
      <c r="B1371" s="166"/>
      <c r="C1371" s="166">
        <v>1409.209961</v>
      </c>
      <c r="D1371" s="160"/>
      <c r="E1371" s="166">
        <v>28.37903</v>
      </c>
      <c r="G1371" s="166">
        <v>0.534775</v>
      </c>
    </row>
    <row r="1372" spans="1:7" x14ac:dyDescent="0.4">
      <c r="A1372" s="164">
        <v>35578</v>
      </c>
      <c r="B1372" s="166"/>
      <c r="C1372" s="166">
        <v>1410.1800539999999</v>
      </c>
      <c r="D1372" s="160"/>
      <c r="E1372" s="166">
        <v>28.537355000000002</v>
      </c>
      <c r="G1372" s="166">
        <v>0.52702499999999997</v>
      </c>
    </row>
    <row r="1373" spans="1:7" x14ac:dyDescent="0.4">
      <c r="A1373" s="164">
        <v>35579</v>
      </c>
      <c r="B1373" s="166"/>
      <c r="C1373" s="166">
        <v>1403.040039</v>
      </c>
      <c r="D1373" s="160"/>
      <c r="E1373" s="166">
        <v>27.785332</v>
      </c>
      <c r="G1373" s="166">
        <v>0.51539900000000005</v>
      </c>
    </row>
    <row r="1374" spans="1:7" x14ac:dyDescent="0.4">
      <c r="A1374" s="164">
        <v>35580</v>
      </c>
      <c r="B1374" s="166"/>
      <c r="C1374" s="166">
        <v>1400.3199460000001</v>
      </c>
      <c r="D1374" s="160"/>
      <c r="E1374" s="166">
        <v>27.389534000000001</v>
      </c>
      <c r="G1374" s="166">
        <v>0.51539900000000005</v>
      </c>
    </row>
    <row r="1375" spans="1:7" x14ac:dyDescent="0.4">
      <c r="A1375" s="164">
        <v>35583</v>
      </c>
      <c r="B1375" s="166"/>
      <c r="C1375" s="166">
        <v>1404.790039</v>
      </c>
      <c r="D1375" s="160"/>
      <c r="E1375" s="166">
        <v>27.587420000000002</v>
      </c>
      <c r="G1375" s="166">
        <v>0.52508699999999997</v>
      </c>
    </row>
    <row r="1376" spans="1:7" x14ac:dyDescent="0.4">
      <c r="A1376" s="164">
        <v>35584</v>
      </c>
      <c r="B1376" s="166"/>
      <c r="C1376" s="166">
        <v>1384.910034</v>
      </c>
      <c r="D1376" s="160"/>
      <c r="E1376" s="166">
        <v>26.716660999999998</v>
      </c>
      <c r="G1376" s="166">
        <v>0.51733700000000005</v>
      </c>
    </row>
    <row r="1377" spans="1:7" x14ac:dyDescent="0.4">
      <c r="A1377" s="164">
        <v>35585</v>
      </c>
      <c r="B1377" s="166"/>
      <c r="C1377" s="166">
        <v>1379.670044</v>
      </c>
      <c r="D1377" s="160"/>
      <c r="E1377" s="166">
        <v>26.400020999999999</v>
      </c>
      <c r="G1377" s="166">
        <v>0.51539900000000005</v>
      </c>
    </row>
    <row r="1378" spans="1:7" x14ac:dyDescent="0.4">
      <c r="A1378" s="164">
        <v>35586</v>
      </c>
      <c r="B1378" s="166"/>
      <c r="C1378" s="166">
        <v>1390.0500489999999</v>
      </c>
      <c r="D1378" s="160"/>
      <c r="E1378" s="166">
        <v>26.241699000000001</v>
      </c>
      <c r="G1378" s="166">
        <v>0.51733700000000005</v>
      </c>
    </row>
    <row r="1379" spans="1:7" x14ac:dyDescent="0.4">
      <c r="A1379" s="164">
        <v>35587</v>
      </c>
      <c r="B1379" s="166"/>
      <c r="C1379" s="166">
        <v>1404.839966</v>
      </c>
      <c r="D1379" s="160"/>
      <c r="E1379" s="166">
        <v>27.112459000000001</v>
      </c>
      <c r="G1379" s="166">
        <v>0.51927400000000001</v>
      </c>
    </row>
    <row r="1380" spans="1:7" x14ac:dyDescent="0.4">
      <c r="A1380" s="164">
        <v>35590</v>
      </c>
      <c r="B1380" s="166"/>
      <c r="C1380" s="166">
        <v>1412.040039</v>
      </c>
      <c r="D1380" s="160"/>
      <c r="E1380" s="166">
        <v>27.50827</v>
      </c>
      <c r="G1380" s="166">
        <v>0.51539900000000005</v>
      </c>
    </row>
    <row r="1381" spans="1:7" x14ac:dyDescent="0.4">
      <c r="A1381" s="164">
        <v>35591</v>
      </c>
      <c r="B1381" s="166"/>
      <c r="C1381" s="166">
        <v>1401.6899410000001</v>
      </c>
      <c r="D1381" s="160"/>
      <c r="E1381" s="166">
        <v>27.310368</v>
      </c>
      <c r="G1381" s="166">
        <v>0.50377400000000006</v>
      </c>
    </row>
    <row r="1382" spans="1:7" x14ac:dyDescent="0.4">
      <c r="A1382" s="164">
        <v>35592</v>
      </c>
      <c r="B1382" s="166"/>
      <c r="C1382" s="166">
        <v>1407.849976</v>
      </c>
      <c r="D1382" s="160"/>
      <c r="E1382" s="166">
        <v>27.587420000000002</v>
      </c>
      <c r="G1382" s="166">
        <v>0.50571100000000002</v>
      </c>
    </row>
    <row r="1383" spans="1:7" x14ac:dyDescent="0.4">
      <c r="A1383" s="164">
        <v>35593</v>
      </c>
      <c r="B1383" s="166"/>
      <c r="C1383" s="166">
        <v>1411.3199460000001</v>
      </c>
      <c r="D1383" s="160"/>
      <c r="E1383" s="166">
        <v>27.904074000000001</v>
      </c>
      <c r="G1383" s="166">
        <v>0.49796099999999999</v>
      </c>
    </row>
    <row r="1384" spans="1:7" x14ac:dyDescent="0.4">
      <c r="A1384" s="164">
        <v>35594</v>
      </c>
      <c r="B1384" s="166"/>
      <c r="C1384" s="166">
        <v>1423.030029</v>
      </c>
      <c r="D1384" s="160"/>
      <c r="E1384" s="166">
        <v>28.181125999999999</v>
      </c>
      <c r="G1384" s="166">
        <v>0.49021100000000001</v>
      </c>
    </row>
    <row r="1385" spans="1:7" x14ac:dyDescent="0.4">
      <c r="A1385" s="164">
        <v>35597</v>
      </c>
      <c r="B1385" s="166"/>
      <c r="C1385" s="166">
        <v>1431.9499510000001</v>
      </c>
      <c r="D1385" s="160"/>
      <c r="E1385" s="166">
        <v>28.260283000000001</v>
      </c>
      <c r="G1385" s="166">
        <v>0.48052299999999998</v>
      </c>
    </row>
    <row r="1386" spans="1:7" x14ac:dyDescent="0.4">
      <c r="A1386" s="164">
        <v>35598</v>
      </c>
      <c r="B1386" s="166"/>
      <c r="C1386" s="166">
        <v>1443.1099850000001</v>
      </c>
      <c r="D1386" s="160"/>
      <c r="E1386" s="166">
        <v>28.458200000000001</v>
      </c>
      <c r="G1386" s="166">
        <v>0.50668000000000002</v>
      </c>
    </row>
    <row r="1387" spans="1:7" x14ac:dyDescent="0.4">
      <c r="A1387" s="164">
        <v>35599</v>
      </c>
      <c r="B1387" s="166"/>
      <c r="C1387" s="166">
        <v>1432.4300539999999</v>
      </c>
      <c r="D1387" s="160"/>
      <c r="E1387" s="166">
        <v>28.181125999999999</v>
      </c>
      <c r="G1387" s="166">
        <v>0.49408600000000003</v>
      </c>
    </row>
    <row r="1388" spans="1:7" x14ac:dyDescent="0.4">
      <c r="A1388" s="164">
        <v>35600</v>
      </c>
      <c r="B1388" s="166"/>
      <c r="C1388" s="166">
        <v>1447.1400149999999</v>
      </c>
      <c r="D1388" s="160"/>
      <c r="E1388" s="166">
        <v>28.37903</v>
      </c>
      <c r="G1388" s="166">
        <v>0.48827300000000001</v>
      </c>
    </row>
    <row r="1389" spans="1:7" x14ac:dyDescent="0.4">
      <c r="A1389" s="164">
        <v>35601</v>
      </c>
      <c r="B1389" s="166"/>
      <c r="C1389" s="166">
        <v>1447.099976</v>
      </c>
      <c r="D1389" s="160"/>
      <c r="E1389" s="166">
        <v>28.458200000000001</v>
      </c>
      <c r="G1389" s="166">
        <v>0.48246</v>
      </c>
    </row>
    <row r="1390" spans="1:7" x14ac:dyDescent="0.4">
      <c r="A1390" s="164">
        <v>35604</v>
      </c>
      <c r="B1390" s="166"/>
      <c r="C1390" s="166">
        <v>1434.3199460000001</v>
      </c>
      <c r="D1390" s="160"/>
      <c r="E1390" s="166">
        <v>27.785332</v>
      </c>
      <c r="G1390" s="166">
        <v>0.47664699999999999</v>
      </c>
    </row>
    <row r="1391" spans="1:7" x14ac:dyDescent="0.4">
      <c r="A1391" s="164">
        <v>35605</v>
      </c>
      <c r="B1391" s="166"/>
      <c r="C1391" s="166">
        <v>1452.4300539999999</v>
      </c>
      <c r="D1391" s="160"/>
      <c r="E1391" s="166">
        <v>29.071680000000001</v>
      </c>
      <c r="G1391" s="166">
        <v>0.47471000000000002</v>
      </c>
    </row>
    <row r="1392" spans="1:7" x14ac:dyDescent="0.4">
      <c r="A1392" s="164">
        <v>35606</v>
      </c>
      <c r="B1392" s="166"/>
      <c r="C1392" s="166">
        <v>1446.23999</v>
      </c>
      <c r="D1392" s="160"/>
      <c r="E1392" s="166">
        <v>29.091480000000001</v>
      </c>
      <c r="G1392" s="166">
        <v>0.46889700000000001</v>
      </c>
    </row>
    <row r="1393" spans="1:7" x14ac:dyDescent="0.4">
      <c r="A1393" s="164">
        <v>35607</v>
      </c>
      <c r="B1393" s="166"/>
      <c r="C1393" s="166">
        <v>1436.380005</v>
      </c>
      <c r="D1393" s="160"/>
      <c r="E1393" s="166">
        <v>28.695667</v>
      </c>
      <c r="G1393" s="166">
        <v>0.45533400000000002</v>
      </c>
    </row>
    <row r="1394" spans="1:7" x14ac:dyDescent="0.4">
      <c r="A1394" s="164">
        <v>35608</v>
      </c>
      <c r="B1394" s="166"/>
      <c r="C1394" s="166">
        <v>1438.150024</v>
      </c>
      <c r="D1394" s="160"/>
      <c r="E1394" s="166">
        <v>28.893575999999999</v>
      </c>
      <c r="G1394" s="166">
        <v>0.45533400000000002</v>
      </c>
    </row>
    <row r="1395" spans="1:7" x14ac:dyDescent="0.4">
      <c r="A1395" s="164">
        <v>35611</v>
      </c>
      <c r="B1395" s="166"/>
      <c r="C1395" s="166">
        <v>1442.0699460000001</v>
      </c>
      <c r="D1395" s="160"/>
      <c r="E1395" s="166">
        <v>28.576948000000002</v>
      </c>
      <c r="G1395" s="166">
        <v>0.44177100000000002</v>
      </c>
    </row>
    <row r="1396" spans="1:7" x14ac:dyDescent="0.4">
      <c r="A1396" s="164">
        <v>35612</v>
      </c>
      <c r="B1396" s="166"/>
      <c r="C1396" s="166">
        <v>1438.25</v>
      </c>
      <c r="D1396" s="160"/>
      <c r="E1396" s="166">
        <v>29.071680000000001</v>
      </c>
      <c r="G1396" s="166">
        <v>0.40883199999999997</v>
      </c>
    </row>
    <row r="1397" spans="1:7" x14ac:dyDescent="0.4">
      <c r="A1397" s="164">
        <v>35613</v>
      </c>
      <c r="B1397" s="166"/>
      <c r="C1397" s="166">
        <v>1455.6099850000001</v>
      </c>
      <c r="D1397" s="160"/>
      <c r="E1397" s="166">
        <v>29.586227000000001</v>
      </c>
      <c r="G1397" s="166">
        <v>0.40495700000000001</v>
      </c>
    </row>
    <row r="1398" spans="1:7" x14ac:dyDescent="0.4">
      <c r="A1398" s="164">
        <v>35614</v>
      </c>
      <c r="B1398" s="166"/>
      <c r="C1398" s="166">
        <v>1467.6099850000001</v>
      </c>
      <c r="D1398" s="160"/>
      <c r="E1398" s="166">
        <v>30.021609999999999</v>
      </c>
      <c r="G1398" s="166">
        <v>0.42433199999999999</v>
      </c>
    </row>
    <row r="1399" spans="1:7" x14ac:dyDescent="0.4">
      <c r="A1399" s="164">
        <v>35618</v>
      </c>
      <c r="B1399" s="166"/>
      <c r="C1399" s="166">
        <v>1470.73999</v>
      </c>
      <c r="D1399" s="160"/>
      <c r="E1399" s="166">
        <v>29.922664999999999</v>
      </c>
      <c r="G1399" s="166">
        <v>0.42820799999999998</v>
      </c>
    </row>
    <row r="1400" spans="1:7" x14ac:dyDescent="0.4">
      <c r="A1400" s="164">
        <v>35619</v>
      </c>
      <c r="B1400" s="166"/>
      <c r="C1400" s="166">
        <v>1485.099976</v>
      </c>
      <c r="D1400" s="160"/>
      <c r="E1400" s="166">
        <v>30.318466000000001</v>
      </c>
      <c r="G1400" s="166">
        <v>0.42626999999999998</v>
      </c>
    </row>
    <row r="1401" spans="1:7" x14ac:dyDescent="0.4">
      <c r="A1401" s="164">
        <v>35620</v>
      </c>
      <c r="B1401" s="166"/>
      <c r="C1401" s="166">
        <v>1486.630005</v>
      </c>
      <c r="D1401" s="160"/>
      <c r="E1401" s="166">
        <v>30.457003</v>
      </c>
      <c r="G1401" s="166">
        <v>0.42433199999999999</v>
      </c>
    </row>
    <row r="1402" spans="1:7" x14ac:dyDescent="0.4">
      <c r="A1402" s="164">
        <v>35621</v>
      </c>
      <c r="B1402" s="166"/>
      <c r="C1402" s="166">
        <v>1490.9300539999999</v>
      </c>
      <c r="D1402" s="160"/>
      <c r="E1402" s="166">
        <v>30.318466000000001</v>
      </c>
      <c r="G1402" s="166">
        <v>0.410769</v>
      </c>
    </row>
    <row r="1403" spans="1:7" x14ac:dyDescent="0.4">
      <c r="A1403" s="164">
        <v>35622</v>
      </c>
      <c r="B1403" s="166"/>
      <c r="C1403" s="166">
        <v>1502.619995</v>
      </c>
      <c r="D1403" s="160"/>
      <c r="E1403" s="166">
        <v>30.318466000000001</v>
      </c>
      <c r="G1403" s="166">
        <v>0.47083399999999997</v>
      </c>
    </row>
    <row r="1404" spans="1:7" x14ac:dyDescent="0.4">
      <c r="A1404" s="164">
        <v>35625</v>
      </c>
      <c r="B1404" s="166"/>
      <c r="C1404" s="166">
        <v>1523.880005</v>
      </c>
      <c r="D1404" s="160"/>
      <c r="E1404" s="166">
        <v>30.160146999999998</v>
      </c>
      <c r="G1404" s="166">
        <v>0.484398</v>
      </c>
    </row>
    <row r="1405" spans="1:7" x14ac:dyDescent="0.4">
      <c r="A1405" s="164">
        <v>35626</v>
      </c>
      <c r="B1405" s="166"/>
      <c r="C1405" s="166">
        <v>1542.1099850000001</v>
      </c>
      <c r="D1405" s="160"/>
      <c r="E1405" s="166">
        <v>30.397648</v>
      </c>
      <c r="G1405" s="166">
        <v>0.49408600000000003</v>
      </c>
    </row>
    <row r="1406" spans="1:7" x14ac:dyDescent="0.4">
      <c r="A1406" s="164">
        <v>35627</v>
      </c>
      <c r="B1406" s="166"/>
      <c r="C1406" s="166">
        <v>1580.630005</v>
      </c>
      <c r="D1406" s="160"/>
      <c r="E1406" s="166">
        <v>30.912168999999999</v>
      </c>
      <c r="G1406" s="166">
        <v>0.50958700000000001</v>
      </c>
    </row>
    <row r="1407" spans="1:7" x14ac:dyDescent="0.4">
      <c r="A1407" s="164">
        <v>35628</v>
      </c>
      <c r="B1407" s="166"/>
      <c r="C1407" s="166">
        <v>1568.849976</v>
      </c>
      <c r="D1407" s="160"/>
      <c r="E1407" s="166">
        <v>31.545445999999998</v>
      </c>
      <c r="G1407" s="166">
        <v>0.54252599999999995</v>
      </c>
    </row>
    <row r="1408" spans="1:7" x14ac:dyDescent="0.4">
      <c r="A1408" s="164">
        <v>35629</v>
      </c>
      <c r="B1408" s="166"/>
      <c r="C1408" s="166">
        <v>1547.98999</v>
      </c>
      <c r="D1408" s="160"/>
      <c r="E1408" s="166">
        <v>33.089077000000003</v>
      </c>
      <c r="G1408" s="166">
        <v>0.53768099999999996</v>
      </c>
    </row>
    <row r="1409" spans="1:7" x14ac:dyDescent="0.4">
      <c r="A1409" s="164">
        <v>35632</v>
      </c>
      <c r="B1409" s="166"/>
      <c r="C1409" s="166">
        <v>1536.2299800000001</v>
      </c>
      <c r="D1409" s="160"/>
      <c r="E1409" s="166">
        <v>32.851593000000001</v>
      </c>
      <c r="G1409" s="166">
        <v>0.50086699999999995</v>
      </c>
    </row>
    <row r="1410" spans="1:7" x14ac:dyDescent="0.4">
      <c r="A1410" s="164">
        <v>35633</v>
      </c>
      <c r="B1410" s="166"/>
      <c r="C1410" s="166">
        <v>1563.8599850000001</v>
      </c>
      <c r="D1410" s="160"/>
      <c r="E1410" s="166">
        <v>32.614128000000001</v>
      </c>
      <c r="G1410" s="166">
        <v>0.51346199999999997</v>
      </c>
    </row>
    <row r="1411" spans="1:7" x14ac:dyDescent="0.4">
      <c r="A1411" s="164">
        <v>35634</v>
      </c>
      <c r="B1411" s="166"/>
      <c r="C1411" s="166">
        <v>1567.650024</v>
      </c>
      <c r="D1411" s="160"/>
      <c r="E1411" s="166">
        <v>33.286991</v>
      </c>
      <c r="G1411" s="166">
        <v>0.49989899999999998</v>
      </c>
    </row>
    <row r="1412" spans="1:7" x14ac:dyDescent="0.4">
      <c r="A1412" s="164">
        <v>35635</v>
      </c>
      <c r="B1412" s="166"/>
      <c r="C1412" s="166">
        <v>1569.130005</v>
      </c>
      <c r="D1412" s="160"/>
      <c r="E1412" s="166">
        <v>34.137954999999998</v>
      </c>
      <c r="G1412" s="166">
        <v>0.49021100000000001</v>
      </c>
    </row>
    <row r="1413" spans="1:7" x14ac:dyDescent="0.4">
      <c r="A1413" s="164">
        <v>35636</v>
      </c>
      <c r="B1413" s="166"/>
      <c r="C1413" s="166">
        <v>1569.579956</v>
      </c>
      <c r="D1413" s="160"/>
      <c r="E1413" s="166">
        <v>33.880692000000003</v>
      </c>
      <c r="G1413" s="166">
        <v>0.50377400000000006</v>
      </c>
    </row>
    <row r="1414" spans="1:7" x14ac:dyDescent="0.4">
      <c r="A1414" s="164">
        <v>35639</v>
      </c>
      <c r="B1414" s="166"/>
      <c r="C1414" s="166">
        <v>1563.530029</v>
      </c>
      <c r="D1414" s="160"/>
      <c r="E1414" s="166">
        <v>33.247416999999999</v>
      </c>
      <c r="G1414" s="166">
        <v>0.50958700000000001</v>
      </c>
    </row>
    <row r="1415" spans="1:7" x14ac:dyDescent="0.4">
      <c r="A1415" s="164">
        <v>35640</v>
      </c>
      <c r="B1415" s="166"/>
      <c r="C1415" s="166">
        <v>1572.3199460000001</v>
      </c>
      <c r="D1415" s="160"/>
      <c r="E1415" s="166">
        <v>32.574547000000003</v>
      </c>
      <c r="G1415" s="166">
        <v>0.51152399999999998</v>
      </c>
    </row>
    <row r="1416" spans="1:7" x14ac:dyDescent="0.4">
      <c r="A1416" s="164">
        <v>35641</v>
      </c>
      <c r="B1416" s="166"/>
      <c r="C1416" s="166">
        <v>1588.0500489999999</v>
      </c>
      <c r="D1416" s="160"/>
      <c r="E1416" s="166">
        <v>33.564053000000001</v>
      </c>
      <c r="G1416" s="166">
        <v>0.53864999999999996</v>
      </c>
    </row>
    <row r="1417" spans="1:7" x14ac:dyDescent="0.4">
      <c r="A1417" s="164">
        <v>35642</v>
      </c>
      <c r="B1417" s="166"/>
      <c r="C1417" s="166">
        <v>1593.8100589999999</v>
      </c>
      <c r="D1417" s="160"/>
      <c r="E1417" s="166">
        <v>33.484878999999999</v>
      </c>
      <c r="G1417" s="166">
        <v>0.54252599999999995</v>
      </c>
    </row>
    <row r="1418" spans="1:7" x14ac:dyDescent="0.4">
      <c r="A1418" s="164">
        <v>35643</v>
      </c>
      <c r="B1418" s="166"/>
      <c r="C1418" s="166">
        <v>1594.329956</v>
      </c>
      <c r="D1418" s="160"/>
      <c r="E1418" s="166">
        <v>33.168242999999997</v>
      </c>
      <c r="G1418" s="166">
        <v>0.59484000000000004</v>
      </c>
    </row>
    <row r="1419" spans="1:7" x14ac:dyDescent="0.4">
      <c r="A1419" s="164">
        <v>35646</v>
      </c>
      <c r="B1419" s="166"/>
      <c r="C1419" s="166">
        <v>1605.4499510000001</v>
      </c>
      <c r="D1419" s="160"/>
      <c r="E1419" s="166">
        <v>33.643203999999997</v>
      </c>
      <c r="G1419" s="166">
        <v>0.61227900000000002</v>
      </c>
    </row>
    <row r="1420" spans="1:7" x14ac:dyDescent="0.4">
      <c r="A1420" s="164">
        <v>35647</v>
      </c>
      <c r="B1420" s="166"/>
      <c r="C1420" s="166">
        <v>1621.530029</v>
      </c>
      <c r="D1420" s="160"/>
      <c r="E1420" s="166">
        <v>33.722366000000001</v>
      </c>
      <c r="G1420" s="166">
        <v>0.61227900000000002</v>
      </c>
    </row>
    <row r="1421" spans="1:7" x14ac:dyDescent="0.4">
      <c r="A1421" s="164">
        <v>35648</v>
      </c>
      <c r="B1421" s="166"/>
      <c r="C1421" s="166">
        <v>1630.4399410000001</v>
      </c>
      <c r="D1421" s="160"/>
      <c r="E1421" s="166">
        <v>34.157733999999998</v>
      </c>
      <c r="G1421" s="166">
        <v>0.81572599999999995</v>
      </c>
    </row>
    <row r="1422" spans="1:7" x14ac:dyDescent="0.4">
      <c r="A1422" s="164">
        <v>35649</v>
      </c>
      <c r="B1422" s="166"/>
      <c r="C1422" s="166">
        <v>1624.1800539999999</v>
      </c>
      <c r="D1422" s="160"/>
      <c r="E1422" s="166">
        <v>34.125957</v>
      </c>
      <c r="G1422" s="166">
        <v>0.90485499999999996</v>
      </c>
    </row>
    <row r="1423" spans="1:7" x14ac:dyDescent="0.4">
      <c r="A1423" s="164">
        <v>35650</v>
      </c>
      <c r="B1423" s="166"/>
      <c r="C1423" s="166">
        <v>1598.5200199999999</v>
      </c>
      <c r="D1423" s="160"/>
      <c r="E1423" s="166">
        <v>33.450588000000003</v>
      </c>
      <c r="G1423" s="166">
        <v>0.83122600000000002</v>
      </c>
    </row>
    <row r="1424" spans="1:7" x14ac:dyDescent="0.4">
      <c r="A1424" s="164">
        <v>35653</v>
      </c>
      <c r="B1424" s="166"/>
      <c r="C1424" s="166">
        <v>1586.73999</v>
      </c>
      <c r="D1424" s="160"/>
      <c r="E1424" s="166">
        <v>32.735512</v>
      </c>
      <c r="G1424" s="166">
        <v>0.76147299999999996</v>
      </c>
    </row>
    <row r="1425" spans="1:7" x14ac:dyDescent="0.4">
      <c r="A1425" s="164">
        <v>35654</v>
      </c>
      <c r="B1425" s="166"/>
      <c r="C1425" s="166">
        <v>1576.23999</v>
      </c>
      <c r="D1425" s="160"/>
      <c r="E1425" s="166">
        <v>32.874546000000002</v>
      </c>
      <c r="G1425" s="166">
        <v>0.68396999999999997</v>
      </c>
    </row>
    <row r="1426" spans="1:7" x14ac:dyDescent="0.4">
      <c r="A1426" s="164">
        <v>35655</v>
      </c>
      <c r="B1426" s="166"/>
      <c r="C1426" s="166">
        <v>1583.400024</v>
      </c>
      <c r="D1426" s="160"/>
      <c r="E1426" s="166">
        <v>33.172516000000002</v>
      </c>
      <c r="G1426" s="166">
        <v>0.73240899999999998</v>
      </c>
    </row>
    <row r="1427" spans="1:7" x14ac:dyDescent="0.4">
      <c r="A1427" s="164">
        <v>35656</v>
      </c>
      <c r="B1427" s="166"/>
      <c r="C1427" s="166">
        <v>1586.6899410000001</v>
      </c>
      <c r="D1427" s="160"/>
      <c r="E1427" s="166">
        <v>32.934142999999999</v>
      </c>
      <c r="G1427" s="166">
        <v>0.71303300000000003</v>
      </c>
    </row>
    <row r="1428" spans="1:7" x14ac:dyDescent="0.4">
      <c r="A1428" s="164">
        <v>35657</v>
      </c>
      <c r="B1428" s="166"/>
      <c r="C1428" s="166">
        <v>1562.030029</v>
      </c>
      <c r="D1428" s="160"/>
      <c r="E1428" s="166">
        <v>31.762186</v>
      </c>
      <c r="G1428" s="166">
        <v>0.72078399999999998</v>
      </c>
    </row>
    <row r="1429" spans="1:7" x14ac:dyDescent="0.4">
      <c r="A1429" s="164">
        <v>35660</v>
      </c>
      <c r="B1429" s="166"/>
      <c r="C1429" s="166">
        <v>1569.5200199999999</v>
      </c>
      <c r="D1429" s="160"/>
      <c r="E1429" s="166">
        <v>33.053328999999998</v>
      </c>
      <c r="G1429" s="166">
        <v>0.73240899999999998</v>
      </c>
    </row>
    <row r="1430" spans="1:7" x14ac:dyDescent="0.4">
      <c r="A1430" s="164">
        <v>35661</v>
      </c>
      <c r="B1430" s="166"/>
      <c r="C1430" s="166">
        <v>1600.709961</v>
      </c>
      <c r="D1430" s="160"/>
      <c r="E1430" s="166">
        <v>34.304741</v>
      </c>
      <c r="G1430" s="166">
        <v>0.75759799999999999</v>
      </c>
    </row>
    <row r="1431" spans="1:7" x14ac:dyDescent="0.4">
      <c r="A1431" s="164">
        <v>35662</v>
      </c>
      <c r="B1431" s="166"/>
      <c r="C1431" s="166">
        <v>1628.6999510000001</v>
      </c>
      <c r="D1431" s="160"/>
      <c r="E1431" s="166">
        <v>34.324599999999997</v>
      </c>
      <c r="G1431" s="166">
        <v>0.76341099999999995</v>
      </c>
    </row>
    <row r="1432" spans="1:7" x14ac:dyDescent="0.4">
      <c r="A1432" s="164">
        <v>35663</v>
      </c>
      <c r="B1432" s="166"/>
      <c r="C1432" s="166">
        <v>1607.3599850000001</v>
      </c>
      <c r="D1432" s="160"/>
      <c r="E1432" s="166">
        <v>33.609501000000002</v>
      </c>
      <c r="G1432" s="166">
        <v>0.744035</v>
      </c>
    </row>
    <row r="1433" spans="1:7" x14ac:dyDescent="0.4">
      <c r="A1433" s="164">
        <v>35664</v>
      </c>
      <c r="B1433" s="166"/>
      <c r="C1433" s="166">
        <v>1598.6899410000001</v>
      </c>
      <c r="D1433" s="160"/>
      <c r="E1433" s="166">
        <v>33.808132000000001</v>
      </c>
      <c r="G1433" s="166">
        <v>0.73240899999999998</v>
      </c>
    </row>
    <row r="1434" spans="1:7" x14ac:dyDescent="0.4">
      <c r="A1434" s="164">
        <v>35667</v>
      </c>
      <c r="B1434" s="166"/>
      <c r="C1434" s="166">
        <v>1601.5699460000001</v>
      </c>
      <c r="D1434" s="160"/>
      <c r="E1434" s="166">
        <v>33.371155000000002</v>
      </c>
      <c r="G1434" s="166">
        <v>0.71497100000000002</v>
      </c>
    </row>
    <row r="1435" spans="1:7" x14ac:dyDescent="0.4">
      <c r="A1435" s="164">
        <v>35668</v>
      </c>
      <c r="B1435" s="166"/>
      <c r="C1435" s="166">
        <v>1591.3000489999999</v>
      </c>
      <c r="D1435" s="160"/>
      <c r="E1435" s="166">
        <v>32.834811999999999</v>
      </c>
      <c r="G1435" s="166">
        <v>0.68978200000000001</v>
      </c>
    </row>
    <row r="1436" spans="1:7" x14ac:dyDescent="0.4">
      <c r="A1436" s="164">
        <v>35669</v>
      </c>
      <c r="B1436" s="166"/>
      <c r="C1436" s="166">
        <v>1595.540039</v>
      </c>
      <c r="D1436" s="160"/>
      <c r="E1436" s="166">
        <v>33.013598999999999</v>
      </c>
      <c r="G1436" s="166">
        <v>0.703345</v>
      </c>
    </row>
    <row r="1437" spans="1:7" x14ac:dyDescent="0.4">
      <c r="A1437" s="164">
        <v>35670</v>
      </c>
      <c r="B1437" s="166"/>
      <c r="C1437" s="166">
        <v>1581.3199460000001</v>
      </c>
      <c r="D1437" s="160"/>
      <c r="E1437" s="166">
        <v>32.139598999999997</v>
      </c>
      <c r="G1437" s="166">
        <v>0.68203199999999997</v>
      </c>
    </row>
    <row r="1438" spans="1:7" x14ac:dyDescent="0.4">
      <c r="A1438" s="164">
        <v>35671</v>
      </c>
      <c r="B1438" s="166"/>
      <c r="C1438" s="166">
        <v>1587.3199460000001</v>
      </c>
      <c r="D1438" s="160"/>
      <c r="E1438" s="166">
        <v>32.21904</v>
      </c>
      <c r="G1438" s="166">
        <v>0.67428200000000005</v>
      </c>
    </row>
    <row r="1439" spans="1:7" x14ac:dyDescent="0.4">
      <c r="A1439" s="164">
        <v>35675</v>
      </c>
      <c r="B1439" s="166"/>
      <c r="C1439" s="166">
        <v>1618.089966</v>
      </c>
      <c r="D1439" s="160"/>
      <c r="E1439" s="166">
        <v>33.073185000000002</v>
      </c>
      <c r="G1439" s="166">
        <v>0.693658</v>
      </c>
    </row>
    <row r="1440" spans="1:7" x14ac:dyDescent="0.4">
      <c r="A1440" s="164">
        <v>35676</v>
      </c>
      <c r="B1440" s="166"/>
      <c r="C1440" s="166">
        <v>1618.23999</v>
      </c>
      <c r="D1440" s="160"/>
      <c r="E1440" s="166">
        <v>32.914268</v>
      </c>
      <c r="G1440" s="166">
        <v>0.69753299999999996</v>
      </c>
    </row>
    <row r="1441" spans="1:7" x14ac:dyDescent="0.4">
      <c r="A1441" s="164">
        <v>35677</v>
      </c>
      <c r="B1441" s="166"/>
      <c r="C1441" s="166">
        <v>1624.630005</v>
      </c>
      <c r="D1441" s="160"/>
      <c r="E1441" s="166">
        <v>32.973861999999997</v>
      </c>
      <c r="G1441" s="166">
        <v>0.69753299999999996</v>
      </c>
    </row>
    <row r="1442" spans="1:7" x14ac:dyDescent="0.4">
      <c r="A1442" s="164">
        <v>35678</v>
      </c>
      <c r="B1442" s="166"/>
      <c r="C1442" s="166">
        <v>1635.7700199999999</v>
      </c>
      <c r="D1442" s="160"/>
      <c r="E1442" s="166">
        <v>32.934142999999999</v>
      </c>
      <c r="G1442" s="166">
        <v>0.68784500000000004</v>
      </c>
    </row>
    <row r="1443" spans="1:7" x14ac:dyDescent="0.4">
      <c r="A1443" s="164">
        <v>35681</v>
      </c>
      <c r="B1443" s="166"/>
      <c r="C1443" s="166">
        <v>1645.349976</v>
      </c>
      <c r="D1443" s="160"/>
      <c r="E1443" s="166">
        <v>32.695770000000003</v>
      </c>
      <c r="G1443" s="166">
        <v>0.66653099999999998</v>
      </c>
    </row>
    <row r="1444" spans="1:7" x14ac:dyDescent="0.4">
      <c r="A1444" s="164">
        <v>35682</v>
      </c>
      <c r="B1444" s="166"/>
      <c r="C1444" s="166">
        <v>1656.219971</v>
      </c>
      <c r="D1444" s="160"/>
      <c r="E1444" s="166">
        <v>31.782033999999999</v>
      </c>
      <c r="G1444" s="166">
        <v>0.67621900000000001</v>
      </c>
    </row>
    <row r="1445" spans="1:7" x14ac:dyDescent="0.4">
      <c r="A1445" s="164">
        <v>35683</v>
      </c>
      <c r="B1445" s="166"/>
      <c r="C1445" s="166">
        <v>1639.25</v>
      </c>
      <c r="D1445" s="160"/>
      <c r="E1445" s="166">
        <v>30.828571</v>
      </c>
      <c r="G1445" s="166">
        <v>0.71109599999999995</v>
      </c>
    </row>
    <row r="1446" spans="1:7" x14ac:dyDescent="0.4">
      <c r="A1446" s="164">
        <v>35684</v>
      </c>
      <c r="B1446" s="166"/>
      <c r="C1446" s="166">
        <v>1639.8599850000001</v>
      </c>
      <c r="D1446" s="160"/>
      <c r="E1446" s="166">
        <v>31.146387000000001</v>
      </c>
      <c r="G1446" s="166">
        <v>0.693658</v>
      </c>
    </row>
    <row r="1447" spans="1:7" x14ac:dyDescent="0.4">
      <c r="A1447" s="164">
        <v>35685</v>
      </c>
      <c r="B1447" s="166"/>
      <c r="C1447" s="166">
        <v>1649.329956</v>
      </c>
      <c r="D1447" s="160"/>
      <c r="E1447" s="166">
        <v>31.066939999999999</v>
      </c>
      <c r="G1447" s="166">
        <v>0.68396999999999997</v>
      </c>
    </row>
    <row r="1448" spans="1:7" x14ac:dyDescent="0.4">
      <c r="A1448" s="164">
        <v>35688</v>
      </c>
      <c r="B1448" s="166"/>
      <c r="C1448" s="166">
        <v>1634.920044</v>
      </c>
      <c r="D1448" s="160"/>
      <c r="E1448" s="166">
        <v>30.590202000000001</v>
      </c>
      <c r="G1448" s="166">
        <v>0.66653099999999998</v>
      </c>
    </row>
    <row r="1449" spans="1:7" x14ac:dyDescent="0.4">
      <c r="A1449" s="164">
        <v>35689</v>
      </c>
      <c r="B1449" s="166"/>
      <c r="C1449" s="166">
        <v>1668.599976</v>
      </c>
      <c r="D1449" s="160"/>
      <c r="E1449" s="166">
        <v>31.662848</v>
      </c>
      <c r="G1449" s="166">
        <v>0.68009399999999998</v>
      </c>
    </row>
    <row r="1450" spans="1:7" x14ac:dyDescent="0.4">
      <c r="A1450" s="164">
        <v>35690</v>
      </c>
      <c r="B1450" s="166"/>
      <c r="C1450" s="166">
        <v>1666.469971</v>
      </c>
      <c r="D1450" s="160"/>
      <c r="E1450" s="166">
        <v>31.662848</v>
      </c>
      <c r="G1450" s="166">
        <v>0.67621900000000001</v>
      </c>
    </row>
    <row r="1451" spans="1:7" x14ac:dyDescent="0.4">
      <c r="A1451" s="164">
        <v>35691</v>
      </c>
      <c r="B1451" s="166"/>
      <c r="C1451" s="166">
        <v>1670.0200199999999</v>
      </c>
      <c r="D1451" s="160"/>
      <c r="E1451" s="166">
        <v>31.384755999999999</v>
      </c>
      <c r="G1451" s="166">
        <v>0.69172</v>
      </c>
    </row>
    <row r="1452" spans="1:7" x14ac:dyDescent="0.4">
      <c r="A1452" s="164">
        <v>35692</v>
      </c>
      <c r="B1452" s="166"/>
      <c r="C1452" s="166">
        <v>1680.3599850000001</v>
      </c>
      <c r="D1452" s="160"/>
      <c r="E1452" s="166">
        <v>31.543679999999998</v>
      </c>
      <c r="G1452" s="166">
        <v>0.68009399999999998</v>
      </c>
    </row>
    <row r="1453" spans="1:7" x14ac:dyDescent="0.4">
      <c r="A1453" s="164">
        <v>35695</v>
      </c>
      <c r="B1453" s="166"/>
      <c r="C1453" s="166">
        <v>1689.4499510000001</v>
      </c>
      <c r="D1453" s="160"/>
      <c r="E1453" s="166">
        <v>33.013598999999999</v>
      </c>
      <c r="G1453" s="166">
        <v>0.70722099999999999</v>
      </c>
    </row>
    <row r="1454" spans="1:7" x14ac:dyDescent="0.4">
      <c r="A1454" s="164">
        <v>35696</v>
      </c>
      <c r="B1454" s="166"/>
      <c r="C1454" s="166">
        <v>1697.3599850000001</v>
      </c>
      <c r="D1454" s="160"/>
      <c r="E1454" s="166">
        <v>32.814953000000003</v>
      </c>
      <c r="G1454" s="166">
        <v>0.67428200000000005</v>
      </c>
    </row>
    <row r="1455" spans="1:7" x14ac:dyDescent="0.4">
      <c r="A1455" s="164">
        <v>35697</v>
      </c>
      <c r="B1455" s="166"/>
      <c r="C1455" s="166">
        <v>1687.410034</v>
      </c>
      <c r="D1455" s="160"/>
      <c r="E1455" s="166">
        <v>32.278644999999997</v>
      </c>
      <c r="G1455" s="166">
        <v>0.66653099999999998</v>
      </c>
    </row>
    <row r="1456" spans="1:7" x14ac:dyDescent="0.4">
      <c r="A1456" s="164">
        <v>35698</v>
      </c>
      <c r="B1456" s="166"/>
      <c r="C1456" s="166">
        <v>1678.8900149999999</v>
      </c>
      <c r="D1456" s="160"/>
      <c r="E1456" s="166">
        <v>32.298515000000002</v>
      </c>
      <c r="G1456" s="166">
        <v>0.65490599999999999</v>
      </c>
    </row>
    <row r="1457" spans="1:7" x14ac:dyDescent="0.4">
      <c r="A1457" s="164">
        <v>35699</v>
      </c>
      <c r="B1457" s="166"/>
      <c r="C1457" s="166">
        <v>1682.23999</v>
      </c>
      <c r="D1457" s="160"/>
      <c r="E1457" s="166">
        <v>32.616290999999997</v>
      </c>
      <c r="G1457" s="166">
        <v>0.66071899999999995</v>
      </c>
    </row>
    <row r="1458" spans="1:7" x14ac:dyDescent="0.4">
      <c r="A1458" s="164">
        <v>35702</v>
      </c>
      <c r="B1458" s="166"/>
      <c r="C1458" s="166">
        <v>1694.9799800000001</v>
      </c>
      <c r="D1458" s="160"/>
      <c r="E1458" s="166">
        <v>33.371155000000002</v>
      </c>
      <c r="G1458" s="166">
        <v>0.68396999999999997</v>
      </c>
    </row>
    <row r="1459" spans="1:7" x14ac:dyDescent="0.4">
      <c r="A1459" s="164">
        <v>35703</v>
      </c>
      <c r="B1459" s="166"/>
      <c r="C1459" s="166">
        <v>1685.6899410000001</v>
      </c>
      <c r="D1459" s="160"/>
      <c r="E1459" s="166">
        <v>33.688972</v>
      </c>
      <c r="G1459" s="166">
        <v>0.67234400000000005</v>
      </c>
    </row>
    <row r="1460" spans="1:7" x14ac:dyDescent="0.4">
      <c r="A1460" s="164">
        <v>35704</v>
      </c>
      <c r="B1460" s="166"/>
      <c r="C1460" s="166">
        <v>1690.3000489999999</v>
      </c>
      <c r="D1460" s="160"/>
      <c r="E1460" s="166">
        <v>32.894421000000001</v>
      </c>
      <c r="G1460" s="166">
        <v>0.66749999999999998</v>
      </c>
    </row>
    <row r="1461" spans="1:7" x14ac:dyDescent="0.4">
      <c r="A1461" s="164">
        <v>35705</v>
      </c>
      <c r="B1461" s="166"/>
      <c r="C1461" s="166">
        <v>1702.410034</v>
      </c>
      <c r="D1461" s="160"/>
      <c r="E1461" s="166">
        <v>33.232098000000001</v>
      </c>
      <c r="G1461" s="166">
        <v>0.68009399999999998</v>
      </c>
    </row>
    <row r="1462" spans="1:7" x14ac:dyDescent="0.4">
      <c r="A1462" s="164">
        <v>35706</v>
      </c>
      <c r="B1462" s="166"/>
      <c r="C1462" s="166">
        <v>1715.869995</v>
      </c>
      <c r="D1462" s="160"/>
      <c r="E1462" s="166">
        <v>33.152611</v>
      </c>
      <c r="G1462" s="166">
        <v>0.68590700000000004</v>
      </c>
    </row>
    <row r="1463" spans="1:7" x14ac:dyDescent="0.4">
      <c r="A1463" s="164">
        <v>35709</v>
      </c>
      <c r="B1463" s="166"/>
      <c r="C1463" s="166">
        <v>1721.910034</v>
      </c>
      <c r="D1463" s="160"/>
      <c r="E1463" s="166">
        <v>33.311549999999997</v>
      </c>
      <c r="G1463" s="166">
        <v>0.68009399999999998</v>
      </c>
    </row>
    <row r="1464" spans="1:7" x14ac:dyDescent="0.4">
      <c r="A1464" s="164">
        <v>35710</v>
      </c>
      <c r="B1464" s="166"/>
      <c r="C1464" s="166">
        <v>1737.2700199999999</v>
      </c>
      <c r="D1464" s="160"/>
      <c r="E1464" s="166">
        <v>33.947181999999998</v>
      </c>
      <c r="G1464" s="166">
        <v>0.67621900000000001</v>
      </c>
    </row>
    <row r="1465" spans="1:7" x14ac:dyDescent="0.4">
      <c r="A1465" s="164">
        <v>35711</v>
      </c>
      <c r="B1465" s="166"/>
      <c r="C1465" s="166">
        <v>1741.7700199999999</v>
      </c>
      <c r="D1465" s="160"/>
      <c r="E1465" s="166">
        <v>33.450588000000003</v>
      </c>
      <c r="G1465" s="166">
        <v>0.66653099999999998</v>
      </c>
    </row>
    <row r="1466" spans="1:7" x14ac:dyDescent="0.4">
      <c r="A1466" s="164">
        <v>35712</v>
      </c>
      <c r="B1466" s="166"/>
      <c r="C1466" s="166">
        <v>1745.849976</v>
      </c>
      <c r="D1466" s="160"/>
      <c r="E1466" s="166">
        <v>33.251967999999998</v>
      </c>
      <c r="G1466" s="166">
        <v>0.67428200000000005</v>
      </c>
    </row>
    <row r="1467" spans="1:7" x14ac:dyDescent="0.4">
      <c r="A1467" s="164">
        <v>35713</v>
      </c>
      <c r="B1467" s="166"/>
      <c r="C1467" s="166">
        <v>1739.030029</v>
      </c>
      <c r="D1467" s="160"/>
      <c r="E1467" s="166">
        <v>33.351272999999999</v>
      </c>
      <c r="G1467" s="166">
        <v>0.703345</v>
      </c>
    </row>
    <row r="1468" spans="1:7" x14ac:dyDescent="0.4">
      <c r="A1468" s="164">
        <v>35716</v>
      </c>
      <c r="B1468" s="166"/>
      <c r="C1468" s="166">
        <v>1742.119995</v>
      </c>
      <c r="D1468" s="160"/>
      <c r="E1468" s="166">
        <v>33.212226999999999</v>
      </c>
      <c r="G1468" s="166">
        <v>0.703345</v>
      </c>
    </row>
    <row r="1469" spans="1:7" x14ac:dyDescent="0.4">
      <c r="A1469" s="164">
        <v>35717</v>
      </c>
      <c r="B1469" s="166"/>
      <c r="C1469" s="166">
        <v>1732.790039</v>
      </c>
      <c r="D1469" s="160"/>
      <c r="E1469" s="166">
        <v>32.834811999999999</v>
      </c>
      <c r="G1469" s="166">
        <v>0.703345</v>
      </c>
    </row>
    <row r="1470" spans="1:7" x14ac:dyDescent="0.4">
      <c r="A1470" s="164">
        <v>35718</v>
      </c>
      <c r="B1470" s="166"/>
      <c r="C1470" s="166">
        <v>1723.369995</v>
      </c>
      <c r="D1470" s="160"/>
      <c r="E1470" s="166">
        <v>32.318351999999997</v>
      </c>
      <c r="G1470" s="166">
        <v>0.73822200000000004</v>
      </c>
    </row>
    <row r="1471" spans="1:7" x14ac:dyDescent="0.4">
      <c r="A1471" s="164">
        <v>35719</v>
      </c>
      <c r="B1471" s="166"/>
      <c r="C1471" s="166">
        <v>1699.660034</v>
      </c>
      <c r="D1471" s="160"/>
      <c r="E1471" s="166">
        <v>31.742312999999999</v>
      </c>
      <c r="G1471" s="166">
        <v>0.66653099999999998</v>
      </c>
    </row>
    <row r="1472" spans="1:7" x14ac:dyDescent="0.4">
      <c r="A1472" s="164">
        <v>35720</v>
      </c>
      <c r="B1472" s="166"/>
      <c r="C1472" s="166">
        <v>1666.849976</v>
      </c>
      <c r="D1472" s="160"/>
      <c r="E1472" s="166">
        <v>30.331982</v>
      </c>
      <c r="G1472" s="166">
        <v>0.62390400000000001</v>
      </c>
    </row>
    <row r="1473" spans="1:7" x14ac:dyDescent="0.4">
      <c r="A1473" s="164">
        <v>35723</v>
      </c>
      <c r="B1473" s="166"/>
      <c r="C1473" s="166">
        <v>1685.4499510000001</v>
      </c>
      <c r="D1473" s="160"/>
      <c r="E1473" s="166">
        <v>30.987483999999998</v>
      </c>
      <c r="G1473" s="166">
        <v>0.57933999999999997</v>
      </c>
    </row>
    <row r="1474" spans="1:7" x14ac:dyDescent="0.4">
      <c r="A1474" s="164">
        <v>35724</v>
      </c>
      <c r="B1474" s="166"/>
      <c r="C1474" s="166">
        <v>1712.540039</v>
      </c>
      <c r="D1474" s="160"/>
      <c r="E1474" s="166">
        <v>33.430737000000001</v>
      </c>
      <c r="G1474" s="166">
        <v>0.59096499999999996</v>
      </c>
    </row>
    <row r="1475" spans="1:7" x14ac:dyDescent="0.4">
      <c r="A1475" s="164">
        <v>35725</v>
      </c>
      <c r="B1475" s="166"/>
      <c r="C1475" s="166">
        <v>1708.079956</v>
      </c>
      <c r="D1475" s="160"/>
      <c r="E1475" s="166">
        <v>33.410881000000003</v>
      </c>
      <c r="G1475" s="166">
        <v>0.575465</v>
      </c>
    </row>
    <row r="1476" spans="1:7" x14ac:dyDescent="0.4">
      <c r="A1476" s="164">
        <v>35726</v>
      </c>
      <c r="B1476" s="166"/>
      <c r="C1476" s="166">
        <v>1671.25</v>
      </c>
      <c r="D1476" s="160"/>
      <c r="E1476" s="166">
        <v>31.901219999999999</v>
      </c>
      <c r="G1476" s="166">
        <v>0.55027599999999999</v>
      </c>
    </row>
    <row r="1477" spans="1:7" x14ac:dyDescent="0.4">
      <c r="A1477" s="164">
        <v>35727</v>
      </c>
      <c r="B1477" s="166"/>
      <c r="C1477" s="166">
        <v>1650.920044</v>
      </c>
      <c r="D1477" s="160"/>
      <c r="E1477" s="166">
        <v>31.146387000000001</v>
      </c>
      <c r="G1477" s="166">
        <v>0.51346199999999997</v>
      </c>
    </row>
    <row r="1478" spans="1:7" x14ac:dyDescent="0.4">
      <c r="A1478" s="164">
        <v>35730</v>
      </c>
      <c r="B1478" s="166"/>
      <c r="C1478" s="166">
        <v>1532.75</v>
      </c>
      <c r="D1478" s="160"/>
      <c r="E1478" s="166">
        <v>28.603832000000001</v>
      </c>
      <c r="G1478" s="166">
        <v>0.51927400000000001</v>
      </c>
    </row>
    <row r="1479" spans="1:7" x14ac:dyDescent="0.4">
      <c r="A1479" s="164">
        <v>35731</v>
      </c>
      <c r="B1479" s="166"/>
      <c r="C1479" s="166">
        <v>1603.0200199999999</v>
      </c>
      <c r="D1479" s="160"/>
      <c r="E1479" s="166">
        <v>31.583410000000001</v>
      </c>
      <c r="G1479" s="166">
        <v>0.56190099999999998</v>
      </c>
    </row>
    <row r="1480" spans="1:7" x14ac:dyDescent="0.4">
      <c r="A1480" s="164">
        <v>35732</v>
      </c>
      <c r="B1480" s="166"/>
      <c r="C1480" s="166">
        <v>1602.75</v>
      </c>
      <c r="D1480" s="160"/>
      <c r="E1480" s="166">
        <v>31.225845</v>
      </c>
      <c r="G1480" s="166">
        <v>0.54252599999999995</v>
      </c>
    </row>
    <row r="1481" spans="1:7" x14ac:dyDescent="0.4">
      <c r="A1481" s="164">
        <v>35733</v>
      </c>
      <c r="B1481" s="166"/>
      <c r="C1481" s="166">
        <v>1570.410034</v>
      </c>
      <c r="D1481" s="160"/>
      <c r="E1481" s="166">
        <v>30.451150999999999</v>
      </c>
      <c r="G1481" s="166">
        <v>0.51152399999999998</v>
      </c>
    </row>
    <row r="1482" spans="1:7" x14ac:dyDescent="0.4">
      <c r="A1482" s="164">
        <v>35734</v>
      </c>
      <c r="B1482" s="166"/>
      <c r="C1482" s="166">
        <v>1593.6099850000001</v>
      </c>
      <c r="D1482" s="160"/>
      <c r="E1482" s="166">
        <v>31.305299999999999</v>
      </c>
      <c r="G1482" s="166">
        <v>0.52799399999999996</v>
      </c>
    </row>
    <row r="1483" spans="1:7" x14ac:dyDescent="0.4">
      <c r="A1483" s="164">
        <v>35737</v>
      </c>
      <c r="B1483" s="166"/>
      <c r="C1483" s="166">
        <v>1629.9799800000001</v>
      </c>
      <c r="D1483" s="160"/>
      <c r="E1483" s="166">
        <v>32.298515000000002</v>
      </c>
      <c r="G1483" s="166">
        <v>0.53864999999999996</v>
      </c>
    </row>
    <row r="1484" spans="1:7" x14ac:dyDescent="0.4">
      <c r="A1484" s="164">
        <v>35738</v>
      </c>
      <c r="B1484" s="166"/>
      <c r="C1484" s="166">
        <v>1631.150024</v>
      </c>
      <c r="D1484" s="160"/>
      <c r="E1484" s="166">
        <v>32.397804000000001</v>
      </c>
      <c r="G1484" s="166">
        <v>0.55608900000000006</v>
      </c>
    </row>
    <row r="1485" spans="1:7" x14ac:dyDescent="0.4">
      <c r="A1485" s="164">
        <v>35739</v>
      </c>
      <c r="B1485" s="166"/>
      <c r="C1485" s="166">
        <v>1637.329956</v>
      </c>
      <c r="D1485" s="160"/>
      <c r="E1485" s="166">
        <v>32.656033000000001</v>
      </c>
      <c r="G1485" s="166">
        <v>0.56965200000000005</v>
      </c>
    </row>
    <row r="1486" spans="1:7" x14ac:dyDescent="0.4">
      <c r="A1486" s="164">
        <v>35740</v>
      </c>
      <c r="B1486" s="166"/>
      <c r="C1486" s="166">
        <v>1623.4399410000001</v>
      </c>
      <c r="D1486" s="160"/>
      <c r="E1486" s="166">
        <v>32.245269999999998</v>
      </c>
      <c r="G1486" s="166">
        <v>0.589028</v>
      </c>
    </row>
    <row r="1487" spans="1:7" x14ac:dyDescent="0.4">
      <c r="A1487" s="164">
        <v>35741</v>
      </c>
      <c r="B1487" s="166"/>
      <c r="C1487" s="166">
        <v>1602.400024</v>
      </c>
      <c r="D1487" s="160"/>
      <c r="E1487" s="166">
        <v>31.746715999999999</v>
      </c>
      <c r="G1487" s="166">
        <v>0.61227900000000002</v>
      </c>
    </row>
    <row r="1488" spans="1:7" x14ac:dyDescent="0.4">
      <c r="A1488" s="164">
        <v>35744</v>
      </c>
      <c r="B1488" s="166"/>
      <c r="C1488" s="166">
        <v>1590.719971</v>
      </c>
      <c r="D1488" s="160"/>
      <c r="E1488" s="166">
        <v>31.168415</v>
      </c>
      <c r="G1488" s="166">
        <v>0.57933999999999997</v>
      </c>
    </row>
    <row r="1489" spans="1:7" x14ac:dyDescent="0.4">
      <c r="A1489" s="164">
        <v>35745</v>
      </c>
      <c r="B1489" s="166"/>
      <c r="C1489" s="166">
        <v>1584.8599850000001</v>
      </c>
      <c r="D1489" s="160"/>
      <c r="E1489" s="166">
        <v>31.587199999999999</v>
      </c>
      <c r="G1489" s="166">
        <v>0.56965200000000005</v>
      </c>
    </row>
    <row r="1490" spans="1:7" x14ac:dyDescent="0.4">
      <c r="A1490" s="164">
        <v>35746</v>
      </c>
      <c r="B1490" s="166"/>
      <c r="C1490" s="166">
        <v>1541.709961</v>
      </c>
      <c r="D1490" s="160"/>
      <c r="E1490" s="166">
        <v>30.829408999999998</v>
      </c>
      <c r="G1490" s="166">
        <v>0.54640100000000003</v>
      </c>
    </row>
    <row r="1491" spans="1:7" x14ac:dyDescent="0.4">
      <c r="A1491" s="164">
        <v>35747</v>
      </c>
      <c r="B1491" s="166"/>
      <c r="C1491" s="166">
        <v>1559.25</v>
      </c>
      <c r="D1491" s="160"/>
      <c r="E1491" s="166">
        <v>31.627068000000001</v>
      </c>
      <c r="G1491" s="166">
        <v>0.55802600000000002</v>
      </c>
    </row>
    <row r="1492" spans="1:7" x14ac:dyDescent="0.4">
      <c r="A1492" s="164">
        <v>35748</v>
      </c>
      <c r="B1492" s="166"/>
      <c r="C1492" s="166">
        <v>1583.51001</v>
      </c>
      <c r="D1492" s="160"/>
      <c r="E1492" s="166">
        <v>32.384841999999999</v>
      </c>
      <c r="G1492" s="166">
        <v>0.57158900000000001</v>
      </c>
    </row>
    <row r="1493" spans="1:7" x14ac:dyDescent="0.4">
      <c r="A1493" s="164">
        <v>35751</v>
      </c>
      <c r="B1493" s="166"/>
      <c r="C1493" s="166">
        <v>1614.1099850000001</v>
      </c>
      <c r="D1493" s="160"/>
      <c r="E1493" s="166">
        <v>33.022964000000002</v>
      </c>
      <c r="G1493" s="166">
        <v>0.57352700000000001</v>
      </c>
    </row>
    <row r="1494" spans="1:7" x14ac:dyDescent="0.4">
      <c r="A1494" s="164">
        <v>35752</v>
      </c>
      <c r="B1494" s="166"/>
      <c r="C1494" s="166">
        <v>1600.4399410000001</v>
      </c>
      <c r="D1494" s="160"/>
      <c r="E1494" s="166">
        <v>32.584248000000002</v>
      </c>
      <c r="G1494" s="166">
        <v>0.55996400000000002</v>
      </c>
    </row>
    <row r="1495" spans="1:7" x14ac:dyDescent="0.4">
      <c r="A1495" s="164">
        <v>35753</v>
      </c>
      <c r="B1495" s="166"/>
      <c r="C1495" s="166">
        <v>1601.219971</v>
      </c>
      <c r="D1495" s="160"/>
      <c r="E1495" s="166">
        <v>32.883372999999999</v>
      </c>
      <c r="G1495" s="166">
        <v>0.56577699999999997</v>
      </c>
    </row>
    <row r="1496" spans="1:7" x14ac:dyDescent="0.4">
      <c r="A1496" s="164">
        <v>35754</v>
      </c>
      <c r="B1496" s="166"/>
      <c r="C1496" s="166">
        <v>1626.5600589999999</v>
      </c>
      <c r="D1496" s="160"/>
      <c r="E1496" s="166">
        <v>33.421795000000003</v>
      </c>
      <c r="G1496" s="166">
        <v>0.57352700000000001</v>
      </c>
    </row>
    <row r="1497" spans="1:7" x14ac:dyDescent="0.4">
      <c r="A1497" s="164">
        <v>35755</v>
      </c>
      <c r="B1497" s="166"/>
      <c r="C1497" s="166">
        <v>1620.75</v>
      </c>
      <c r="D1497" s="160"/>
      <c r="E1497" s="166">
        <v>33.681046000000002</v>
      </c>
      <c r="G1497" s="166">
        <v>0.56383899999999998</v>
      </c>
    </row>
    <row r="1498" spans="1:7" x14ac:dyDescent="0.4">
      <c r="A1498" s="164">
        <v>35758</v>
      </c>
      <c r="B1498" s="166"/>
      <c r="C1498" s="166">
        <v>1586.98999</v>
      </c>
      <c r="D1498" s="160"/>
      <c r="E1498" s="166">
        <v>32.903312999999997</v>
      </c>
      <c r="G1498" s="166">
        <v>0.54640100000000003</v>
      </c>
    </row>
    <row r="1499" spans="1:7" x14ac:dyDescent="0.4">
      <c r="A1499" s="164">
        <v>35759</v>
      </c>
      <c r="B1499" s="166"/>
      <c r="C1499" s="166">
        <v>1589.040039</v>
      </c>
      <c r="D1499" s="160"/>
      <c r="E1499" s="166">
        <v>34.259338</v>
      </c>
      <c r="G1499" s="166">
        <v>0.53864999999999996</v>
      </c>
    </row>
    <row r="1500" spans="1:7" x14ac:dyDescent="0.4">
      <c r="A1500" s="164">
        <v>35760</v>
      </c>
      <c r="B1500" s="166"/>
      <c r="C1500" s="166">
        <v>1594.5</v>
      </c>
      <c r="D1500" s="160"/>
      <c r="E1500" s="166">
        <v>35.017094</v>
      </c>
      <c r="G1500" s="166">
        <v>0.54252599999999995</v>
      </c>
    </row>
    <row r="1501" spans="1:7" x14ac:dyDescent="0.4">
      <c r="A1501" s="164">
        <v>35762</v>
      </c>
      <c r="B1501" s="166"/>
      <c r="C1501" s="166">
        <v>1600.5500489999999</v>
      </c>
      <c r="D1501" s="160"/>
      <c r="E1501" s="166">
        <v>34.937354999999997</v>
      </c>
      <c r="G1501" s="166">
        <v>0.55027599999999999</v>
      </c>
    </row>
    <row r="1502" spans="1:7" x14ac:dyDescent="0.4">
      <c r="A1502" s="164">
        <v>35765</v>
      </c>
      <c r="B1502" s="166"/>
      <c r="C1502" s="166">
        <v>1630.719971</v>
      </c>
      <c r="D1502" s="160"/>
      <c r="E1502" s="166">
        <v>35.914462999999998</v>
      </c>
      <c r="G1502" s="166">
        <v>0.55027599999999999</v>
      </c>
    </row>
    <row r="1503" spans="1:7" x14ac:dyDescent="0.4">
      <c r="A1503" s="164">
        <v>35766</v>
      </c>
      <c r="B1503" s="166"/>
      <c r="C1503" s="166">
        <v>1606.369995</v>
      </c>
      <c r="D1503" s="160"/>
      <c r="E1503" s="166">
        <v>35.336174</v>
      </c>
      <c r="G1503" s="166">
        <v>0.49214799999999997</v>
      </c>
    </row>
    <row r="1504" spans="1:7" x14ac:dyDescent="0.4">
      <c r="A1504" s="164">
        <v>35767</v>
      </c>
      <c r="B1504" s="166"/>
      <c r="C1504" s="166">
        <v>1615.130005</v>
      </c>
      <c r="D1504" s="160"/>
      <c r="E1504" s="166">
        <v>35.216503000000003</v>
      </c>
      <c r="G1504" s="166">
        <v>0.48827300000000001</v>
      </c>
    </row>
    <row r="1505" spans="1:7" x14ac:dyDescent="0.4">
      <c r="A1505" s="164">
        <v>35768</v>
      </c>
      <c r="B1505" s="166"/>
      <c r="C1505" s="166">
        <v>1613.420044</v>
      </c>
      <c r="D1505" s="160"/>
      <c r="E1505" s="166">
        <v>34.857559000000002</v>
      </c>
      <c r="G1505" s="166">
        <v>0.484398</v>
      </c>
    </row>
    <row r="1506" spans="1:7" x14ac:dyDescent="0.4">
      <c r="A1506" s="164">
        <v>35769</v>
      </c>
      <c r="B1506" s="166"/>
      <c r="C1506" s="166">
        <v>1633.900024</v>
      </c>
      <c r="D1506" s="160"/>
      <c r="E1506" s="166">
        <v>35.814751000000001</v>
      </c>
      <c r="G1506" s="166">
        <v>0.49021100000000001</v>
      </c>
    </row>
    <row r="1507" spans="1:7" x14ac:dyDescent="0.4">
      <c r="A1507" s="164">
        <v>35772</v>
      </c>
      <c r="B1507" s="166"/>
      <c r="C1507" s="166">
        <v>1651.540039</v>
      </c>
      <c r="D1507" s="160"/>
      <c r="E1507" s="166">
        <v>36.014183000000003</v>
      </c>
      <c r="G1507" s="166">
        <v>0.48246</v>
      </c>
    </row>
    <row r="1508" spans="1:7" x14ac:dyDescent="0.4">
      <c r="A1508" s="164">
        <v>35773</v>
      </c>
      <c r="B1508" s="166"/>
      <c r="C1508" s="166">
        <v>1620.5500489999999</v>
      </c>
      <c r="D1508" s="160"/>
      <c r="E1508" s="166">
        <v>35.216503000000003</v>
      </c>
      <c r="G1508" s="166">
        <v>0.47277200000000003</v>
      </c>
    </row>
    <row r="1509" spans="1:7" x14ac:dyDescent="0.4">
      <c r="A1509" s="164">
        <v>35774</v>
      </c>
      <c r="B1509" s="166"/>
      <c r="C1509" s="166">
        <v>1596.6099850000001</v>
      </c>
      <c r="D1509" s="160"/>
      <c r="E1509" s="166">
        <v>33.980156000000001</v>
      </c>
      <c r="G1509" s="166">
        <v>0.45727099999999998</v>
      </c>
    </row>
    <row r="1510" spans="1:7" x14ac:dyDescent="0.4">
      <c r="A1510" s="164">
        <v>35775</v>
      </c>
      <c r="B1510" s="166"/>
      <c r="C1510" s="166">
        <v>1558.540039</v>
      </c>
      <c r="D1510" s="160"/>
      <c r="E1510" s="166">
        <v>32.424725000000002</v>
      </c>
      <c r="G1510" s="166">
        <v>0.451459</v>
      </c>
    </row>
    <row r="1511" spans="1:7" x14ac:dyDescent="0.4">
      <c r="A1511" s="164">
        <v>35776</v>
      </c>
      <c r="B1511" s="166"/>
      <c r="C1511" s="166">
        <v>1536.579956</v>
      </c>
      <c r="D1511" s="160"/>
      <c r="E1511" s="166">
        <v>32.025897999999998</v>
      </c>
      <c r="G1511" s="166">
        <v>0.43789600000000001</v>
      </c>
    </row>
    <row r="1512" spans="1:7" x14ac:dyDescent="0.4">
      <c r="A1512" s="164">
        <v>35779</v>
      </c>
      <c r="B1512" s="166"/>
      <c r="C1512" s="166">
        <v>1536.5600589999999</v>
      </c>
      <c r="D1512" s="160"/>
      <c r="E1512" s="166">
        <v>32.185428999999999</v>
      </c>
      <c r="G1512" s="166">
        <v>0.43208299999999999</v>
      </c>
    </row>
    <row r="1513" spans="1:7" x14ac:dyDescent="0.4">
      <c r="A1513" s="164">
        <v>35780</v>
      </c>
      <c r="B1513" s="166"/>
      <c r="C1513" s="166">
        <v>1553</v>
      </c>
      <c r="D1513" s="160"/>
      <c r="E1513" s="166">
        <v>33.102741000000002</v>
      </c>
      <c r="G1513" s="166">
        <v>0.44370799999999999</v>
      </c>
    </row>
    <row r="1514" spans="1:7" x14ac:dyDescent="0.4">
      <c r="A1514" s="164">
        <v>35781</v>
      </c>
      <c r="B1514" s="166"/>
      <c r="C1514" s="166">
        <v>1547.369995</v>
      </c>
      <c r="D1514" s="160"/>
      <c r="E1514" s="166">
        <v>32.544364999999999</v>
      </c>
      <c r="G1514" s="166">
        <v>0.43208299999999999</v>
      </c>
    </row>
    <row r="1515" spans="1:7" x14ac:dyDescent="0.4">
      <c r="A1515" s="164">
        <v>35782</v>
      </c>
      <c r="B1515" s="166"/>
      <c r="C1515" s="166">
        <v>1523.1899410000001</v>
      </c>
      <c r="D1515" s="160"/>
      <c r="E1515" s="166">
        <v>31.906254000000001</v>
      </c>
      <c r="G1515" s="166">
        <v>0.42820799999999998</v>
      </c>
    </row>
    <row r="1516" spans="1:7" x14ac:dyDescent="0.4">
      <c r="A1516" s="164">
        <v>35783</v>
      </c>
      <c r="B1516" s="166"/>
      <c r="C1516" s="166">
        <v>1524.73999</v>
      </c>
      <c r="D1516" s="160"/>
      <c r="E1516" s="166">
        <v>32.584248000000002</v>
      </c>
      <c r="G1516" s="166">
        <v>0.42433199999999999</v>
      </c>
    </row>
    <row r="1517" spans="1:7" x14ac:dyDescent="0.4">
      <c r="A1517" s="164">
        <v>35786</v>
      </c>
      <c r="B1517" s="166"/>
      <c r="C1517" s="166">
        <v>1532.0600589999999</v>
      </c>
      <c r="D1517" s="160"/>
      <c r="E1517" s="166">
        <v>32.723843000000002</v>
      </c>
      <c r="G1517" s="166">
        <v>0.41270699999999999</v>
      </c>
    </row>
    <row r="1518" spans="1:7" x14ac:dyDescent="0.4">
      <c r="A1518" s="164">
        <v>35787</v>
      </c>
      <c r="B1518" s="166"/>
      <c r="C1518" s="166">
        <v>1509.910034</v>
      </c>
      <c r="D1518" s="160"/>
      <c r="E1518" s="166">
        <v>31.467527</v>
      </c>
      <c r="G1518" s="166">
        <v>0.40108100000000002</v>
      </c>
    </row>
    <row r="1519" spans="1:7" x14ac:dyDescent="0.4">
      <c r="A1519" s="164">
        <v>35788</v>
      </c>
      <c r="B1519" s="166"/>
      <c r="C1519" s="166">
        <v>1499.530029</v>
      </c>
      <c r="D1519" s="160"/>
      <c r="E1519" s="166">
        <v>31.627068000000001</v>
      </c>
      <c r="G1519" s="166">
        <v>0.40689399999999998</v>
      </c>
    </row>
    <row r="1520" spans="1:7" x14ac:dyDescent="0.4">
      <c r="A1520" s="164">
        <v>35790</v>
      </c>
      <c r="B1520" s="166"/>
      <c r="C1520" s="166">
        <v>1511.380005</v>
      </c>
      <c r="D1520" s="160"/>
      <c r="E1520" s="166">
        <v>32.444664000000003</v>
      </c>
      <c r="G1520" s="166">
        <v>0.41270699999999999</v>
      </c>
    </row>
    <row r="1521" spans="1:7" x14ac:dyDescent="0.4">
      <c r="A1521" s="164">
        <v>35793</v>
      </c>
      <c r="B1521" s="166"/>
      <c r="C1521" s="166">
        <v>1537.4499510000001</v>
      </c>
      <c r="D1521" s="160"/>
      <c r="E1521" s="166">
        <v>32.783653000000001</v>
      </c>
      <c r="G1521" s="166">
        <v>0.40689399999999998</v>
      </c>
    </row>
    <row r="1522" spans="1:7" x14ac:dyDescent="0.4">
      <c r="A1522" s="164">
        <v>35794</v>
      </c>
      <c r="B1522" s="166"/>
      <c r="C1522" s="166">
        <v>1565.030029</v>
      </c>
      <c r="D1522" s="160"/>
      <c r="E1522" s="166">
        <v>32.903312999999997</v>
      </c>
      <c r="G1522" s="166">
        <v>0.40883199999999997</v>
      </c>
    </row>
    <row r="1523" spans="1:7" x14ac:dyDescent="0.4">
      <c r="A1523" s="164">
        <v>35795</v>
      </c>
      <c r="B1523" s="166"/>
      <c r="C1523" s="166">
        <v>1570.349976</v>
      </c>
      <c r="D1523" s="160"/>
      <c r="E1523" s="166">
        <v>33.381912</v>
      </c>
      <c r="G1523" s="166">
        <v>0.40689399999999998</v>
      </c>
    </row>
    <row r="1524" spans="1:7" x14ac:dyDescent="0.4">
      <c r="A1524" s="164">
        <v>35797</v>
      </c>
      <c r="B1524" s="166"/>
      <c r="C1524" s="166">
        <v>1581.530029</v>
      </c>
      <c r="D1524" s="160"/>
      <c r="E1524" s="166">
        <v>33.700980999999999</v>
      </c>
      <c r="G1524" s="166">
        <v>0.50377400000000006</v>
      </c>
    </row>
    <row r="1525" spans="1:7" x14ac:dyDescent="0.4">
      <c r="A1525" s="164">
        <v>35800</v>
      </c>
      <c r="B1525" s="166"/>
      <c r="C1525" s="166">
        <v>1594.119995</v>
      </c>
      <c r="D1525" s="160"/>
      <c r="E1525" s="166">
        <v>33.960217</v>
      </c>
      <c r="G1525" s="166">
        <v>0.49214799999999997</v>
      </c>
    </row>
    <row r="1526" spans="1:7" x14ac:dyDescent="0.4">
      <c r="A1526" s="164">
        <v>35801</v>
      </c>
      <c r="B1526" s="166"/>
      <c r="C1526" s="166">
        <v>1580.1400149999999</v>
      </c>
      <c r="D1526" s="160"/>
      <c r="E1526" s="166">
        <v>33.581325999999997</v>
      </c>
      <c r="G1526" s="166">
        <v>0.58709</v>
      </c>
    </row>
    <row r="1527" spans="1:7" x14ac:dyDescent="0.4">
      <c r="A1527" s="164">
        <v>35802</v>
      </c>
      <c r="B1527" s="166"/>
      <c r="C1527" s="166">
        <v>1561.6999510000001</v>
      </c>
      <c r="D1527" s="160"/>
      <c r="E1527" s="166">
        <v>33.262259999999998</v>
      </c>
      <c r="G1527" s="166">
        <v>0.54252599999999995</v>
      </c>
    </row>
    <row r="1528" spans="1:7" x14ac:dyDescent="0.4">
      <c r="A1528" s="164">
        <v>35803</v>
      </c>
      <c r="B1528" s="166"/>
      <c r="C1528" s="166">
        <v>1555.540039</v>
      </c>
      <c r="D1528" s="160"/>
      <c r="E1528" s="166">
        <v>33.242310000000003</v>
      </c>
      <c r="G1528" s="166">
        <v>0.56383899999999998</v>
      </c>
    </row>
    <row r="1529" spans="1:7" x14ac:dyDescent="0.4">
      <c r="E1529" s="16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32"/>
  <sheetViews>
    <sheetView topLeftCell="A2" zoomScale="103" zoomScaleNormal="102" workbookViewId="0">
      <selection activeCell="G8" sqref="G8"/>
    </sheetView>
  </sheetViews>
  <sheetFormatPr baseColWidth="10" defaultRowHeight="12.3" outlineLevelCol="1" x14ac:dyDescent="0.4"/>
  <cols>
    <col min="1" max="1" width="5" customWidth="1"/>
    <col min="2" max="2" width="12.0546875" customWidth="1"/>
    <col min="3" max="3" width="11.88671875" customWidth="1"/>
    <col min="4" max="4" width="14.5546875" customWidth="1"/>
    <col min="5" max="5" width="12" customWidth="1"/>
    <col min="6" max="6" width="13.27734375" customWidth="1"/>
    <col min="7" max="7" width="12.609375" customWidth="1"/>
    <col min="8" max="8" width="3.0546875" customWidth="1"/>
    <col min="10" max="10" width="3.0546875" customWidth="1"/>
    <col min="12" max="12" width="3.0546875" customWidth="1"/>
    <col min="15" max="15" width="10.6640625" hidden="1" customWidth="1" outlineLevel="1"/>
    <col min="16" max="16" width="6.5" hidden="1" customWidth="1" outlineLevel="1"/>
    <col min="17" max="18" width="10.6640625" hidden="1" customWidth="1" outlineLevel="1"/>
    <col min="19" max="19" width="10.6640625" collapsed="1"/>
  </cols>
  <sheetData>
    <row r="1" spans="1:18" x14ac:dyDescent="0.4">
      <c r="A1" s="2" t="s">
        <v>209</v>
      </c>
    </row>
    <row r="2" spans="1:18" x14ac:dyDescent="0.4">
      <c r="A2" s="2"/>
    </row>
    <row r="3" spans="1:18" x14ac:dyDescent="0.4">
      <c r="B3" s="175" t="s">
        <v>293</v>
      </c>
      <c r="O3" s="161" t="s">
        <v>251</v>
      </c>
      <c r="Q3" s="162"/>
    </row>
    <row r="4" spans="1:18" x14ac:dyDescent="0.4">
      <c r="O4" s="161"/>
      <c r="Q4" s="162"/>
    </row>
    <row r="5" spans="1:18" ht="37.200000000000003" customHeight="1" x14ac:dyDescent="0.4">
      <c r="B5" s="13" t="s">
        <v>240</v>
      </c>
      <c r="C5" s="157" t="s">
        <v>241</v>
      </c>
      <c r="D5" s="157" t="s">
        <v>215</v>
      </c>
      <c r="E5" s="159" t="s">
        <v>213</v>
      </c>
      <c r="F5" s="159" t="s">
        <v>214</v>
      </c>
      <c r="G5" s="157" t="s">
        <v>212</v>
      </c>
      <c r="O5" s="163" t="s">
        <v>252</v>
      </c>
      <c r="Q5" s="163" t="s">
        <v>253</v>
      </c>
    </row>
    <row r="6" spans="1:18" x14ac:dyDescent="0.4">
      <c r="B6" s="155" t="s">
        <v>257</v>
      </c>
      <c r="C6" s="153">
        <v>32316</v>
      </c>
      <c r="D6" s="154">
        <v>8.5</v>
      </c>
      <c r="E6" s="158">
        <v>1</v>
      </c>
      <c r="F6" s="158">
        <f>E6</f>
        <v>1</v>
      </c>
      <c r="G6" s="154">
        <f t="shared" ref="G6:G13" si="0">D6*F6</f>
        <v>8.5</v>
      </c>
      <c r="O6" s="152" t="s">
        <v>218</v>
      </c>
      <c r="Q6" s="152" t="s">
        <v>219</v>
      </c>
    </row>
    <row r="7" spans="1:18" x14ac:dyDescent="0.4">
      <c r="B7" s="155" t="s">
        <v>205</v>
      </c>
      <c r="C7" s="152" t="s">
        <v>206</v>
      </c>
      <c r="D7" s="154">
        <v>38.72</v>
      </c>
      <c r="E7" s="158">
        <f>2/3</f>
        <v>0.66666666666666663</v>
      </c>
      <c r="F7" s="158">
        <f>E6*E7</f>
        <v>0.66666666666666663</v>
      </c>
      <c r="G7" s="154">
        <f t="shared" si="0"/>
        <v>25.813333333333333</v>
      </c>
      <c r="O7" s="152" t="s">
        <v>220</v>
      </c>
      <c r="Q7" s="152" t="s">
        <v>233</v>
      </c>
    </row>
    <row r="8" spans="1:18" x14ac:dyDescent="0.4">
      <c r="B8" s="155" t="s">
        <v>207</v>
      </c>
      <c r="C8" s="152" t="s">
        <v>208</v>
      </c>
      <c r="D8" s="154">
        <v>90</v>
      </c>
      <c r="E8" s="158">
        <f t="shared" ref="E8:E13" si="1">1/2</f>
        <v>0.5</v>
      </c>
      <c r="F8" s="158">
        <f>E6*E7*E8</f>
        <v>0.33333333333333331</v>
      </c>
      <c r="G8" s="154">
        <f t="shared" si="0"/>
        <v>30</v>
      </c>
      <c r="H8" s="155"/>
      <c r="O8" s="152" t="s">
        <v>234</v>
      </c>
      <c r="Q8" s="152" t="s">
        <v>237</v>
      </c>
    </row>
    <row r="9" spans="1:18" s="238" customFormat="1" x14ac:dyDescent="0.4">
      <c r="B9" s="239" t="s">
        <v>207</v>
      </c>
      <c r="C9" s="240">
        <v>35405</v>
      </c>
      <c r="D9" s="241">
        <v>113.5</v>
      </c>
      <c r="E9" s="242">
        <f t="shared" si="1"/>
        <v>0.5</v>
      </c>
      <c r="F9" s="242">
        <f>E7*E8*E9*E6</f>
        <v>0.16666666666666666</v>
      </c>
      <c r="G9" s="241">
        <f t="shared" si="0"/>
        <v>18.916666666666664</v>
      </c>
      <c r="H9" s="239"/>
      <c r="N9" s="239"/>
      <c r="O9" s="243" t="s">
        <v>238</v>
      </c>
      <c r="Q9" s="243" t="s">
        <v>242</v>
      </c>
    </row>
    <row r="10" spans="1:18" s="238" customFormat="1" x14ac:dyDescent="0.4">
      <c r="B10" s="239" t="s">
        <v>207</v>
      </c>
      <c r="C10" s="240">
        <v>35636</v>
      </c>
      <c r="D10" s="241">
        <v>163</v>
      </c>
      <c r="E10" s="242">
        <f t="shared" si="1"/>
        <v>0.5</v>
      </c>
      <c r="F10" s="242">
        <f>E10*E11*E12*E13</f>
        <v>6.25E-2</v>
      </c>
      <c r="G10" s="241">
        <f t="shared" si="0"/>
        <v>10.1875</v>
      </c>
      <c r="H10" s="239"/>
      <c r="O10" s="243" t="s">
        <v>243</v>
      </c>
      <c r="Q10" s="243" t="s">
        <v>247</v>
      </c>
    </row>
    <row r="11" spans="1:18" s="238" customFormat="1" x14ac:dyDescent="0.4">
      <c r="B11" s="239" t="s">
        <v>207</v>
      </c>
      <c r="C11" s="240">
        <v>35860</v>
      </c>
      <c r="D11" s="241">
        <v>138.5</v>
      </c>
      <c r="E11" s="242">
        <f t="shared" si="1"/>
        <v>0.5</v>
      </c>
      <c r="F11" s="242">
        <f>E11*E12*E13</f>
        <v>0.125</v>
      </c>
      <c r="G11" s="241">
        <f t="shared" si="0"/>
        <v>17.3125</v>
      </c>
      <c r="H11" s="239"/>
      <c r="O11" s="243" t="s">
        <v>248</v>
      </c>
      <c r="Q11" s="243" t="s">
        <v>246</v>
      </c>
    </row>
    <row r="12" spans="1:18" s="238" customFormat="1" x14ac:dyDescent="0.4">
      <c r="B12" s="239" t="s">
        <v>207</v>
      </c>
      <c r="C12" s="240">
        <v>36042</v>
      </c>
      <c r="D12" s="241">
        <v>109.5</v>
      </c>
      <c r="E12" s="242">
        <f t="shared" si="1"/>
        <v>0.5</v>
      </c>
      <c r="F12" s="242">
        <f>E12*E13</f>
        <v>0.25</v>
      </c>
      <c r="G12" s="241">
        <f t="shared" si="0"/>
        <v>27.375</v>
      </c>
      <c r="H12" s="239"/>
      <c r="O12" s="243" t="s">
        <v>249</v>
      </c>
      <c r="Q12" s="243" t="s">
        <v>244</v>
      </c>
    </row>
    <row r="13" spans="1:18" s="238" customFormat="1" x14ac:dyDescent="0.4">
      <c r="B13" s="239" t="s">
        <v>207</v>
      </c>
      <c r="C13" s="240">
        <v>36224</v>
      </c>
      <c r="D13" s="241">
        <v>86.06</v>
      </c>
      <c r="E13" s="242">
        <f t="shared" si="1"/>
        <v>0.5</v>
      </c>
      <c r="F13" s="242">
        <f>E13</f>
        <v>0.5</v>
      </c>
      <c r="G13" s="241">
        <f t="shared" si="0"/>
        <v>43.03</v>
      </c>
      <c r="H13" s="239"/>
      <c r="O13" s="243" t="s">
        <v>245</v>
      </c>
      <c r="Q13" s="244" t="s">
        <v>250</v>
      </c>
      <c r="R13" s="239" t="s">
        <v>239</v>
      </c>
    </row>
    <row r="15" spans="1:18" x14ac:dyDescent="0.4">
      <c r="B15" s="1"/>
    </row>
    <row r="16" spans="1:18" x14ac:dyDescent="0.4">
      <c r="B16" s="1"/>
    </row>
    <row r="17" spans="2:2" x14ac:dyDescent="0.4">
      <c r="B17" s="1"/>
    </row>
    <row r="18" spans="2:2" x14ac:dyDescent="0.4">
      <c r="B18" s="1"/>
    </row>
    <row r="19" spans="2:2" x14ac:dyDescent="0.4">
      <c r="B19" s="1"/>
    </row>
    <row r="20" spans="2:2" x14ac:dyDescent="0.4">
      <c r="B20" s="1"/>
    </row>
    <row r="21" spans="2:2" x14ac:dyDescent="0.4">
      <c r="B21" s="1"/>
    </row>
    <row r="22" spans="2:2" x14ac:dyDescent="0.4">
      <c r="B22" s="1"/>
    </row>
    <row r="23" spans="2:2" x14ac:dyDescent="0.4">
      <c r="B23" s="1"/>
    </row>
    <row r="24" spans="2:2" x14ac:dyDescent="0.4">
      <c r="B24" s="1"/>
    </row>
    <row r="25" spans="2:2" x14ac:dyDescent="0.4">
      <c r="B25" s="1"/>
    </row>
    <row r="26" spans="2:2" x14ac:dyDescent="0.4">
      <c r="B26" s="1"/>
    </row>
    <row r="27" spans="2:2" x14ac:dyDescent="0.4">
      <c r="B27" s="1"/>
    </row>
    <row r="28" spans="2:2" x14ac:dyDescent="0.4">
      <c r="B28" s="1"/>
    </row>
    <row r="29" spans="2:2" x14ac:dyDescent="0.4">
      <c r="B29" s="1"/>
    </row>
    <row r="30" spans="2:2" x14ac:dyDescent="0.4">
      <c r="B30" s="1"/>
    </row>
    <row r="31" spans="2:2" x14ac:dyDescent="0.4">
      <c r="B31" s="1"/>
    </row>
    <row r="32" spans="2:2" x14ac:dyDescent="0.4">
      <c r="B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A3" sqref="A3"/>
    </sheetView>
  </sheetViews>
  <sheetFormatPr baseColWidth="10" defaultColWidth="8.88671875" defaultRowHeight="12.3" x14ac:dyDescent="0.4"/>
  <cols>
    <col min="1" max="1" width="24.1640625" customWidth="1"/>
    <col min="2" max="3" width="15.71875" customWidth="1"/>
  </cols>
  <sheetData>
    <row r="1" spans="1:3" x14ac:dyDescent="0.4">
      <c r="A1" s="2" t="s">
        <v>15</v>
      </c>
      <c r="B1" s="1"/>
      <c r="C1" s="1"/>
    </row>
    <row r="2" spans="1:3" x14ac:dyDescent="0.4">
      <c r="A2" s="4"/>
      <c r="B2" s="4"/>
      <c r="C2" s="4"/>
    </row>
    <row r="3" spans="1:3" ht="14.1" x14ac:dyDescent="0.4">
      <c r="A3" s="13" t="s">
        <v>11</v>
      </c>
      <c r="B3" s="14" t="s">
        <v>16</v>
      </c>
      <c r="C3" s="14" t="s">
        <v>12</v>
      </c>
    </row>
    <row r="4" spans="1:3" x14ac:dyDescent="0.4">
      <c r="A4" s="1">
        <v>1991</v>
      </c>
      <c r="B4" s="15">
        <v>0.63</v>
      </c>
      <c r="C4" s="15">
        <v>-0.02</v>
      </c>
    </row>
    <row r="5" spans="1:3" x14ac:dyDescent="0.4">
      <c r="A5" s="1">
        <v>1992</v>
      </c>
      <c r="B5" s="15">
        <v>1.26</v>
      </c>
      <c r="C5" s="15">
        <v>7.0000000000000007E-2</v>
      </c>
    </row>
    <row r="6" spans="1:3" x14ac:dyDescent="0.4">
      <c r="A6" s="1">
        <v>1993</v>
      </c>
      <c r="B6" s="15">
        <v>0.43</v>
      </c>
      <c r="C6" s="15">
        <v>0.15</v>
      </c>
    </row>
    <row r="7" spans="1:3" x14ac:dyDescent="0.4">
      <c r="A7" s="1">
        <v>1994</v>
      </c>
      <c r="B7" s="15">
        <v>0.21</v>
      </c>
      <c r="C7" s="15">
        <v>0.37</v>
      </c>
    </row>
    <row r="8" spans="1:3" x14ac:dyDescent="0.4">
      <c r="A8" s="4">
        <v>1995</v>
      </c>
      <c r="B8" s="16">
        <v>0.52</v>
      </c>
      <c r="C8" s="16">
        <v>0.31</v>
      </c>
    </row>
    <row r="9" spans="1:3" x14ac:dyDescent="0.4">
      <c r="A9" s="396"/>
      <c r="B9" s="396"/>
      <c r="C9" s="396"/>
    </row>
    <row r="10" spans="1:3" ht="25.5" customHeight="1" x14ac:dyDescent="0.4">
      <c r="A10" s="399" t="s">
        <v>13</v>
      </c>
      <c r="B10" s="395"/>
      <c r="C10" s="395"/>
    </row>
    <row r="11" spans="1:3" x14ac:dyDescent="0.4">
      <c r="A11" s="399"/>
      <c r="B11" s="399"/>
      <c r="C11" s="399"/>
    </row>
    <row r="12" spans="1:3" x14ac:dyDescent="0.4">
      <c r="A12" s="400" t="s">
        <v>14</v>
      </c>
      <c r="B12" s="395"/>
      <c r="C12" s="395"/>
    </row>
    <row r="13" spans="1:3" x14ac:dyDescent="0.4">
      <c r="A13" s="1"/>
      <c r="B13" s="1"/>
      <c r="C13" s="1"/>
    </row>
    <row r="14" spans="1:3" x14ac:dyDescent="0.4">
      <c r="A14" s="1"/>
      <c r="B14" s="1"/>
      <c r="C14" s="1"/>
    </row>
    <row r="15" spans="1:3" x14ac:dyDescent="0.4">
      <c r="A15" s="1"/>
      <c r="B15" s="1"/>
      <c r="C15" s="1"/>
    </row>
    <row r="16" spans="1:3" x14ac:dyDescent="0.4">
      <c r="A16" s="1"/>
      <c r="B16" s="1"/>
      <c r="C16" s="1"/>
    </row>
  </sheetData>
  <mergeCells count="4">
    <mergeCell ref="A9:C9"/>
    <mergeCell ref="A10:C10"/>
    <mergeCell ref="A12:C12"/>
    <mergeCell ref="A11:C11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"/>
  <sheetViews>
    <sheetView workbookViewId="0">
      <selection activeCell="F18" sqref="F18"/>
    </sheetView>
  </sheetViews>
  <sheetFormatPr baseColWidth="10" defaultColWidth="8.88671875" defaultRowHeight="12.3" x14ac:dyDescent="0.4"/>
  <cols>
    <col min="1" max="1" width="22.5546875" customWidth="1"/>
  </cols>
  <sheetData>
    <row r="1" spans="1:6" x14ac:dyDescent="0.4">
      <c r="A1" s="397" t="s">
        <v>34</v>
      </c>
      <c r="B1" s="397"/>
      <c r="C1" s="397"/>
      <c r="D1" s="397"/>
      <c r="E1" s="397"/>
    </row>
    <row r="2" spans="1:6" x14ac:dyDescent="0.4">
      <c r="A2" s="398"/>
      <c r="B2" s="398"/>
      <c r="C2" s="398"/>
      <c r="D2" s="398"/>
      <c r="E2" s="398"/>
    </row>
    <row r="3" spans="1:6" ht="14.1" x14ac:dyDescent="0.4">
      <c r="A3" s="17"/>
      <c r="B3" s="14" t="s">
        <v>35</v>
      </c>
      <c r="C3" s="14" t="s">
        <v>36</v>
      </c>
      <c r="D3" s="14" t="s">
        <v>37</v>
      </c>
      <c r="E3" s="14" t="s">
        <v>90</v>
      </c>
      <c r="F3" s="3"/>
    </row>
    <row r="4" spans="1:6" x14ac:dyDescent="0.4">
      <c r="A4" s="1" t="s">
        <v>17</v>
      </c>
      <c r="B4" s="9">
        <v>40</v>
      </c>
      <c r="C4" s="9">
        <v>54</v>
      </c>
      <c r="D4" s="9">
        <v>46</v>
      </c>
      <c r="E4" s="9">
        <v>48</v>
      </c>
    </row>
    <row r="5" spans="1:6" x14ac:dyDescent="0.4">
      <c r="A5" s="1" t="s">
        <v>18</v>
      </c>
      <c r="B5" s="9">
        <v>44</v>
      </c>
      <c r="C5" s="9">
        <v>51</v>
      </c>
      <c r="D5" s="9">
        <v>55</v>
      </c>
      <c r="E5" s="9">
        <v>40</v>
      </c>
    </row>
    <row r="6" spans="1:6" x14ac:dyDescent="0.4">
      <c r="A6" s="1" t="s">
        <v>19</v>
      </c>
      <c r="B6" s="9">
        <v>47</v>
      </c>
      <c r="C6" s="9">
        <v>52</v>
      </c>
      <c r="D6" s="9">
        <v>51</v>
      </c>
      <c r="E6" s="9">
        <v>48</v>
      </c>
    </row>
    <row r="7" spans="1:6" x14ac:dyDescent="0.4">
      <c r="A7" s="1" t="s">
        <v>20</v>
      </c>
      <c r="B7" s="9">
        <v>55</v>
      </c>
      <c r="C7" s="9">
        <v>54</v>
      </c>
      <c r="D7" s="9">
        <v>53</v>
      </c>
      <c r="E7" s="9">
        <v>56</v>
      </c>
    </row>
    <row r="8" spans="1:6" x14ac:dyDescent="0.4">
      <c r="A8" s="1" t="s">
        <v>21</v>
      </c>
      <c r="B8" s="9">
        <v>55</v>
      </c>
      <c r="C8" s="9">
        <v>58</v>
      </c>
      <c r="D8" s="9">
        <v>56</v>
      </c>
      <c r="E8" s="9">
        <v>57</v>
      </c>
    </row>
    <row r="9" spans="1:6" x14ac:dyDescent="0.4">
      <c r="A9" s="1" t="s">
        <v>22</v>
      </c>
      <c r="B9" s="9">
        <v>41</v>
      </c>
      <c r="C9" s="9">
        <v>53</v>
      </c>
      <c r="D9" s="9">
        <v>43</v>
      </c>
      <c r="E9" s="9">
        <v>51</v>
      </c>
    </row>
    <row r="10" spans="1:6" x14ac:dyDescent="0.4">
      <c r="A10" s="1" t="s">
        <v>23</v>
      </c>
      <c r="B10" s="9">
        <v>33</v>
      </c>
      <c r="C10" s="9">
        <v>53</v>
      </c>
      <c r="D10" s="9">
        <v>45</v>
      </c>
      <c r="E10" s="9">
        <v>41</v>
      </c>
    </row>
    <row r="11" spans="1:6" x14ac:dyDescent="0.4">
      <c r="A11" s="1" t="s">
        <v>24</v>
      </c>
      <c r="B11" s="9">
        <v>33</v>
      </c>
      <c r="C11" s="9">
        <v>50</v>
      </c>
      <c r="D11" s="9">
        <v>42</v>
      </c>
      <c r="E11" s="9">
        <v>41</v>
      </c>
    </row>
    <row r="12" spans="1:6" x14ac:dyDescent="0.4">
      <c r="A12" s="1" t="s">
        <v>25</v>
      </c>
      <c r="B12" s="9">
        <v>32</v>
      </c>
      <c r="C12" s="9">
        <v>53</v>
      </c>
      <c r="D12" s="9">
        <v>45</v>
      </c>
      <c r="E12" s="9">
        <v>40</v>
      </c>
    </row>
    <row r="13" spans="1:6" x14ac:dyDescent="0.4">
      <c r="A13" s="1" t="s">
        <v>26</v>
      </c>
      <c r="B13" s="9">
        <v>35</v>
      </c>
      <c r="C13" s="9">
        <v>49</v>
      </c>
      <c r="D13" s="9">
        <v>44</v>
      </c>
      <c r="E13" s="9">
        <v>40</v>
      </c>
    </row>
    <row r="14" spans="1:6" x14ac:dyDescent="0.4">
      <c r="A14" s="1" t="s">
        <v>27</v>
      </c>
      <c r="B14" s="9">
        <v>35</v>
      </c>
      <c r="C14" s="9">
        <v>50</v>
      </c>
      <c r="D14" s="9">
        <v>46</v>
      </c>
      <c r="E14" s="9">
        <v>39</v>
      </c>
    </row>
    <row r="15" spans="1:6" x14ac:dyDescent="0.4">
      <c r="A15" s="1" t="s">
        <v>28</v>
      </c>
      <c r="B15" s="9">
        <v>32</v>
      </c>
      <c r="C15" s="9">
        <v>47</v>
      </c>
      <c r="D15" s="9">
        <v>44</v>
      </c>
      <c r="E15" s="9">
        <v>35</v>
      </c>
    </row>
    <row r="16" spans="1:6" x14ac:dyDescent="0.4">
      <c r="A16" s="1" t="s">
        <v>29</v>
      </c>
      <c r="B16" s="9">
        <v>34</v>
      </c>
      <c r="C16" s="9">
        <v>47</v>
      </c>
      <c r="D16" s="9">
        <v>42</v>
      </c>
      <c r="E16" s="9">
        <v>39</v>
      </c>
    </row>
    <row r="17" spans="1:5" x14ac:dyDescent="0.4">
      <c r="A17" s="1" t="s">
        <v>30</v>
      </c>
      <c r="B17" s="9">
        <v>36</v>
      </c>
      <c r="C17" s="9">
        <v>50</v>
      </c>
      <c r="D17" s="9">
        <v>43</v>
      </c>
      <c r="E17" s="9">
        <v>43</v>
      </c>
    </row>
    <row r="18" spans="1:5" x14ac:dyDescent="0.4">
      <c r="A18" s="1" t="s">
        <v>31</v>
      </c>
      <c r="B18" s="9">
        <v>37</v>
      </c>
      <c r="C18" s="9">
        <v>49</v>
      </c>
      <c r="D18" s="9">
        <v>43</v>
      </c>
      <c r="E18" s="9">
        <v>43</v>
      </c>
    </row>
    <row r="19" spans="1:5" x14ac:dyDescent="0.4">
      <c r="A19" s="1" t="s">
        <v>32</v>
      </c>
      <c r="B19" s="9">
        <v>31</v>
      </c>
      <c r="C19" s="9">
        <v>42</v>
      </c>
      <c r="D19" s="9">
        <v>33</v>
      </c>
      <c r="E19" s="9">
        <v>40</v>
      </c>
    </row>
    <row r="20" spans="1:5" x14ac:dyDescent="0.4">
      <c r="A20" s="4"/>
      <c r="B20" s="18"/>
      <c r="C20" s="18"/>
      <c r="D20" s="18"/>
      <c r="E20" s="18"/>
    </row>
    <row r="21" spans="1:5" x14ac:dyDescent="0.4">
      <c r="A21" s="396"/>
      <c r="B21" s="396"/>
      <c r="C21" s="396"/>
      <c r="D21" s="396"/>
      <c r="E21" s="396"/>
    </row>
    <row r="22" spans="1:5" x14ac:dyDescent="0.4">
      <c r="A22" s="402" t="s">
        <v>33</v>
      </c>
      <c r="B22" s="402"/>
      <c r="C22" s="402"/>
      <c r="D22" s="402"/>
      <c r="E22" s="402"/>
    </row>
    <row r="23" spans="1:5" x14ac:dyDescent="0.4">
      <c r="A23" s="401" t="s">
        <v>38</v>
      </c>
      <c r="B23" s="402"/>
      <c r="C23" s="402"/>
      <c r="D23" s="402"/>
      <c r="E23" s="402"/>
    </row>
    <row r="24" spans="1:5" x14ac:dyDescent="0.4">
      <c r="A24" s="401" t="s">
        <v>39</v>
      </c>
      <c r="B24" s="402"/>
      <c r="C24" s="402"/>
      <c r="D24" s="402"/>
      <c r="E24" s="402"/>
    </row>
    <row r="25" spans="1:5" x14ac:dyDescent="0.4">
      <c r="A25" s="401" t="s">
        <v>40</v>
      </c>
      <c r="B25" s="402"/>
      <c r="C25" s="402"/>
      <c r="D25" s="402"/>
      <c r="E25" s="402"/>
    </row>
    <row r="26" spans="1:5" x14ac:dyDescent="0.4">
      <c r="A26" s="401" t="s">
        <v>41</v>
      </c>
      <c r="B26" s="402"/>
      <c r="C26" s="402"/>
      <c r="D26" s="402"/>
      <c r="E26" s="402"/>
    </row>
  </sheetData>
  <mergeCells count="8">
    <mergeCell ref="A1:E1"/>
    <mergeCell ref="A25:E25"/>
    <mergeCell ref="A26:E26"/>
    <mergeCell ref="A2:E2"/>
    <mergeCell ref="A21:E21"/>
    <mergeCell ref="A22:E22"/>
    <mergeCell ref="A23:E23"/>
    <mergeCell ref="A24:E24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workbookViewId="0">
      <selection sqref="A1:D1"/>
    </sheetView>
  </sheetViews>
  <sheetFormatPr baseColWidth="10" defaultColWidth="8.88671875" defaultRowHeight="12.3" x14ac:dyDescent="0.4"/>
  <cols>
    <col min="1" max="1" width="24.83203125" customWidth="1"/>
    <col min="2" max="4" width="12.71875" customWidth="1"/>
  </cols>
  <sheetData>
    <row r="1" spans="1:5" x14ac:dyDescent="0.4">
      <c r="A1" s="397" t="s">
        <v>49</v>
      </c>
      <c r="B1" s="403"/>
      <c r="C1" s="403"/>
      <c r="D1" s="403"/>
      <c r="E1" s="1"/>
    </row>
    <row r="2" spans="1:5" x14ac:dyDescent="0.4">
      <c r="A2" s="2"/>
      <c r="B2" s="1"/>
      <c r="C2" s="1"/>
      <c r="D2" s="1"/>
      <c r="E2" s="1"/>
    </row>
    <row r="3" spans="1:5" x14ac:dyDescent="0.4">
      <c r="A3" s="13" t="s">
        <v>42</v>
      </c>
      <c r="B3" s="14" t="s">
        <v>43</v>
      </c>
      <c r="C3" s="14" t="s">
        <v>44</v>
      </c>
      <c r="D3" s="14" t="s">
        <v>45</v>
      </c>
    </row>
    <row r="4" spans="1:5" x14ac:dyDescent="0.4">
      <c r="A4" s="1" t="s">
        <v>50</v>
      </c>
      <c r="B4" s="15">
        <v>7.0000000000000007E-2</v>
      </c>
      <c r="C4" s="15">
        <v>0</v>
      </c>
      <c r="D4" s="15">
        <v>0</v>
      </c>
    </row>
    <row r="5" spans="1:5" x14ac:dyDescent="0.4">
      <c r="A5" s="1" t="s">
        <v>46</v>
      </c>
      <c r="B5" s="15">
        <v>0.92</v>
      </c>
      <c r="C5" s="15">
        <v>0.71</v>
      </c>
      <c r="D5" s="15">
        <v>0.25</v>
      </c>
    </row>
    <row r="6" spans="1:5" x14ac:dyDescent="0.4">
      <c r="A6" s="4" t="s">
        <v>47</v>
      </c>
      <c r="B6" s="16">
        <v>0.01</v>
      </c>
      <c r="C6" s="16">
        <v>0.28999999999999998</v>
      </c>
      <c r="D6" s="16">
        <v>0.75</v>
      </c>
    </row>
    <row r="7" spans="1:5" x14ac:dyDescent="0.4">
      <c r="A7" s="396"/>
      <c r="B7" s="396"/>
      <c r="C7" s="396"/>
      <c r="D7" s="396"/>
      <c r="E7" s="12"/>
    </row>
    <row r="8" spans="1:5" x14ac:dyDescent="0.4">
      <c r="A8" s="402" t="s">
        <v>48</v>
      </c>
      <c r="B8" s="402"/>
      <c r="C8" s="402"/>
      <c r="D8" s="402"/>
      <c r="E8" s="1"/>
    </row>
  </sheetData>
  <mergeCells count="3">
    <mergeCell ref="A8:D8"/>
    <mergeCell ref="A7:D7"/>
    <mergeCell ref="A1:D1"/>
  </mergeCells>
  <phoneticPr fontId="4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4"/>
  <sheetViews>
    <sheetView workbookViewId="0">
      <selection activeCell="C22" sqref="C22"/>
    </sheetView>
  </sheetViews>
  <sheetFormatPr baseColWidth="10" defaultColWidth="8.88671875" defaultRowHeight="12.3" x14ac:dyDescent="0.4"/>
  <cols>
    <col min="1" max="1" width="25.27734375" customWidth="1"/>
    <col min="2" max="6" width="9.71875" customWidth="1"/>
  </cols>
  <sheetData>
    <row r="1" spans="1:6" x14ac:dyDescent="0.4">
      <c r="A1" s="397" t="s">
        <v>61</v>
      </c>
      <c r="B1" s="403"/>
      <c r="C1" s="403"/>
      <c r="D1" s="403"/>
      <c r="E1" s="403"/>
      <c r="F1" s="403"/>
    </row>
    <row r="2" spans="1:6" x14ac:dyDescent="0.4">
      <c r="A2" s="398"/>
      <c r="B2" s="404"/>
      <c r="C2" s="404"/>
      <c r="D2" s="404"/>
      <c r="E2" s="404"/>
      <c r="F2" s="404"/>
    </row>
    <row r="3" spans="1:6" x14ac:dyDescent="0.4">
      <c r="A3" s="6" t="s">
        <v>51</v>
      </c>
      <c r="B3" s="20">
        <v>1992</v>
      </c>
      <c r="C3" s="20">
        <v>1993</v>
      </c>
      <c r="D3" s="20">
        <v>1994</v>
      </c>
      <c r="E3" s="20">
        <v>1995</v>
      </c>
      <c r="F3" s="20">
        <v>1996</v>
      </c>
    </row>
    <row r="4" spans="1:6" x14ac:dyDescent="0.4">
      <c r="A4" s="1" t="s">
        <v>52</v>
      </c>
      <c r="B4" s="24">
        <v>890</v>
      </c>
      <c r="C4" s="24">
        <v>2014</v>
      </c>
      <c r="D4" s="24">
        <v>2873</v>
      </c>
      <c r="E4" s="24">
        <v>3475</v>
      </c>
      <c r="F4" s="24">
        <v>5296</v>
      </c>
    </row>
    <row r="5" spans="1:6" x14ac:dyDescent="0.4">
      <c r="A5" s="1" t="s">
        <v>53</v>
      </c>
      <c r="B5" s="27">
        <v>608</v>
      </c>
      <c r="C5" s="28">
        <v>1565</v>
      </c>
      <c r="D5" s="28">
        <v>2440</v>
      </c>
      <c r="E5" s="28">
        <v>2737</v>
      </c>
      <c r="F5" s="28">
        <v>4229</v>
      </c>
    </row>
    <row r="6" spans="1:6" x14ac:dyDescent="0.4">
      <c r="A6" s="1" t="s">
        <v>54</v>
      </c>
      <c r="B6" s="22">
        <v>282</v>
      </c>
      <c r="C6" s="22">
        <v>449</v>
      </c>
      <c r="D6" s="22">
        <v>433</v>
      </c>
      <c r="E6" s="22">
        <v>738</v>
      </c>
      <c r="F6" s="21">
        <v>1067</v>
      </c>
    </row>
    <row r="7" spans="1:6" x14ac:dyDescent="0.4">
      <c r="A7" s="1" t="s">
        <v>55</v>
      </c>
      <c r="B7" s="27">
        <v>215</v>
      </c>
      <c r="C7" s="27">
        <v>310</v>
      </c>
      <c r="D7" s="27">
        <v>472</v>
      </c>
      <c r="E7" s="39">
        <v>489</v>
      </c>
      <c r="F7" s="39">
        <v>690</v>
      </c>
    </row>
    <row r="8" spans="1:6" x14ac:dyDescent="0.4">
      <c r="A8" s="1" t="s">
        <v>56</v>
      </c>
      <c r="B8" s="22">
        <v>67</v>
      </c>
      <c r="C8" s="22">
        <v>139</v>
      </c>
      <c r="D8" s="25">
        <v>-39</v>
      </c>
      <c r="E8" s="22">
        <v>249</v>
      </c>
      <c r="F8" s="22">
        <v>377</v>
      </c>
    </row>
    <row r="9" spans="1:6" x14ac:dyDescent="0.4">
      <c r="A9" s="1" t="s">
        <v>57</v>
      </c>
      <c r="B9" s="22">
        <v>7</v>
      </c>
      <c r="C9" s="22">
        <v>4</v>
      </c>
      <c r="D9" s="22">
        <v>0</v>
      </c>
      <c r="E9" s="25">
        <v>-36</v>
      </c>
      <c r="F9" s="22">
        <v>6</v>
      </c>
    </row>
    <row r="10" spans="1:6" x14ac:dyDescent="0.4">
      <c r="A10" s="1" t="s">
        <v>58</v>
      </c>
      <c r="B10" s="27">
        <v>23</v>
      </c>
      <c r="C10" s="27">
        <v>41</v>
      </c>
      <c r="D10" s="29">
        <v>-3</v>
      </c>
      <c r="E10" s="27">
        <v>64</v>
      </c>
      <c r="F10" s="27">
        <v>111</v>
      </c>
    </row>
    <row r="11" spans="1:6" x14ac:dyDescent="0.4">
      <c r="A11" s="19" t="s">
        <v>59</v>
      </c>
      <c r="B11" s="23">
        <v>51</v>
      </c>
      <c r="C11" s="23">
        <v>102</v>
      </c>
      <c r="D11" s="26">
        <v>-36</v>
      </c>
      <c r="E11" s="23">
        <v>149</v>
      </c>
      <c r="F11" s="23">
        <v>272</v>
      </c>
    </row>
    <row r="12" spans="1:6" x14ac:dyDescent="0.4">
      <c r="A12" s="5"/>
      <c r="B12" s="5"/>
      <c r="C12" s="5"/>
      <c r="D12" s="5"/>
      <c r="E12" s="5"/>
      <c r="F12" s="5"/>
    </row>
    <row r="13" spans="1:6" x14ac:dyDescent="0.4">
      <c r="A13" s="396"/>
      <c r="B13" s="396"/>
      <c r="C13" s="396"/>
      <c r="D13" s="396"/>
      <c r="E13" s="396"/>
      <c r="F13" s="396"/>
    </row>
    <row r="14" spans="1:6" x14ac:dyDescent="0.4">
      <c r="A14" s="402" t="s">
        <v>60</v>
      </c>
      <c r="B14" s="403"/>
      <c r="C14" s="403"/>
      <c r="D14" s="403"/>
      <c r="E14" s="403"/>
      <c r="F14" s="403"/>
    </row>
  </sheetData>
  <mergeCells count="4">
    <mergeCell ref="A13:F13"/>
    <mergeCell ref="A14:F14"/>
    <mergeCell ref="A1:F1"/>
    <mergeCell ref="A2:F2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1"/>
  <sheetViews>
    <sheetView topLeftCell="A9" workbookViewId="0">
      <selection activeCell="A36" sqref="A36:D36"/>
    </sheetView>
  </sheetViews>
  <sheetFormatPr baseColWidth="10" defaultColWidth="8.88671875" defaultRowHeight="12.3" x14ac:dyDescent="0.4"/>
  <cols>
    <col min="1" max="1" width="38.44140625" customWidth="1"/>
    <col min="2" max="4" width="12.71875" customWidth="1"/>
  </cols>
  <sheetData>
    <row r="1" spans="1:5" x14ac:dyDescent="0.4">
      <c r="A1" s="397" t="s">
        <v>87</v>
      </c>
      <c r="B1" s="397"/>
      <c r="C1" s="397"/>
      <c r="D1" s="397"/>
      <c r="E1" s="2"/>
    </row>
    <row r="2" spans="1:5" x14ac:dyDescent="0.4">
      <c r="A2" s="398"/>
      <c r="B2" s="398"/>
      <c r="C2" s="398"/>
      <c r="D2" s="398"/>
      <c r="E2" s="38"/>
    </row>
    <row r="3" spans="1:5" x14ac:dyDescent="0.4">
      <c r="A3" s="30"/>
      <c r="B3" s="405" t="s">
        <v>62</v>
      </c>
      <c r="C3" s="406"/>
      <c r="D3" s="406"/>
      <c r="E3" s="1"/>
    </row>
    <row r="4" spans="1:5" x14ac:dyDescent="0.4">
      <c r="A4" s="1"/>
      <c r="B4" s="14" t="s">
        <v>65</v>
      </c>
      <c r="C4" s="14" t="s">
        <v>64</v>
      </c>
      <c r="D4" s="14" t="s">
        <v>63</v>
      </c>
    </row>
    <row r="5" spans="1:5" x14ac:dyDescent="0.4">
      <c r="A5" s="4"/>
      <c r="B5" s="8">
        <v>1994</v>
      </c>
      <c r="C5" s="8">
        <v>1995</v>
      </c>
      <c r="D5" s="8">
        <v>1996</v>
      </c>
    </row>
    <row r="6" spans="1:5" x14ac:dyDescent="0.4">
      <c r="A6" s="1" t="s">
        <v>66</v>
      </c>
      <c r="B6" s="22"/>
      <c r="C6" s="22"/>
      <c r="D6" s="22"/>
    </row>
    <row r="7" spans="1:5" x14ac:dyDescent="0.4">
      <c r="A7" s="31" t="s">
        <v>67</v>
      </c>
      <c r="B7" s="22">
        <v>3</v>
      </c>
      <c r="C7" s="22">
        <v>43</v>
      </c>
      <c r="D7" s="22">
        <v>55</v>
      </c>
    </row>
    <row r="8" spans="1:5" x14ac:dyDescent="0.4">
      <c r="A8" s="31" t="s">
        <v>68</v>
      </c>
      <c r="B8" s="22">
        <v>334</v>
      </c>
      <c r="C8" s="22">
        <v>484</v>
      </c>
      <c r="D8" s="22">
        <v>591</v>
      </c>
    </row>
    <row r="9" spans="1:5" x14ac:dyDescent="0.4">
      <c r="A9" s="31" t="s">
        <v>69</v>
      </c>
      <c r="B9" s="22">
        <v>411</v>
      </c>
      <c r="C9" s="22">
        <v>538</v>
      </c>
      <c r="D9" s="22">
        <v>726</v>
      </c>
    </row>
    <row r="10" spans="1:5" x14ac:dyDescent="0.4">
      <c r="A10" s="31" t="s">
        <v>70</v>
      </c>
      <c r="B10" s="22">
        <v>220</v>
      </c>
      <c r="C10" s="22">
        <v>293</v>
      </c>
      <c r="D10" s="22">
        <v>429</v>
      </c>
    </row>
    <row r="11" spans="1:5" x14ac:dyDescent="0.4">
      <c r="A11" s="31" t="s">
        <v>71</v>
      </c>
      <c r="B11" s="27">
        <v>80</v>
      </c>
      <c r="C11" s="27">
        <v>112</v>
      </c>
      <c r="D11" s="27">
        <v>156</v>
      </c>
    </row>
    <row r="12" spans="1:5" x14ac:dyDescent="0.4">
      <c r="A12" s="32" t="s">
        <v>72</v>
      </c>
      <c r="B12" s="21">
        <v>1048</v>
      </c>
      <c r="C12" s="21">
        <v>1470</v>
      </c>
      <c r="D12" s="21">
        <v>1957</v>
      </c>
    </row>
    <row r="13" spans="1:5" x14ac:dyDescent="0.4">
      <c r="A13" s="31" t="s">
        <v>73</v>
      </c>
      <c r="B13" s="22">
        <v>87</v>
      </c>
      <c r="C13" s="22">
        <v>117</v>
      </c>
      <c r="D13" s="22">
        <v>179</v>
      </c>
    </row>
    <row r="14" spans="1:5" x14ac:dyDescent="0.4">
      <c r="A14" s="31" t="s">
        <v>71</v>
      </c>
      <c r="B14" s="27">
        <v>5</v>
      </c>
      <c r="C14" s="27">
        <v>7</v>
      </c>
      <c r="D14" s="27">
        <v>12</v>
      </c>
    </row>
    <row r="15" spans="1:5" x14ac:dyDescent="0.4">
      <c r="A15" s="33" t="s">
        <v>74</v>
      </c>
      <c r="B15" s="35">
        <v>1140</v>
      </c>
      <c r="C15" s="35">
        <v>1594</v>
      </c>
      <c r="D15" s="35">
        <v>2148</v>
      </c>
    </row>
    <row r="16" spans="1:5" x14ac:dyDescent="0.4">
      <c r="A16" s="33"/>
      <c r="B16" s="35"/>
      <c r="C16" s="35"/>
      <c r="D16" s="35"/>
    </row>
    <row r="17" spans="1:4" x14ac:dyDescent="0.4">
      <c r="A17" s="1" t="s">
        <v>75</v>
      </c>
      <c r="B17" s="22"/>
      <c r="C17" s="22"/>
      <c r="D17" s="22"/>
    </row>
    <row r="18" spans="1:4" x14ac:dyDescent="0.4">
      <c r="A18" s="31" t="s">
        <v>76</v>
      </c>
      <c r="B18" s="22" t="s">
        <v>77</v>
      </c>
      <c r="C18" s="22">
        <v>403</v>
      </c>
      <c r="D18" s="22">
        <v>466</v>
      </c>
    </row>
    <row r="19" spans="1:4" x14ac:dyDescent="0.4">
      <c r="A19" s="31" t="s">
        <v>78</v>
      </c>
      <c r="B19" s="22" t="s">
        <v>77</v>
      </c>
      <c r="C19" s="27">
        <v>349</v>
      </c>
      <c r="D19" s="27">
        <v>473</v>
      </c>
    </row>
    <row r="20" spans="1:4" x14ac:dyDescent="0.4">
      <c r="A20" s="32" t="s">
        <v>79</v>
      </c>
      <c r="B20" s="22">
        <v>538</v>
      </c>
      <c r="C20" s="22">
        <v>752</v>
      </c>
      <c r="D20" s="22">
        <v>939</v>
      </c>
    </row>
    <row r="21" spans="1:4" ht="13.8" x14ac:dyDescent="0.4">
      <c r="A21" s="155" t="s">
        <v>356</v>
      </c>
      <c r="B21" s="22">
        <v>100</v>
      </c>
      <c r="C21" s="22">
        <v>113</v>
      </c>
      <c r="D21" s="22">
        <v>113</v>
      </c>
    </row>
    <row r="22" spans="1:4" x14ac:dyDescent="0.4">
      <c r="A22" s="1" t="s">
        <v>81</v>
      </c>
      <c r="B22" s="27">
        <v>31</v>
      </c>
      <c r="C22" s="27">
        <v>77</v>
      </c>
      <c r="D22" s="27">
        <v>123</v>
      </c>
    </row>
    <row r="23" spans="1:4" x14ac:dyDescent="0.4">
      <c r="A23" s="33" t="s">
        <v>82</v>
      </c>
      <c r="B23" s="34">
        <v>669</v>
      </c>
      <c r="C23" s="34">
        <v>942</v>
      </c>
      <c r="D23" s="35">
        <v>1175</v>
      </c>
    </row>
    <row r="24" spans="1:4" x14ac:dyDescent="0.4">
      <c r="A24" s="1" t="s">
        <v>83</v>
      </c>
      <c r="B24" s="22"/>
      <c r="C24" s="22"/>
      <c r="D24" s="22"/>
    </row>
    <row r="25" spans="1:4" ht="13.8" x14ac:dyDescent="0.4">
      <c r="A25" s="40" t="s">
        <v>88</v>
      </c>
      <c r="B25" s="22" t="s">
        <v>77</v>
      </c>
      <c r="C25" s="22">
        <v>120</v>
      </c>
      <c r="D25" s="22">
        <v>6</v>
      </c>
    </row>
    <row r="26" spans="1:4" ht="13.8" x14ac:dyDescent="0.4">
      <c r="A26" s="31" t="s">
        <v>89</v>
      </c>
      <c r="B26" s="22" t="s">
        <v>77</v>
      </c>
      <c r="C26" s="22">
        <v>242</v>
      </c>
      <c r="D26" s="22">
        <v>430</v>
      </c>
    </row>
    <row r="27" spans="1:4" x14ac:dyDescent="0.4">
      <c r="A27" s="31" t="s">
        <v>84</v>
      </c>
      <c r="B27" s="22" t="s">
        <v>77</v>
      </c>
      <c r="C27" s="22">
        <v>311</v>
      </c>
      <c r="D27" s="22">
        <v>570</v>
      </c>
    </row>
    <row r="28" spans="1:4" x14ac:dyDescent="0.4">
      <c r="A28" s="31" t="s">
        <v>71</v>
      </c>
      <c r="B28" s="22" t="s">
        <v>77</v>
      </c>
      <c r="C28" s="29">
        <v>-21</v>
      </c>
      <c r="D28" s="29">
        <v>-33</v>
      </c>
    </row>
    <row r="29" spans="1:4" x14ac:dyDescent="0.4">
      <c r="A29" s="33" t="s">
        <v>85</v>
      </c>
      <c r="B29" s="36">
        <v>471</v>
      </c>
      <c r="C29" s="36">
        <v>652</v>
      </c>
      <c r="D29" s="36">
        <v>973</v>
      </c>
    </row>
    <row r="30" spans="1:4" x14ac:dyDescent="0.4">
      <c r="A30" s="1"/>
      <c r="B30" s="21">
        <v>1140</v>
      </c>
      <c r="C30" s="21">
        <v>1594</v>
      </c>
      <c r="D30" s="21">
        <v>2148</v>
      </c>
    </row>
    <row r="31" spans="1:4" x14ac:dyDescent="0.4">
      <c r="A31" s="4"/>
      <c r="B31" s="37"/>
      <c r="C31" s="37"/>
      <c r="D31" s="37"/>
    </row>
    <row r="32" spans="1:4" x14ac:dyDescent="0.4">
      <c r="A32" s="396"/>
      <c r="B32" s="396"/>
      <c r="C32" s="396"/>
      <c r="D32" s="396"/>
    </row>
    <row r="33" spans="1:5" x14ac:dyDescent="0.4">
      <c r="A33" s="402" t="s">
        <v>86</v>
      </c>
      <c r="B33" s="402"/>
      <c r="C33" s="402"/>
      <c r="D33" s="402"/>
      <c r="E33" s="1"/>
    </row>
    <row r="34" spans="1:5" x14ac:dyDescent="0.4">
      <c r="A34" s="402"/>
      <c r="B34" s="403"/>
      <c r="C34" s="403"/>
      <c r="D34" s="403"/>
      <c r="E34" s="1"/>
    </row>
    <row r="35" spans="1:5" x14ac:dyDescent="0.4">
      <c r="A35" s="401" t="s">
        <v>355</v>
      </c>
      <c r="B35" s="403"/>
      <c r="C35" s="403"/>
      <c r="D35" s="403"/>
      <c r="E35" s="1"/>
    </row>
    <row r="36" spans="1:5" x14ac:dyDescent="0.4">
      <c r="A36" s="401" t="s">
        <v>358</v>
      </c>
      <c r="B36" s="403"/>
      <c r="C36" s="403"/>
      <c r="D36" s="403"/>
    </row>
    <row r="37" spans="1:5" x14ac:dyDescent="0.4">
      <c r="A37" s="281" t="s">
        <v>359</v>
      </c>
    </row>
    <row r="38" spans="1:5" x14ac:dyDescent="0.4">
      <c r="A38" s="281" t="s">
        <v>360</v>
      </c>
    </row>
    <row r="39" spans="1:5" x14ac:dyDescent="0.4">
      <c r="A39" s="281" t="s">
        <v>361</v>
      </c>
    </row>
    <row r="40" spans="1:5" x14ac:dyDescent="0.4">
      <c r="A40" s="281" t="s">
        <v>362</v>
      </c>
    </row>
    <row r="41" spans="1:5" x14ac:dyDescent="0.4">
      <c r="A41" s="281" t="s">
        <v>363</v>
      </c>
    </row>
  </sheetData>
  <mergeCells count="8">
    <mergeCell ref="A36:D36"/>
    <mergeCell ref="A35:D35"/>
    <mergeCell ref="A34:D34"/>
    <mergeCell ref="A32:D32"/>
    <mergeCell ref="A1:D1"/>
    <mergeCell ref="A2:D2"/>
    <mergeCell ref="B3:D3"/>
    <mergeCell ref="A33:D33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7436C-15AB-4F4F-BAE7-59E805DD7383}">
  <dimension ref="A1:AM99"/>
  <sheetViews>
    <sheetView showGridLines="0" topLeftCell="F68" zoomScale="84" zoomScaleNormal="84" workbookViewId="0">
      <selection activeCell="Y97" sqref="Y97"/>
    </sheetView>
  </sheetViews>
  <sheetFormatPr baseColWidth="10" defaultRowHeight="14.4" x14ac:dyDescent="0.55000000000000004"/>
  <cols>
    <col min="1" max="1" width="10.94140625" style="293" customWidth="1"/>
    <col min="2" max="2" width="0.83203125" style="293" customWidth="1"/>
    <col min="3" max="3" width="16.6640625" style="293" customWidth="1"/>
    <col min="4" max="4" width="0.83203125" style="293" customWidth="1"/>
    <col min="5" max="5" width="27.109375" style="293" customWidth="1"/>
    <col min="6" max="6" width="0.83203125" style="293" customWidth="1"/>
    <col min="7" max="11" width="9.0546875" style="293" customWidth="1"/>
    <col min="12" max="12" width="1.1640625" style="293" customWidth="1"/>
    <col min="13" max="17" width="9.0546875" style="293" customWidth="1"/>
    <col min="18" max="18" width="0.83203125" style="293" customWidth="1"/>
    <col min="19" max="19" width="2.38671875" style="293" customWidth="1"/>
    <col min="20" max="20" width="4.38671875" style="293" customWidth="1"/>
    <col min="21" max="21" width="9.0546875" style="293" customWidth="1"/>
    <col min="22" max="22" width="5.94140625" style="293" customWidth="1"/>
    <col min="23" max="23" width="1.1640625" style="293" customWidth="1"/>
    <col min="24" max="24" width="9.0546875" style="293" customWidth="1"/>
    <col min="25" max="25" width="5.94140625" style="293" customWidth="1"/>
    <col min="26" max="26" width="6.94140625" style="293" customWidth="1"/>
    <col min="27" max="27" width="1.109375" style="293" customWidth="1"/>
    <col min="28" max="28" width="14" style="293" bestFit="1" customWidth="1"/>
    <col min="29" max="16384" width="10.6640625" style="293"/>
  </cols>
  <sheetData>
    <row r="1" spans="1:30" ht="18.600000000000001" thickBot="1" x14ac:dyDescent="0.75">
      <c r="A1" s="290" t="s">
        <v>375</v>
      </c>
      <c r="B1" s="291"/>
      <c r="C1" s="291"/>
      <c r="D1" s="291"/>
      <c r="E1" s="291"/>
      <c r="F1" s="291"/>
      <c r="G1" s="291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2"/>
      <c r="U1" s="292"/>
      <c r="V1" s="292"/>
      <c r="W1" s="292"/>
      <c r="X1" s="292"/>
      <c r="Y1" s="292"/>
    </row>
    <row r="2" spans="1:30" ht="4.8" customHeight="1" x14ac:dyDescent="0.55000000000000004">
      <c r="D2" s="294"/>
      <c r="E2" s="294"/>
      <c r="F2" s="294"/>
      <c r="G2" s="294"/>
    </row>
    <row r="3" spans="1:30" x14ac:dyDescent="0.55000000000000004">
      <c r="A3" s="295" t="s">
        <v>376</v>
      </c>
      <c r="B3" s="295"/>
    </row>
    <row r="5" spans="1:30" x14ac:dyDescent="0.55000000000000004">
      <c r="G5" s="296" t="s">
        <v>377</v>
      </c>
      <c r="H5" s="296"/>
      <c r="I5" s="296"/>
      <c r="J5" s="296"/>
      <c r="K5" s="296"/>
      <c r="M5" s="297" t="s">
        <v>406</v>
      </c>
      <c r="O5" s="296" t="s">
        <v>377</v>
      </c>
      <c r="P5" s="296"/>
      <c r="U5" s="296" t="s">
        <v>377</v>
      </c>
      <c r="V5" s="296"/>
      <c r="X5" s="297" t="s">
        <v>406</v>
      </c>
      <c r="Y5" s="298"/>
      <c r="AC5" s="297" t="s">
        <v>378</v>
      </c>
      <c r="AD5" s="298"/>
    </row>
    <row r="6" spans="1:30" ht="14.7" thickBot="1" x14ac:dyDescent="0.6">
      <c r="G6" s="299">
        <v>1992</v>
      </c>
      <c r="H6" s="299">
        <f>G6+1</f>
        <v>1993</v>
      </c>
      <c r="I6" s="299">
        <f t="shared" ref="I6:K6" si="0">H6+1</f>
        <v>1994</v>
      </c>
      <c r="J6" s="299">
        <f t="shared" si="0"/>
        <v>1995</v>
      </c>
      <c r="K6" s="299">
        <f t="shared" si="0"/>
        <v>1996</v>
      </c>
      <c r="M6" s="299">
        <v>1997</v>
      </c>
      <c r="O6" s="300" t="s">
        <v>417</v>
      </c>
      <c r="P6" s="300"/>
      <c r="U6" s="300">
        <v>1996</v>
      </c>
      <c r="V6" s="300"/>
      <c r="X6" s="300">
        <v>1997</v>
      </c>
      <c r="Y6" s="300"/>
      <c r="AC6" s="300">
        <v>1997</v>
      </c>
      <c r="AD6" s="300"/>
    </row>
    <row r="7" spans="1:30" ht="14.7" thickTop="1" x14ac:dyDescent="0.55000000000000004"/>
    <row r="8" spans="1:30" x14ac:dyDescent="0.55000000000000004">
      <c r="A8" s="407" t="s">
        <v>379</v>
      </c>
      <c r="C8" s="411" t="s">
        <v>380</v>
      </c>
      <c r="E8" s="293" t="s">
        <v>142</v>
      </c>
      <c r="G8" s="301">
        <f>-'Exhibit 6 (Modelo)'!C74</f>
        <v>32.630000000000003</v>
      </c>
      <c r="H8" s="301">
        <f>-'Exhibit 6 (Modelo)'!D74</f>
        <v>47.2</v>
      </c>
      <c r="I8" s="301">
        <f>-'Exhibit 6 (Modelo)'!E74</f>
        <v>48.055</v>
      </c>
      <c r="J8" s="301">
        <f>-'Exhibit 6 (Modelo)'!F74</f>
        <v>63.691000000000003</v>
      </c>
      <c r="K8" s="301">
        <f>-'Exhibit 6 (Modelo)'!G74</f>
        <v>101</v>
      </c>
      <c r="L8" s="301"/>
      <c r="M8" s="301">
        <f>-'Exhibit 6 (Modelo)'!I74</f>
        <v>120</v>
      </c>
      <c r="O8" s="301">
        <f>SUM(G8:K8)</f>
        <v>292.57600000000002</v>
      </c>
      <c r="P8" s="302">
        <f>O8/O$21</f>
        <v>0.22732347769739575</v>
      </c>
      <c r="U8" s="301">
        <f>K8</f>
        <v>101</v>
      </c>
      <c r="V8" s="302">
        <f>U8/U$21</f>
        <v>0.27077747989276141</v>
      </c>
      <c r="X8" s="301">
        <f>M8</f>
        <v>120</v>
      </c>
      <c r="Y8" s="302">
        <f ca="1">X8/X$21</f>
        <v>0.19245656666888938</v>
      </c>
      <c r="AB8" s="293" t="s">
        <v>142</v>
      </c>
      <c r="AC8" s="309">
        <v>114</v>
      </c>
      <c r="AD8" s="302">
        <f>AC8/AC$21</f>
        <v>8.0394922425952045E-2</v>
      </c>
    </row>
    <row r="9" spans="1:30" x14ac:dyDescent="0.55000000000000004">
      <c r="A9" s="408"/>
      <c r="C9" s="411"/>
      <c r="E9" s="293" t="s">
        <v>186</v>
      </c>
      <c r="G9" s="301">
        <f>-'Exhibit 6 (Modelo)'!C72</f>
        <v>0</v>
      </c>
      <c r="H9" s="301">
        <f>-'Exhibit 6 (Modelo)'!D72</f>
        <v>80.367000000000004</v>
      </c>
      <c r="I9" s="301">
        <f>-'Exhibit 6 (Modelo)'!E72</f>
        <v>253.29999999999995</v>
      </c>
      <c r="J9" s="301">
        <f>-'Exhibit 6 (Modelo)'!F72</f>
        <v>150.62700000000001</v>
      </c>
      <c r="K9" s="301">
        <f>-'Exhibit 6 (Modelo)'!G72</f>
        <v>106.70600000000002</v>
      </c>
      <c r="L9" s="301"/>
      <c r="M9" s="301">
        <f>-'Exhibit 6 (Modelo)'!I72</f>
        <v>781.98800000000006</v>
      </c>
      <c r="O9" s="301">
        <f>SUM(G9:K9)</f>
        <v>591</v>
      </c>
      <c r="P9" s="302">
        <f>O9/O$36</f>
        <v>0.45919069000588181</v>
      </c>
      <c r="U9" s="301">
        <f>K9</f>
        <v>106.70600000000002</v>
      </c>
      <c r="V9" s="302">
        <f>U9/U$36</f>
        <v>0.28607506702412872</v>
      </c>
      <c r="X9" s="301">
        <f>M9</f>
        <v>781.98800000000006</v>
      </c>
      <c r="Y9" s="302">
        <f ca="1">X9/X$36</f>
        <v>1.2541560471355957</v>
      </c>
      <c r="AB9" s="293" t="s">
        <v>186</v>
      </c>
      <c r="AC9" s="309">
        <f>9538-8891</f>
        <v>647</v>
      </c>
      <c r="AD9" s="302">
        <f>AC9/AC$36</f>
        <v>0.45627644569816644</v>
      </c>
    </row>
    <row r="10" spans="1:30" x14ac:dyDescent="0.55000000000000004">
      <c r="A10" s="408"/>
      <c r="C10" s="411"/>
      <c r="E10" s="293" t="s">
        <v>381</v>
      </c>
      <c r="G10" s="301">
        <f>-('Exhibit 6 (Modelo)'!C70+'Exhibit 6 (Modelo)'!C73)</f>
        <v>163.92399999999992</v>
      </c>
      <c r="H10" s="301">
        <f>-('Exhibit 6 (Modelo)'!D70+'Exhibit 6 (Modelo)'!D73)</f>
        <v>61.286999999999964</v>
      </c>
      <c r="I10" s="301">
        <f>-('Exhibit 6 (Modelo)'!E70+'Exhibit 6 (Modelo)'!E73)</f>
        <v>-118.31300000000016</v>
      </c>
      <c r="J10" s="301">
        <f>-('Exhibit 6 (Modelo)'!F70+'Exhibit 6 (Modelo)'!F73)</f>
        <v>-32.489000000000118</v>
      </c>
      <c r="K10" s="301">
        <f>-('Exhibit 6 (Modelo)'!G70+'Exhibit 6 (Modelo)'!G73)</f>
        <v>125.24699999999996</v>
      </c>
      <c r="L10" s="301"/>
      <c r="M10" s="301">
        <f>-('Exhibit 6 (Modelo)'!I70+'Exhibit 6 (Modelo)'!I73)</f>
        <v>-319.65939455526427</v>
      </c>
      <c r="O10" s="301">
        <f>SUM(G10:K10)</f>
        <v>199.65599999999958</v>
      </c>
      <c r="P10" s="302">
        <f>O10/O$36</f>
        <v>0.15512720203691058</v>
      </c>
      <c r="U10" s="301">
        <f>K10</f>
        <v>125.24699999999996</v>
      </c>
      <c r="V10" s="302">
        <f>U10/U$36</f>
        <v>0.33578284182305618</v>
      </c>
      <c r="X10" s="301">
        <f>M10</f>
        <v>-319.65939455526427</v>
      </c>
      <c r="Y10" s="302">
        <f ca="1">X10/X$36</f>
        <v>-0.51267124649635032</v>
      </c>
      <c r="AB10" s="293" t="s">
        <v>381</v>
      </c>
      <c r="AC10" s="309">
        <v>0</v>
      </c>
      <c r="AD10" s="302">
        <f>AC10/AC$36</f>
        <v>0</v>
      </c>
    </row>
    <row r="11" spans="1:30" ht="3.6" customHeight="1" thickBot="1" x14ac:dyDescent="0.6">
      <c r="A11" s="408"/>
      <c r="C11" s="411"/>
      <c r="G11" s="303"/>
      <c r="H11" s="304"/>
      <c r="I11" s="303"/>
      <c r="J11" s="304"/>
      <c r="K11" s="303"/>
      <c r="L11" s="301"/>
      <c r="M11" s="303"/>
      <c r="O11" s="303"/>
      <c r="P11" s="305"/>
      <c r="U11" s="303"/>
      <c r="V11" s="305"/>
      <c r="X11" s="303"/>
      <c r="Y11" s="305"/>
      <c r="AC11" s="303"/>
      <c r="AD11" s="305"/>
    </row>
    <row r="12" spans="1:30" ht="14.7" thickTop="1" x14ac:dyDescent="0.55000000000000004">
      <c r="A12" s="408"/>
      <c r="C12" s="411"/>
      <c r="E12" s="306" t="s">
        <v>382</v>
      </c>
      <c r="G12" s="307">
        <f>SUM(G8:G11)</f>
        <v>196.55399999999992</v>
      </c>
      <c r="H12" s="307">
        <f t="shared" ref="H12:K12" si="1">SUM(H8:H11)</f>
        <v>188.85399999999998</v>
      </c>
      <c r="I12" s="307">
        <f t="shared" si="1"/>
        <v>183.0419999999998</v>
      </c>
      <c r="J12" s="307">
        <f t="shared" si="1"/>
        <v>181.82899999999989</v>
      </c>
      <c r="K12" s="307">
        <f t="shared" si="1"/>
        <v>332.95299999999997</v>
      </c>
      <c r="L12" s="307">
        <f>SUM(L8:L10)</f>
        <v>0</v>
      </c>
      <c r="M12" s="307">
        <f t="shared" ref="M12" si="2">SUM(M8:M11)</f>
        <v>582.32860544473579</v>
      </c>
      <c r="O12" s="307">
        <f t="shared" ref="O12" si="3">SUM(O8:O11)</f>
        <v>1083.2319999999995</v>
      </c>
      <c r="P12" s="308">
        <f>P8+P9+P10+P11</f>
        <v>0.84164136974018811</v>
      </c>
      <c r="U12" s="307">
        <f t="shared" ref="U12" si="4">SUM(U8:U11)</f>
        <v>332.95299999999997</v>
      </c>
      <c r="V12" s="308">
        <f>V8+V9+V10+V11</f>
        <v>0.8926353887399463</v>
      </c>
      <c r="X12" s="307">
        <f t="shared" ref="X12" si="5">SUM(X8:X11)</f>
        <v>582.32860544473579</v>
      </c>
      <c r="Y12" s="308">
        <f ca="1">Y8+Y9+Y10+Y11</f>
        <v>0.93394136730813471</v>
      </c>
      <c r="AC12" s="307">
        <f t="shared" ref="AC12" si="6">SUM(AC8:AC11)</f>
        <v>761</v>
      </c>
      <c r="AD12" s="308">
        <f>AD8+AD9+AD10+AD11</f>
        <v>0.53667136812411853</v>
      </c>
    </row>
    <row r="13" spans="1:30" ht="3.9" customHeight="1" x14ac:dyDescent="0.55000000000000004">
      <c r="A13" s="408"/>
    </row>
    <row r="14" spans="1:30" x14ac:dyDescent="0.55000000000000004">
      <c r="A14" s="408"/>
      <c r="C14" s="411" t="s">
        <v>383</v>
      </c>
      <c r="E14" s="293" t="s">
        <v>384</v>
      </c>
      <c r="G14" s="301">
        <f>-'Exhibit 6 (Modelo)'!C83-'Exhibit 6 (Modelo)'!C81-'Exhibit 6 (Modelo)'!C85</f>
        <v>2.577</v>
      </c>
      <c r="H14" s="301">
        <f>-'Exhibit 6 (Modelo)'!D83-'Exhibit 6 (Modelo)'!D81-'Exhibit 6 (Modelo)'!D85</f>
        <v>0.7</v>
      </c>
      <c r="I14" s="301">
        <f>-'Exhibit 6 (Modelo)'!E83-'Exhibit 6 (Modelo)'!E81-'Exhibit 6 (Modelo)'!E85</f>
        <v>58.360999999999997</v>
      </c>
      <c r="J14" s="301">
        <f>-'Exhibit 6 (Modelo)'!F83-'Exhibit 6 (Modelo)'!F81-'Exhibit 6 (Modelo)'!F85</f>
        <v>1</v>
      </c>
      <c r="K14" s="301">
        <f>-'Exhibit 6 (Modelo)'!G83-'Exhibit 6 (Modelo)'!G81-'Exhibit 6 (Modelo)'!G85</f>
        <v>1</v>
      </c>
      <c r="L14" s="301"/>
      <c r="M14" s="301">
        <f ca="1">-'Exhibit 6 (Modelo)'!I83-'Exhibit 6 (Modelo)'!I81-'Exhibit 6 (Modelo)'!I85</f>
        <v>0</v>
      </c>
      <c r="O14" s="310">
        <f>SUM(G14:K14)</f>
        <v>63.637999999999998</v>
      </c>
      <c r="P14" s="302">
        <f>O14/O$36</f>
        <v>4.9444969764118961E-2</v>
      </c>
      <c r="U14" s="310">
        <f>K14</f>
        <v>1</v>
      </c>
      <c r="V14" s="302">
        <f>U14/U$36</f>
        <v>2.6809651474530832E-3</v>
      </c>
      <c r="W14" s="311"/>
      <c r="X14" s="310">
        <f ca="1">M14</f>
        <v>0</v>
      </c>
      <c r="Y14" s="302">
        <f ca="1">X14/X$36</f>
        <v>0</v>
      </c>
      <c r="AB14" s="293" t="s">
        <v>424</v>
      </c>
      <c r="AC14" s="309">
        <v>95</v>
      </c>
      <c r="AD14" s="302">
        <f>AC14/AC$36</f>
        <v>6.6995768688293378E-2</v>
      </c>
    </row>
    <row r="15" spans="1:30" x14ac:dyDescent="0.55000000000000004">
      <c r="A15" s="408"/>
      <c r="C15" s="411"/>
      <c r="E15" s="293" t="s">
        <v>104</v>
      </c>
      <c r="G15" s="301">
        <f>-'Exhibit 6 (Modelo)'!C55</f>
        <v>1.784</v>
      </c>
      <c r="H15" s="301">
        <f>-'Exhibit 6 (Modelo)'!D55</f>
        <v>7.8689999999999998</v>
      </c>
      <c r="I15" s="301">
        <f>-'Exhibit 6 (Modelo)'!E55</f>
        <v>8.35</v>
      </c>
      <c r="J15" s="301">
        <f>-'Exhibit 6 (Modelo)'!F55</f>
        <v>12.202999999999999</v>
      </c>
      <c r="K15" s="301">
        <f>-'Exhibit 6 (Modelo)'!G55</f>
        <v>15</v>
      </c>
      <c r="L15" s="301"/>
      <c r="M15" s="301">
        <f ca="1">-'Exhibit 6 (Modelo)'!I55</f>
        <v>14.971580495431239</v>
      </c>
      <c r="O15" s="301">
        <f>SUM(G15:K15)</f>
        <v>45.206000000000003</v>
      </c>
      <c r="P15" s="302">
        <f>O15/O$36</f>
        <v>3.5123814437235015E-2</v>
      </c>
      <c r="U15" s="301">
        <f>K15</f>
        <v>15</v>
      </c>
      <c r="V15" s="302">
        <f>U15/U$36</f>
        <v>4.0214477211796246E-2</v>
      </c>
      <c r="X15" s="301">
        <f ca="1">M15</f>
        <v>14.971580495431239</v>
      </c>
      <c r="Y15" s="302">
        <f ca="1">X15/X$36</f>
        <v>2.4011491497980052E-2</v>
      </c>
      <c r="AB15" s="293" t="s">
        <v>104</v>
      </c>
      <c r="AC15" s="301">
        <f>AC25</f>
        <v>7</v>
      </c>
      <c r="AD15" s="302">
        <f>AC15/AC$36</f>
        <v>4.9365303244005643E-3</v>
      </c>
    </row>
    <row r="16" spans="1:30" ht="14.7" thickBot="1" x14ac:dyDescent="0.6">
      <c r="A16" s="408"/>
      <c r="C16" s="411"/>
      <c r="E16" s="293" t="s">
        <v>385</v>
      </c>
      <c r="G16" s="303">
        <f>-'Exhibit 6 (Modelo)'!C89-'Exhibit 6 (Modelo)'!C90</f>
        <v>0</v>
      </c>
      <c r="H16" s="303">
        <f>-'Exhibit 6 (Modelo)'!D89-'Exhibit 6 (Modelo)'!D90</f>
        <v>0</v>
      </c>
      <c r="I16" s="303">
        <f>-'Exhibit 6 (Modelo)'!E89-'Exhibit 6 (Modelo)'!E90</f>
        <v>3.7429999999999999</v>
      </c>
      <c r="J16" s="303">
        <f>-'Exhibit 6 (Modelo)'!F89-'Exhibit 6 (Modelo)'!F90</f>
        <v>8.75</v>
      </c>
      <c r="K16" s="303">
        <f>-'Exhibit 6 (Modelo)'!G89-'Exhibit 6 (Modelo)'!G90</f>
        <v>12</v>
      </c>
      <c r="L16" s="301"/>
      <c r="M16" s="303">
        <f>-'Exhibit 6 (Modelo)'!I89-'Exhibit 6 (Modelo)'!I90</f>
        <v>0</v>
      </c>
      <c r="O16" s="303">
        <f>SUM(G16:K16)</f>
        <v>24.493000000000002</v>
      </c>
      <c r="P16" s="305">
        <f>O16/O$36</f>
        <v>1.9030385059753071E-2</v>
      </c>
      <c r="U16" s="303">
        <f>K16</f>
        <v>12</v>
      </c>
      <c r="V16" s="305">
        <f>U16/U$36</f>
        <v>3.2171581769436998E-2</v>
      </c>
      <c r="X16" s="303">
        <f>M16</f>
        <v>0</v>
      </c>
      <c r="Y16" s="305">
        <f ca="1">X16/X$36</f>
        <v>0</v>
      </c>
      <c r="AB16" s="293" t="s">
        <v>425</v>
      </c>
      <c r="AC16" s="304">
        <v>495</v>
      </c>
      <c r="AD16" s="305">
        <f>AC16/AC$36</f>
        <v>0.34908321579689705</v>
      </c>
    </row>
    <row r="17" spans="1:30" ht="14.7" thickTop="1" x14ac:dyDescent="0.55000000000000004">
      <c r="A17" s="408"/>
      <c r="C17" s="411"/>
      <c r="E17" s="306" t="s">
        <v>386</v>
      </c>
      <c r="G17" s="307">
        <f>SUM(G14:G16)</f>
        <v>4.3609999999999998</v>
      </c>
      <c r="H17" s="307">
        <f t="shared" ref="H17:K17" si="7">SUM(H14:H16)</f>
        <v>8.5689999999999991</v>
      </c>
      <c r="I17" s="307">
        <f t="shared" si="7"/>
        <v>70.453999999999994</v>
      </c>
      <c r="J17" s="307">
        <f t="shared" si="7"/>
        <v>21.952999999999999</v>
      </c>
      <c r="K17" s="307">
        <f t="shared" si="7"/>
        <v>28</v>
      </c>
      <c r="L17" s="307"/>
      <c r="M17" s="307">
        <f t="shared" ref="M17" ca="1" si="8">SUM(M14:M16)</f>
        <v>14.971580495431239</v>
      </c>
      <c r="O17" s="307">
        <f>SUM(O14:O16)</f>
        <v>133.33699999999999</v>
      </c>
      <c r="P17" s="308">
        <f>P14+P15+P16</f>
        <v>0.10359916926110704</v>
      </c>
      <c r="S17" s="306"/>
      <c r="U17" s="307">
        <f>SUM(U14:U16)</f>
        <v>28</v>
      </c>
      <c r="V17" s="308">
        <f>V14+V15+V16</f>
        <v>7.5067024128686322E-2</v>
      </c>
      <c r="X17" s="307">
        <f ca="1">SUM(X14:X16)</f>
        <v>14.971580495431239</v>
      </c>
      <c r="Y17" s="308">
        <f ca="1">Y14+Y15+Y16</f>
        <v>2.4011491497980052E-2</v>
      </c>
      <c r="AC17" s="307">
        <f t="shared" ref="AC17" si="9">SUM(AC14:AC16)</f>
        <v>597</v>
      </c>
      <c r="AD17" s="308">
        <f>AD14+AD15+AD16</f>
        <v>0.42101551480959098</v>
      </c>
    </row>
    <row r="18" spans="1:30" ht="3.9" customHeight="1" x14ac:dyDescent="0.55000000000000004">
      <c r="A18" s="409"/>
      <c r="E18" s="306"/>
      <c r="G18" s="307"/>
      <c r="H18" s="307"/>
      <c r="I18" s="307"/>
      <c r="J18" s="307"/>
      <c r="K18" s="307"/>
      <c r="L18" s="307"/>
      <c r="M18" s="307"/>
      <c r="O18" s="307"/>
      <c r="P18" s="308"/>
      <c r="S18" s="306"/>
      <c r="U18" s="307"/>
      <c r="V18" s="308"/>
      <c r="X18" s="307"/>
      <c r="Y18" s="308"/>
      <c r="AC18" s="307"/>
      <c r="AD18" s="308"/>
    </row>
    <row r="19" spans="1:30" ht="15.6" x14ac:dyDescent="0.55000000000000004">
      <c r="A19" s="409"/>
      <c r="C19" s="312" t="s">
        <v>387</v>
      </c>
      <c r="E19" s="331" t="s">
        <v>388</v>
      </c>
      <c r="G19" s="309">
        <f>+G43</f>
        <v>18.832999999999998</v>
      </c>
      <c r="H19" s="301">
        <v>0</v>
      </c>
      <c r="I19" s="301">
        <v>0</v>
      </c>
      <c r="J19" s="309">
        <f>+J43</f>
        <v>39.598000000000006</v>
      </c>
      <c r="K19" s="309">
        <f>+K43</f>
        <v>12.046999999999997</v>
      </c>
      <c r="L19" s="307"/>
      <c r="M19" s="309">
        <f ca="1">+M43</f>
        <v>26.217120208462319</v>
      </c>
      <c r="O19" s="301">
        <f>SUM(G19:K19)</f>
        <v>70.478000000000009</v>
      </c>
      <c r="P19" s="302">
        <f>O19/O$36</f>
        <v>5.4759460998704809E-2</v>
      </c>
      <c r="S19" s="306"/>
      <c r="U19" s="301">
        <f>K19</f>
        <v>12.046999999999997</v>
      </c>
      <c r="V19" s="302">
        <f>U19/U$36</f>
        <v>3.2297587131367288E-2</v>
      </c>
      <c r="X19" s="301">
        <f ca="1">M19</f>
        <v>26.217120208462319</v>
      </c>
      <c r="Y19" s="302">
        <f ca="1">X19/X$36</f>
        <v>4.2047141193885126E-2</v>
      </c>
      <c r="AB19" s="331" t="s">
        <v>388</v>
      </c>
      <c r="AC19" s="309">
        <v>60</v>
      </c>
      <c r="AD19" s="302">
        <f>AC19/AC$36</f>
        <v>4.2313117066290547E-2</v>
      </c>
    </row>
    <row r="20" spans="1:30" ht="3.9" customHeight="1" thickBot="1" x14ac:dyDescent="0.6">
      <c r="A20" s="410"/>
      <c r="G20" s="313"/>
      <c r="H20" s="313"/>
      <c r="I20" s="313"/>
      <c r="J20" s="313"/>
      <c r="K20" s="313"/>
      <c r="M20" s="313"/>
      <c r="O20" s="313"/>
      <c r="P20" s="313"/>
      <c r="U20" s="313"/>
      <c r="V20" s="313"/>
      <c r="X20" s="313"/>
      <c r="Y20" s="313"/>
      <c r="AC20" s="313"/>
      <c r="AD20" s="313"/>
    </row>
    <row r="21" spans="1:30" ht="15.9" thickTop="1" x14ac:dyDescent="0.55000000000000004">
      <c r="A21" s="410"/>
      <c r="C21" s="314" t="s">
        <v>389</v>
      </c>
      <c r="E21" s="306" t="s">
        <v>389</v>
      </c>
      <c r="G21" s="307">
        <f>G12+G17+G19</f>
        <v>219.74799999999991</v>
      </c>
      <c r="H21" s="307">
        <f t="shared" ref="H21:K21" si="10">H12+H17+H19</f>
        <v>197.42299999999997</v>
      </c>
      <c r="I21" s="307">
        <f t="shared" si="10"/>
        <v>253.49599999999981</v>
      </c>
      <c r="J21" s="307">
        <f t="shared" si="10"/>
        <v>243.37999999999991</v>
      </c>
      <c r="K21" s="307">
        <f t="shared" si="10"/>
        <v>373</v>
      </c>
      <c r="M21" s="307">
        <f t="shared" ref="M21" ca="1" si="11">M12+M17+M19</f>
        <v>623.51730614862936</v>
      </c>
      <c r="O21" s="307">
        <f>O12+O17+O19</f>
        <v>1287.0469999999996</v>
      </c>
      <c r="P21" s="315">
        <f>P8+P9+P10+P14+P15+P16+P19</f>
        <v>0.99999999999999989</v>
      </c>
      <c r="U21" s="307">
        <f>U12+U17+U19</f>
        <v>373</v>
      </c>
      <c r="V21" s="315">
        <f>V8+V9+V10+V14+V15+V16+V19</f>
        <v>1</v>
      </c>
      <c r="X21" s="307">
        <f ca="1">X12+X17+X19</f>
        <v>623.51730614862936</v>
      </c>
      <c r="Y21" s="315">
        <f ca="1">Y8+Y9+Y10+Y14+Y15+Y16+Y19</f>
        <v>0.99999999999999989</v>
      </c>
      <c r="AC21" s="307">
        <f t="shared" ref="AC21" si="12">AC12+AC17+AC19</f>
        <v>1418</v>
      </c>
      <c r="AD21" s="315">
        <f>AD8+AD9+AD10+AD14+AD15+AD16+AD19</f>
        <v>1</v>
      </c>
    </row>
    <row r="23" spans="1:30" x14ac:dyDescent="0.55000000000000004">
      <c r="A23" s="412" t="s">
        <v>390</v>
      </c>
      <c r="C23" s="411" t="s">
        <v>380</v>
      </c>
      <c r="E23" s="293" t="s">
        <v>105</v>
      </c>
      <c r="G23" s="301">
        <f>'Exhibit 6 (Modelo)'!C67</f>
        <v>50.910999999999916</v>
      </c>
      <c r="H23" s="301">
        <f>'Exhibit 6 (Modelo)'!D67</f>
        <v>101.64199999999997</v>
      </c>
      <c r="I23" s="301">
        <f>'Exhibit 6 (Modelo)'!E67</f>
        <v>-35.833000000000226</v>
      </c>
      <c r="J23" s="301">
        <f>'Exhibit 6 (Modelo)'!F67</f>
        <v>149.17699999999991</v>
      </c>
      <c r="K23" s="301">
        <f>'Exhibit 6 (Modelo)'!G67</f>
        <v>272</v>
      </c>
      <c r="M23" s="301">
        <f ca="1">'Exhibit 6 (Modelo)'!I67</f>
        <v>490.14572565319816</v>
      </c>
      <c r="O23" s="301">
        <f>SUM(G23:K23)</f>
        <v>537.89699999999959</v>
      </c>
      <c r="P23" s="302">
        <f>O23/O$36</f>
        <v>0.41793112450438857</v>
      </c>
      <c r="U23" s="301">
        <f>K23</f>
        <v>272</v>
      </c>
      <c r="V23" s="302">
        <f>U23/U$36</f>
        <v>0.72922252010723865</v>
      </c>
      <c r="X23" s="301">
        <f ca="1">M23</f>
        <v>490.14572565319816</v>
      </c>
      <c r="Y23" s="302">
        <f ca="1">X23/X$36</f>
        <v>0.78609802938871576</v>
      </c>
      <c r="AB23" s="293" t="s">
        <v>105</v>
      </c>
      <c r="AC23" s="309">
        <v>518</v>
      </c>
      <c r="AD23" s="302">
        <f>AC23/AC$36</f>
        <v>0.36530324400564174</v>
      </c>
    </row>
    <row r="24" spans="1:30" x14ac:dyDescent="0.55000000000000004">
      <c r="A24" s="413"/>
      <c r="C24" s="411"/>
      <c r="E24" s="293" t="s">
        <v>391</v>
      </c>
      <c r="G24" s="301">
        <f>'Exhibit 6 (Modelo)'!C68</f>
        <v>13.832000000000001</v>
      </c>
      <c r="H24" s="301">
        <f>'Exhibit 6 (Modelo)'!D68</f>
        <v>19.5</v>
      </c>
      <c r="I24" s="301">
        <f>'Exhibit 6 (Modelo)'!E68</f>
        <v>30.646000000000001</v>
      </c>
      <c r="J24" s="301">
        <f>'Exhibit 6 (Modelo)'!F68</f>
        <v>33</v>
      </c>
      <c r="K24" s="301">
        <f>'Exhibit 6 (Modelo)'!G68</f>
        <v>38</v>
      </c>
      <c r="M24" s="301">
        <f>'Exhibit 6 (Modelo)'!I68</f>
        <v>60.8</v>
      </c>
      <c r="O24" s="301">
        <f>SUM(G24:K24)</f>
        <v>134.97800000000001</v>
      </c>
      <c r="P24" s="302">
        <f>O24/O$36</f>
        <v>0.10487418097396603</v>
      </c>
      <c r="U24" s="301">
        <f>K24</f>
        <v>38</v>
      </c>
      <c r="V24" s="302">
        <f>U24/U$36</f>
        <v>0.10187667560321716</v>
      </c>
      <c r="X24" s="301">
        <f>M24</f>
        <v>60.8</v>
      </c>
      <c r="Y24" s="302">
        <f ca="1">X24/X$36</f>
        <v>9.7511327112237284E-2</v>
      </c>
      <c r="AB24" s="293" t="s">
        <v>391</v>
      </c>
      <c r="AC24" s="309">
        <f>47+29</f>
        <v>76</v>
      </c>
      <c r="AD24" s="302">
        <f>AC24/AC$36</f>
        <v>5.3596614950634697E-2</v>
      </c>
    </row>
    <row r="25" spans="1:30" x14ac:dyDescent="0.55000000000000004">
      <c r="A25" s="413"/>
      <c r="C25" s="411"/>
      <c r="E25" s="293" t="s">
        <v>392</v>
      </c>
      <c r="G25" s="301">
        <f>G15</f>
        <v>1.784</v>
      </c>
      <c r="H25" s="301">
        <f>H15</f>
        <v>7.8689999999999998</v>
      </c>
      <c r="I25" s="301">
        <f>I15</f>
        <v>8.35</v>
      </c>
      <c r="J25" s="301">
        <f>J15</f>
        <v>12.202999999999999</v>
      </c>
      <c r="K25" s="301">
        <f>K15</f>
        <v>15</v>
      </c>
      <c r="M25" s="301">
        <f ca="1">M15</f>
        <v>14.971580495431239</v>
      </c>
      <c r="O25" s="301">
        <f>SUM(G25:K25)</f>
        <v>45.206000000000003</v>
      </c>
      <c r="P25" s="302">
        <f>O25/O$36</f>
        <v>3.5123814437235015E-2</v>
      </c>
      <c r="U25" s="301">
        <f>K25</f>
        <v>15</v>
      </c>
      <c r="V25" s="302">
        <f>U25/U$36</f>
        <v>4.0214477211796246E-2</v>
      </c>
      <c r="X25" s="301">
        <f ca="1">M25</f>
        <v>14.971580495431239</v>
      </c>
      <c r="Y25" s="302">
        <f ca="1">X25/X$36</f>
        <v>2.4011491497980052E-2</v>
      </c>
      <c r="AB25" s="293" t="s">
        <v>392</v>
      </c>
      <c r="AC25" s="309">
        <v>7</v>
      </c>
      <c r="AD25" s="302">
        <f>AC25/AC$36</f>
        <v>4.9365303244005643E-3</v>
      </c>
    </row>
    <row r="26" spans="1:30" ht="3.3" customHeight="1" thickBot="1" x14ac:dyDescent="0.6">
      <c r="A26" s="413"/>
      <c r="C26" s="411"/>
      <c r="G26" s="304"/>
      <c r="H26" s="303"/>
      <c r="I26" s="304"/>
      <c r="J26" s="303"/>
      <c r="K26" s="304"/>
      <c r="M26" s="304"/>
      <c r="O26" s="303"/>
      <c r="P26" s="305"/>
      <c r="U26" s="303"/>
      <c r="V26" s="305"/>
      <c r="X26" s="303"/>
      <c r="Y26" s="305"/>
      <c r="AC26" s="304"/>
      <c r="AD26" s="305"/>
    </row>
    <row r="27" spans="1:30" ht="14.7" thickTop="1" x14ac:dyDescent="0.55000000000000004">
      <c r="A27" s="413"/>
      <c r="C27" s="411"/>
      <c r="E27" s="306" t="s">
        <v>382</v>
      </c>
      <c r="G27" s="307">
        <f>SUM(G23:G26)</f>
        <v>66.526999999999916</v>
      </c>
      <c r="H27" s="307">
        <f>SUM(H23:H26)</f>
        <v>129.01099999999997</v>
      </c>
      <c r="I27" s="307">
        <f>SUM(I23:I26)</f>
        <v>3.1629999999997747</v>
      </c>
      <c r="J27" s="307">
        <f>SUM(J23:J26)</f>
        <v>194.37999999999991</v>
      </c>
      <c r="K27" s="307">
        <f>SUM(K23:K26)</f>
        <v>325</v>
      </c>
      <c r="L27" s="307"/>
      <c r="M27" s="307">
        <f ca="1">SUM(M23:M26)</f>
        <v>565.91730614862934</v>
      </c>
      <c r="O27" s="307">
        <f>SUM(O23:O26)</f>
        <v>718.08099999999956</v>
      </c>
      <c r="P27" s="308">
        <f>P23+P24+P25+P26</f>
        <v>0.55792911991558958</v>
      </c>
      <c r="U27" s="307">
        <f>SUM(U23:U26)</f>
        <v>325</v>
      </c>
      <c r="V27" s="308">
        <f>V23+V24+V25+V26</f>
        <v>0.87131367292225204</v>
      </c>
      <c r="X27" s="307">
        <f ca="1">SUM(X23:X26)</f>
        <v>565.91730614862934</v>
      </c>
      <c r="Y27" s="308">
        <f ca="1">Y23+Y24+Y25+Y26</f>
        <v>0.90762084799893317</v>
      </c>
      <c r="AC27" s="307">
        <f>SUM(AC23:AC26)</f>
        <v>601</v>
      </c>
      <c r="AD27" s="308">
        <f>AD23+AD24+AD25+AD26</f>
        <v>0.42383638928067702</v>
      </c>
    </row>
    <row r="28" spans="1:30" ht="3.9" customHeight="1" x14ac:dyDescent="0.55000000000000004">
      <c r="A28" s="413"/>
    </row>
    <row r="29" spans="1:30" x14ac:dyDescent="0.55000000000000004">
      <c r="A29" s="413"/>
      <c r="C29" s="411" t="s">
        <v>383</v>
      </c>
      <c r="E29" s="293" t="s">
        <v>393</v>
      </c>
      <c r="G29" s="301">
        <f>'Exhibit 6 (Modelo)'!C80+'Exhibit 6 (Modelo)'!C84</f>
        <v>41.45</v>
      </c>
      <c r="H29" s="301">
        <f>'Exhibit 6 (Modelo)'!D80+'Exhibit 6 (Modelo)'!D84</f>
        <v>7.2</v>
      </c>
      <c r="I29" s="301">
        <f>'Exhibit 6 (Modelo)'!E80+'Exhibit 6 (Modelo)'!E84</f>
        <v>96.653999999999996</v>
      </c>
      <c r="J29" s="301">
        <f>'Exhibit 6 (Modelo)'!F80+'Exhibit 6 (Modelo)'!F84</f>
        <v>14</v>
      </c>
      <c r="K29" s="301">
        <f>'Exhibit 6 (Modelo)'!G80+'Exhibit 6 (Modelo)'!G84</f>
        <v>0</v>
      </c>
      <c r="M29" s="301">
        <f ca="1">'Exhibit 6 (Modelo)'!I80+'Exhibit 6 (Modelo)'!I84</f>
        <v>0</v>
      </c>
      <c r="O29" s="301">
        <f>SUM(G29:K29)</f>
        <v>159.304</v>
      </c>
      <c r="P29" s="302">
        <f>O29/O$36</f>
        <v>0.12377481164246532</v>
      </c>
      <c r="U29" s="301">
        <f>K29</f>
        <v>0</v>
      </c>
      <c r="V29" s="302">
        <f>U29/U$36</f>
        <v>0</v>
      </c>
      <c r="X29" s="301">
        <f ca="1">M29</f>
        <v>0</v>
      </c>
      <c r="Y29" s="302">
        <f ca="1">X29/X$36</f>
        <v>0</v>
      </c>
      <c r="AB29" s="293" t="s">
        <v>393</v>
      </c>
      <c r="AC29" s="309">
        <v>0</v>
      </c>
      <c r="AD29" s="302">
        <f>AC29/AC$36</f>
        <v>0</v>
      </c>
    </row>
    <row r="30" spans="1:30" x14ac:dyDescent="0.55000000000000004">
      <c r="A30" s="413"/>
      <c r="C30" s="411"/>
      <c r="E30" s="293" t="s">
        <v>394</v>
      </c>
      <c r="G30" s="310">
        <f>'Exhibit 6 (Modelo)'!C82</f>
        <v>0</v>
      </c>
      <c r="H30" s="310">
        <f>'Exhibit 6 (Modelo)'!D82</f>
        <v>8.5</v>
      </c>
      <c r="I30" s="310">
        <f>'Exhibit 6 (Modelo)'!E82</f>
        <v>0</v>
      </c>
      <c r="J30" s="310">
        <f>'Exhibit 6 (Modelo)'!F82</f>
        <v>0</v>
      </c>
      <c r="K30" s="310">
        <f>'Exhibit 6 (Modelo)'!G82</f>
        <v>0</v>
      </c>
      <c r="M30" s="310">
        <f>'Exhibit 6 (Modelo)'!I82</f>
        <v>0</v>
      </c>
      <c r="O30" s="301">
        <f>SUM(G30:K30)</f>
        <v>8.5</v>
      </c>
      <c r="P30" s="302">
        <f>O30/O$36</f>
        <v>6.6042654230964396E-3</v>
      </c>
      <c r="U30" s="301">
        <f>K30</f>
        <v>0</v>
      </c>
      <c r="V30" s="302">
        <f>U30/U$36</f>
        <v>0</v>
      </c>
      <c r="X30" s="301">
        <f>M30</f>
        <v>0</v>
      </c>
      <c r="Y30" s="302">
        <f ca="1">X30/X$36</f>
        <v>0</v>
      </c>
      <c r="AB30" s="293" t="s">
        <v>114</v>
      </c>
      <c r="AC30" s="309">
        <f>659+109-8</f>
        <v>760</v>
      </c>
      <c r="AD30" s="302">
        <f>AC30/AC$36</f>
        <v>0.53596614950634702</v>
      </c>
    </row>
    <row r="31" spans="1:30" ht="14.7" thickBot="1" x14ac:dyDescent="0.6">
      <c r="A31" s="413"/>
      <c r="C31" s="411"/>
      <c r="E31" s="293" t="s">
        <v>395</v>
      </c>
      <c r="G31" s="303">
        <f>'Exhibit 6 (Modelo)'!C87+'Exhibit 6 (Modelo)'!C88</f>
        <v>111.771</v>
      </c>
      <c r="H31" s="303">
        <f>'Exhibit 6 (Modelo)'!D87+'Exhibit 6 (Modelo)'!D88</f>
        <v>12.2</v>
      </c>
      <c r="I31" s="303">
        <f>'Exhibit 6 (Modelo)'!E87+'Exhibit 6 (Modelo)'!E88</f>
        <v>142.08599999999998</v>
      </c>
      <c r="J31" s="303">
        <f>'Exhibit 6 (Modelo)'!F87+'Exhibit 6 (Modelo)'!F88</f>
        <v>35</v>
      </c>
      <c r="K31" s="303">
        <f>'Exhibit 6 (Modelo)'!G87+'Exhibit 6 (Modelo)'!G88</f>
        <v>48</v>
      </c>
      <c r="M31" s="303">
        <f>'Exhibit 6 (Modelo)'!I87+'Exhibit 6 (Modelo)'!I88</f>
        <v>57.599999999999994</v>
      </c>
      <c r="O31" s="303">
        <f>SUM(G31:K31)</f>
        <v>349.05700000000002</v>
      </c>
      <c r="P31" s="305">
        <f>O31/O$36</f>
        <v>0.27120765597526753</v>
      </c>
      <c r="U31" s="303">
        <f>K31</f>
        <v>48</v>
      </c>
      <c r="V31" s="305">
        <f>U31/U$36</f>
        <v>0.12868632707774799</v>
      </c>
      <c r="X31" s="303">
        <f>M31</f>
        <v>57.599999999999994</v>
      </c>
      <c r="Y31" s="305">
        <f ca="1">X31/X$36</f>
        <v>9.2379152001066903E-2</v>
      </c>
      <c r="AB31" s="293" t="s">
        <v>395</v>
      </c>
      <c r="AC31" s="304">
        <v>57</v>
      </c>
      <c r="AD31" s="305">
        <f>AC31/AC$36</f>
        <v>4.0197461212976023E-2</v>
      </c>
    </row>
    <row r="32" spans="1:30" ht="14.7" thickTop="1" x14ac:dyDescent="0.55000000000000004">
      <c r="A32" s="413"/>
      <c r="C32" s="411"/>
      <c r="E32" s="306" t="s">
        <v>386</v>
      </c>
      <c r="G32" s="307">
        <f t="shared" ref="G32:M32" si="13">SUM(G29:G31)</f>
        <v>153.221</v>
      </c>
      <c r="H32" s="307">
        <f t="shared" si="13"/>
        <v>27.9</v>
      </c>
      <c r="I32" s="307">
        <f t="shared" si="13"/>
        <v>238.73999999999998</v>
      </c>
      <c r="J32" s="307">
        <f t="shared" si="13"/>
        <v>49</v>
      </c>
      <c r="K32" s="307">
        <f t="shared" si="13"/>
        <v>48</v>
      </c>
      <c r="L32" s="307">
        <f t="shared" si="13"/>
        <v>0</v>
      </c>
      <c r="M32" s="307">
        <f t="shared" ca="1" si="13"/>
        <v>57.599999999999994</v>
      </c>
      <c r="O32" s="307">
        <f>SUM(O29:O31)</f>
        <v>516.86099999999999</v>
      </c>
      <c r="P32" s="308">
        <f>P29+P30+P31</f>
        <v>0.40158673304082926</v>
      </c>
      <c r="U32" s="307">
        <f>SUM(U29:U31)</f>
        <v>48</v>
      </c>
      <c r="V32" s="308">
        <f>V29+V30+V31</f>
        <v>0.12868632707774799</v>
      </c>
      <c r="X32" s="307">
        <f ca="1">SUM(X29:X31)</f>
        <v>57.599999999999994</v>
      </c>
      <c r="Y32" s="308">
        <f ca="1">Y29+Y30+Y31</f>
        <v>9.2379152001066903E-2</v>
      </c>
      <c r="AC32" s="307">
        <f t="shared" ref="AC32" si="14">SUM(AC29:AC31)</f>
        <v>817</v>
      </c>
      <c r="AD32" s="308">
        <f>AD29+AD30+AD31</f>
        <v>0.57616361071932309</v>
      </c>
    </row>
    <row r="33" spans="1:39" ht="3.9" customHeight="1" x14ac:dyDescent="0.55000000000000004">
      <c r="A33" s="410"/>
      <c r="G33" s="301"/>
      <c r="H33" s="301"/>
      <c r="I33" s="301"/>
      <c r="J33" s="301"/>
      <c r="K33" s="301"/>
      <c r="M33" s="301"/>
      <c r="O33" s="301"/>
      <c r="U33" s="301"/>
      <c r="X33" s="301"/>
      <c r="AC33" s="301"/>
    </row>
    <row r="34" spans="1:39" ht="14.4" customHeight="1" x14ac:dyDescent="0.55000000000000004">
      <c r="A34" s="410"/>
      <c r="C34" s="312" t="s">
        <v>396</v>
      </c>
      <c r="E34" s="293" t="s">
        <v>397</v>
      </c>
      <c r="G34" s="309">
        <v>0</v>
      </c>
      <c r="H34" s="309">
        <f>H44</f>
        <v>40.512</v>
      </c>
      <c r="I34" s="309">
        <f>I44</f>
        <v>11.593</v>
      </c>
      <c r="J34" s="309">
        <v>0</v>
      </c>
      <c r="K34" s="309">
        <v>0</v>
      </c>
      <c r="M34" s="309">
        <v>0</v>
      </c>
      <c r="O34" s="301">
        <f>SUM(G34:K34)</f>
        <v>52.105000000000004</v>
      </c>
      <c r="P34" s="302">
        <f>O34/O$36</f>
        <v>4.0484147043581178E-2</v>
      </c>
      <c r="U34" s="301">
        <f>K34</f>
        <v>0</v>
      </c>
      <c r="V34" s="302">
        <f>U34/U$36</f>
        <v>0</v>
      </c>
      <c r="X34" s="301">
        <f>M34</f>
        <v>0</v>
      </c>
      <c r="Y34" s="302">
        <f ca="1">X34/X$36</f>
        <v>0</v>
      </c>
      <c r="AB34" s="293" t="s">
        <v>397</v>
      </c>
      <c r="AC34" s="309">
        <v>0</v>
      </c>
      <c r="AD34" s="302">
        <f>AC34/AC$36</f>
        <v>0</v>
      </c>
    </row>
    <row r="35" spans="1:39" ht="3.9" customHeight="1" thickBot="1" x14ac:dyDescent="0.6">
      <c r="A35" s="410"/>
      <c r="G35" s="303"/>
      <c r="H35" s="303"/>
      <c r="I35" s="303"/>
      <c r="J35" s="303"/>
      <c r="K35" s="303"/>
      <c r="M35" s="303"/>
      <c r="O35" s="303"/>
      <c r="P35" s="313"/>
      <c r="U35" s="303"/>
      <c r="V35" s="313"/>
      <c r="X35" s="303"/>
      <c r="Y35" s="313"/>
      <c r="AC35" s="303"/>
      <c r="AD35" s="313"/>
    </row>
    <row r="36" spans="1:39" ht="14.4" customHeight="1" thickTop="1" x14ac:dyDescent="0.55000000000000004">
      <c r="A36" s="410"/>
      <c r="C36" s="314" t="s">
        <v>398</v>
      </c>
      <c r="E36" s="306" t="s">
        <v>398</v>
      </c>
      <c r="G36" s="307">
        <f>G27+G32+G34</f>
        <v>219.74799999999993</v>
      </c>
      <c r="H36" s="307">
        <f>H27+H32+H34</f>
        <v>197.42299999999997</v>
      </c>
      <c r="I36" s="307">
        <f t="shared" ref="I36:M36" si="15">I27+I32+I34</f>
        <v>253.49599999999975</v>
      </c>
      <c r="J36" s="307">
        <f t="shared" si="15"/>
        <v>243.37999999999991</v>
      </c>
      <c r="K36" s="307">
        <f t="shared" si="15"/>
        <v>373</v>
      </c>
      <c r="M36" s="307">
        <f t="shared" ca="1" si="15"/>
        <v>623.51730614862936</v>
      </c>
      <c r="O36" s="307">
        <f t="shared" ref="O36" si="16">O27+O32+O34</f>
        <v>1287.0469999999996</v>
      </c>
      <c r="P36" s="315">
        <f>P23+P24+P25+P29+P30+P31+P34</f>
        <v>1</v>
      </c>
      <c r="U36" s="307">
        <f t="shared" ref="U36" si="17">U27+U32+U34</f>
        <v>373</v>
      </c>
      <c r="V36" s="315">
        <f>V23+V24+V25+V29+V30+V31+V34</f>
        <v>1</v>
      </c>
      <c r="X36" s="307">
        <f t="shared" ref="X36" ca="1" si="18">X27+X32+X34</f>
        <v>623.51730614862936</v>
      </c>
      <c r="Y36" s="315">
        <f ca="1">Y23+Y24+Y25+Y29+Y30+Y31+Y34</f>
        <v>1</v>
      </c>
      <c r="AC36" s="307">
        <f t="shared" ref="AC36" si="19">AC27+AC32+AC34</f>
        <v>1418</v>
      </c>
      <c r="AD36" s="315">
        <f>AD23+AD24+AD25+AD29+AD30+AD31+AD34</f>
        <v>1</v>
      </c>
    </row>
    <row r="37" spans="1:39" x14ac:dyDescent="0.55000000000000004">
      <c r="B37" s="316"/>
      <c r="R37" s="316"/>
    </row>
    <row r="38" spans="1:39" x14ac:dyDescent="0.55000000000000004">
      <c r="A38" s="316" t="s">
        <v>399</v>
      </c>
      <c r="G38" s="317">
        <f>G21-G36</f>
        <v>0</v>
      </c>
      <c r="H38" s="317">
        <f>H21-H36</f>
        <v>0</v>
      </c>
      <c r="I38" s="317">
        <f>I21-I36</f>
        <v>0</v>
      </c>
      <c r="J38" s="317">
        <f>J21-J36</f>
        <v>0</v>
      </c>
      <c r="K38" s="317">
        <f>K21-K36</f>
        <v>0</v>
      </c>
      <c r="M38" s="317">
        <f ca="1">M21-M36</f>
        <v>0</v>
      </c>
      <c r="N38" s="317"/>
      <c r="O38" s="317">
        <f>O21-O36</f>
        <v>0</v>
      </c>
      <c r="Q38" s="317"/>
      <c r="R38" s="316"/>
      <c r="U38" s="317">
        <f>U21-U36</f>
        <v>0</v>
      </c>
      <c r="X38" s="317">
        <f ca="1">X21-X36</f>
        <v>0</v>
      </c>
      <c r="AC38" s="317">
        <f>AC21-AC36</f>
        <v>0</v>
      </c>
    </row>
    <row r="39" spans="1:39" x14ac:dyDescent="0.55000000000000004">
      <c r="A39" s="316" t="s">
        <v>400</v>
      </c>
      <c r="D39" s="316"/>
      <c r="E39" s="316"/>
      <c r="F39" s="316"/>
      <c r="G39" s="318">
        <f>'Exhibit 6 (Modelo)'!C78-(G25+G24+G23-G10-G9-G8)</f>
        <v>0</v>
      </c>
      <c r="H39" s="318">
        <f>'Exhibit 6 (Modelo)'!D78-(H25+H24+H23-H10-H9-H8)</f>
        <v>0</v>
      </c>
      <c r="I39" s="318">
        <f>'Exhibit 6 (Modelo)'!E78-(I25+I24+I23-I10-I9-I8)</f>
        <v>0</v>
      </c>
      <c r="J39" s="318">
        <f>'Exhibit 6 (Modelo)'!F78-(J25+J24+J23-J10-J9-J8)</f>
        <v>0</v>
      </c>
      <c r="K39" s="318">
        <f>'Exhibit 6 (Modelo)'!G78-(K25+K24+K23-K10-K9-K8)</f>
        <v>0</v>
      </c>
      <c r="L39" s="318"/>
      <c r="M39" s="318">
        <f ca="1">'Exhibit 6 (Modelo)'!I78-(M25+M24+M23-M10-M9-M8)</f>
        <v>-9.9475983006414026E-14</v>
      </c>
      <c r="N39" s="318"/>
      <c r="O39" s="318"/>
      <c r="P39" s="318"/>
      <c r="Q39" s="318"/>
    </row>
    <row r="40" spans="1:39" x14ac:dyDescent="0.55000000000000004">
      <c r="A40" s="316" t="s">
        <v>401</v>
      </c>
      <c r="D40" s="316"/>
      <c r="E40" s="316"/>
      <c r="F40" s="316"/>
      <c r="G40" s="318">
        <f>'Exhibit 6 (Modelo)'!C91-(G31+G30+G29-G16-G15-G14)</f>
        <v>0</v>
      </c>
      <c r="H40" s="318">
        <f>'Exhibit 6 (Modelo)'!D91-(H31+H30+H29-H16-H15-H14)</f>
        <v>0</v>
      </c>
      <c r="I40" s="318">
        <f>'Exhibit 6 (Modelo)'!E91-(I31+I30+I29-I16-I15-I14)</f>
        <v>0</v>
      </c>
      <c r="J40" s="318">
        <f>'Exhibit 6 (Modelo)'!F91-(J31+J30+J29-J16-J15-J14)</f>
        <v>0</v>
      </c>
      <c r="K40" s="318">
        <f>'Exhibit 6 (Modelo)'!G91-(K31+K30+K29-K16-K15-K14)</f>
        <v>0</v>
      </c>
      <c r="L40" s="318"/>
      <c r="M40" s="318">
        <f ca="1">'Exhibit 6 (Modelo)'!I91-(M31+M30+M29-M16-M15-M14)</f>
        <v>0</v>
      </c>
      <c r="N40" s="318"/>
      <c r="O40" s="318"/>
      <c r="P40" s="318"/>
      <c r="Q40" s="318"/>
    </row>
    <row r="41" spans="1:39" x14ac:dyDescent="0.55000000000000004">
      <c r="A41" s="316" t="s">
        <v>402</v>
      </c>
      <c r="G41" s="319">
        <f>G36-G21</f>
        <v>0</v>
      </c>
      <c r="H41" s="319">
        <f>H36-H21</f>
        <v>0</v>
      </c>
      <c r="I41" s="319">
        <f>I36-I21</f>
        <v>0</v>
      </c>
      <c r="J41" s="319">
        <f>J36-J21</f>
        <v>0</v>
      </c>
      <c r="K41" s="319">
        <f>K36-K21</f>
        <v>0</v>
      </c>
      <c r="L41" s="320"/>
      <c r="M41" s="319">
        <f ca="1">M36-M21</f>
        <v>0</v>
      </c>
      <c r="N41" s="319"/>
      <c r="O41" s="319"/>
      <c r="P41" s="319"/>
      <c r="Q41" s="319"/>
    </row>
    <row r="42" spans="1:39" x14ac:dyDescent="0.55000000000000004">
      <c r="A42" s="316" t="s">
        <v>403</v>
      </c>
      <c r="G42" s="318">
        <f>'Exhibit 6 (Modelo)'!C92</f>
        <v>18.832999999999998</v>
      </c>
      <c r="H42" s="318">
        <f>'Exhibit 6 (Modelo)'!D92</f>
        <v>-40.512</v>
      </c>
      <c r="I42" s="318">
        <f>'Exhibit 6 (Modelo)'!E92</f>
        <v>-11.593</v>
      </c>
      <c r="J42" s="318">
        <f>'Exhibit 6 (Modelo)'!F92</f>
        <v>39.598000000000006</v>
      </c>
      <c r="K42" s="318">
        <f>'Exhibit 6 (Modelo)'!G92</f>
        <v>12.046999999999997</v>
      </c>
      <c r="M42" s="318">
        <f ca="1">'Exhibit 6 (Modelo)'!I92</f>
        <v>26.217120208462319</v>
      </c>
      <c r="N42" s="318"/>
      <c r="O42" s="318"/>
      <c r="P42" s="318"/>
      <c r="Q42" s="318"/>
    </row>
    <row r="43" spans="1:39" x14ac:dyDescent="0.55000000000000004">
      <c r="A43" s="321" t="s">
        <v>404</v>
      </c>
      <c r="G43" s="309">
        <f>G42</f>
        <v>18.832999999999998</v>
      </c>
      <c r="H43" s="309"/>
      <c r="I43" s="309"/>
      <c r="J43" s="309">
        <f>J42</f>
        <v>39.598000000000006</v>
      </c>
      <c r="K43" s="309">
        <f>K42</f>
        <v>12.046999999999997</v>
      </c>
      <c r="L43" s="309"/>
      <c r="M43" s="309">
        <f ca="1">M42</f>
        <v>26.217120208462319</v>
      </c>
      <c r="P43" s="309"/>
      <c r="Q43" s="309"/>
    </row>
    <row r="44" spans="1:39" x14ac:dyDescent="0.55000000000000004">
      <c r="A44" s="321" t="s">
        <v>405</v>
      </c>
      <c r="G44" s="309"/>
      <c r="H44" s="309">
        <f>-H42</f>
        <v>40.512</v>
      </c>
      <c r="I44" s="309">
        <f>-I42</f>
        <v>11.593</v>
      </c>
      <c r="J44" s="309"/>
      <c r="K44" s="309"/>
      <c r="L44" s="309"/>
      <c r="M44" s="309"/>
      <c r="N44" s="309"/>
      <c r="O44" s="309"/>
      <c r="AG44" s="322"/>
    </row>
    <row r="45" spans="1:39" x14ac:dyDescent="0.55000000000000004">
      <c r="N45" s="322" t="s">
        <v>457</v>
      </c>
      <c r="AG45" s="322" t="s">
        <v>458</v>
      </c>
    </row>
    <row r="46" spans="1:39" x14ac:dyDescent="0.55000000000000004">
      <c r="J46" s="323"/>
      <c r="N46" s="324" t="s">
        <v>379</v>
      </c>
      <c r="O46" s="327" t="s">
        <v>418</v>
      </c>
      <c r="V46" s="323" t="s">
        <v>390</v>
      </c>
      <c r="X46" s="327" t="s">
        <v>418</v>
      </c>
      <c r="AH46" s="325" t="s">
        <v>379</v>
      </c>
      <c r="AI46" s="333" t="s">
        <v>420</v>
      </c>
      <c r="AL46" s="323" t="s">
        <v>390</v>
      </c>
      <c r="AM46" s="333" t="s">
        <v>420</v>
      </c>
    </row>
    <row r="52" spans="7:31" x14ac:dyDescent="0.55000000000000004">
      <c r="J52" s="301"/>
      <c r="N52" s="301"/>
    </row>
    <row r="53" spans="7:31" x14ac:dyDescent="0.55000000000000004">
      <c r="J53" s="301"/>
      <c r="N53" s="301"/>
    </row>
    <row r="54" spans="7:31" x14ac:dyDescent="0.55000000000000004">
      <c r="J54" s="301"/>
      <c r="N54" s="301"/>
    </row>
    <row r="55" spans="7:31" x14ac:dyDescent="0.55000000000000004">
      <c r="J55" s="301"/>
      <c r="N55" s="301"/>
    </row>
    <row r="56" spans="7:31" x14ac:dyDescent="0.55000000000000004">
      <c r="J56" s="301"/>
      <c r="N56" s="301"/>
      <c r="AC56" s="326" t="s">
        <v>377</v>
      </c>
    </row>
    <row r="57" spans="7:31" x14ac:dyDescent="0.55000000000000004">
      <c r="G57" s="322" t="s">
        <v>379</v>
      </c>
      <c r="H57" s="327" t="s">
        <v>418</v>
      </c>
      <c r="P57" s="301"/>
      <c r="AB57" s="322" t="s">
        <v>379</v>
      </c>
      <c r="AC57" s="327" t="s">
        <v>420</v>
      </c>
    </row>
    <row r="58" spans="7:31" x14ac:dyDescent="0.55000000000000004">
      <c r="G58" s="293" t="s">
        <v>407</v>
      </c>
      <c r="H58" s="301">
        <f>(O14+O15)</f>
        <v>108.84399999999999</v>
      </c>
      <c r="AB58" s="293" t="s">
        <v>407</v>
      </c>
      <c r="AC58" s="301">
        <f>(U14+U15)</f>
        <v>16</v>
      </c>
    </row>
    <row r="59" spans="7:31" x14ac:dyDescent="0.55000000000000004">
      <c r="G59" s="293" t="s">
        <v>122</v>
      </c>
      <c r="H59" s="301">
        <f>O16</f>
        <v>24.493000000000002</v>
      </c>
      <c r="AB59" s="293" t="s">
        <v>122</v>
      </c>
      <c r="AC59" s="301">
        <f>U16</f>
        <v>12</v>
      </c>
    </row>
    <row r="60" spans="7:31" x14ac:dyDescent="0.55000000000000004">
      <c r="G60" s="293" t="s">
        <v>419</v>
      </c>
      <c r="H60" s="301">
        <f>O9</f>
        <v>591</v>
      </c>
      <c r="AB60" s="293" t="s">
        <v>426</v>
      </c>
      <c r="AC60" s="309">
        <f>U9+AD68</f>
        <v>118.75300000000001</v>
      </c>
    </row>
    <row r="61" spans="7:31" x14ac:dyDescent="0.55000000000000004">
      <c r="G61" s="293" t="s">
        <v>114</v>
      </c>
      <c r="H61" s="301">
        <f>O10</f>
        <v>199.65599999999958</v>
      </c>
      <c r="AB61" s="293" t="s">
        <v>114</v>
      </c>
      <c r="AC61" s="301">
        <f>U10</f>
        <v>125.24699999999996</v>
      </c>
    </row>
    <row r="62" spans="7:31" x14ac:dyDescent="0.55000000000000004">
      <c r="G62" s="293" t="s">
        <v>142</v>
      </c>
      <c r="H62" s="301">
        <f>O8</f>
        <v>292.57600000000002</v>
      </c>
      <c r="I62" s="301">
        <f>O19</f>
        <v>70.478000000000009</v>
      </c>
      <c r="J62" s="293" t="s">
        <v>408</v>
      </c>
      <c r="AB62" s="293" t="s">
        <v>142</v>
      </c>
      <c r="AC62" s="301">
        <f>U8</f>
        <v>101</v>
      </c>
      <c r="AD62" s="301">
        <f>U19</f>
        <v>12.046999999999997</v>
      </c>
      <c r="AE62" s="293" t="s">
        <v>408</v>
      </c>
    </row>
    <row r="63" spans="7:31" x14ac:dyDescent="0.55000000000000004">
      <c r="G63" s="306" t="s">
        <v>409</v>
      </c>
      <c r="H63" s="307">
        <f>SUM(H58:H62)</f>
        <v>1216.5689999999995</v>
      </c>
      <c r="AB63" s="306" t="s">
        <v>409</v>
      </c>
      <c r="AC63" s="307">
        <f>SUM(AC58:AC62)</f>
        <v>373</v>
      </c>
    </row>
    <row r="64" spans="7:31" x14ac:dyDescent="0.55000000000000004">
      <c r="G64" s="322" t="s">
        <v>390</v>
      </c>
      <c r="AB64" s="322" t="s">
        <v>390</v>
      </c>
    </row>
    <row r="65" spans="7:39" x14ac:dyDescent="0.55000000000000004">
      <c r="G65" s="293" t="s">
        <v>313</v>
      </c>
      <c r="H65" s="309">
        <f>(O29+O30)-I68</f>
        <v>149.43099999999998</v>
      </c>
      <c r="AB65" s="293" t="s">
        <v>410</v>
      </c>
      <c r="AC65" s="310">
        <f>U31</f>
        <v>48</v>
      </c>
    </row>
    <row r="66" spans="7:39" x14ac:dyDescent="0.55000000000000004">
      <c r="G66" s="293" t="s">
        <v>410</v>
      </c>
      <c r="H66" s="301">
        <f>O31</f>
        <v>349.05700000000002</v>
      </c>
      <c r="AB66" s="293" t="s">
        <v>193</v>
      </c>
      <c r="AC66" s="301">
        <f>-U68</f>
        <v>0</v>
      </c>
    </row>
    <row r="67" spans="7:39" x14ac:dyDescent="0.55000000000000004">
      <c r="G67" s="293" t="s">
        <v>411</v>
      </c>
      <c r="H67" s="301">
        <f>O27</f>
        <v>718.08099999999956</v>
      </c>
      <c r="I67" s="328">
        <f>O34</f>
        <v>52.105000000000004</v>
      </c>
      <c r="J67" s="293" t="s">
        <v>397</v>
      </c>
      <c r="AB67" s="293" t="s">
        <v>411</v>
      </c>
      <c r="AC67" s="301">
        <f>U27</f>
        <v>325</v>
      </c>
      <c r="AD67" s="328">
        <f>U34</f>
        <v>0</v>
      </c>
      <c r="AE67" s="293" t="s">
        <v>397</v>
      </c>
    </row>
    <row r="68" spans="7:39" x14ac:dyDescent="0.55000000000000004">
      <c r="G68" s="306" t="s">
        <v>409</v>
      </c>
      <c r="H68" s="307">
        <f>SUM(H65:H67)</f>
        <v>1216.5689999999995</v>
      </c>
      <c r="I68" s="309">
        <f>I62-I67</f>
        <v>18.373000000000005</v>
      </c>
      <c r="J68" s="293" t="s">
        <v>412</v>
      </c>
      <c r="AB68" s="306" t="s">
        <v>409</v>
      </c>
      <c r="AC68" s="307">
        <f>SUM(AC65:AC67)</f>
        <v>373</v>
      </c>
      <c r="AD68" s="309">
        <f>AD62-AD67</f>
        <v>12.046999999999997</v>
      </c>
      <c r="AE68" s="293" t="s">
        <v>412</v>
      </c>
    </row>
    <row r="69" spans="7:39" x14ac:dyDescent="0.55000000000000004">
      <c r="G69" s="316" t="s">
        <v>414</v>
      </c>
      <c r="H69" s="329">
        <f>H63-H68</f>
        <v>0</v>
      </c>
      <c r="N69" s="324" t="s">
        <v>379</v>
      </c>
      <c r="O69" s="332" t="s">
        <v>421</v>
      </c>
      <c r="V69" s="323" t="s">
        <v>390</v>
      </c>
      <c r="X69" s="332" t="s">
        <v>421</v>
      </c>
      <c r="AB69" s="316" t="s">
        <v>414</v>
      </c>
      <c r="AC69" s="329">
        <f>AC63-AC68</f>
        <v>0</v>
      </c>
    </row>
    <row r="70" spans="7:39" x14ac:dyDescent="0.55000000000000004">
      <c r="H70" s="301"/>
    </row>
    <row r="72" spans="7:39" x14ac:dyDescent="0.55000000000000004">
      <c r="G72" s="322" t="s">
        <v>379</v>
      </c>
      <c r="H72" s="327" t="s">
        <v>421</v>
      </c>
    </row>
    <row r="73" spans="7:39" x14ac:dyDescent="0.55000000000000004">
      <c r="G73" s="293" t="s">
        <v>407</v>
      </c>
      <c r="H73" s="301">
        <f ca="1">(X14+X15)</f>
        <v>14.971580495431239</v>
      </c>
    </row>
    <row r="74" spans="7:39" x14ac:dyDescent="0.55000000000000004">
      <c r="G74" s="293" t="s">
        <v>122</v>
      </c>
      <c r="H74" s="301">
        <f>X16</f>
        <v>0</v>
      </c>
      <c r="AG74" s="322" t="s">
        <v>423</v>
      </c>
    </row>
    <row r="75" spans="7:39" x14ac:dyDescent="0.55000000000000004">
      <c r="G75" s="293" t="s">
        <v>422</v>
      </c>
      <c r="H75" s="309">
        <f ca="1">X9+I83</f>
        <v>808.2051202084624</v>
      </c>
    </row>
    <row r="76" spans="7:39" x14ac:dyDescent="0.55000000000000004">
      <c r="G76" s="293" t="s">
        <v>114</v>
      </c>
      <c r="H76" s="357">
        <v>0</v>
      </c>
      <c r="AH76" s="325" t="s">
        <v>379</v>
      </c>
      <c r="AI76" s="333" t="s">
        <v>427</v>
      </c>
      <c r="AL76" s="323" t="s">
        <v>390</v>
      </c>
      <c r="AM76" s="333" t="s">
        <v>427</v>
      </c>
    </row>
    <row r="77" spans="7:39" x14ac:dyDescent="0.55000000000000004">
      <c r="G77" s="293" t="s">
        <v>142</v>
      </c>
      <c r="H77" s="301">
        <f>X8</f>
        <v>120</v>
      </c>
      <c r="I77" s="301">
        <f ca="1">X19</f>
        <v>26.217120208462319</v>
      </c>
      <c r="J77" s="293" t="s">
        <v>408</v>
      </c>
    </row>
    <row r="78" spans="7:39" x14ac:dyDescent="0.55000000000000004">
      <c r="G78" s="306" t="s">
        <v>409</v>
      </c>
      <c r="H78" s="307">
        <f ca="1">SUM(H73:H77)</f>
        <v>943.17670070389363</v>
      </c>
    </row>
    <row r="79" spans="7:39" x14ac:dyDescent="0.55000000000000004">
      <c r="G79" s="322" t="s">
        <v>390</v>
      </c>
    </row>
    <row r="80" spans="7:39" x14ac:dyDescent="0.55000000000000004">
      <c r="G80" s="293" t="s">
        <v>410</v>
      </c>
      <c r="H80" s="301">
        <f>X31</f>
        <v>57.599999999999994</v>
      </c>
    </row>
    <row r="81" spans="7:31" x14ac:dyDescent="0.55000000000000004">
      <c r="G81" s="293" t="s">
        <v>114</v>
      </c>
      <c r="H81" s="301">
        <f>-X10</f>
        <v>319.65939455526427</v>
      </c>
    </row>
    <row r="82" spans="7:31" x14ac:dyDescent="0.55000000000000004">
      <c r="G82" s="293" t="s">
        <v>411</v>
      </c>
      <c r="H82" s="301">
        <f ca="1">X27</f>
        <v>565.91730614862934</v>
      </c>
      <c r="I82" s="328">
        <f>X34</f>
        <v>0</v>
      </c>
      <c r="J82" s="293" t="s">
        <v>397</v>
      </c>
    </row>
    <row r="83" spans="7:31" x14ac:dyDescent="0.55000000000000004">
      <c r="G83" s="306" t="s">
        <v>409</v>
      </c>
      <c r="H83" s="307">
        <f ca="1">SUM(H80:H82)</f>
        <v>943.17670070389363</v>
      </c>
      <c r="I83" s="309">
        <f ca="1">I77-I82</f>
        <v>26.217120208462319</v>
      </c>
      <c r="J83" s="293" t="s">
        <v>413</v>
      </c>
    </row>
    <row r="84" spans="7:31" x14ac:dyDescent="0.55000000000000004">
      <c r="G84" s="316" t="s">
        <v>414</v>
      </c>
      <c r="H84" s="329">
        <f ca="1">H78-H83</f>
        <v>0</v>
      </c>
    </row>
    <row r="86" spans="7:31" x14ac:dyDescent="0.55000000000000004">
      <c r="AC86" s="326" t="s">
        <v>415</v>
      </c>
    </row>
    <row r="87" spans="7:31" x14ac:dyDescent="0.55000000000000004">
      <c r="AB87" s="322" t="s">
        <v>379</v>
      </c>
      <c r="AC87" s="327">
        <v>1997</v>
      </c>
    </row>
    <row r="88" spans="7:31" x14ac:dyDescent="0.55000000000000004">
      <c r="AB88" s="293" t="s">
        <v>407</v>
      </c>
      <c r="AC88" s="301">
        <f>(AC14+AC15)</f>
        <v>102</v>
      </c>
    </row>
    <row r="89" spans="7:31" x14ac:dyDescent="0.55000000000000004">
      <c r="AB89" s="293" t="s">
        <v>425</v>
      </c>
      <c r="AC89" s="301">
        <f>AC16</f>
        <v>495</v>
      </c>
    </row>
    <row r="90" spans="7:31" x14ac:dyDescent="0.55000000000000004">
      <c r="AB90" s="293" t="s">
        <v>426</v>
      </c>
      <c r="AC90" s="301">
        <f>AC9</f>
        <v>647</v>
      </c>
    </row>
    <row r="91" spans="7:31" x14ac:dyDescent="0.55000000000000004">
      <c r="AB91" s="293" t="s">
        <v>114</v>
      </c>
      <c r="AC91" s="301">
        <f>AC10</f>
        <v>0</v>
      </c>
    </row>
    <row r="92" spans="7:31" x14ac:dyDescent="0.55000000000000004">
      <c r="AB92" s="293" t="s">
        <v>142</v>
      </c>
      <c r="AC92" s="301">
        <f>AC8</f>
        <v>114</v>
      </c>
      <c r="AD92" s="301">
        <f>AC19</f>
        <v>60</v>
      </c>
      <c r="AE92" s="293" t="s">
        <v>408</v>
      </c>
    </row>
    <row r="93" spans="7:31" x14ac:dyDescent="0.55000000000000004">
      <c r="AB93" s="306" t="s">
        <v>409</v>
      </c>
      <c r="AC93" s="307">
        <f>SUM(AC88:AC92)</f>
        <v>1358</v>
      </c>
    </row>
    <row r="94" spans="7:31" x14ac:dyDescent="0.55000000000000004">
      <c r="AB94" s="322" t="s">
        <v>390</v>
      </c>
    </row>
    <row r="95" spans="7:31" x14ac:dyDescent="0.55000000000000004">
      <c r="AB95" s="293" t="s">
        <v>410</v>
      </c>
      <c r="AC95" s="309">
        <f>AC31</f>
        <v>57</v>
      </c>
    </row>
    <row r="96" spans="7:31" x14ac:dyDescent="0.55000000000000004">
      <c r="AB96" s="293" t="s">
        <v>114</v>
      </c>
      <c r="AC96" s="301">
        <f>(AC29+AC30)-AD98</f>
        <v>700</v>
      </c>
    </row>
    <row r="97" spans="28:31" x14ac:dyDescent="0.55000000000000004">
      <c r="AB97" s="293" t="s">
        <v>411</v>
      </c>
      <c r="AC97" s="301">
        <f>AC27</f>
        <v>601</v>
      </c>
      <c r="AD97" s="328">
        <f>AC34</f>
        <v>0</v>
      </c>
      <c r="AE97" s="293" t="s">
        <v>397</v>
      </c>
    </row>
    <row r="98" spans="28:31" x14ac:dyDescent="0.55000000000000004">
      <c r="AB98" s="306" t="s">
        <v>409</v>
      </c>
      <c r="AC98" s="307">
        <f>SUM(AC95:AC97)</f>
        <v>1358</v>
      </c>
      <c r="AD98" s="309">
        <f>AD92-AD97</f>
        <v>60</v>
      </c>
      <c r="AE98" s="293" t="s">
        <v>413</v>
      </c>
    </row>
    <row r="99" spans="28:31" x14ac:dyDescent="0.55000000000000004">
      <c r="AB99" s="316" t="s">
        <v>414</v>
      </c>
      <c r="AC99" s="329">
        <f>AC93-AC98</f>
        <v>0</v>
      </c>
    </row>
  </sheetData>
  <mergeCells count="6">
    <mergeCell ref="A8:A21"/>
    <mergeCell ref="C8:C12"/>
    <mergeCell ref="C14:C17"/>
    <mergeCell ref="A23:A36"/>
    <mergeCell ref="C23:C27"/>
    <mergeCell ref="C29:C3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4B7FF-EB48-4A74-8656-108E38AC5E46}">
  <dimension ref="B1:X42"/>
  <sheetViews>
    <sheetView zoomScale="79" workbookViewId="0">
      <selection activeCell="L34" sqref="L34"/>
    </sheetView>
  </sheetViews>
  <sheetFormatPr baseColWidth="10" defaultRowHeight="14.4" x14ac:dyDescent="0.55000000000000004"/>
  <cols>
    <col min="1" max="1" width="6.609375" style="335" customWidth="1"/>
    <col min="2" max="2" width="7.33203125" style="335" customWidth="1"/>
    <col min="3" max="7" width="10.6640625" style="335"/>
    <col min="8" max="8" width="5.88671875" style="335" customWidth="1"/>
    <col min="9" max="16384" width="10.6640625" style="335"/>
  </cols>
  <sheetData>
    <row r="1" spans="2:22" ht="15.6" x14ac:dyDescent="0.6">
      <c r="B1" s="334" t="s">
        <v>441</v>
      </c>
      <c r="F1" s="336"/>
      <c r="G1" s="336"/>
      <c r="H1" s="336"/>
      <c r="J1" s="337"/>
      <c r="K1" s="337"/>
      <c r="L1" s="337"/>
      <c r="R1" s="337"/>
    </row>
    <row r="2" spans="2:22" x14ac:dyDescent="0.55000000000000004">
      <c r="N2" s="338"/>
      <c r="O2" s="339" t="s">
        <v>430</v>
      </c>
      <c r="S2" s="339" t="s">
        <v>431</v>
      </c>
    </row>
    <row r="3" spans="2:22" ht="15.6" x14ac:dyDescent="0.6">
      <c r="B3" s="338"/>
      <c r="C3" s="340" t="s">
        <v>432</v>
      </c>
      <c r="E3" s="338"/>
      <c r="F3" s="340" t="s">
        <v>433</v>
      </c>
      <c r="G3" s="340" t="s">
        <v>434</v>
      </c>
      <c r="I3" s="338"/>
      <c r="J3" s="340" t="s">
        <v>365</v>
      </c>
      <c r="K3" s="340" t="s">
        <v>435</v>
      </c>
      <c r="L3" s="340" t="s">
        <v>410</v>
      </c>
      <c r="N3" s="338"/>
      <c r="O3" s="340" t="s">
        <v>436</v>
      </c>
      <c r="R3" s="341" t="s">
        <v>313</v>
      </c>
      <c r="S3" s="340" t="s">
        <v>365</v>
      </c>
      <c r="T3" s="342"/>
    </row>
    <row r="4" spans="2:22" ht="15.6" x14ac:dyDescent="0.6">
      <c r="B4" s="338">
        <v>1992</v>
      </c>
      <c r="C4" s="342">
        <f>'Exhibit 6 (Modelo)'!C38</f>
        <v>889.93899999999996</v>
      </c>
      <c r="E4" s="338">
        <v>1992</v>
      </c>
      <c r="F4" s="342">
        <f>'Exhibit 6 (Modelo)'!C49</f>
        <v>66.87599999999992</v>
      </c>
      <c r="G4" s="355">
        <f t="shared" ref="G4:G9" si="0">F4/C4</f>
        <v>7.5146723539478461E-2</v>
      </c>
      <c r="I4" s="338">
        <v>1992</v>
      </c>
      <c r="J4" s="342">
        <f>'Exhibit 6 (Modelo)'!C16</f>
        <v>559.56299999999999</v>
      </c>
      <c r="K4" s="342">
        <f>'Exhibit 6 (Modelo)'!C25</f>
        <v>285.38299999999998</v>
      </c>
      <c r="L4" s="342">
        <f>'Exhibit 6 (Modelo)'!C32</f>
        <v>274.18</v>
      </c>
      <c r="M4" s="344">
        <f t="shared" ref="M4:M9" si="1">K4+L4-J4</f>
        <v>0</v>
      </c>
      <c r="N4" s="338">
        <v>1992</v>
      </c>
      <c r="O4" s="345">
        <f>R4/(R4+L4)</f>
        <v>0.13132465228273613</v>
      </c>
      <c r="R4" s="346">
        <f>'Exhibit 6 (Modelo)'!C23</f>
        <v>41.45</v>
      </c>
      <c r="S4" s="345">
        <f t="shared" ref="S4:S9" si="2">K4/J4</f>
        <v>0.51001049032906032</v>
      </c>
      <c r="T4" s="342"/>
    </row>
    <row r="5" spans="2:22" ht="15.6" x14ac:dyDescent="0.6">
      <c r="B5" s="338">
        <f t="shared" ref="B5:B8" si="3">B4+1</f>
        <v>1993</v>
      </c>
      <c r="C5" s="342">
        <f>'Exhibit 6 (Modelo)'!D38</f>
        <v>2013.924</v>
      </c>
      <c r="E5" s="338">
        <f t="shared" ref="E5:E8" si="4">E4+1</f>
        <v>1993</v>
      </c>
      <c r="F5" s="342">
        <f>'Exhibit 6 (Modelo)'!D49</f>
        <v>139.11199999999997</v>
      </c>
      <c r="G5" s="355">
        <f t="shared" si="0"/>
        <v>6.9075099159650502E-2</v>
      </c>
      <c r="I5" s="338">
        <f t="shared" ref="I5:I8" si="5">I4+1</f>
        <v>1993</v>
      </c>
      <c r="J5" s="342">
        <f>'Exhibit 6 (Modelo)'!D16</f>
        <v>927.005</v>
      </c>
      <c r="K5" s="342">
        <f>'Exhibit 6 (Modelo)'!D25</f>
        <v>557.80499999999995</v>
      </c>
      <c r="L5" s="342">
        <f>'Exhibit 6 (Modelo)'!D32</f>
        <v>369.20000000000005</v>
      </c>
      <c r="M5" s="344">
        <f t="shared" si="1"/>
        <v>0</v>
      </c>
      <c r="N5" s="338">
        <f t="shared" ref="N5:N8" si="6">N4+1</f>
        <v>1993</v>
      </c>
      <c r="O5" s="345">
        <f t="shared" ref="O5:O9" si="7">R5/(R5+L5)</f>
        <v>0.11584321783257058</v>
      </c>
      <c r="R5" s="346">
        <f>'Exhibit 6 (Modelo)'!D23</f>
        <v>48.372999999999998</v>
      </c>
      <c r="S5" s="345">
        <f t="shared" si="2"/>
        <v>0.60172814601862978</v>
      </c>
      <c r="T5" s="342"/>
    </row>
    <row r="6" spans="2:22" ht="15.6" x14ac:dyDescent="0.6">
      <c r="B6" s="338">
        <f t="shared" si="3"/>
        <v>1994</v>
      </c>
      <c r="C6" s="342">
        <f>'Exhibit 6 (Modelo)'!E38</f>
        <v>2873.165</v>
      </c>
      <c r="E6" s="338">
        <f t="shared" si="4"/>
        <v>1994</v>
      </c>
      <c r="F6" s="342">
        <f>'Exhibit 6 (Modelo)'!E49</f>
        <v>-39.024000000000228</v>
      </c>
      <c r="G6" s="355">
        <f t="shared" si="0"/>
        <v>-1.3582234226019122E-2</v>
      </c>
      <c r="I6" s="338">
        <f t="shared" si="5"/>
        <v>1994</v>
      </c>
      <c r="J6" s="342">
        <f>'Exhibit 6 (Modelo)'!E16</f>
        <v>1140.48</v>
      </c>
      <c r="K6" s="342">
        <f>'Exhibit 6 (Modelo)'!E25</f>
        <v>669.37200000000007</v>
      </c>
      <c r="L6" s="342">
        <f>'Exhibit 6 (Modelo)'!E32</f>
        <v>471.10799999999995</v>
      </c>
      <c r="M6" s="344">
        <f t="shared" si="1"/>
        <v>0</v>
      </c>
      <c r="N6" s="338">
        <f t="shared" si="6"/>
        <v>1994</v>
      </c>
      <c r="O6" s="345">
        <f t="shared" si="7"/>
        <v>0.17509823010709008</v>
      </c>
      <c r="R6" s="346">
        <f>'Exhibit 6 (Modelo)'!E23</f>
        <v>100</v>
      </c>
      <c r="S6" s="345">
        <f t="shared" si="2"/>
        <v>0.5869212962962963</v>
      </c>
      <c r="T6" s="342"/>
    </row>
    <row r="7" spans="2:22" ht="15.6" x14ac:dyDescent="0.6">
      <c r="B7" s="338">
        <f t="shared" si="3"/>
        <v>1995</v>
      </c>
      <c r="C7" s="342">
        <f>'Exhibit 6 (Modelo)'!F38</f>
        <v>3475.3429999999998</v>
      </c>
      <c r="E7" s="338">
        <f t="shared" si="4"/>
        <v>1995</v>
      </c>
      <c r="F7" s="342">
        <f>'Exhibit 6 (Modelo)'!F49</f>
        <v>249.26299999999992</v>
      </c>
      <c r="G7" s="355">
        <f t="shared" si="0"/>
        <v>7.1723280263271835E-2</v>
      </c>
      <c r="I7" s="338">
        <f t="shared" si="5"/>
        <v>1995</v>
      </c>
      <c r="J7" s="342">
        <f>'Exhibit 6 (Modelo)'!F16</f>
        <v>1593.9999999999998</v>
      </c>
      <c r="K7" s="342">
        <f>'Exhibit 6 (Modelo)'!F25</f>
        <v>942.26400000000001</v>
      </c>
      <c r="L7" s="342">
        <f>'Exhibit 6 (Modelo)'!F32</f>
        <v>651.73599999999999</v>
      </c>
      <c r="M7" s="344">
        <f t="shared" si="1"/>
        <v>0</v>
      </c>
      <c r="N7" s="338">
        <f t="shared" si="6"/>
        <v>1995</v>
      </c>
      <c r="O7" s="345">
        <f t="shared" si="7"/>
        <v>0.1482412290159639</v>
      </c>
      <c r="R7" s="346">
        <f>'Exhibit 6 (Modelo)'!F23</f>
        <v>113.429</v>
      </c>
      <c r="S7" s="345">
        <f t="shared" si="2"/>
        <v>0.59113174404015068</v>
      </c>
      <c r="T7" s="342"/>
    </row>
    <row r="8" spans="2:22" ht="15.6" x14ac:dyDescent="0.6">
      <c r="B8" s="338">
        <f t="shared" si="3"/>
        <v>1996</v>
      </c>
      <c r="C8" s="342">
        <f>'Exhibit 6 (Modelo)'!G38</f>
        <v>5296</v>
      </c>
      <c r="E8" s="338">
        <f t="shared" si="4"/>
        <v>1996</v>
      </c>
      <c r="F8" s="342">
        <f>'Exhibit 6 (Modelo)'!G49</f>
        <v>377</v>
      </c>
      <c r="G8" s="355">
        <f t="shared" si="0"/>
        <v>7.1185800604229604E-2</v>
      </c>
      <c r="I8" s="338">
        <f t="shared" si="5"/>
        <v>1996</v>
      </c>
      <c r="J8" s="342">
        <f>'Exhibit 6 (Modelo)'!G16</f>
        <v>2148</v>
      </c>
      <c r="K8" s="342">
        <f>'Exhibit 6 (Modelo)'!G25</f>
        <v>1175</v>
      </c>
      <c r="L8" s="342">
        <f>'Exhibit 6 (Modelo)'!G32</f>
        <v>973</v>
      </c>
      <c r="M8" s="344">
        <f t="shared" si="1"/>
        <v>0</v>
      </c>
      <c r="N8" s="338">
        <f t="shared" si="6"/>
        <v>1996</v>
      </c>
      <c r="O8" s="345">
        <f t="shared" si="7"/>
        <v>0.10405156537753223</v>
      </c>
      <c r="R8" s="346">
        <f>'Exhibit 6 (Modelo)'!G23</f>
        <v>113</v>
      </c>
      <c r="S8" s="345">
        <f t="shared" si="2"/>
        <v>0.54702048417132221</v>
      </c>
      <c r="T8" s="342"/>
    </row>
    <row r="9" spans="2:22" ht="15.6" x14ac:dyDescent="0.6">
      <c r="B9" s="363" t="s">
        <v>141</v>
      </c>
      <c r="C9" s="342">
        <f>'Exhibit 6 (Modelo)'!I38</f>
        <v>7944</v>
      </c>
      <c r="E9" s="363" t="s">
        <v>141</v>
      </c>
      <c r="F9" s="342">
        <f>'Exhibit 6 (Modelo)'!I49</f>
        <v>675.9</v>
      </c>
      <c r="G9" s="355">
        <f t="shared" si="0"/>
        <v>8.5083081570996977E-2</v>
      </c>
      <c r="I9" s="363" t="s">
        <v>141</v>
      </c>
      <c r="J9" s="342">
        <f ca="1">'Exhibit 6 (Modelo)'!I16</f>
        <v>3475.3575607152698</v>
      </c>
      <c r="K9" s="342">
        <f ca="1">'Exhibit 6 (Modelo)'!I25</f>
        <v>1954.6118350620718</v>
      </c>
      <c r="L9" s="342">
        <f ca="1">'Exhibit 6 (Modelo)'!I32</f>
        <v>1520.745725653198</v>
      </c>
      <c r="M9" s="344">
        <f t="shared" ca="1" si="1"/>
        <v>0</v>
      </c>
      <c r="N9" s="363" t="s">
        <v>141</v>
      </c>
      <c r="O9" s="345">
        <f t="shared" ca="1" si="7"/>
        <v>6.9166210032360315E-2</v>
      </c>
      <c r="R9" s="346">
        <f ca="1">'Exhibit 6 (Modelo)'!I23</f>
        <v>113</v>
      </c>
      <c r="S9" s="345">
        <f t="shared" ca="1" si="2"/>
        <v>0.56242035557912196</v>
      </c>
      <c r="T9" s="342"/>
    </row>
    <row r="10" spans="2:22" ht="11.7" customHeight="1" x14ac:dyDescent="0.6">
      <c r="B10" s="338"/>
      <c r="C10" s="342"/>
      <c r="E10" s="338"/>
      <c r="F10" s="342"/>
      <c r="G10" s="343"/>
      <c r="I10" s="338"/>
      <c r="J10" s="342"/>
      <c r="K10" s="342"/>
      <c r="L10" s="342"/>
      <c r="M10" s="344"/>
      <c r="N10" s="338"/>
      <c r="O10" s="345"/>
      <c r="R10" s="346"/>
      <c r="S10" s="345"/>
    </row>
    <row r="11" spans="2:22" x14ac:dyDescent="0.55000000000000004">
      <c r="B11" s="347" t="s">
        <v>437</v>
      </c>
      <c r="C11" s="348">
        <f>((C9/C4)^(1/5)-1)</f>
        <v>0.54930099296932267</v>
      </c>
      <c r="E11" s="347" t="s">
        <v>437</v>
      </c>
      <c r="F11" s="348">
        <f>((F9/F4)^(1/5)-1)</f>
        <v>0.58826304654528205</v>
      </c>
      <c r="G11" s="338"/>
      <c r="I11" s="347" t="s">
        <v>437</v>
      </c>
      <c r="J11" s="348">
        <f ca="1">((J9/J4)^(1/5)-1)</f>
        <v>0.44088758933461736</v>
      </c>
      <c r="K11" s="348">
        <f ca="1">((K9/K4)^(1/5)-1)</f>
        <v>0.4693541537009589</v>
      </c>
      <c r="L11" s="348">
        <f ca="1">((L9/L4)^(1/5)-1)</f>
        <v>0.40865346044389539</v>
      </c>
      <c r="Q11" s="347" t="s">
        <v>437</v>
      </c>
      <c r="R11" s="348">
        <f ca="1">((R9/R4)^(1/5)-1)</f>
        <v>0.22211136187299574</v>
      </c>
    </row>
    <row r="13" spans="2:22" x14ac:dyDescent="0.55000000000000004">
      <c r="B13" s="338"/>
      <c r="C13" s="340" t="s">
        <v>105</v>
      </c>
      <c r="D13" s="341"/>
      <c r="E13" s="338"/>
      <c r="F13" s="340" t="s">
        <v>442</v>
      </c>
      <c r="G13" s="341"/>
      <c r="I13" s="338"/>
      <c r="J13" s="340" t="s">
        <v>163</v>
      </c>
      <c r="K13" s="340" t="s">
        <v>438</v>
      </c>
      <c r="N13" s="338" t="s">
        <v>167</v>
      </c>
      <c r="O13" s="338" t="s">
        <v>439</v>
      </c>
      <c r="P13" s="341"/>
      <c r="R13" s="341" t="s">
        <v>443</v>
      </c>
    </row>
    <row r="14" spans="2:22" ht="15.6" x14ac:dyDescent="0.6">
      <c r="B14" s="338">
        <v>1992</v>
      </c>
      <c r="C14" s="342">
        <f>'Exhibit 6 (Modelo)'!C61</f>
        <v>50.910999999999916</v>
      </c>
      <c r="E14" s="338">
        <v>1992</v>
      </c>
      <c r="F14" s="349">
        <f>'Exhibit 6 (Modelo)'!C78-'Exhibit 6 (Modelo)'!C72</f>
        <v>-130.02700000000004</v>
      </c>
      <c r="I14" s="338">
        <v>1992</v>
      </c>
      <c r="J14" s="343">
        <f>F4/((J4+264.22)/2)</f>
        <v>0.16236314660535583</v>
      </c>
      <c r="K14" s="343">
        <f>R14/((R4+0)/2)</f>
        <v>8.6079613992762358E-2</v>
      </c>
      <c r="N14" s="350">
        <f>'Exhibit 6 (Modelo)'!C176</f>
        <v>45.239910313901298</v>
      </c>
      <c r="O14" s="350">
        <f>'Exhibit 6 (Modelo)'!C178</f>
        <v>0.5135798186053433</v>
      </c>
      <c r="Q14" s="342"/>
      <c r="R14" s="346">
        <f>-'Exhibit 6 (Modelo)'!C55</f>
        <v>1.784</v>
      </c>
      <c r="U14" s="359">
        <v>45.239910313901298</v>
      </c>
      <c r="V14" s="359">
        <v>0.5135798186053433</v>
      </c>
    </row>
    <row r="15" spans="2:22" ht="15.6" x14ac:dyDescent="0.6">
      <c r="B15" s="338">
        <f t="shared" ref="B15:B18" si="8">B14+1</f>
        <v>1993</v>
      </c>
      <c r="C15" s="342">
        <f>'Exhibit 6 (Modelo)'!D61</f>
        <v>101.64199999999997</v>
      </c>
      <c r="E15" s="338">
        <f t="shared" ref="E15:E18" si="9">E14+1</f>
        <v>1993</v>
      </c>
      <c r="F15" s="349">
        <f>'Exhibit 6 (Modelo)'!D78-'Exhibit 6 (Modelo)'!D72</f>
        <v>20.524000000000001</v>
      </c>
      <c r="I15" s="338">
        <f t="shared" ref="I15:I18" si="10">I14+1</f>
        <v>1993</v>
      </c>
      <c r="J15" s="343">
        <f>F5/((J5+J4)/2)</f>
        <v>0.18715860962969735</v>
      </c>
      <c r="K15" s="343">
        <f>R15/((R5+R4)/2)</f>
        <v>0.17521124878928557</v>
      </c>
      <c r="N15" s="350">
        <f>'Exhibit 6 (Modelo)'!D176</f>
        <v>20.156563731096703</v>
      </c>
      <c r="O15" s="350">
        <f>'Exhibit 6 (Modelo)'!D178</f>
        <v>0.30497692482283817</v>
      </c>
      <c r="Q15" s="342"/>
      <c r="R15" s="346">
        <f>-'Exhibit 6 (Modelo)'!D55</f>
        <v>7.8689999999999998</v>
      </c>
      <c r="U15" s="359">
        <v>20.156563731096703</v>
      </c>
      <c r="V15" s="359">
        <v>0.30497692482283817</v>
      </c>
    </row>
    <row r="16" spans="2:22" ht="15.6" x14ac:dyDescent="0.6">
      <c r="B16" s="338">
        <f t="shared" si="8"/>
        <v>1994</v>
      </c>
      <c r="C16" s="342">
        <f>'Exhibit 6 (Modelo)'!E61</f>
        <v>-35.833000000000226</v>
      </c>
      <c r="E16" s="338">
        <f t="shared" si="9"/>
        <v>1994</v>
      </c>
      <c r="F16" s="349">
        <f>'Exhibit 6 (Modelo)'!E78-'Exhibit 6 (Modelo)'!E72</f>
        <v>73.420999999999907</v>
      </c>
      <c r="I16" s="338">
        <f t="shared" si="10"/>
        <v>1994</v>
      </c>
      <c r="J16" s="343">
        <f>F6/((J6+J5)/2)</f>
        <v>-3.7750213423555889E-2</v>
      </c>
      <c r="K16" s="343">
        <f>R16/((R6+R5)/2)</f>
        <v>0.11255417090710575</v>
      </c>
      <c r="N16" s="350">
        <f>'Exhibit 6 (Modelo)'!E176</f>
        <v>-1.003353293413201</v>
      </c>
      <c r="O16" s="350">
        <f>'Exhibit 6 (Modelo)'!E178</f>
        <v>-11.936022917163676</v>
      </c>
      <c r="Q16" s="342"/>
      <c r="R16" s="346">
        <f>-'Exhibit 6 (Modelo)'!E55</f>
        <v>8.35</v>
      </c>
      <c r="U16" s="359">
        <v>-1.003353293413201</v>
      </c>
      <c r="V16" s="359">
        <v>-11.936022917163676</v>
      </c>
    </row>
    <row r="17" spans="2:24" ht="15.6" x14ac:dyDescent="0.6">
      <c r="B17" s="338">
        <f t="shared" si="8"/>
        <v>1995</v>
      </c>
      <c r="C17" s="342">
        <f>'Exhibit 6 (Modelo)'!F61</f>
        <v>149.17699999999991</v>
      </c>
      <c r="E17" s="338">
        <f t="shared" si="9"/>
        <v>1995</v>
      </c>
      <c r="F17" s="349">
        <f>'Exhibit 6 (Modelo)'!F78-'Exhibit 6 (Modelo)'!F72</f>
        <v>163.17800000000003</v>
      </c>
      <c r="I17" s="338">
        <f t="shared" si="10"/>
        <v>1995</v>
      </c>
      <c r="J17" s="343">
        <f>F7/((J7+J6)/2)</f>
        <v>0.18231107925455659</v>
      </c>
      <c r="K17" s="343">
        <f>R17/((R7+R6)/2)</f>
        <v>0.11435184534435339</v>
      </c>
      <c r="N17" s="350">
        <f>'Exhibit 6 (Modelo)'!F176</f>
        <v>23.130623617143321</v>
      </c>
      <c r="O17" s="350">
        <f>'Exhibit 6 (Modelo)'!F178</f>
        <v>0.40185571612290677</v>
      </c>
      <c r="Q17" s="342"/>
      <c r="R17" s="346">
        <f>-'Exhibit 6 (Modelo)'!F55</f>
        <v>12.202999999999999</v>
      </c>
      <c r="U17" s="359">
        <v>23.130623617143321</v>
      </c>
      <c r="V17" s="359">
        <v>0.40185571612290677</v>
      </c>
    </row>
    <row r="18" spans="2:24" ht="15.6" x14ac:dyDescent="0.6">
      <c r="B18" s="338">
        <f t="shared" si="8"/>
        <v>1996</v>
      </c>
      <c r="C18" s="342">
        <f>'Exhibit 6 (Modelo)'!G61</f>
        <v>272</v>
      </c>
      <c r="E18" s="338">
        <f t="shared" si="9"/>
        <v>1996</v>
      </c>
      <c r="F18" s="349">
        <f>'Exhibit 6 (Modelo)'!G78-'Exhibit 6 (Modelo)'!G72</f>
        <v>98.753000000000043</v>
      </c>
      <c r="I18" s="338">
        <f t="shared" si="10"/>
        <v>1996</v>
      </c>
      <c r="J18" s="343">
        <f>F8/((J8+J7)/2)</f>
        <v>0.20149652592196687</v>
      </c>
      <c r="K18" s="343">
        <f>R18/((R8+R7)/2)</f>
        <v>0.13249186279142688</v>
      </c>
      <c r="N18" s="350">
        <f>'Exhibit 6 (Modelo)'!G176</f>
        <v>27.666666666666668</v>
      </c>
      <c r="O18" s="350">
        <f>'Exhibit 6 (Modelo)'!G178</f>
        <v>0.27228915662650605</v>
      </c>
      <c r="Q18" s="342"/>
      <c r="R18" s="346">
        <f>-'Exhibit 6 (Modelo)'!G55</f>
        <v>15</v>
      </c>
      <c r="U18" s="359">
        <v>27.666666666666668</v>
      </c>
      <c r="V18" s="359">
        <v>0.27228915662650605</v>
      </c>
    </row>
    <row r="19" spans="2:24" ht="15.6" x14ac:dyDescent="0.6">
      <c r="B19" s="363" t="s">
        <v>141</v>
      </c>
      <c r="C19" s="342">
        <f ca="1">'Exhibit 6 (Modelo)'!I61</f>
        <v>490.14572565319816</v>
      </c>
      <c r="E19" s="363" t="s">
        <v>141</v>
      </c>
      <c r="F19" s="349">
        <f ca="1">'Exhibit 6 (Modelo)'!I78-'Exhibit 6 (Modelo)'!I72</f>
        <v>765.57670070389361</v>
      </c>
      <c r="I19" s="363" t="s">
        <v>141</v>
      </c>
      <c r="J19" s="343">
        <f ca="1">F9/((J9+J8)/2)</f>
        <v>0.24039019134114178</v>
      </c>
      <c r="K19" s="343">
        <f ca="1">R19/((R9+R8)/2)</f>
        <v>0.13249186279142688</v>
      </c>
      <c r="N19" s="350">
        <f ca="1">'Exhibit 6 (Modelo)'!I176</f>
        <v>49.206561740412972</v>
      </c>
      <c r="O19" s="350">
        <f ca="1">'Exhibit 6 (Modelo)'!I178</f>
        <v>0.15338672458259808</v>
      </c>
      <c r="Q19" s="342"/>
      <c r="R19" s="346">
        <f ca="1">-'Exhibit 6 (Modelo)'!I55</f>
        <v>14.971580495431239</v>
      </c>
      <c r="U19" s="359">
        <v>49.206561740412972</v>
      </c>
      <c r="V19" s="359">
        <v>0.15338672458259808</v>
      </c>
    </row>
    <row r="20" spans="2:24" ht="11.7" customHeight="1" x14ac:dyDescent="0.6">
      <c r="B20" s="338"/>
      <c r="C20" s="342"/>
      <c r="E20" s="338"/>
      <c r="F20" s="342"/>
      <c r="I20" s="338"/>
      <c r="J20" s="343"/>
      <c r="K20" s="343"/>
      <c r="N20" s="350"/>
      <c r="O20" s="350"/>
      <c r="Q20" s="342"/>
      <c r="R20" s="350"/>
      <c r="S20" s="350"/>
    </row>
    <row r="21" spans="2:24" x14ac:dyDescent="0.55000000000000004">
      <c r="B21" s="347" t="s">
        <v>437</v>
      </c>
      <c r="C21" s="348">
        <f ca="1">((C19/C14)^(1/5)-1)</f>
        <v>0.57290581647934502</v>
      </c>
      <c r="E21" s="347" t="s">
        <v>437</v>
      </c>
      <c r="F21" s="354" t="s">
        <v>440</v>
      </c>
    </row>
    <row r="24" spans="2:24" ht="15.6" x14ac:dyDescent="0.6">
      <c r="B24" s="334"/>
      <c r="F24" s="336"/>
      <c r="G24" s="336"/>
      <c r="H24" s="336"/>
      <c r="J24" s="362" t="s">
        <v>166</v>
      </c>
      <c r="K24" s="337"/>
      <c r="L24" s="337"/>
      <c r="R24" s="337"/>
    </row>
    <row r="25" spans="2:24" x14ac:dyDescent="0.55000000000000004">
      <c r="N25" s="338"/>
      <c r="O25" s="339"/>
      <c r="S25" s="339"/>
    </row>
    <row r="26" spans="2:24" ht="15.6" x14ac:dyDescent="0.6">
      <c r="B26" s="338"/>
      <c r="C26" s="340"/>
      <c r="E26" s="338"/>
      <c r="F26" s="340"/>
      <c r="G26" s="340"/>
      <c r="I26" s="338"/>
      <c r="J26" s="340" t="s">
        <v>115</v>
      </c>
      <c r="K26" s="340" t="s">
        <v>135</v>
      </c>
      <c r="L26" s="340" t="s">
        <v>116</v>
      </c>
      <c r="M26" s="340" t="s">
        <v>444</v>
      </c>
      <c r="N26" s="338"/>
      <c r="O26" s="340"/>
      <c r="R26" s="341"/>
      <c r="S26" s="340"/>
      <c r="V26" s="342"/>
      <c r="W26" s="342"/>
      <c r="X26" s="342"/>
    </row>
    <row r="27" spans="2:24" ht="15.6" x14ac:dyDescent="0.6">
      <c r="B27" s="338"/>
      <c r="C27" s="342"/>
      <c r="D27" s="342"/>
      <c r="E27" s="338"/>
      <c r="I27" s="338">
        <v>1993</v>
      </c>
      <c r="J27" s="356">
        <f>'Exhibit 6 (Modelo)'!D164</f>
        <v>67.785450195737269</v>
      </c>
      <c r="K27" s="356">
        <f>'Exhibit 6 (Modelo)'!D165</f>
        <v>70.742908789674743</v>
      </c>
      <c r="L27" s="356">
        <f>'Exhibit 6 (Modelo)'!D166</f>
        <v>58.062226191605504</v>
      </c>
      <c r="M27" s="356">
        <f t="shared" ref="M27:M32" si="11">J27+K27-L27</f>
        <v>80.466132793806509</v>
      </c>
      <c r="N27" s="338"/>
      <c r="O27" s="345"/>
      <c r="P27" s="345"/>
      <c r="R27" s="346"/>
      <c r="S27" s="345"/>
      <c r="V27" s="342"/>
      <c r="W27" s="342"/>
      <c r="X27" s="342"/>
    </row>
    <row r="28" spans="2:24" ht="15.6" x14ac:dyDescent="0.6">
      <c r="B28" s="338"/>
      <c r="C28" s="342"/>
      <c r="D28" s="342"/>
      <c r="E28" s="338"/>
      <c r="I28" s="338">
        <f>I27+1</f>
        <v>1994</v>
      </c>
      <c r="J28" s="356">
        <f>'Exhibit 6 (Modelo)'!E164</f>
        <v>52.183745103396426</v>
      </c>
      <c r="K28" s="356">
        <f>'Exhibit 6 (Modelo)'!E165</f>
        <v>32.944765277425475</v>
      </c>
      <c r="L28" s="356">
        <f>'Exhibit 6 (Modelo)'!E166</f>
        <v>35.810126727243009</v>
      </c>
      <c r="M28" s="356">
        <f t="shared" si="11"/>
        <v>49.318383653578884</v>
      </c>
      <c r="N28" s="338"/>
      <c r="O28" s="345"/>
      <c r="P28" s="345"/>
      <c r="R28" s="346"/>
      <c r="S28" s="345"/>
      <c r="V28" s="342"/>
      <c r="W28" s="342"/>
      <c r="X28" s="342"/>
    </row>
    <row r="29" spans="2:24" ht="15.6" x14ac:dyDescent="0.6">
      <c r="B29" s="338"/>
      <c r="C29" s="342"/>
      <c r="D29" s="342"/>
      <c r="E29" s="338"/>
      <c r="I29" s="338">
        <f>I28+1</f>
        <v>1995</v>
      </c>
      <c r="J29" s="356">
        <f>'Exhibit 6 (Modelo)'!F164</f>
        <v>56.501044645089713</v>
      </c>
      <c r="K29" s="356">
        <f>'Exhibit 6 (Modelo)'!F165</f>
        <v>39.059663024378125</v>
      </c>
      <c r="L29" s="356">
        <f>'Exhibit 6 (Modelo)'!F166</f>
        <v>51.104549525849656</v>
      </c>
      <c r="M29" s="356">
        <f t="shared" si="11"/>
        <v>44.456158143618175</v>
      </c>
      <c r="N29" s="338"/>
      <c r="O29" s="345"/>
      <c r="P29" s="345"/>
      <c r="R29" s="346"/>
      <c r="S29" s="345"/>
      <c r="V29" s="342"/>
      <c r="W29" s="342"/>
      <c r="X29" s="342"/>
    </row>
    <row r="30" spans="2:24" ht="15.6" x14ac:dyDescent="0.6">
      <c r="B30" s="338"/>
      <c r="C30" s="342"/>
      <c r="D30" s="342"/>
      <c r="E30" s="338"/>
      <c r="I30" s="338">
        <f>I29+1</f>
        <v>1996</v>
      </c>
      <c r="J30" s="356">
        <f>'Exhibit 6 (Modelo)'!G164</f>
        <v>50.035876132930511</v>
      </c>
      <c r="K30" s="356">
        <f>'Exhibit 6 (Modelo)'!G165</f>
        <v>37.02648380231733</v>
      </c>
      <c r="L30" s="356">
        <f>'Exhibit 6 (Modelo)'!G166</f>
        <v>34.847367342757636</v>
      </c>
      <c r="M30" s="356">
        <f t="shared" si="11"/>
        <v>52.214992592490205</v>
      </c>
      <c r="N30" s="338"/>
      <c r="O30" s="345"/>
      <c r="P30" s="345"/>
      <c r="R30" s="346"/>
      <c r="S30" s="345"/>
      <c r="V30" s="342"/>
      <c r="W30" s="342"/>
      <c r="X30" s="342"/>
    </row>
    <row r="31" spans="2:24" ht="15.6" x14ac:dyDescent="0.6">
      <c r="B31" s="338"/>
      <c r="C31" s="342"/>
      <c r="D31" s="342"/>
      <c r="E31" s="338"/>
      <c r="H31" s="335" t="s">
        <v>406</v>
      </c>
      <c r="I31" s="363" t="s">
        <v>141</v>
      </c>
      <c r="J31" s="356">
        <f>'Exhibit 6 (Modelo)'!I164</f>
        <v>44.310488701867605</v>
      </c>
      <c r="K31" s="356">
        <f>'Exhibit 6 (Modelo)'!I165</f>
        <v>32.944765277425475</v>
      </c>
      <c r="L31" s="356">
        <f>'Exhibit 6 (Modelo)'!I166</f>
        <v>51.104549525849656</v>
      </c>
      <c r="M31" s="356">
        <f t="shared" si="11"/>
        <v>26.150704453443431</v>
      </c>
      <c r="N31" s="338"/>
      <c r="O31" s="345"/>
      <c r="P31" s="345"/>
      <c r="R31" s="346"/>
      <c r="S31" s="345"/>
      <c r="V31" s="342"/>
      <c r="W31" s="342"/>
      <c r="X31" s="342"/>
    </row>
    <row r="32" spans="2:24" ht="15.6" x14ac:dyDescent="0.6">
      <c r="B32" s="338"/>
      <c r="C32" s="342"/>
      <c r="D32" s="342"/>
      <c r="E32" s="338"/>
      <c r="F32" s="356"/>
      <c r="H32" s="335" t="s">
        <v>377</v>
      </c>
      <c r="I32" s="338">
        <v>1997</v>
      </c>
      <c r="J32" s="356">
        <f>'Exhibit 6 (Modelo)'!N164</f>
        <v>42.479056579456113</v>
      </c>
      <c r="K32" s="356">
        <f>'Exhibit 6 (Modelo)'!N165</f>
        <v>15.036107008042016</v>
      </c>
      <c r="L32" s="356">
        <f>'Exhibit 6 (Modelo)'!N166</f>
        <v>53.882185947480487</v>
      </c>
      <c r="M32" s="356">
        <f t="shared" si="11"/>
        <v>3.6329776400176428</v>
      </c>
      <c r="N32" s="338"/>
      <c r="O32" s="345"/>
      <c r="P32" s="345"/>
      <c r="R32" s="346"/>
      <c r="S32" s="345"/>
    </row>
    <row r="33" spans="2:21" x14ac:dyDescent="0.55000000000000004">
      <c r="B33" s="347"/>
      <c r="C33" s="348"/>
      <c r="E33" s="347"/>
      <c r="F33" s="348"/>
      <c r="G33" s="338"/>
    </row>
    <row r="35" spans="2:21" x14ac:dyDescent="0.55000000000000004">
      <c r="B35" s="338"/>
      <c r="C35" s="340"/>
      <c r="D35" s="341"/>
      <c r="E35" s="338"/>
      <c r="F35" s="340"/>
      <c r="G35" s="341"/>
      <c r="I35" s="338"/>
      <c r="J35" s="340"/>
      <c r="K35" s="340"/>
      <c r="N35" s="338"/>
      <c r="O35" s="338"/>
      <c r="P35" s="341"/>
    </row>
    <row r="36" spans="2:21" ht="15.6" x14ac:dyDescent="0.6">
      <c r="B36" s="338"/>
      <c r="C36" s="342"/>
      <c r="D36" s="342"/>
      <c r="E36" s="338"/>
      <c r="F36" s="349"/>
      <c r="G36" s="349"/>
      <c r="I36" s="338"/>
      <c r="J36" s="343"/>
      <c r="K36" s="343"/>
      <c r="L36" s="343"/>
      <c r="M36" s="343"/>
      <c r="N36" s="350"/>
      <c r="O36" s="351"/>
      <c r="Q36" s="350"/>
      <c r="R36" s="350"/>
      <c r="S36" s="350"/>
      <c r="T36" s="352"/>
      <c r="U36" s="353"/>
    </row>
    <row r="37" spans="2:21" ht="15.6" x14ac:dyDescent="0.6">
      <c r="B37" s="338"/>
      <c r="C37" s="342"/>
      <c r="D37" s="342"/>
      <c r="E37" s="338"/>
      <c r="F37" s="349"/>
      <c r="G37" s="349"/>
      <c r="I37" s="338"/>
      <c r="J37" s="343"/>
      <c r="K37" s="343"/>
      <c r="L37" s="343"/>
      <c r="M37" s="343"/>
      <c r="N37" s="350"/>
      <c r="O37" s="350"/>
      <c r="Q37" s="350"/>
      <c r="R37" s="350"/>
      <c r="S37" s="350"/>
      <c r="T37" s="352"/>
      <c r="U37" s="352"/>
    </row>
    <row r="38" spans="2:21" ht="15.6" x14ac:dyDescent="0.6">
      <c r="B38" s="338"/>
      <c r="C38" s="342"/>
      <c r="D38" s="342"/>
      <c r="E38" s="338"/>
      <c r="F38" s="349"/>
      <c r="G38" s="349"/>
      <c r="I38" s="338"/>
      <c r="J38" s="343"/>
      <c r="K38" s="343"/>
      <c r="L38" s="343"/>
      <c r="M38" s="343"/>
      <c r="N38" s="350"/>
      <c r="O38" s="350"/>
      <c r="Q38" s="350"/>
      <c r="R38" s="350"/>
      <c r="S38" s="350"/>
      <c r="T38" s="352"/>
      <c r="U38" s="352"/>
    </row>
    <row r="39" spans="2:21" ht="15.6" x14ac:dyDescent="0.6">
      <c r="B39" s="338"/>
      <c r="C39" s="342"/>
      <c r="D39" s="342"/>
      <c r="E39" s="338"/>
      <c r="F39" s="349"/>
      <c r="G39" s="349"/>
      <c r="I39" s="338"/>
      <c r="J39" s="343"/>
      <c r="K39" s="343"/>
      <c r="L39" s="343"/>
      <c r="M39" s="343"/>
      <c r="N39" s="350"/>
      <c r="O39" s="350"/>
      <c r="Q39" s="350"/>
      <c r="R39" s="350"/>
      <c r="S39" s="350"/>
      <c r="T39" s="352"/>
      <c r="U39" s="352"/>
    </row>
    <row r="40" spans="2:21" ht="15.6" x14ac:dyDescent="0.6">
      <c r="B40" s="338"/>
      <c r="C40" s="342"/>
      <c r="D40" s="342"/>
      <c r="E40" s="338"/>
      <c r="F40" s="349"/>
      <c r="G40" s="349"/>
      <c r="I40" s="338"/>
      <c r="J40" s="343"/>
      <c r="K40" s="343"/>
      <c r="L40" s="343"/>
      <c r="M40" s="343"/>
      <c r="N40" s="350"/>
      <c r="O40" s="350"/>
      <c r="Q40" s="350"/>
      <c r="R40" s="350"/>
      <c r="S40" s="350"/>
      <c r="T40" s="352"/>
      <c r="U40" s="352"/>
    </row>
    <row r="41" spans="2:21" ht="15.6" x14ac:dyDescent="0.6">
      <c r="B41" s="338"/>
      <c r="C41" s="342"/>
      <c r="D41" s="342"/>
      <c r="E41" s="338"/>
      <c r="F41" s="349"/>
      <c r="G41" s="349"/>
      <c r="I41" s="338"/>
      <c r="J41" s="343"/>
      <c r="K41" s="343"/>
      <c r="L41" s="343"/>
      <c r="M41" s="343"/>
      <c r="N41" s="350"/>
      <c r="O41" s="350"/>
      <c r="Q41" s="350"/>
      <c r="R41" s="350"/>
      <c r="S41" s="350"/>
      <c r="T41" s="352"/>
      <c r="U41" s="352"/>
    </row>
    <row r="42" spans="2:21" x14ac:dyDescent="0.55000000000000004">
      <c r="B42" s="347"/>
      <c r="C42" s="354"/>
      <c r="E42" s="347"/>
      <c r="F42" s="348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26"/>
  <sheetViews>
    <sheetView showGridLines="0" tabSelected="1" topLeftCell="A23" zoomScale="119" zoomScaleNormal="99" workbookViewId="0">
      <selection activeCell="H43" sqref="H43"/>
    </sheetView>
  </sheetViews>
  <sheetFormatPr baseColWidth="10" defaultColWidth="8.88671875" defaultRowHeight="14.4" outlineLevelCol="1" x14ac:dyDescent="0.55000000000000004"/>
  <cols>
    <col min="1" max="1" width="44.609375" style="123" customWidth="1"/>
    <col min="2" max="2" width="8.1640625" style="44" hidden="1" customWidth="1" outlineLevel="1"/>
    <col min="3" max="3" width="8.21875" style="44" customWidth="1" collapsed="1"/>
    <col min="4" max="7" width="8.21875" style="44" customWidth="1"/>
    <col min="8" max="8" width="8.88671875" style="44"/>
    <col min="9" max="9" width="8.88671875" style="50"/>
    <col min="10" max="16384" width="8.88671875" style="44"/>
  </cols>
  <sheetData>
    <row r="1" spans="1:14" ht="18.600000000000001" thickBot="1" x14ac:dyDescent="0.75">
      <c r="A1" s="114" t="s">
        <v>92</v>
      </c>
      <c r="B1" s="58"/>
      <c r="C1" s="58"/>
      <c r="D1" s="58"/>
      <c r="E1" s="58"/>
      <c r="F1" s="41"/>
      <c r="G1" s="59"/>
      <c r="H1" s="59"/>
      <c r="I1" s="131"/>
    </row>
    <row r="2" spans="1:14" x14ac:dyDescent="0.55000000000000004">
      <c r="A2" s="115"/>
      <c r="B2" s="43"/>
      <c r="C2" s="43"/>
      <c r="D2" s="43"/>
      <c r="E2" s="43"/>
      <c r="F2" s="43"/>
    </row>
    <row r="3" spans="1:14" x14ac:dyDescent="0.55000000000000004">
      <c r="A3" s="115" t="s">
        <v>91</v>
      </c>
      <c r="B3" s="43"/>
      <c r="C3" s="43"/>
      <c r="D3" s="43"/>
      <c r="E3" s="43"/>
      <c r="F3" s="43"/>
      <c r="G3" s="46"/>
    </row>
    <row r="4" spans="1:14" x14ac:dyDescent="0.55000000000000004">
      <c r="A4" s="116"/>
      <c r="B4" s="51"/>
      <c r="C4" s="56">
        <v>1992</v>
      </c>
      <c r="D4" s="56">
        <v>1993</v>
      </c>
      <c r="E4" s="52">
        <v>1994</v>
      </c>
      <c r="F4" s="52">
        <v>1995</v>
      </c>
      <c r="G4" s="52">
        <v>1996</v>
      </c>
      <c r="I4" s="52" t="s">
        <v>141</v>
      </c>
      <c r="N4" s="52" t="s">
        <v>141</v>
      </c>
    </row>
    <row r="5" spans="1:14" ht="15.6" x14ac:dyDescent="0.6">
      <c r="A5" s="117" t="s">
        <v>93</v>
      </c>
      <c r="B5" s="47"/>
      <c r="C5" s="50"/>
      <c r="D5" s="50"/>
      <c r="E5" s="53"/>
      <c r="F5" s="53"/>
      <c r="G5" s="53"/>
      <c r="N5" s="50"/>
    </row>
    <row r="6" spans="1:14" ht="14.05" customHeight="1" x14ac:dyDescent="0.55000000000000004">
      <c r="A6" s="118" t="s">
        <v>66</v>
      </c>
      <c r="B6" s="60"/>
      <c r="C6" s="50"/>
      <c r="D6" s="50"/>
      <c r="E6" s="50"/>
      <c r="F6" s="50"/>
      <c r="G6" s="50"/>
      <c r="N6" s="50"/>
    </row>
    <row r="7" spans="1:14" ht="14.05" customHeight="1" x14ac:dyDescent="0.55000000000000004">
      <c r="A7" s="119" t="s">
        <v>67</v>
      </c>
      <c r="B7" s="48"/>
      <c r="C7" s="62"/>
      <c r="D7" s="63">
        <v>14.948</v>
      </c>
      <c r="E7" s="62">
        <v>3.355</v>
      </c>
      <c r="F7" s="62">
        <v>42.953000000000003</v>
      </c>
      <c r="G7" s="62">
        <v>55</v>
      </c>
      <c r="I7" s="62">
        <f ca="1">I94</f>
        <v>81.217120208462319</v>
      </c>
      <c r="N7" s="62">
        <v>115</v>
      </c>
    </row>
    <row r="8" spans="1:14" ht="14.05" customHeight="1" x14ac:dyDescent="0.55000000000000004">
      <c r="A8" s="119" t="s">
        <v>68</v>
      </c>
      <c r="B8" s="48"/>
      <c r="C8" s="62"/>
      <c r="D8" s="63">
        <v>80.367000000000004</v>
      </c>
      <c r="E8" s="62">
        <v>333.66699999999997</v>
      </c>
      <c r="F8" s="62">
        <v>484.29399999999998</v>
      </c>
      <c r="G8" s="62">
        <v>591</v>
      </c>
      <c r="I8" s="62">
        <f>I194</f>
        <v>1372.9880000000001</v>
      </c>
      <c r="N8" s="62">
        <v>1237</v>
      </c>
    </row>
    <row r="9" spans="1:14" ht="14.05" customHeight="1" x14ac:dyDescent="0.55000000000000004">
      <c r="A9" s="119" t="s">
        <v>69</v>
      </c>
      <c r="B9" s="48"/>
      <c r="C9" s="62"/>
      <c r="D9" s="63">
        <v>374.01299999999998</v>
      </c>
      <c r="E9" s="62">
        <v>410.774</v>
      </c>
      <c r="F9" s="62">
        <v>537.97400000000005</v>
      </c>
      <c r="G9" s="62">
        <v>726</v>
      </c>
      <c r="I9" s="93">
        <f>I99</f>
        <v>964.39047191133227</v>
      </c>
      <c r="N9" s="93">
        <v>903</v>
      </c>
    </row>
    <row r="10" spans="1:14" ht="14.05" customHeight="1" x14ac:dyDescent="0.55000000000000004">
      <c r="A10" s="119" t="s">
        <v>70</v>
      </c>
      <c r="B10" s="48"/>
      <c r="C10" s="62"/>
      <c r="D10" s="63">
        <v>303.22000000000003</v>
      </c>
      <c r="E10" s="62">
        <v>220.26499999999999</v>
      </c>
      <c r="F10" s="62">
        <v>292.92500000000001</v>
      </c>
      <c r="G10" s="62">
        <v>429</v>
      </c>
      <c r="I10" s="93">
        <f>I103</f>
        <v>572.56196859547526</v>
      </c>
      <c r="N10" s="93">
        <v>251</v>
      </c>
    </row>
    <row r="11" spans="1:14" ht="14.05" customHeight="1" x14ac:dyDescent="0.55000000000000004">
      <c r="A11" s="119" t="s">
        <v>71</v>
      </c>
      <c r="B11" s="48"/>
      <c r="C11" s="62"/>
      <c r="D11" s="64">
        <v>80.239000000000004</v>
      </c>
      <c r="E11" s="65">
        <v>80.322999999999993</v>
      </c>
      <c r="F11" s="65">
        <v>112.215</v>
      </c>
      <c r="G11" s="65">
        <v>156</v>
      </c>
      <c r="I11" s="64">
        <f>I115</f>
        <v>234</v>
      </c>
      <c r="N11" s="64">
        <v>241</v>
      </c>
    </row>
    <row r="12" spans="1:14" ht="14.05" customHeight="1" x14ac:dyDescent="0.55000000000000004">
      <c r="A12" s="119" t="s">
        <v>72</v>
      </c>
      <c r="B12" s="48"/>
      <c r="C12" s="62"/>
      <c r="D12" s="63">
        <f>SUM(D7:D11)</f>
        <v>852.78700000000003</v>
      </c>
      <c r="E12" s="62">
        <f>SUM(E7:E11)</f>
        <v>1048.384</v>
      </c>
      <c r="F12" s="62">
        <f>SUM(F7:F11)</f>
        <v>1470.3609999999999</v>
      </c>
      <c r="G12" s="62">
        <f>SUM(G7:G11)</f>
        <v>1957</v>
      </c>
      <c r="I12" s="62">
        <f ca="1">SUM(I7:I11)</f>
        <v>3225.1575607152699</v>
      </c>
      <c r="N12" s="62">
        <f>SUM(N7:N11)</f>
        <v>2747</v>
      </c>
    </row>
    <row r="13" spans="1:14" ht="14.05" customHeight="1" x14ac:dyDescent="0.55000000000000004">
      <c r="A13" s="118" t="s">
        <v>97</v>
      </c>
      <c r="B13" s="60"/>
      <c r="C13" s="62"/>
      <c r="D13" s="63"/>
      <c r="E13" s="62"/>
      <c r="F13" s="62"/>
      <c r="G13" s="62"/>
      <c r="N13" s="50"/>
    </row>
    <row r="14" spans="1:14" ht="14.05" customHeight="1" x14ac:dyDescent="0.55000000000000004">
      <c r="A14" s="119" t="s">
        <v>73</v>
      </c>
      <c r="B14" s="48"/>
      <c r="C14" s="62"/>
      <c r="D14" s="63">
        <v>70.462000000000003</v>
      </c>
      <c r="E14" s="62">
        <v>86.891999999999996</v>
      </c>
      <c r="F14" s="62">
        <v>116.98099999999999</v>
      </c>
      <c r="G14" s="62">
        <v>179</v>
      </c>
      <c r="I14" s="93">
        <f>I125</f>
        <v>238.2</v>
      </c>
      <c r="N14" s="93">
        <v>235</v>
      </c>
    </row>
    <row r="15" spans="1:14" ht="14.05" customHeight="1" x14ac:dyDescent="0.55000000000000004">
      <c r="A15" s="119" t="s">
        <v>71</v>
      </c>
      <c r="B15" s="110"/>
      <c r="C15" s="67"/>
      <c r="D15" s="66">
        <v>3.7559999999999998</v>
      </c>
      <c r="E15" s="67">
        <v>5.2039999999999997</v>
      </c>
      <c r="F15" s="67">
        <v>6.6580000000000004</v>
      </c>
      <c r="G15" s="67">
        <v>12</v>
      </c>
      <c r="I15" s="66">
        <f>G15</f>
        <v>12</v>
      </c>
      <c r="N15" s="66">
        <v>11</v>
      </c>
    </row>
    <row r="16" spans="1:14" ht="14.05" customHeight="1" x14ac:dyDescent="0.55000000000000004">
      <c r="A16" s="120" t="s">
        <v>74</v>
      </c>
      <c r="B16" s="75">
        <v>264.22199999999998</v>
      </c>
      <c r="C16" s="75">
        <v>559.56299999999999</v>
      </c>
      <c r="D16" s="75">
        <f>D12+D14+D15</f>
        <v>927.005</v>
      </c>
      <c r="E16" s="68">
        <f>E12+E14+E15</f>
        <v>1140.48</v>
      </c>
      <c r="F16" s="68">
        <f>F12+F14+F15</f>
        <v>1593.9999999999998</v>
      </c>
      <c r="G16" s="68">
        <f>G12+G14+G15</f>
        <v>2148</v>
      </c>
      <c r="I16" s="68">
        <f ca="1">I12+I14+I15</f>
        <v>3475.3575607152698</v>
      </c>
      <c r="N16" s="68">
        <f>N12+N14+N15</f>
        <v>2993</v>
      </c>
    </row>
    <row r="17" spans="1:14" ht="6.3" customHeight="1" x14ac:dyDescent="0.55000000000000004">
      <c r="A17" s="120"/>
      <c r="B17" s="54"/>
      <c r="C17" s="62"/>
      <c r="D17" s="63"/>
      <c r="E17" s="68"/>
      <c r="F17" s="68"/>
      <c r="G17" s="68"/>
      <c r="N17" s="50"/>
    </row>
    <row r="18" spans="1:14" ht="14.05" customHeight="1" x14ac:dyDescent="0.55000000000000004">
      <c r="A18" s="121" t="s">
        <v>75</v>
      </c>
      <c r="B18" s="61"/>
      <c r="C18" s="62"/>
      <c r="D18" s="63"/>
      <c r="E18" s="62"/>
      <c r="F18" s="62"/>
      <c r="G18" s="62"/>
      <c r="N18" s="50"/>
    </row>
    <row r="19" spans="1:14" ht="14.05" customHeight="1" x14ac:dyDescent="0.55000000000000004">
      <c r="A19" s="119" t="s">
        <v>76</v>
      </c>
      <c r="B19" s="48"/>
      <c r="C19" s="62"/>
      <c r="D19" s="63">
        <v>295.13299999999998</v>
      </c>
      <c r="E19" s="63">
        <v>282.70800000000003</v>
      </c>
      <c r="F19" s="63">
        <v>447.07100000000003</v>
      </c>
      <c r="G19" s="62">
        <v>466</v>
      </c>
      <c r="I19" s="93">
        <f>I107</f>
        <v>1009.1118350620718</v>
      </c>
      <c r="N19" s="93">
        <v>1040</v>
      </c>
    </row>
    <row r="20" spans="1:14" ht="14.05" customHeight="1" x14ac:dyDescent="0.55000000000000004">
      <c r="A20" s="119" t="s">
        <v>78</v>
      </c>
      <c r="B20" s="48"/>
      <c r="C20" s="62"/>
      <c r="D20" s="64">
        <f>171.473+27.233</f>
        <v>198.70600000000002</v>
      </c>
      <c r="E20" s="64">
        <f>237.651+17.628</f>
        <v>255.279</v>
      </c>
      <c r="F20" s="64">
        <f>279.402+24.937</f>
        <v>304.339</v>
      </c>
      <c r="G20" s="65">
        <v>473</v>
      </c>
      <c r="I20" s="64">
        <f>I117</f>
        <v>709.5</v>
      </c>
      <c r="N20" s="64">
        <v>618</v>
      </c>
    </row>
    <row r="21" spans="1:14" ht="14.05" customHeight="1" x14ac:dyDescent="0.55000000000000004">
      <c r="A21" s="119" t="s">
        <v>79</v>
      </c>
      <c r="B21" s="48"/>
      <c r="C21" s="62"/>
      <c r="D21" s="63">
        <f>D19+D20</f>
        <v>493.839</v>
      </c>
      <c r="E21" s="62">
        <f>E19+E20</f>
        <v>537.98700000000008</v>
      </c>
      <c r="F21" s="62">
        <f>F19+F20</f>
        <v>751.41000000000008</v>
      </c>
      <c r="G21" s="62">
        <f>G19+G20</f>
        <v>939</v>
      </c>
      <c r="I21" s="62">
        <f>I19+I20</f>
        <v>1718.6118350620718</v>
      </c>
      <c r="N21" s="62">
        <f>N19+N20</f>
        <v>1658</v>
      </c>
    </row>
    <row r="22" spans="1:14" ht="14.05" customHeight="1" x14ac:dyDescent="0.55000000000000004">
      <c r="A22" s="121" t="s">
        <v>98</v>
      </c>
      <c r="B22" s="61"/>
      <c r="C22" s="62"/>
      <c r="D22" s="63"/>
      <c r="E22" s="62"/>
      <c r="F22" s="62"/>
      <c r="G22" s="62"/>
      <c r="N22" s="50"/>
    </row>
    <row r="23" spans="1:14" ht="14.05" customHeight="1" x14ac:dyDescent="0.55000000000000004">
      <c r="A23" s="119" t="s">
        <v>80</v>
      </c>
      <c r="B23" s="63">
        <v>0</v>
      </c>
      <c r="C23" s="63">
        <v>41.45</v>
      </c>
      <c r="D23" s="63">
        <v>48.372999999999998</v>
      </c>
      <c r="E23" s="62">
        <v>100</v>
      </c>
      <c r="F23" s="62">
        <v>113.429</v>
      </c>
      <c r="G23" s="62">
        <v>113</v>
      </c>
      <c r="I23" s="62">
        <f ca="1">I184</f>
        <v>113</v>
      </c>
      <c r="N23" s="62">
        <v>18</v>
      </c>
    </row>
    <row r="24" spans="1:14" ht="14.05" customHeight="1" x14ac:dyDescent="0.55000000000000004">
      <c r="A24" s="119" t="s">
        <v>81</v>
      </c>
      <c r="B24" s="110"/>
      <c r="C24" s="67"/>
      <c r="D24" s="66">
        <v>15.593</v>
      </c>
      <c r="E24" s="67">
        <v>31.385000000000002</v>
      </c>
      <c r="F24" s="67">
        <v>77.424999999999997</v>
      </c>
      <c r="G24" s="67">
        <v>123</v>
      </c>
      <c r="I24" s="66">
        <f>G24</f>
        <v>123</v>
      </c>
      <c r="N24" s="66">
        <f>219+13+279</f>
        <v>511</v>
      </c>
    </row>
    <row r="25" spans="1:14" ht="14.05" customHeight="1" x14ac:dyDescent="0.55000000000000004">
      <c r="A25" s="120" t="s">
        <v>82</v>
      </c>
      <c r="B25" s="75">
        <f>B16-B32</f>
        <v>152.21699999999998</v>
      </c>
      <c r="C25" s="75">
        <f>C16-C32</f>
        <v>285.38299999999998</v>
      </c>
      <c r="D25" s="75">
        <f>D21+D23+D24</f>
        <v>557.80499999999995</v>
      </c>
      <c r="E25" s="68">
        <f>E21+E23+E24</f>
        <v>669.37200000000007</v>
      </c>
      <c r="F25" s="68">
        <f>F21+F23+F24</f>
        <v>942.26400000000001</v>
      </c>
      <c r="G25" s="68">
        <f>G21+G23+G24</f>
        <v>1175</v>
      </c>
      <c r="I25" s="68">
        <f ca="1">I21+I23+I24</f>
        <v>1954.6118350620718</v>
      </c>
      <c r="N25" s="68">
        <f>N21+N23+N24</f>
        <v>2187</v>
      </c>
    </row>
    <row r="26" spans="1:14" ht="6.3" customHeight="1" x14ac:dyDescent="0.55000000000000004">
      <c r="A26" s="120"/>
      <c r="B26" s="54"/>
      <c r="C26" s="62"/>
      <c r="D26" s="63"/>
      <c r="E26" s="68"/>
      <c r="F26" s="68"/>
      <c r="G26" s="68"/>
      <c r="N26" s="50"/>
    </row>
    <row r="27" spans="1:14" ht="14.05" customHeight="1" x14ac:dyDescent="0.55000000000000004">
      <c r="A27" s="121" t="s">
        <v>83</v>
      </c>
      <c r="B27" s="61"/>
      <c r="C27" s="133"/>
      <c r="D27" s="133"/>
      <c r="E27" s="133"/>
      <c r="F27" s="133"/>
      <c r="G27" s="133"/>
      <c r="N27" s="50"/>
    </row>
    <row r="28" spans="1:14" ht="14.05" customHeight="1" x14ac:dyDescent="0.55000000000000004">
      <c r="A28" s="119" t="s">
        <v>94</v>
      </c>
      <c r="B28" s="48"/>
      <c r="C28" s="62"/>
      <c r="D28" s="63">
        <v>0</v>
      </c>
      <c r="E28" s="63">
        <f>13/1000</f>
        <v>1.2999999999999999E-2</v>
      </c>
      <c r="F28" s="62">
        <f>13/1000</f>
        <v>1.2999999999999999E-2</v>
      </c>
      <c r="G28" s="62">
        <v>6</v>
      </c>
      <c r="I28" s="62">
        <f>G28</f>
        <v>6</v>
      </c>
      <c r="N28" s="62">
        <v>0</v>
      </c>
    </row>
    <row r="29" spans="1:14" ht="14.05" customHeight="1" x14ac:dyDescent="0.55000000000000004">
      <c r="A29" s="119" t="s">
        <v>95</v>
      </c>
      <c r="B29" s="48"/>
      <c r="C29" s="62"/>
      <c r="D29" s="63">
        <f>369/1000+177.978</f>
        <v>178.34700000000001</v>
      </c>
      <c r="E29" s="63">
        <f>379/1000+320.041</f>
        <v>320.42</v>
      </c>
      <c r="F29" s="62">
        <f>397/1000+356.768</f>
        <v>357.16499999999996</v>
      </c>
      <c r="G29" s="62">
        <v>430</v>
      </c>
      <c r="I29" s="62">
        <f>G29+I87+I88+I89</f>
        <v>487.6</v>
      </c>
      <c r="N29" s="62">
        <v>195</v>
      </c>
    </row>
    <row r="30" spans="1:14" ht="14.05" customHeight="1" x14ac:dyDescent="0.55000000000000004">
      <c r="A30" s="119" t="s">
        <v>84</v>
      </c>
      <c r="B30" s="48"/>
      <c r="C30" s="62"/>
      <c r="D30" s="63">
        <v>208.54400000000001</v>
      </c>
      <c r="E30" s="63">
        <v>170.79</v>
      </c>
      <c r="F30" s="62">
        <v>311.21699999999998</v>
      </c>
      <c r="G30" s="62">
        <v>570</v>
      </c>
      <c r="I30" s="62">
        <f ca="1">G30+I61+I90</f>
        <v>1060.145725653198</v>
      </c>
      <c r="N30" s="62">
        <v>647</v>
      </c>
    </row>
    <row r="31" spans="1:14" ht="14.05" customHeight="1" x14ac:dyDescent="0.55000000000000004">
      <c r="A31" s="119" t="s">
        <v>71</v>
      </c>
      <c r="B31" s="48"/>
      <c r="C31" s="62"/>
      <c r="D31" s="64">
        <v>-17.690999999999999</v>
      </c>
      <c r="E31" s="64">
        <f>-23.345+3.23</f>
        <v>-20.114999999999998</v>
      </c>
      <c r="F31" s="65">
        <f>-14.031-2.628</f>
        <v>-16.658999999999999</v>
      </c>
      <c r="G31" s="65">
        <v>-33</v>
      </c>
      <c r="I31" s="64">
        <f>G31</f>
        <v>-33</v>
      </c>
      <c r="N31" s="64">
        <v>-36</v>
      </c>
    </row>
    <row r="32" spans="1:14" ht="14.05" customHeight="1" x14ac:dyDescent="0.55000000000000004">
      <c r="A32" s="120" t="s">
        <v>85</v>
      </c>
      <c r="B32" s="96">
        <v>112.005</v>
      </c>
      <c r="C32" s="96">
        <v>274.18</v>
      </c>
      <c r="D32" s="96">
        <f>SUM(D28:D31)</f>
        <v>369.20000000000005</v>
      </c>
      <c r="E32" s="70">
        <f>SUM(E28:E31)</f>
        <v>471.10799999999995</v>
      </c>
      <c r="F32" s="70">
        <f>SUM(F28:F31)</f>
        <v>651.73599999999999</v>
      </c>
      <c r="G32" s="70">
        <f>SUM(G28:G31)</f>
        <v>973</v>
      </c>
      <c r="I32" s="70">
        <f ca="1">SUM(I28:I31)</f>
        <v>1520.745725653198</v>
      </c>
      <c r="N32" s="70">
        <f>SUM(N28:N31)</f>
        <v>806</v>
      </c>
    </row>
    <row r="33" spans="1:14" x14ac:dyDescent="0.55000000000000004">
      <c r="A33" s="120" t="s">
        <v>134</v>
      </c>
      <c r="B33" s="75">
        <f t="shared" ref="B33:G33" si="0">B25+B32</f>
        <v>264.22199999999998</v>
      </c>
      <c r="C33" s="75">
        <f t="shared" si="0"/>
        <v>559.56299999999999</v>
      </c>
      <c r="D33" s="75">
        <f t="shared" si="0"/>
        <v>927.005</v>
      </c>
      <c r="E33" s="68">
        <f t="shared" si="0"/>
        <v>1140.48</v>
      </c>
      <c r="F33" s="68">
        <f t="shared" si="0"/>
        <v>1594</v>
      </c>
      <c r="G33" s="68">
        <f t="shared" si="0"/>
        <v>2148</v>
      </c>
      <c r="I33" s="68">
        <f ca="1">I25+I32</f>
        <v>3475.3575607152698</v>
      </c>
      <c r="N33" s="68">
        <f>N25+N32</f>
        <v>2993</v>
      </c>
    </row>
    <row r="34" spans="1:14" ht="10.8" customHeight="1" x14ac:dyDescent="0.5">
      <c r="A34" s="122" t="s">
        <v>133</v>
      </c>
      <c r="B34" s="73">
        <f t="shared" ref="B34:G34" si="1">B16-B33</f>
        <v>0</v>
      </c>
      <c r="C34" s="73">
        <f t="shared" si="1"/>
        <v>0</v>
      </c>
      <c r="D34" s="73">
        <f t="shared" si="1"/>
        <v>0</v>
      </c>
      <c r="E34" s="73">
        <f t="shared" si="1"/>
        <v>0</v>
      </c>
      <c r="F34" s="73">
        <f t="shared" si="1"/>
        <v>0</v>
      </c>
      <c r="G34" s="73">
        <f t="shared" si="1"/>
        <v>0</v>
      </c>
      <c r="I34" s="147">
        <f ca="1">I16-I33</f>
        <v>0</v>
      </c>
      <c r="N34" s="147">
        <f>N16-N33</f>
        <v>0</v>
      </c>
    </row>
    <row r="35" spans="1:14" ht="8.1" customHeight="1" x14ac:dyDescent="0.55000000000000004">
      <c r="C35" s="69"/>
      <c r="D35" s="69"/>
      <c r="E35" s="69"/>
      <c r="F35" s="69"/>
      <c r="G35" s="69"/>
    </row>
    <row r="36" spans="1:14" x14ac:dyDescent="0.55000000000000004">
      <c r="B36" s="52">
        <v>1991</v>
      </c>
      <c r="C36" s="52">
        <v>1992</v>
      </c>
      <c r="D36" s="52">
        <v>1993</v>
      </c>
      <c r="E36" s="52">
        <v>1994</v>
      </c>
      <c r="F36" s="52">
        <v>1995</v>
      </c>
      <c r="G36" s="52">
        <v>1996</v>
      </c>
      <c r="I36" s="52" t="s">
        <v>141</v>
      </c>
      <c r="N36" s="52" t="s">
        <v>428</v>
      </c>
    </row>
    <row r="37" spans="1:14" ht="15.6" x14ac:dyDescent="0.6">
      <c r="A37" s="117" t="s">
        <v>96</v>
      </c>
      <c r="B37" s="47"/>
      <c r="C37" s="71"/>
      <c r="D37" s="71"/>
      <c r="E37" s="71"/>
      <c r="F37" s="71"/>
      <c r="G37" s="71"/>
      <c r="N37" s="50"/>
    </row>
    <row r="38" spans="1:14" ht="14.05" customHeight="1" x14ac:dyDescent="0.55000000000000004">
      <c r="A38" s="120" t="s">
        <v>52</v>
      </c>
      <c r="B38" s="68">
        <v>546.23500000000001</v>
      </c>
      <c r="C38" s="68">
        <v>889.93899999999996</v>
      </c>
      <c r="D38" s="68">
        <v>2013.924</v>
      </c>
      <c r="E38" s="68">
        <v>2873.165</v>
      </c>
      <c r="F38" s="68">
        <v>3475.3429999999998</v>
      </c>
      <c r="G38" s="68">
        <v>5296</v>
      </c>
      <c r="H38" s="45"/>
      <c r="I38" s="68">
        <f>G38*(1+I39)</f>
        <v>7944</v>
      </c>
      <c r="N38" s="68">
        <v>7759</v>
      </c>
    </row>
    <row r="39" spans="1:14" ht="14.05" customHeight="1" x14ac:dyDescent="0.55000000000000004">
      <c r="A39" s="124" t="s">
        <v>120</v>
      </c>
      <c r="B39" s="76"/>
      <c r="C39" s="78">
        <f>C38/B38-1</f>
        <v>0.6292236857762683</v>
      </c>
      <c r="D39" s="78">
        <f>D38/C38-1</f>
        <v>1.2629910589377475</v>
      </c>
      <c r="E39" s="78">
        <f>E38/D38-1</f>
        <v>0.42665016157511415</v>
      </c>
      <c r="F39" s="78">
        <f>F38/E38-1</f>
        <v>0.20958698856487534</v>
      </c>
      <c r="G39" s="78">
        <f>G38/F38-1</f>
        <v>0.52387836250983</v>
      </c>
      <c r="I39" s="100">
        <v>0.5</v>
      </c>
      <c r="N39" s="78">
        <f>N38/G38-1</f>
        <v>0.46506797583081561</v>
      </c>
    </row>
    <row r="40" spans="1:14" ht="16.5" customHeight="1" x14ac:dyDescent="0.55000000000000004">
      <c r="A40" s="119" t="s">
        <v>53</v>
      </c>
      <c r="B40" s="48"/>
      <c r="C40" s="67">
        <v>-607.76800000000003</v>
      </c>
      <c r="D40" s="67">
        <v>-1564.472</v>
      </c>
      <c r="E40" s="67">
        <v>-2440.3490000000002</v>
      </c>
      <c r="F40" s="67">
        <v>-2737.29</v>
      </c>
      <c r="G40" s="67">
        <v>-4229</v>
      </c>
      <c r="I40" s="67">
        <f>I41-I38</f>
        <v>-6343.5</v>
      </c>
      <c r="N40" s="67">
        <v>-6093</v>
      </c>
    </row>
    <row r="41" spans="1:14" ht="14.05" customHeight="1" x14ac:dyDescent="0.55000000000000004">
      <c r="A41" s="120" t="s">
        <v>54</v>
      </c>
      <c r="B41" s="74"/>
      <c r="C41" s="68">
        <f>C38+C40</f>
        <v>282.17099999999994</v>
      </c>
      <c r="D41" s="68">
        <f>D38+D40</f>
        <v>449.452</v>
      </c>
      <c r="E41" s="68">
        <f>E38+E40</f>
        <v>432.8159999999998</v>
      </c>
      <c r="F41" s="68">
        <f>F38+F40</f>
        <v>738.05299999999988</v>
      </c>
      <c r="G41" s="68">
        <f>G38+G40</f>
        <v>1067</v>
      </c>
      <c r="I41" s="68">
        <f>I38*I42</f>
        <v>1600.5</v>
      </c>
      <c r="N41" s="68">
        <f>N38+N40</f>
        <v>1666</v>
      </c>
    </row>
    <row r="42" spans="1:14" ht="14.05" customHeight="1" x14ac:dyDescent="0.55000000000000004">
      <c r="A42" s="124" t="s">
        <v>112</v>
      </c>
      <c r="B42" s="76"/>
      <c r="C42" s="78">
        <f>C41/C$38</f>
        <v>0.31706779902892213</v>
      </c>
      <c r="D42" s="78">
        <f>D41/D$38</f>
        <v>0.22317227462406725</v>
      </c>
      <c r="E42" s="78">
        <f>E41/E$38</f>
        <v>0.15064084380813486</v>
      </c>
      <c r="F42" s="78">
        <f>F41/F$38</f>
        <v>0.21236839068834354</v>
      </c>
      <c r="G42" s="78">
        <f>G41/G$38</f>
        <v>0.20147280966767372</v>
      </c>
      <c r="I42" s="100">
        <f>G42</f>
        <v>0.20147280966767372</v>
      </c>
      <c r="N42" s="78">
        <f>N41/N38</f>
        <v>0.21471839154530223</v>
      </c>
    </row>
    <row r="43" spans="1:14" ht="6.3" customHeight="1" x14ac:dyDescent="0.55000000000000004">
      <c r="A43" s="120"/>
      <c r="B43" s="54"/>
      <c r="C43" s="62"/>
      <c r="D43" s="63"/>
      <c r="E43" s="68"/>
      <c r="F43" s="68"/>
      <c r="G43" s="68"/>
      <c r="N43" s="50"/>
    </row>
    <row r="44" spans="1:14" ht="14.05" customHeight="1" x14ac:dyDescent="0.55000000000000004">
      <c r="A44" s="119" t="s">
        <v>55</v>
      </c>
      <c r="B44" s="48"/>
      <c r="C44" s="72">
        <f>-182.155-33.14</f>
        <v>-215.29500000000002</v>
      </c>
      <c r="D44" s="72">
        <f>-267.982-42.358</f>
        <v>-310.34000000000003</v>
      </c>
      <c r="E44" s="72">
        <f>-422.906-48.934</f>
        <v>-471.84000000000003</v>
      </c>
      <c r="F44" s="72">
        <f>-423.429-65.361</f>
        <v>-488.78999999999996</v>
      </c>
      <c r="G44" s="72">
        <v>-690</v>
      </c>
      <c r="I44" s="72">
        <f>I45+I47</f>
        <v>-924.6</v>
      </c>
      <c r="J44" s="145"/>
      <c r="N44" s="72">
        <f>-826-126</f>
        <v>-952</v>
      </c>
    </row>
    <row r="45" spans="1:14" ht="14.05" customHeight="1" x14ac:dyDescent="0.55000000000000004">
      <c r="A45" s="125" t="s">
        <v>136</v>
      </c>
      <c r="B45" s="98"/>
      <c r="C45" s="97">
        <f>C44*0.87</f>
        <v>-187.30665000000002</v>
      </c>
      <c r="D45" s="97">
        <f>D44*0.8</f>
        <v>-248.27200000000005</v>
      </c>
      <c r="E45" s="97">
        <f>E44*0.8</f>
        <v>-377.47200000000004</v>
      </c>
      <c r="F45" s="97">
        <f>F44*0.8</f>
        <v>-391.03199999999998</v>
      </c>
      <c r="G45" s="97">
        <f>G44*0.8</f>
        <v>-552</v>
      </c>
      <c r="I45" s="286">
        <f>G45*(1+I46)</f>
        <v>-717.6</v>
      </c>
      <c r="N45" s="286"/>
    </row>
    <row r="46" spans="1:14" ht="14.05" customHeight="1" x14ac:dyDescent="0.55000000000000004">
      <c r="A46" s="125" t="s">
        <v>202</v>
      </c>
      <c r="B46" s="98"/>
      <c r="C46" s="97"/>
      <c r="D46" s="287">
        <f>D45/C45-1</f>
        <v>0.32548417261213114</v>
      </c>
      <c r="E46" s="287">
        <f>E45/D45-1</f>
        <v>0.52039698395308354</v>
      </c>
      <c r="F46" s="287">
        <f>F45/E45-1</f>
        <v>3.5923194303153494E-2</v>
      </c>
      <c r="G46" s="287">
        <f>G45/F45-1</f>
        <v>0.41164917449211313</v>
      </c>
      <c r="I46" s="144">
        <v>0.3</v>
      </c>
      <c r="N46" s="144"/>
    </row>
    <row r="47" spans="1:14" ht="14.05" customHeight="1" x14ac:dyDescent="0.55000000000000004">
      <c r="A47" s="125" t="s">
        <v>137</v>
      </c>
      <c r="B47" s="98"/>
      <c r="C47" s="286">
        <f>C44-C45</f>
        <v>-27.988349999999997</v>
      </c>
      <c r="D47" s="286">
        <f>D44-D45</f>
        <v>-62.067999999999984</v>
      </c>
      <c r="E47" s="286">
        <f>E44-E45</f>
        <v>-94.367999999999995</v>
      </c>
      <c r="F47" s="286">
        <f>F44-F45</f>
        <v>-97.757999999999981</v>
      </c>
      <c r="G47" s="286">
        <f>G44-G45</f>
        <v>-138</v>
      </c>
      <c r="I47" s="286">
        <f>-I38*I48</f>
        <v>-207</v>
      </c>
      <c r="N47" s="286"/>
    </row>
    <row r="48" spans="1:14" ht="14.05" customHeight="1" x14ac:dyDescent="0.55000000000000004">
      <c r="A48" s="125" t="s">
        <v>201</v>
      </c>
      <c r="B48" s="98"/>
      <c r="C48" s="91">
        <f>-C47/C$38</f>
        <v>3.1449739813627677E-2</v>
      </c>
      <c r="D48" s="91">
        <f>-D47/D$38</f>
        <v>3.0819435092883339E-2</v>
      </c>
      <c r="E48" s="91">
        <f>-E47/E$38</f>
        <v>3.2844615606830795E-2</v>
      </c>
      <c r="F48" s="288">
        <f>-F47/F$38</f>
        <v>2.8129022085014339E-2</v>
      </c>
      <c r="G48" s="288">
        <f>-G47/G$38</f>
        <v>2.6057401812688823E-2</v>
      </c>
      <c r="I48" s="109">
        <f>G48</f>
        <v>2.6057401812688823E-2</v>
      </c>
      <c r="N48" s="109"/>
    </row>
    <row r="49" spans="1:15" ht="14.05" customHeight="1" x14ac:dyDescent="0.55000000000000004">
      <c r="A49" s="120" t="s">
        <v>102</v>
      </c>
      <c r="B49" s="74"/>
      <c r="C49" s="68">
        <f>C41+C44</f>
        <v>66.87599999999992</v>
      </c>
      <c r="D49" s="68">
        <f>D41+D44</f>
        <v>139.11199999999997</v>
      </c>
      <c r="E49" s="68">
        <f>E41+E44</f>
        <v>-39.024000000000228</v>
      </c>
      <c r="F49" s="68">
        <f>F41+F44</f>
        <v>249.26299999999992</v>
      </c>
      <c r="G49" s="68">
        <f>G41+G44</f>
        <v>377</v>
      </c>
      <c r="I49" s="68">
        <f>I41+I44</f>
        <v>675.9</v>
      </c>
      <c r="N49" s="68">
        <f>N41+N44</f>
        <v>714</v>
      </c>
    </row>
    <row r="50" spans="1:15" ht="14.05" customHeight="1" x14ac:dyDescent="0.55000000000000004">
      <c r="A50" s="124" t="s">
        <v>113</v>
      </c>
      <c r="B50" s="76"/>
      <c r="C50" s="78">
        <f>C49/C$38</f>
        <v>7.5146723539478461E-2</v>
      </c>
      <c r="D50" s="78">
        <f>D49/D$38</f>
        <v>6.9075099159650502E-2</v>
      </c>
      <c r="E50" s="78">
        <f>E49/E$38</f>
        <v>-1.3582234226019122E-2</v>
      </c>
      <c r="F50" s="78">
        <f>F49/F$38</f>
        <v>7.1723280263271835E-2</v>
      </c>
      <c r="G50" s="78">
        <f>G49/G$38</f>
        <v>7.1185800604229604E-2</v>
      </c>
      <c r="I50" s="78">
        <f>I49/I$38</f>
        <v>8.5083081570996977E-2</v>
      </c>
      <c r="N50" s="78">
        <f>N49/N$38</f>
        <v>9.2022167805129521E-2</v>
      </c>
    </row>
    <row r="51" spans="1:15" ht="3.9" customHeight="1" x14ac:dyDescent="0.55000000000000004">
      <c r="A51" s="120"/>
      <c r="B51" s="54"/>
      <c r="C51" s="62"/>
      <c r="D51" s="63"/>
      <c r="E51" s="68"/>
      <c r="F51" s="68"/>
      <c r="G51" s="68"/>
      <c r="N51" s="50"/>
    </row>
    <row r="52" spans="1:15" ht="14.05" customHeight="1" x14ac:dyDescent="0.55000000000000004">
      <c r="A52" s="126" t="s">
        <v>172</v>
      </c>
      <c r="B52" s="79"/>
      <c r="C52" s="108">
        <f>C68+C49</f>
        <v>80.707999999999913</v>
      </c>
      <c r="D52" s="108">
        <f>D68+D49</f>
        <v>158.61199999999997</v>
      </c>
      <c r="E52" s="108">
        <f>E68+E49</f>
        <v>-8.3780000000002275</v>
      </c>
      <c r="F52" s="108">
        <f>F68+F49</f>
        <v>282.26299999999992</v>
      </c>
      <c r="G52" s="108">
        <f>G68+G49</f>
        <v>415</v>
      </c>
      <c r="I52" s="108">
        <f>I68+I49</f>
        <v>736.69999999999993</v>
      </c>
      <c r="N52" s="108">
        <f>N68+N49</f>
        <v>714</v>
      </c>
      <c r="O52" s="145"/>
    </row>
    <row r="53" spans="1:15" ht="14.05" customHeight="1" x14ac:dyDescent="0.55000000000000004">
      <c r="A53" s="124" t="s">
        <v>173</v>
      </c>
      <c r="B53" s="76"/>
      <c r="C53" s="141">
        <f>C52/C$38</f>
        <v>9.068936185513829E-2</v>
      </c>
      <c r="D53" s="78">
        <f>D52/D$38</f>
        <v>7.8757688969395057E-2</v>
      </c>
      <c r="E53" s="78">
        <f>E52/E$38</f>
        <v>-2.9159480920866805E-3</v>
      </c>
      <c r="F53" s="78">
        <f>F52/F$38</f>
        <v>8.1218745890693361E-2</v>
      </c>
      <c r="G53" s="78">
        <f>G52/G$38</f>
        <v>7.8361027190332333E-2</v>
      </c>
      <c r="I53" s="141">
        <f>I52/I$38</f>
        <v>9.2736656596173209E-2</v>
      </c>
      <c r="N53" s="141">
        <f>N52/N$38</f>
        <v>9.2022167805129521E-2</v>
      </c>
    </row>
    <row r="54" spans="1:15" ht="3.9" customHeight="1" x14ac:dyDescent="0.55000000000000004">
      <c r="A54" s="120"/>
      <c r="B54" s="54"/>
      <c r="C54" s="62"/>
      <c r="D54" s="63"/>
      <c r="E54" s="68"/>
      <c r="F54" s="68"/>
      <c r="G54" s="68"/>
      <c r="N54" s="50"/>
    </row>
    <row r="55" spans="1:15" ht="14.1" customHeight="1" x14ac:dyDescent="0.55000000000000004">
      <c r="A55" s="127" t="s">
        <v>104</v>
      </c>
      <c r="B55" s="99"/>
      <c r="C55" s="63">
        <v>-1.784</v>
      </c>
      <c r="D55" s="63">
        <v>-7.8689999999999998</v>
      </c>
      <c r="E55" s="63">
        <v>-8.35</v>
      </c>
      <c r="F55" s="63">
        <v>-12.202999999999999</v>
      </c>
      <c r="G55" s="63">
        <v>-15</v>
      </c>
      <c r="I55" s="63">
        <f ca="1">-I187</f>
        <v>-14.971580495431239</v>
      </c>
      <c r="N55" s="63">
        <v>-7</v>
      </c>
    </row>
    <row r="56" spans="1:15" ht="14.1" customHeight="1" x14ac:dyDescent="0.55000000000000004">
      <c r="A56" s="127" t="s">
        <v>189</v>
      </c>
      <c r="B56" s="99"/>
      <c r="C56" s="63">
        <f>C196</f>
        <v>6.931</v>
      </c>
      <c r="D56" s="63">
        <f>D196</f>
        <v>12.945</v>
      </c>
      <c r="E56" s="63">
        <f>E196</f>
        <v>8.7720000000000002</v>
      </c>
      <c r="F56" s="135">
        <f>F196</f>
        <v>10.224512500000001</v>
      </c>
      <c r="G56" s="135">
        <v>16</v>
      </c>
      <c r="I56" s="63">
        <f>I196</f>
        <v>39.279760000000003</v>
      </c>
      <c r="N56" s="63">
        <f>33-N55</f>
        <v>40</v>
      </c>
    </row>
    <row r="57" spans="1:15" ht="14.1" customHeight="1" x14ac:dyDescent="0.55000000000000004">
      <c r="A57" s="127" t="s">
        <v>190</v>
      </c>
      <c r="B57" s="99"/>
      <c r="C57" s="64">
        <f>C58-C55-C56</f>
        <v>1.3920000000000003</v>
      </c>
      <c r="D57" s="64">
        <f>D58-D55-D56</f>
        <v>-0.8960000000000008</v>
      </c>
      <c r="E57" s="64">
        <f>E58-E55-E56</f>
        <v>-0.1639999999999997</v>
      </c>
      <c r="F57" s="64">
        <f>F58-F55-F56</f>
        <v>-34.288512500000003</v>
      </c>
      <c r="G57" s="64">
        <f>G58-G55-G56</f>
        <v>5</v>
      </c>
      <c r="I57" s="64">
        <v>0</v>
      </c>
      <c r="N57" s="64">
        <v>0</v>
      </c>
    </row>
    <row r="58" spans="1:15" ht="14.05" customHeight="1" x14ac:dyDescent="0.55000000000000004">
      <c r="A58" s="119" t="s">
        <v>103</v>
      </c>
      <c r="B58" s="48"/>
      <c r="C58" s="67">
        <v>6.5389999999999997</v>
      </c>
      <c r="D58" s="67">
        <v>4.18</v>
      </c>
      <c r="E58" s="67">
        <f>258/1000</f>
        <v>0.25800000000000001</v>
      </c>
      <c r="F58" s="67">
        <v>-36.267000000000003</v>
      </c>
      <c r="G58" s="67">
        <v>6</v>
      </c>
      <c r="I58" s="67">
        <f ca="1">I55+I56+I57</f>
        <v>24.308179504568763</v>
      </c>
      <c r="N58" s="67">
        <f>N55+N56+N57</f>
        <v>33</v>
      </c>
    </row>
    <row r="59" spans="1:15" ht="14.05" customHeight="1" x14ac:dyDescent="0.55000000000000004">
      <c r="A59" s="120" t="s">
        <v>101</v>
      </c>
      <c r="B59" s="74"/>
      <c r="C59" s="62">
        <f>C49+C58</f>
        <v>73.414999999999921</v>
      </c>
      <c r="D59" s="62">
        <f>D49+D58</f>
        <v>143.29199999999997</v>
      </c>
      <c r="E59" s="62">
        <f>E49+E58</f>
        <v>-38.766000000000226</v>
      </c>
      <c r="F59" s="62">
        <f>F49+F58</f>
        <v>212.99599999999992</v>
      </c>
      <c r="G59" s="62">
        <f>G49+G58</f>
        <v>383</v>
      </c>
      <c r="I59" s="62">
        <f ca="1">I49+I58</f>
        <v>700.20817950456876</v>
      </c>
      <c r="N59" s="62">
        <f>N49+N58</f>
        <v>747</v>
      </c>
    </row>
    <row r="60" spans="1:15" ht="14.05" customHeight="1" x14ac:dyDescent="0.55000000000000004">
      <c r="A60" s="119" t="s">
        <v>58</v>
      </c>
      <c r="B60" s="48"/>
      <c r="C60" s="67">
        <v>-22.504000000000001</v>
      </c>
      <c r="D60" s="67">
        <v>-41.65</v>
      </c>
      <c r="E60" s="67">
        <v>2.9329999999999998</v>
      </c>
      <c r="F60" s="67">
        <v>-63.819000000000003</v>
      </c>
      <c r="G60" s="67">
        <v>-111</v>
      </c>
      <c r="I60" s="66">
        <f ca="1">-I59*0.3</f>
        <v>-210.06245385137063</v>
      </c>
      <c r="N60" s="66">
        <v>-216</v>
      </c>
    </row>
    <row r="61" spans="1:15" ht="14.05" customHeight="1" x14ac:dyDescent="0.55000000000000004">
      <c r="A61" s="128" t="s">
        <v>105</v>
      </c>
      <c r="B61" s="80"/>
      <c r="C61" s="81">
        <f>C59+C60</f>
        <v>50.910999999999916</v>
      </c>
      <c r="D61" s="81">
        <f>D59+D60</f>
        <v>101.64199999999997</v>
      </c>
      <c r="E61" s="81">
        <f>E59+E60</f>
        <v>-35.833000000000226</v>
      </c>
      <c r="F61" s="81">
        <f>F59+F60</f>
        <v>149.17699999999991</v>
      </c>
      <c r="G61" s="81">
        <f>G59+G60</f>
        <v>272</v>
      </c>
      <c r="I61" s="81">
        <f ca="1">I59+I60</f>
        <v>490.14572565319816</v>
      </c>
      <c r="N61" s="81">
        <f>N59+N60</f>
        <v>531</v>
      </c>
    </row>
    <row r="62" spans="1:15" ht="14.05" customHeight="1" x14ac:dyDescent="0.55000000000000004">
      <c r="A62" s="116" t="s">
        <v>106</v>
      </c>
      <c r="B62" s="51"/>
      <c r="C62" s="66">
        <v>0</v>
      </c>
      <c r="D62" s="66">
        <v>0</v>
      </c>
      <c r="E62" s="66">
        <v>-3.7429999999999999</v>
      </c>
      <c r="F62" s="66">
        <v>-8.75</v>
      </c>
      <c r="G62" s="66">
        <v>-12</v>
      </c>
      <c r="I62" s="66">
        <v>0</v>
      </c>
      <c r="M62" s="44" t="s">
        <v>429</v>
      </c>
      <c r="N62" s="66">
        <v>-13</v>
      </c>
    </row>
    <row r="63" spans="1:15" ht="14.05" customHeight="1" x14ac:dyDescent="0.55000000000000004">
      <c r="A63" s="128" t="s">
        <v>107</v>
      </c>
      <c r="B63" s="80"/>
      <c r="C63" s="81">
        <f>C61+C62</f>
        <v>50.910999999999916</v>
      </c>
      <c r="D63" s="81">
        <f>D61+D62</f>
        <v>101.64199999999997</v>
      </c>
      <c r="E63" s="81">
        <f>E61+E62</f>
        <v>-39.576000000000228</v>
      </c>
      <c r="F63" s="81">
        <f>F61+F62</f>
        <v>140.42699999999991</v>
      </c>
      <c r="G63" s="81">
        <f>G61+G62</f>
        <v>260</v>
      </c>
      <c r="I63" s="81">
        <f ca="1">I61+I62</f>
        <v>490.14572565319816</v>
      </c>
      <c r="N63" s="81">
        <f>N61+N62</f>
        <v>518</v>
      </c>
      <c r="O63" s="145">
        <f ca="1">N63/I63-1</f>
        <v>5.6828557077961861E-2</v>
      </c>
    </row>
    <row r="64" spans="1:15" ht="8.1" customHeight="1" x14ac:dyDescent="0.55000000000000004"/>
    <row r="65" spans="1:10" x14ac:dyDescent="0.55000000000000004">
      <c r="C65" s="52">
        <v>1992</v>
      </c>
      <c r="D65" s="52">
        <v>1993</v>
      </c>
      <c r="E65" s="52">
        <v>1994</v>
      </c>
      <c r="F65" s="52">
        <v>1995</v>
      </c>
      <c r="G65" s="52">
        <v>1996</v>
      </c>
      <c r="I65" s="52" t="s">
        <v>141</v>
      </c>
    </row>
    <row r="66" spans="1:10" ht="15.6" x14ac:dyDescent="0.6">
      <c r="A66" s="117" t="s">
        <v>99</v>
      </c>
      <c r="B66" s="47"/>
      <c r="C66" s="71"/>
      <c r="D66" s="71"/>
      <c r="E66" s="71"/>
      <c r="F66" s="71"/>
      <c r="G66" s="71"/>
    </row>
    <row r="67" spans="1:10" ht="14.05" customHeight="1" x14ac:dyDescent="0.55000000000000004">
      <c r="A67" s="119" t="s">
        <v>105</v>
      </c>
      <c r="B67" s="48"/>
      <c r="C67" s="62">
        <f>C61</f>
        <v>50.910999999999916</v>
      </c>
      <c r="D67" s="62">
        <f>D61</f>
        <v>101.64199999999997</v>
      </c>
      <c r="E67" s="62">
        <f>E61</f>
        <v>-35.833000000000226</v>
      </c>
      <c r="F67" s="62">
        <f>F61</f>
        <v>149.17699999999991</v>
      </c>
      <c r="G67" s="62">
        <f>G61</f>
        <v>272</v>
      </c>
      <c r="H67" s="50"/>
      <c r="I67" s="62">
        <f ca="1">I61</f>
        <v>490.14572565319816</v>
      </c>
    </row>
    <row r="68" spans="1:10" ht="14.05" customHeight="1" x14ac:dyDescent="0.55000000000000004">
      <c r="A68" s="127" t="s">
        <v>108</v>
      </c>
      <c r="B68" s="99"/>
      <c r="C68" s="63">
        <v>13.832000000000001</v>
      </c>
      <c r="D68" s="63">
        <v>19.5</v>
      </c>
      <c r="E68" s="63">
        <v>30.646000000000001</v>
      </c>
      <c r="F68" s="63">
        <v>33</v>
      </c>
      <c r="G68" s="63">
        <v>38</v>
      </c>
      <c r="H68" s="50"/>
      <c r="I68" s="62">
        <f>-I144</f>
        <v>60.8</v>
      </c>
    </row>
    <row r="69" spans="1:10" ht="14.05" customHeight="1" x14ac:dyDescent="0.55000000000000004">
      <c r="A69" s="124" t="s">
        <v>138</v>
      </c>
      <c r="B69" s="76"/>
      <c r="C69" s="78">
        <f>-C68/C$38</f>
        <v>-1.554263831565984E-2</v>
      </c>
      <c r="D69" s="78">
        <f>-D68/D$38</f>
        <v>-9.682589809744558E-3</v>
      </c>
      <c r="E69" s="78">
        <f>-E68/E$38</f>
        <v>-1.066628613393244E-2</v>
      </c>
      <c r="F69" s="78">
        <f>-F68/F$38</f>
        <v>-9.4954656274215243E-3</v>
      </c>
      <c r="G69" s="78">
        <f>-G68/G$38</f>
        <v>-7.1752265861027191E-3</v>
      </c>
      <c r="H69" s="50"/>
      <c r="I69" s="78">
        <f>-I68/I$38</f>
        <v>-7.6535750251762336E-3</v>
      </c>
    </row>
    <row r="70" spans="1:10" ht="14.05" customHeight="1" x14ac:dyDescent="0.55000000000000004">
      <c r="A70" s="119" t="s">
        <v>109</v>
      </c>
      <c r="B70" s="48"/>
      <c r="C70" s="62">
        <f>C112</f>
        <v>-187.483</v>
      </c>
      <c r="D70" s="62">
        <f>D112</f>
        <v>-99.453999999999951</v>
      </c>
      <c r="E70" s="62">
        <f>E112</f>
        <v>33.769000000000005</v>
      </c>
      <c r="F70" s="62">
        <f>F112</f>
        <v>-35.497000000000128</v>
      </c>
      <c r="G70" s="62">
        <f>G112</f>
        <v>-305.17199999999991</v>
      </c>
      <c r="H70" s="50"/>
      <c r="I70" s="62">
        <f>I112</f>
        <v>161.15939455526427</v>
      </c>
    </row>
    <row r="71" spans="1:10" ht="14.05" customHeight="1" x14ac:dyDescent="0.55000000000000004">
      <c r="A71" s="124" t="s">
        <v>139</v>
      </c>
      <c r="B71" s="76"/>
      <c r="C71" s="78">
        <f>-C70/C$38</f>
        <v>0.21066949532496049</v>
      </c>
      <c r="D71" s="78">
        <f>-D70/D$38</f>
        <v>4.9383194201965887E-2</v>
      </c>
      <c r="E71" s="78">
        <f>-E70/E$38</f>
        <v>-1.1753240764105092E-2</v>
      </c>
      <c r="F71" s="78">
        <f>-F70/F$38</f>
        <v>1.0213955859896456E-2</v>
      </c>
      <c r="G71" s="78">
        <f>-G70/G$38</f>
        <v>5.7623111782477324E-2</v>
      </c>
      <c r="H71" s="50"/>
      <c r="I71" s="78">
        <f>-I70/I$38</f>
        <v>-2.0286932849353508E-2</v>
      </c>
    </row>
    <row r="72" spans="1:10" ht="14.05" customHeight="1" x14ac:dyDescent="0.55000000000000004">
      <c r="A72" s="127" t="s">
        <v>198</v>
      </c>
      <c r="B72" s="99"/>
      <c r="C72" s="149">
        <f>-C193</f>
        <v>0</v>
      </c>
      <c r="D72" s="149">
        <f>-D193</f>
        <v>-80.367000000000004</v>
      </c>
      <c r="E72" s="149">
        <f>-E193</f>
        <v>-253.29999999999995</v>
      </c>
      <c r="F72" s="149">
        <f>-F193</f>
        <v>-150.62700000000001</v>
      </c>
      <c r="G72" s="149">
        <f>-G193</f>
        <v>-106.70600000000002</v>
      </c>
      <c r="H72" s="150"/>
      <c r="I72" s="132">
        <f>-I193</f>
        <v>-781.98800000000006</v>
      </c>
    </row>
    <row r="73" spans="1:10" ht="14.05" customHeight="1" x14ac:dyDescent="0.55000000000000004">
      <c r="A73" s="127" t="s">
        <v>199</v>
      </c>
      <c r="B73" s="99"/>
      <c r="C73" s="149">
        <v>23.559000000000069</v>
      </c>
      <c r="D73" s="149">
        <v>38.166999999999987</v>
      </c>
      <c r="E73" s="149">
        <v>84.544000000000153</v>
      </c>
      <c r="F73" s="149">
        <v>67.986000000000246</v>
      </c>
      <c r="G73" s="149">
        <v>179.92499999999995</v>
      </c>
      <c r="H73" s="150"/>
      <c r="I73" s="149">
        <f>G11-I11+I20-G20</f>
        <v>158.5</v>
      </c>
      <c r="J73" s="95">
        <f>(G11-I11+G15-I15+I20-G20+I24-G24)-I73</f>
        <v>0</v>
      </c>
    </row>
    <row r="74" spans="1:10" ht="14.05" customHeight="1" x14ac:dyDescent="0.55000000000000004">
      <c r="A74" s="127" t="s">
        <v>110</v>
      </c>
      <c r="B74" s="99"/>
      <c r="C74" s="63">
        <v>-32.630000000000003</v>
      </c>
      <c r="D74" s="63">
        <v>-47.2</v>
      </c>
      <c r="E74" s="63">
        <v>-48.055</v>
      </c>
      <c r="F74" s="63">
        <v>-63.691000000000003</v>
      </c>
      <c r="G74" s="63">
        <v>-101</v>
      </c>
      <c r="H74" s="50"/>
      <c r="I74" s="151">
        <f>-I135</f>
        <v>-120</v>
      </c>
    </row>
    <row r="75" spans="1:10" ht="14.05" customHeight="1" x14ac:dyDescent="0.55000000000000004">
      <c r="A75" s="124" t="s">
        <v>140</v>
      </c>
      <c r="B75" s="76"/>
      <c r="C75" s="67"/>
      <c r="D75" s="91">
        <f>-D74/D$38</f>
        <v>2.3436832770253498E-2</v>
      </c>
      <c r="E75" s="91">
        <f>-E74/E$38</f>
        <v>1.6725457813943856E-2</v>
      </c>
      <c r="F75" s="91">
        <f>-F74/F$38</f>
        <v>1.8326536402306193E-2</v>
      </c>
      <c r="G75" s="91">
        <f>-G74/G$38</f>
        <v>1.9070996978851965E-2</v>
      </c>
      <c r="H75" s="50"/>
      <c r="I75" s="91">
        <f>-I74/I$38</f>
        <v>1.5105740181268883E-2</v>
      </c>
    </row>
    <row r="76" spans="1:10" ht="14.05" customHeight="1" x14ac:dyDescent="0.55000000000000004">
      <c r="A76" s="120" t="s">
        <v>416</v>
      </c>
      <c r="B76" s="74"/>
      <c r="C76" s="68">
        <f>C67+C68+C70+C72+C73+C74</f>
        <v>-131.81100000000004</v>
      </c>
      <c r="D76" s="68">
        <f>D67+D68+D70+D72+D73+D74</f>
        <v>-67.712000000000003</v>
      </c>
      <c r="E76" s="68">
        <f>E67+E68+E70+E72+E73+E74</f>
        <v>-188.22900000000004</v>
      </c>
      <c r="F76" s="68">
        <f>F67+F68+F70+F72+F73+F74</f>
        <v>0.34800000000001319</v>
      </c>
      <c r="G76" s="68">
        <f>G67+G68+G70+G72+G73+G74</f>
        <v>-22.952999999999975</v>
      </c>
      <c r="H76" s="50"/>
      <c r="I76" s="68">
        <f ca="1">I67+I68+I70+I72+I73+I74</f>
        <v>-31.382879791537675</v>
      </c>
    </row>
    <row r="77" spans="1:10" ht="14.05" customHeight="1" x14ac:dyDescent="0.55000000000000004">
      <c r="A77" s="119" t="s">
        <v>104</v>
      </c>
      <c r="B77" s="74"/>
      <c r="C77" s="67">
        <f>-C55</f>
        <v>1.784</v>
      </c>
      <c r="D77" s="67">
        <f>-D55</f>
        <v>7.8689999999999998</v>
      </c>
      <c r="E77" s="67">
        <f>-E55</f>
        <v>8.35</v>
      </c>
      <c r="F77" s="67">
        <f>-F55</f>
        <v>12.202999999999999</v>
      </c>
      <c r="G77" s="67">
        <f>-G55</f>
        <v>15</v>
      </c>
      <c r="H77" s="50"/>
      <c r="I77" s="67">
        <f ca="1">-I55</f>
        <v>14.971580495431239</v>
      </c>
    </row>
    <row r="78" spans="1:10" ht="14.05" customHeight="1" x14ac:dyDescent="0.55000000000000004">
      <c r="A78" s="120" t="s">
        <v>111</v>
      </c>
      <c r="B78" s="74"/>
      <c r="C78" s="68">
        <f>C76+C77</f>
        <v>-130.02700000000004</v>
      </c>
      <c r="D78" s="68">
        <f>D76+D77</f>
        <v>-59.843000000000004</v>
      </c>
      <c r="E78" s="68">
        <f>E76+E77</f>
        <v>-179.87900000000005</v>
      </c>
      <c r="F78" s="68">
        <f>F76+F77</f>
        <v>12.551000000000013</v>
      </c>
      <c r="G78" s="68">
        <f>G76+G77</f>
        <v>-7.9529999999999745</v>
      </c>
      <c r="H78" s="50"/>
      <c r="I78" s="68">
        <f ca="1">I76+I77</f>
        <v>-16.411299296106435</v>
      </c>
    </row>
    <row r="79" spans="1:10" ht="8.4" customHeight="1" x14ac:dyDescent="0.55000000000000004">
      <c r="A79" s="119"/>
      <c r="B79" s="48"/>
      <c r="C79" s="62"/>
      <c r="D79" s="62"/>
      <c r="E79" s="62"/>
      <c r="F79" s="62"/>
      <c r="G79" s="62"/>
      <c r="H79" s="50"/>
    </row>
    <row r="80" spans="1:10" ht="14.05" customHeight="1" x14ac:dyDescent="0.55000000000000004">
      <c r="A80" s="127" t="s">
        <v>129</v>
      </c>
      <c r="B80" s="99"/>
      <c r="C80" s="63">
        <v>41.45</v>
      </c>
      <c r="D80" s="63">
        <v>7.2</v>
      </c>
      <c r="E80" s="63">
        <v>96.653999999999996</v>
      </c>
      <c r="F80" s="63">
        <v>14</v>
      </c>
      <c r="G80" s="63">
        <v>0</v>
      </c>
      <c r="H80" s="50"/>
      <c r="I80" s="63">
        <f ca="1">I183</f>
        <v>0</v>
      </c>
    </row>
    <row r="81" spans="1:9" ht="14.05" customHeight="1" x14ac:dyDescent="0.55000000000000004">
      <c r="A81" s="127" t="s">
        <v>130</v>
      </c>
      <c r="B81" s="99"/>
      <c r="C81" s="63">
        <v>0</v>
      </c>
      <c r="D81" s="63">
        <v>0</v>
      </c>
      <c r="E81" s="63">
        <v>0</v>
      </c>
      <c r="F81" s="63">
        <v>0</v>
      </c>
      <c r="G81" s="63">
        <v>0</v>
      </c>
      <c r="H81" s="50"/>
      <c r="I81" s="63">
        <f ca="1">I182</f>
        <v>0</v>
      </c>
    </row>
    <row r="82" spans="1:9" ht="14.05" customHeight="1" x14ac:dyDescent="0.55000000000000004">
      <c r="A82" s="127" t="s">
        <v>179</v>
      </c>
      <c r="B82" s="99"/>
      <c r="C82" s="63">
        <v>0</v>
      </c>
      <c r="D82" s="63">
        <v>8.5</v>
      </c>
      <c r="E82" s="63">
        <v>0</v>
      </c>
      <c r="F82" s="63">
        <v>0</v>
      </c>
      <c r="G82" s="63">
        <v>0</v>
      </c>
      <c r="H82" s="50"/>
      <c r="I82" s="63">
        <v>0</v>
      </c>
    </row>
    <row r="83" spans="1:9" ht="14.05" customHeight="1" x14ac:dyDescent="0.55000000000000004">
      <c r="A83" s="127" t="s">
        <v>131</v>
      </c>
      <c r="B83" s="99"/>
      <c r="C83" s="63">
        <v>-2.577</v>
      </c>
      <c r="D83" s="63">
        <v>-0.7</v>
      </c>
      <c r="E83" s="63">
        <f>-8.5-49.861</f>
        <v>-58.360999999999997</v>
      </c>
      <c r="F83" s="63">
        <v>-1</v>
      </c>
      <c r="G83" s="63">
        <v>-1</v>
      </c>
      <c r="H83" s="50"/>
      <c r="I83" s="63">
        <v>0</v>
      </c>
    </row>
    <row r="84" spans="1:9" ht="14.05" customHeight="1" x14ac:dyDescent="0.55000000000000004">
      <c r="A84" s="127" t="s">
        <v>127</v>
      </c>
      <c r="B84" s="99"/>
      <c r="C84" s="63">
        <v>0</v>
      </c>
      <c r="D84" s="63">
        <v>0</v>
      </c>
      <c r="E84" s="63">
        <v>0</v>
      </c>
      <c r="F84" s="63">
        <v>0</v>
      </c>
      <c r="G84" s="63">
        <v>0</v>
      </c>
      <c r="H84" s="50"/>
      <c r="I84" s="63">
        <v>0</v>
      </c>
    </row>
    <row r="85" spans="1:9" ht="14.05" customHeight="1" x14ac:dyDescent="0.55000000000000004">
      <c r="A85" s="127" t="s">
        <v>128</v>
      </c>
      <c r="B85" s="99"/>
      <c r="C85" s="63">
        <v>0</v>
      </c>
      <c r="D85" s="63">
        <v>0</v>
      </c>
      <c r="E85" s="63">
        <v>0</v>
      </c>
      <c r="F85" s="63">
        <v>0</v>
      </c>
      <c r="G85" s="63">
        <v>0</v>
      </c>
      <c r="H85" s="50"/>
      <c r="I85" s="63">
        <v>0</v>
      </c>
    </row>
    <row r="86" spans="1:9" ht="14.05" customHeight="1" x14ac:dyDescent="0.55000000000000004">
      <c r="A86" s="119" t="s">
        <v>104</v>
      </c>
      <c r="B86" s="99"/>
      <c r="C86" s="62">
        <f>-C77</f>
        <v>-1.784</v>
      </c>
      <c r="D86" s="62">
        <f>-D77</f>
        <v>-7.8689999999999998</v>
      </c>
      <c r="E86" s="62">
        <f>-E77</f>
        <v>-8.35</v>
      </c>
      <c r="F86" s="62">
        <f>-F77</f>
        <v>-12.202999999999999</v>
      </c>
      <c r="G86" s="62">
        <f>-G77</f>
        <v>-15</v>
      </c>
      <c r="H86" s="50"/>
      <c r="I86" s="62">
        <f ca="1">-I77</f>
        <v>-14.971580495431239</v>
      </c>
    </row>
    <row r="87" spans="1:9" ht="14.05" customHeight="1" x14ac:dyDescent="0.55000000000000004">
      <c r="A87" s="127" t="s">
        <v>121</v>
      </c>
      <c r="B87" s="99"/>
      <c r="C87" s="63">
        <v>105.65900000000001</v>
      </c>
      <c r="D87" s="63">
        <v>0</v>
      </c>
      <c r="E87" s="63">
        <f>120.151</f>
        <v>120.151</v>
      </c>
      <c r="F87" s="63">
        <v>0</v>
      </c>
      <c r="G87" s="63">
        <v>0</v>
      </c>
      <c r="H87" s="50"/>
      <c r="I87" s="63">
        <v>0</v>
      </c>
    </row>
    <row r="88" spans="1:9" ht="14.05" customHeight="1" x14ac:dyDescent="0.55000000000000004">
      <c r="A88" s="127" t="s">
        <v>132</v>
      </c>
      <c r="B88" s="99"/>
      <c r="C88" s="63">
        <v>6.1120000000000001</v>
      </c>
      <c r="D88" s="63">
        <v>12.2</v>
      </c>
      <c r="E88" s="63">
        <f>21.935</f>
        <v>21.934999999999999</v>
      </c>
      <c r="F88" s="63">
        <v>35</v>
      </c>
      <c r="G88" s="63">
        <v>48</v>
      </c>
      <c r="H88" s="50"/>
      <c r="I88" s="63">
        <f>G88*1.2</f>
        <v>57.599999999999994</v>
      </c>
    </row>
    <row r="89" spans="1:9" ht="14.05" customHeight="1" x14ac:dyDescent="0.55000000000000004">
      <c r="A89" s="127" t="s">
        <v>180</v>
      </c>
      <c r="B89" s="99"/>
      <c r="C89" s="63">
        <v>0</v>
      </c>
      <c r="D89" s="63">
        <v>0</v>
      </c>
      <c r="E89" s="63">
        <v>0</v>
      </c>
      <c r="F89" s="63">
        <v>0</v>
      </c>
      <c r="G89" s="63">
        <v>0</v>
      </c>
      <c r="H89" s="50"/>
      <c r="I89" s="132">
        <v>0</v>
      </c>
    </row>
    <row r="90" spans="1:9" ht="14.05" customHeight="1" x14ac:dyDescent="0.55000000000000004">
      <c r="A90" s="119" t="s">
        <v>122</v>
      </c>
      <c r="B90" s="48"/>
      <c r="C90" s="67">
        <f>C62</f>
        <v>0</v>
      </c>
      <c r="D90" s="67">
        <f>D62</f>
        <v>0</v>
      </c>
      <c r="E90" s="67">
        <f>E62</f>
        <v>-3.7429999999999999</v>
      </c>
      <c r="F90" s="67">
        <f>F62</f>
        <v>-8.75</v>
      </c>
      <c r="G90" s="67">
        <f>G62</f>
        <v>-12</v>
      </c>
      <c r="H90" s="50"/>
      <c r="I90" s="134">
        <v>0</v>
      </c>
    </row>
    <row r="91" spans="1:9" ht="14.05" customHeight="1" x14ac:dyDescent="0.55000000000000004">
      <c r="A91" s="120" t="s">
        <v>123</v>
      </c>
      <c r="B91" s="74"/>
      <c r="C91" s="94">
        <f>SUM(C80:C90)</f>
        <v>148.86000000000001</v>
      </c>
      <c r="D91" s="94">
        <f>SUM(D80:D90)</f>
        <v>19.331</v>
      </c>
      <c r="E91" s="94">
        <f>SUM(E80:E90)</f>
        <v>168.286</v>
      </c>
      <c r="F91" s="94">
        <f>SUM(F80:F90)</f>
        <v>27.046999999999997</v>
      </c>
      <c r="G91" s="94">
        <f>SUM(G80:G90)</f>
        <v>20</v>
      </c>
      <c r="H91" s="50"/>
      <c r="I91" s="94">
        <f ca="1">SUM(I80:I90)</f>
        <v>42.628419504568754</v>
      </c>
    </row>
    <row r="92" spans="1:9" ht="14.05" customHeight="1" x14ac:dyDescent="0.55000000000000004">
      <c r="A92" s="120" t="s">
        <v>124</v>
      </c>
      <c r="B92" s="74"/>
      <c r="C92" s="68">
        <f>C94-C93</f>
        <v>18.832999999999998</v>
      </c>
      <c r="D92" s="68">
        <f>D94-D93</f>
        <v>-40.512</v>
      </c>
      <c r="E92" s="68">
        <f>E94-E93</f>
        <v>-11.593</v>
      </c>
      <c r="F92" s="68">
        <f>F94-F93</f>
        <v>39.598000000000006</v>
      </c>
      <c r="G92" s="68">
        <f>G94-G93</f>
        <v>12.046999999999997</v>
      </c>
      <c r="H92" s="50"/>
      <c r="I92" s="68">
        <f ca="1">I78+I91</f>
        <v>26.217120208462319</v>
      </c>
    </row>
    <row r="93" spans="1:9" ht="14.05" customHeight="1" x14ac:dyDescent="0.55000000000000004">
      <c r="A93" s="119" t="s">
        <v>125</v>
      </c>
      <c r="B93" s="48"/>
      <c r="C93" s="62">
        <v>36.627000000000002</v>
      </c>
      <c r="D93" s="62">
        <f>C94</f>
        <v>55.46</v>
      </c>
      <c r="E93" s="62">
        <f>D94</f>
        <v>14.948</v>
      </c>
      <c r="F93" s="62">
        <f>E94</f>
        <v>3.355</v>
      </c>
      <c r="G93" s="62">
        <f>F94</f>
        <v>42.953000000000003</v>
      </c>
      <c r="H93" s="50"/>
      <c r="I93" s="62">
        <f>G94</f>
        <v>55</v>
      </c>
    </row>
    <row r="94" spans="1:9" ht="14.05" customHeight="1" x14ac:dyDescent="0.55000000000000004">
      <c r="A94" s="119" t="s">
        <v>126</v>
      </c>
      <c r="B94" s="48"/>
      <c r="C94" s="62">
        <v>55.46</v>
      </c>
      <c r="D94" s="62">
        <f>D7</f>
        <v>14.948</v>
      </c>
      <c r="E94" s="62">
        <f>E7</f>
        <v>3.355</v>
      </c>
      <c r="F94" s="62">
        <f>F7</f>
        <v>42.953000000000003</v>
      </c>
      <c r="G94" s="62">
        <f>G7</f>
        <v>55</v>
      </c>
      <c r="H94" s="50"/>
      <c r="I94" s="62">
        <f ca="1">I92+I93</f>
        <v>81.217120208462319</v>
      </c>
    </row>
    <row r="95" spans="1:9" s="50" customFormat="1" ht="14.05" customHeight="1" x14ac:dyDescent="0.55000000000000004">
      <c r="A95" s="122" t="s">
        <v>133</v>
      </c>
      <c r="B95" s="82"/>
      <c r="C95" s="330">
        <f>C78+C91-C92</f>
        <v>-2.8421709430404007E-14</v>
      </c>
      <c r="D95" s="330">
        <f>D78+D91-D92</f>
        <v>0</v>
      </c>
      <c r="E95" s="330">
        <f>E78+E91-E92</f>
        <v>-4.6185277824406512E-14</v>
      </c>
      <c r="F95" s="330">
        <f>F78+F91-F92</f>
        <v>0</v>
      </c>
      <c r="G95" s="330">
        <f>G78+G91-G92</f>
        <v>2.8421709430404007E-14</v>
      </c>
      <c r="I95" s="330">
        <f ca="1">I78+I91-I92</f>
        <v>0</v>
      </c>
    </row>
    <row r="96" spans="1:9" s="50" customFormat="1" ht="14.05" customHeight="1" x14ac:dyDescent="0.55000000000000004">
      <c r="A96" s="119"/>
      <c r="B96" s="48"/>
      <c r="C96" s="62"/>
      <c r="D96" s="62"/>
      <c r="E96" s="62"/>
      <c r="F96" s="62"/>
      <c r="G96" s="69"/>
    </row>
    <row r="97" spans="1:19" s="50" customFormat="1" ht="14.05" customHeight="1" x14ac:dyDescent="0.55000000000000004">
      <c r="A97" s="119"/>
      <c r="B97" s="48"/>
      <c r="C97" s="62"/>
      <c r="D97" s="62"/>
      <c r="E97" s="62"/>
      <c r="F97" s="62"/>
      <c r="G97" s="69"/>
    </row>
    <row r="98" spans="1:19" s="50" customFormat="1" ht="14.05" customHeight="1" x14ac:dyDescent="0.55000000000000004">
      <c r="A98" s="83" t="s">
        <v>114</v>
      </c>
      <c r="B98" s="83"/>
      <c r="C98" s="52">
        <v>1992</v>
      </c>
      <c r="D98" s="52">
        <v>1993</v>
      </c>
      <c r="E98" s="52">
        <v>1994</v>
      </c>
      <c r="F98" s="52">
        <v>1995</v>
      </c>
      <c r="G98" s="52">
        <v>1996</v>
      </c>
      <c r="I98" s="52" t="s">
        <v>141</v>
      </c>
      <c r="N98" s="52" t="s">
        <v>428</v>
      </c>
    </row>
    <row r="99" spans="1:19" s="50" customFormat="1" ht="14.05" customHeight="1" x14ac:dyDescent="0.55000000000000004">
      <c r="A99" s="87" t="s">
        <v>117</v>
      </c>
      <c r="B99" s="87"/>
      <c r="C99" s="88"/>
      <c r="D99" s="88">
        <f>D9</f>
        <v>374.01299999999998</v>
      </c>
      <c r="E99" s="88">
        <f>E9</f>
        <v>410.774</v>
      </c>
      <c r="F99" s="88">
        <f>F9</f>
        <v>537.97400000000005</v>
      </c>
      <c r="G99" s="88">
        <f>G9</f>
        <v>726</v>
      </c>
      <c r="I99" s="88">
        <f>I100/365*I101</f>
        <v>964.39047191133227</v>
      </c>
      <c r="N99" s="88">
        <f>N9</f>
        <v>903</v>
      </c>
    </row>
    <row r="100" spans="1:19" s="50" customFormat="1" ht="14.05" customHeight="1" x14ac:dyDescent="0.55000000000000004">
      <c r="A100" s="87" t="s">
        <v>52</v>
      </c>
      <c r="B100" s="87"/>
      <c r="C100" s="88">
        <f>C38</f>
        <v>889.93899999999996</v>
      </c>
      <c r="D100" s="88">
        <f>D38</f>
        <v>2013.924</v>
      </c>
      <c r="E100" s="88">
        <f>E38</f>
        <v>2873.165</v>
      </c>
      <c r="F100" s="88">
        <f>F38</f>
        <v>3475.3429999999998</v>
      </c>
      <c r="G100" s="88">
        <f>G38</f>
        <v>5296</v>
      </c>
      <c r="I100" s="88">
        <f>I38</f>
        <v>7944</v>
      </c>
      <c r="N100" s="88">
        <f>N38</f>
        <v>7759</v>
      </c>
    </row>
    <row r="101" spans="1:19" s="50" customFormat="1" ht="14.05" customHeight="1" x14ac:dyDescent="0.55000000000000004">
      <c r="A101" s="85" t="s">
        <v>115</v>
      </c>
      <c r="B101" s="85"/>
      <c r="C101" s="86"/>
      <c r="D101" s="90">
        <f>D99/(D100/365)</f>
        <v>67.785450195737269</v>
      </c>
      <c r="E101" s="90">
        <f>E99/(E100/365)</f>
        <v>52.183745103396426</v>
      </c>
      <c r="F101" s="358">
        <f>F99/(F100/365)</f>
        <v>56.501044645089713</v>
      </c>
      <c r="G101" s="358">
        <f>G99/(G100/365)</f>
        <v>50.035876132930511</v>
      </c>
      <c r="I101" s="358">
        <f>G101/F101*G101</f>
        <v>44.310488701867605</v>
      </c>
      <c r="J101" s="99" t="s">
        <v>455</v>
      </c>
      <c r="N101" s="90">
        <f>N99/(N100/365)</f>
        <v>42.479056579456113</v>
      </c>
    </row>
    <row r="102" spans="1:19" s="50" customFormat="1" ht="4.5" customHeight="1" x14ac:dyDescent="0.55000000000000004">
      <c r="A102" s="87"/>
      <c r="B102" s="87"/>
      <c r="C102" s="87"/>
      <c r="D102" s="87"/>
      <c r="E102" s="87"/>
      <c r="F102" s="87"/>
      <c r="G102" s="87"/>
      <c r="I102" s="87"/>
      <c r="N102" s="87"/>
    </row>
    <row r="103" spans="1:19" s="50" customFormat="1" ht="14.05" customHeight="1" x14ac:dyDescent="0.55000000000000004">
      <c r="A103" s="87" t="s">
        <v>70</v>
      </c>
      <c r="B103" s="87"/>
      <c r="C103" s="88"/>
      <c r="D103" s="88">
        <f>D10</f>
        <v>303.22000000000003</v>
      </c>
      <c r="E103" s="88">
        <f>E10</f>
        <v>220.26499999999999</v>
      </c>
      <c r="F103" s="88">
        <f>F10</f>
        <v>292.92500000000001</v>
      </c>
      <c r="G103" s="88">
        <f>G10</f>
        <v>429</v>
      </c>
      <c r="I103" s="88">
        <f>I104/365*I105</f>
        <v>572.56196859547526</v>
      </c>
      <c r="N103" s="88">
        <f>N10</f>
        <v>251</v>
      </c>
      <c r="P103" s="367" t="s">
        <v>462</v>
      </c>
    </row>
    <row r="104" spans="1:19" s="50" customFormat="1" ht="14.05" customHeight="1" x14ac:dyDescent="0.55000000000000004">
      <c r="A104" s="87" t="s">
        <v>119</v>
      </c>
      <c r="B104" s="87"/>
      <c r="C104" s="88">
        <f>-C40</f>
        <v>607.76800000000003</v>
      </c>
      <c r="D104" s="88">
        <f>-D40</f>
        <v>1564.472</v>
      </c>
      <c r="E104" s="88">
        <f>-E40</f>
        <v>2440.3490000000002</v>
      </c>
      <c r="F104" s="88">
        <f>-F40</f>
        <v>2737.29</v>
      </c>
      <c r="G104" s="88">
        <f>-G40</f>
        <v>4229</v>
      </c>
      <c r="I104" s="88">
        <f>-I40</f>
        <v>6343.5</v>
      </c>
      <c r="N104" s="88">
        <f>-N40</f>
        <v>6093</v>
      </c>
      <c r="P104" s="365" t="s">
        <v>465</v>
      </c>
    </row>
    <row r="105" spans="1:19" s="50" customFormat="1" ht="14.05" customHeight="1" x14ac:dyDescent="0.55000000000000004">
      <c r="A105" s="85" t="s">
        <v>135</v>
      </c>
      <c r="B105" s="85"/>
      <c r="C105" s="86"/>
      <c r="D105" s="90">
        <f>D103/(D104/365)</f>
        <v>70.742908789674743</v>
      </c>
      <c r="E105" s="358">
        <f>E103/(E104/365)</f>
        <v>32.944765277425475</v>
      </c>
      <c r="F105" s="90">
        <f>F103/(F104/365)</f>
        <v>39.059663024378125</v>
      </c>
      <c r="G105" s="90">
        <f>G103/(G104/365)</f>
        <v>37.02648380231733</v>
      </c>
      <c r="I105" s="358">
        <f>E105</f>
        <v>32.944765277425475</v>
      </c>
      <c r="J105" s="99" t="s">
        <v>454</v>
      </c>
      <c r="N105" s="90">
        <f>N103/(N104/365)</f>
        <v>15.036107008042016</v>
      </c>
      <c r="P105" s="93">
        <f>D105-I105</f>
        <v>37.798143512249268</v>
      </c>
      <c r="Q105" s="364" t="s">
        <v>463</v>
      </c>
    </row>
    <row r="106" spans="1:19" s="50" customFormat="1" ht="4.5" customHeight="1" x14ac:dyDescent="0.55000000000000004">
      <c r="A106" s="87"/>
      <c r="B106" s="87"/>
      <c r="C106" s="87"/>
      <c r="D106" s="87"/>
      <c r="E106" s="87"/>
      <c r="F106" s="87"/>
      <c r="G106" s="87"/>
      <c r="I106" s="87"/>
      <c r="N106" s="87"/>
      <c r="Q106" s="364"/>
    </row>
    <row r="107" spans="1:19" s="50" customFormat="1" ht="14.05" customHeight="1" x14ac:dyDescent="0.55000000000000004">
      <c r="A107" s="87" t="s">
        <v>76</v>
      </c>
      <c r="B107" s="87"/>
      <c r="C107" s="88"/>
      <c r="D107" s="88">
        <f>D19</f>
        <v>295.13299999999998</v>
      </c>
      <c r="E107" s="88">
        <f>E19</f>
        <v>282.70800000000003</v>
      </c>
      <c r="F107" s="88">
        <f>F19</f>
        <v>447.07100000000003</v>
      </c>
      <c r="G107" s="88">
        <f>G19</f>
        <v>466</v>
      </c>
      <c r="I107" s="88">
        <f>I108/365*I109</f>
        <v>1009.1118350620718</v>
      </c>
      <c r="N107" s="88">
        <f>N19</f>
        <v>1040</v>
      </c>
      <c r="P107" s="93">
        <f>I104</f>
        <v>6343.5</v>
      </c>
      <c r="Q107" s="364" t="s">
        <v>119</v>
      </c>
    </row>
    <row r="108" spans="1:19" s="50" customFormat="1" ht="14.05" customHeight="1" x14ac:dyDescent="0.55000000000000004">
      <c r="A108" s="87" t="s">
        <v>178</v>
      </c>
      <c r="B108" s="87"/>
      <c r="C108" s="88">
        <f>-C40-C44-C68</f>
        <v>809.23100000000011</v>
      </c>
      <c r="D108" s="88">
        <f>-D40-D44-D68</f>
        <v>1855.3119999999999</v>
      </c>
      <c r="E108" s="88">
        <f>-E40-E44-E68</f>
        <v>2881.5430000000001</v>
      </c>
      <c r="F108" s="88">
        <f>-F40-F44-F68</f>
        <v>3193.08</v>
      </c>
      <c r="G108" s="88">
        <f>-G40-G44-G68</f>
        <v>4881</v>
      </c>
      <c r="I108" s="88">
        <f>-I40-I44-I68</f>
        <v>7207.3</v>
      </c>
      <c r="N108" s="88">
        <f>-N40-N44-N68</f>
        <v>7045</v>
      </c>
      <c r="P108" s="142">
        <f>P107/365*P105</f>
        <v>656.91102293137874</v>
      </c>
      <c r="Q108" s="366" t="s">
        <v>464</v>
      </c>
      <c r="R108" s="139"/>
      <c r="S108" s="139"/>
    </row>
    <row r="109" spans="1:19" s="50" customFormat="1" x14ac:dyDescent="0.55000000000000004">
      <c r="A109" s="85" t="s">
        <v>116</v>
      </c>
      <c r="B109" s="85"/>
      <c r="C109" s="86"/>
      <c r="D109" s="90">
        <f>D107/(D108/365)</f>
        <v>58.062226191605504</v>
      </c>
      <c r="E109" s="90">
        <f>E107/(E108/365)</f>
        <v>35.810126727243009</v>
      </c>
      <c r="F109" s="358">
        <f>F107/(F108/365)</f>
        <v>51.104549525849656</v>
      </c>
      <c r="G109" s="90">
        <f>G107/(G108/365)</f>
        <v>34.847367342757636</v>
      </c>
      <c r="I109" s="358">
        <f>F109</f>
        <v>51.104549525849656</v>
      </c>
      <c r="J109" s="99" t="s">
        <v>456</v>
      </c>
      <c r="N109" s="90">
        <f>N107/(N108/365)</f>
        <v>53.882185947480487</v>
      </c>
      <c r="P109" s="365" t="s">
        <v>466</v>
      </c>
    </row>
    <row r="110" spans="1:19" s="50" customFormat="1" ht="4.5" customHeight="1" x14ac:dyDescent="0.55000000000000004">
      <c r="A110" s="87"/>
      <c r="B110" s="87"/>
      <c r="C110" s="92"/>
      <c r="D110" s="92"/>
      <c r="E110" s="92"/>
      <c r="F110" s="92"/>
      <c r="G110" s="92"/>
      <c r="I110" s="92"/>
      <c r="N110" s="92"/>
    </row>
    <row r="111" spans="1:19" s="50" customFormat="1" x14ac:dyDescent="0.55000000000000004">
      <c r="A111" s="101" t="s">
        <v>114</v>
      </c>
      <c r="B111" s="101"/>
      <c r="C111" s="102">
        <v>282.64600000000002</v>
      </c>
      <c r="D111" s="103">
        <f>D99+D103-D107</f>
        <v>382.09999999999997</v>
      </c>
      <c r="E111" s="103">
        <f>E99+E103-E107</f>
        <v>348.33099999999996</v>
      </c>
      <c r="F111" s="103">
        <f>F99+F103-F107</f>
        <v>383.82800000000009</v>
      </c>
      <c r="G111" s="103">
        <f>G99+G103-G107</f>
        <v>689</v>
      </c>
      <c r="I111" s="103">
        <f>I99+I103-I107</f>
        <v>527.84060544473573</v>
      </c>
      <c r="N111" s="103">
        <f>N99+N103-N107</f>
        <v>114</v>
      </c>
      <c r="P111" s="368">
        <v>0.3</v>
      </c>
      <c r="Q111" s="99" t="s">
        <v>468</v>
      </c>
    </row>
    <row r="112" spans="1:19" s="50" customFormat="1" x14ac:dyDescent="0.55000000000000004">
      <c r="A112" s="101" t="s">
        <v>118</v>
      </c>
      <c r="B112" s="101"/>
      <c r="C112" s="104">
        <f>95.163-C111</f>
        <v>-187.483</v>
      </c>
      <c r="D112" s="104">
        <f>C111-D111</f>
        <v>-99.453999999999951</v>
      </c>
      <c r="E112" s="104">
        <f>D111-E111</f>
        <v>33.769000000000005</v>
      </c>
      <c r="F112" s="104">
        <f>E111-F111</f>
        <v>-35.497000000000128</v>
      </c>
      <c r="G112" s="104">
        <f>F111-G111</f>
        <v>-305.17199999999991</v>
      </c>
      <c r="I112" s="104">
        <f>G111-I111</f>
        <v>161.15939455526427</v>
      </c>
      <c r="N112" s="104">
        <f>G111-N111</f>
        <v>575</v>
      </c>
      <c r="P112" s="368">
        <v>0.8</v>
      </c>
      <c r="Q112" s="99" t="s">
        <v>467</v>
      </c>
    </row>
    <row r="113" spans="1:19" ht="14.05" customHeight="1" x14ac:dyDescent="0.55000000000000004">
      <c r="A113" s="122" t="s">
        <v>447</v>
      </c>
      <c r="B113" s="82"/>
      <c r="C113" s="78">
        <f>C112/C$38</f>
        <v>-0.21066949532496049</v>
      </c>
      <c r="D113" s="78">
        <f>D112/D$38</f>
        <v>-4.9383194201965887E-2</v>
      </c>
      <c r="E113" s="78">
        <f>E112/E$38</f>
        <v>1.1753240764105092E-2</v>
      </c>
      <c r="F113" s="78">
        <f>F112/F$38</f>
        <v>-1.0213955859896456E-2</v>
      </c>
      <c r="G113" s="78">
        <f>G112/G$38</f>
        <v>-5.7623111782477324E-2</v>
      </c>
      <c r="I113" s="78">
        <f>I112/I$38</f>
        <v>2.0286932849353508E-2</v>
      </c>
      <c r="N113" s="78">
        <f>-N112/N$38</f>
        <v>-7.4107488078360609E-2</v>
      </c>
      <c r="P113" s="142">
        <f>P108*P112*P111</f>
        <v>157.65864550353089</v>
      </c>
      <c r="Q113" s="366" t="s">
        <v>469</v>
      </c>
      <c r="R113" s="139"/>
      <c r="S113" s="139"/>
    </row>
    <row r="114" spans="1:19" s="50" customFormat="1" x14ac:dyDescent="0.55000000000000004">
      <c r="A114" s="119"/>
      <c r="P114" s="77">
        <f ca="1">P113/I61</f>
        <v>0.32165667729413605</v>
      </c>
      <c r="Q114" s="99" t="s">
        <v>471</v>
      </c>
      <c r="S114" s="369" t="s">
        <v>470</v>
      </c>
    </row>
    <row r="115" spans="1:19" s="50" customFormat="1" x14ac:dyDescent="0.55000000000000004">
      <c r="A115" s="119" t="s">
        <v>446</v>
      </c>
      <c r="C115" s="88">
        <f>C11</f>
        <v>0</v>
      </c>
      <c r="D115" s="88">
        <f>D11</f>
        <v>80.239000000000004</v>
      </c>
      <c r="E115" s="88">
        <f>E11</f>
        <v>80.322999999999993</v>
      </c>
      <c r="F115" s="88">
        <f>F11</f>
        <v>112.215</v>
      </c>
      <c r="G115" s="88">
        <f>G11</f>
        <v>156</v>
      </c>
      <c r="I115" s="88">
        <f>I$38*I116</f>
        <v>234</v>
      </c>
      <c r="N115" s="88">
        <f>N11</f>
        <v>241</v>
      </c>
      <c r="P115" s="133">
        <f>P113/I100</f>
        <v>1.9846254469225943E-2</v>
      </c>
      <c r="Q115" s="99" t="s">
        <v>472</v>
      </c>
    </row>
    <row r="116" spans="1:19" s="50" customFormat="1" x14ac:dyDescent="0.55000000000000004">
      <c r="A116" s="122" t="s">
        <v>450</v>
      </c>
      <c r="C116" s="78">
        <f>C115/C$38</f>
        <v>0</v>
      </c>
      <c r="D116" s="78">
        <f>D115/D$38</f>
        <v>3.9842119166363779E-2</v>
      </c>
      <c r="E116" s="78">
        <f>E115/E$38</f>
        <v>2.7956278181030324E-2</v>
      </c>
      <c r="F116" s="78">
        <f>F115/F$38</f>
        <v>3.2288899253972922E-2</v>
      </c>
      <c r="G116" s="78">
        <f>G115/G$38</f>
        <v>2.9456193353474321E-2</v>
      </c>
      <c r="I116" s="100">
        <f>G116</f>
        <v>2.9456193353474321E-2</v>
      </c>
      <c r="N116" s="78">
        <f>N115/N$38</f>
        <v>3.1060703698930273E-2</v>
      </c>
    </row>
    <row r="117" spans="1:19" s="50" customFormat="1" x14ac:dyDescent="0.55000000000000004">
      <c r="A117" s="119" t="s">
        <v>448</v>
      </c>
      <c r="C117" s="88">
        <f>C20</f>
        <v>0</v>
      </c>
      <c r="D117" s="88">
        <f>D20</f>
        <v>198.70600000000002</v>
      </c>
      <c r="E117" s="88">
        <f>E20</f>
        <v>255.279</v>
      </c>
      <c r="F117" s="88">
        <f>F20</f>
        <v>304.339</v>
      </c>
      <c r="G117" s="88">
        <f>G20</f>
        <v>473</v>
      </c>
      <c r="I117" s="88">
        <f>I$38*I118</f>
        <v>709.5</v>
      </c>
      <c r="N117" s="88">
        <f>N20</f>
        <v>618</v>
      </c>
    </row>
    <row r="118" spans="1:19" s="50" customFormat="1" x14ac:dyDescent="0.55000000000000004">
      <c r="A118" s="122" t="s">
        <v>449</v>
      </c>
      <c r="C118" s="91">
        <f>C117/C$38</f>
        <v>0</v>
      </c>
      <c r="D118" s="91">
        <f>D117/D$38</f>
        <v>9.866608670436422E-2</v>
      </c>
      <c r="E118" s="91">
        <f>E117/E$38</f>
        <v>8.8849404750510327E-2</v>
      </c>
      <c r="F118" s="91">
        <f>F117/F$38</f>
        <v>8.7570924654055735E-2</v>
      </c>
      <c r="G118" s="91">
        <f>G117/G$38</f>
        <v>8.9312688821752265E-2</v>
      </c>
      <c r="I118" s="109">
        <f>G118</f>
        <v>8.9312688821752265E-2</v>
      </c>
      <c r="N118" s="91">
        <f>N117/N$38</f>
        <v>7.9649439360742369E-2</v>
      </c>
    </row>
    <row r="119" spans="1:19" s="50" customFormat="1" x14ac:dyDescent="0.55000000000000004">
      <c r="A119" s="120" t="s">
        <v>445</v>
      </c>
      <c r="C119" s="68">
        <f>C115-C117</f>
        <v>0</v>
      </c>
      <c r="D119" s="68">
        <f>D115-D117</f>
        <v>-118.46700000000001</v>
      </c>
      <c r="E119" s="68">
        <f>E115-E117</f>
        <v>-174.95600000000002</v>
      </c>
      <c r="F119" s="68">
        <f>F115-F117</f>
        <v>-192.124</v>
      </c>
      <c r="G119" s="68">
        <f>G115-G117</f>
        <v>-317</v>
      </c>
      <c r="H119" s="55"/>
      <c r="I119" s="68">
        <f>I115-I117</f>
        <v>-475.5</v>
      </c>
      <c r="N119" s="68">
        <f>N115-N117</f>
        <v>-377</v>
      </c>
    </row>
    <row r="120" spans="1:19" s="50" customFormat="1" x14ac:dyDescent="0.55000000000000004">
      <c r="A120" s="122" t="s">
        <v>449</v>
      </c>
      <c r="C120" s="91">
        <f>C119/C$38</f>
        <v>0</v>
      </c>
      <c r="D120" s="91">
        <f>D119/D$38</f>
        <v>-5.8823967538000448E-2</v>
      </c>
      <c r="E120" s="91">
        <f>E119/E$38</f>
        <v>-6.0893126569480004E-2</v>
      </c>
      <c r="F120" s="91">
        <f>F119/F$38</f>
        <v>-5.5282025400082813E-2</v>
      </c>
      <c r="G120" s="91">
        <f>G119/G$38</f>
        <v>-5.9856495468277947E-2</v>
      </c>
      <c r="I120" s="91">
        <f>I119/I$38</f>
        <v>-5.9856495468277947E-2</v>
      </c>
      <c r="N120" s="91">
        <f>N119/N$38</f>
        <v>-4.8588735661812092E-2</v>
      </c>
    </row>
    <row r="121" spans="1:19" s="50" customFormat="1" x14ac:dyDescent="0.55000000000000004">
      <c r="A121" s="101" t="s">
        <v>451</v>
      </c>
      <c r="B121" s="101"/>
      <c r="C121" s="104">
        <f>B119-C119</f>
        <v>0</v>
      </c>
      <c r="D121" s="104">
        <f>C119-D119</f>
        <v>118.46700000000001</v>
      </c>
      <c r="E121" s="104">
        <f>D119-E119</f>
        <v>56.489000000000004</v>
      </c>
      <c r="F121" s="104">
        <f>E119-F119</f>
        <v>17.167999999999978</v>
      </c>
      <c r="G121" s="104">
        <f>F119-G119</f>
        <v>124.876</v>
      </c>
      <c r="I121" s="104">
        <f>G119-I119</f>
        <v>158.5</v>
      </c>
      <c r="N121" s="104">
        <f>G119-N119</f>
        <v>60</v>
      </c>
    </row>
    <row r="122" spans="1:19" s="50" customFormat="1" x14ac:dyDescent="0.55000000000000004">
      <c r="A122" s="122" t="s">
        <v>452</v>
      </c>
      <c r="B122" s="82"/>
      <c r="C122" s="78"/>
      <c r="D122" s="78">
        <f>D121/D$38</f>
        <v>5.8823967538000448E-2</v>
      </c>
      <c r="E122" s="78">
        <f>E121/E$38</f>
        <v>1.9660896607051805E-2</v>
      </c>
      <c r="F122" s="78">
        <f>F121/F$38</f>
        <v>4.9399440573203793E-3</v>
      </c>
      <c r="G122" s="78">
        <f>G121/G$38</f>
        <v>2.3579305135951661E-2</v>
      </c>
      <c r="H122" s="44"/>
      <c r="I122" s="78">
        <f>I121/I$38</f>
        <v>1.995216515609265E-2</v>
      </c>
      <c r="N122" s="78">
        <f>N121/N$38</f>
        <v>7.7329552777419767E-3</v>
      </c>
    </row>
    <row r="123" spans="1:19" s="50" customFormat="1" x14ac:dyDescent="0.55000000000000004">
      <c r="A123" s="119"/>
    </row>
    <row r="124" spans="1:19" s="50" customFormat="1" x14ac:dyDescent="0.55000000000000004">
      <c r="A124" s="83" t="s">
        <v>142</v>
      </c>
      <c r="B124" s="83"/>
      <c r="C124" s="52">
        <v>1992</v>
      </c>
      <c r="D124" s="52">
        <v>1993</v>
      </c>
      <c r="E124" s="52">
        <v>1994</v>
      </c>
      <c r="F124" s="52">
        <v>1995</v>
      </c>
      <c r="G124" s="52">
        <v>1996</v>
      </c>
      <c r="I124" s="52" t="s">
        <v>141</v>
      </c>
    </row>
    <row r="125" spans="1:19" s="50" customFormat="1" x14ac:dyDescent="0.55000000000000004">
      <c r="A125" s="101" t="s">
        <v>143</v>
      </c>
      <c r="B125" s="101"/>
      <c r="C125" s="68"/>
      <c r="D125" s="68">
        <f>D14</f>
        <v>70.462000000000003</v>
      </c>
      <c r="E125" s="68">
        <f>E14</f>
        <v>86.891999999999996</v>
      </c>
      <c r="F125" s="68">
        <f>F14</f>
        <v>116.98099999999999</v>
      </c>
      <c r="G125" s="68">
        <f>G126+G127+G128</f>
        <v>179</v>
      </c>
      <c r="I125" s="113">
        <f>I145</f>
        <v>238.2</v>
      </c>
    </row>
    <row r="126" spans="1:19" s="50" customFormat="1" x14ac:dyDescent="0.55000000000000004">
      <c r="A126" s="87" t="s">
        <v>152</v>
      </c>
      <c r="B126" s="87"/>
      <c r="C126" s="62"/>
      <c r="D126" s="63">
        <v>4.4329999999999998</v>
      </c>
      <c r="E126" s="63">
        <v>12.157</v>
      </c>
      <c r="F126" s="62"/>
      <c r="G126" s="63">
        <v>92</v>
      </c>
    </row>
    <row r="127" spans="1:19" s="50" customFormat="1" x14ac:dyDescent="0.55000000000000004">
      <c r="A127" s="87" t="s">
        <v>153</v>
      </c>
      <c r="B127" s="87"/>
      <c r="C127" s="62"/>
      <c r="D127" s="63">
        <f>114.122-D126</f>
        <v>109.68899999999999</v>
      </c>
      <c r="E127" s="63">
        <f>151.702-E126</f>
        <v>139.54499999999999</v>
      </c>
      <c r="F127" s="62"/>
      <c r="G127" s="63">
        <f>292-G126</f>
        <v>200</v>
      </c>
    </row>
    <row r="128" spans="1:19" s="50" customFormat="1" x14ac:dyDescent="0.55000000000000004">
      <c r="A128" s="87" t="s">
        <v>154</v>
      </c>
      <c r="B128" s="87"/>
      <c r="C128" s="62"/>
      <c r="D128" s="63"/>
      <c r="E128" s="63">
        <v>-64.81</v>
      </c>
      <c r="F128" s="62"/>
      <c r="G128" s="63">
        <v>-113</v>
      </c>
    </row>
    <row r="129" spans="1:9" s="50" customFormat="1" x14ac:dyDescent="0.55000000000000004">
      <c r="A129" s="87" t="s">
        <v>155</v>
      </c>
      <c r="B129" s="87"/>
      <c r="C129" s="62"/>
      <c r="D129" s="62"/>
      <c r="E129" s="62"/>
      <c r="F129" s="62"/>
      <c r="G129" s="77">
        <f>-G128/G127</f>
        <v>0.56499999999999995</v>
      </c>
    </row>
    <row r="130" spans="1:9" s="50" customFormat="1" ht="7.2" customHeight="1" x14ac:dyDescent="0.55000000000000004">
      <c r="A130" s="87"/>
      <c r="B130" s="87"/>
      <c r="C130" s="62"/>
      <c r="D130" s="62"/>
      <c r="E130" s="62"/>
      <c r="F130" s="62"/>
      <c r="G130" s="62"/>
    </row>
    <row r="131" spans="1:9" s="50" customFormat="1" x14ac:dyDescent="0.55000000000000004">
      <c r="A131" s="87" t="s">
        <v>203</v>
      </c>
      <c r="B131" s="87"/>
      <c r="D131" s="105">
        <f>1/(D132/D127)</f>
        <v>5.6250769230769224</v>
      </c>
      <c r="E131" s="105">
        <f>1/(E132/E127)</f>
        <v>4.5534490634993139</v>
      </c>
      <c r="G131" s="105">
        <f>1/(G132/G127)</f>
        <v>5.2631578947368425</v>
      </c>
    </row>
    <row r="132" spans="1:9" s="50" customFormat="1" x14ac:dyDescent="0.55000000000000004">
      <c r="A132" s="101" t="s">
        <v>145</v>
      </c>
      <c r="B132" s="101"/>
      <c r="C132" s="68">
        <f>C68</f>
        <v>13.832000000000001</v>
      </c>
      <c r="D132" s="68">
        <f>D68</f>
        <v>19.5</v>
      </c>
      <c r="E132" s="68">
        <f>E68</f>
        <v>30.646000000000001</v>
      </c>
      <c r="F132" s="68">
        <f>F68</f>
        <v>33</v>
      </c>
      <c r="G132" s="68">
        <f>G68</f>
        <v>38</v>
      </c>
      <c r="H132" s="55"/>
      <c r="I132" s="68">
        <f>G132</f>
        <v>38</v>
      </c>
    </row>
    <row r="133" spans="1:9" s="50" customFormat="1" x14ac:dyDescent="0.55000000000000004">
      <c r="A133" s="124" t="s">
        <v>156</v>
      </c>
      <c r="B133" s="76"/>
      <c r="C133" s="78">
        <f>-C132/C$38</f>
        <v>-1.554263831565984E-2</v>
      </c>
      <c r="D133" s="78">
        <f>-D132/D$38</f>
        <v>-9.682589809744558E-3</v>
      </c>
      <c r="E133" s="78">
        <f>-E132/E$38</f>
        <v>-1.066628613393244E-2</v>
      </c>
      <c r="F133" s="78">
        <f>-F132/F$38</f>
        <v>-9.4954656274215243E-3</v>
      </c>
      <c r="G133" s="78">
        <f>-G132/G$38</f>
        <v>-7.1752265861027191E-3</v>
      </c>
      <c r="I133" s="78"/>
    </row>
    <row r="134" spans="1:9" s="50" customFormat="1" ht="7.2" customHeight="1" x14ac:dyDescent="0.55000000000000004">
      <c r="A134" s="87"/>
      <c r="B134" s="87"/>
      <c r="C134" s="87"/>
      <c r="D134" s="87"/>
      <c r="E134" s="87"/>
      <c r="F134" s="87"/>
    </row>
    <row r="135" spans="1:9" s="50" customFormat="1" x14ac:dyDescent="0.55000000000000004">
      <c r="A135" s="87" t="s">
        <v>146</v>
      </c>
      <c r="B135" s="87"/>
      <c r="C135" s="62">
        <f>-C74</f>
        <v>32.630000000000003</v>
      </c>
      <c r="D135" s="62">
        <f>-D74</f>
        <v>47.2</v>
      </c>
      <c r="E135" s="62">
        <f>-E74</f>
        <v>48.055</v>
      </c>
      <c r="F135" s="62">
        <f>-F74</f>
        <v>63.691000000000003</v>
      </c>
      <c r="G135" s="62">
        <f>-G74</f>
        <v>101</v>
      </c>
      <c r="I135" s="142">
        <v>120</v>
      </c>
    </row>
    <row r="136" spans="1:9" s="50" customFormat="1" x14ac:dyDescent="0.55000000000000004">
      <c r="A136" s="124" t="s">
        <v>140</v>
      </c>
      <c r="B136" s="76"/>
      <c r="C136" s="78">
        <f>-C135/C$38</f>
        <v>-3.6665434372468227E-2</v>
      </c>
      <c r="D136" s="78">
        <f>-D135/D$38</f>
        <v>-2.3436832770253498E-2</v>
      </c>
      <c r="E136" s="78">
        <f>-E135/E$38</f>
        <v>-1.6725457813943856E-2</v>
      </c>
      <c r="F136" s="78">
        <f>-F135/F$38</f>
        <v>-1.8326536402306193E-2</v>
      </c>
      <c r="G136" s="141">
        <f>-G135/G$38</f>
        <v>-1.9070996978851965E-2</v>
      </c>
      <c r="I136" s="141">
        <f>-I135/I$38</f>
        <v>-1.5105740181268883E-2</v>
      </c>
    </row>
    <row r="137" spans="1:9" s="50" customFormat="1" ht="7.2" customHeight="1" x14ac:dyDescent="0.55000000000000004">
      <c r="A137" s="87"/>
      <c r="B137" s="87"/>
      <c r="C137" s="87"/>
      <c r="D137" s="87"/>
      <c r="E137" s="87"/>
      <c r="F137" s="87"/>
    </row>
    <row r="138" spans="1:9" s="50" customFormat="1" x14ac:dyDescent="0.55000000000000004">
      <c r="A138" s="87" t="s">
        <v>144</v>
      </c>
      <c r="B138" s="87"/>
      <c r="C138" s="87"/>
      <c r="D138" s="87"/>
      <c r="F138" s="87"/>
      <c r="I138" s="105">
        <f>G131</f>
        <v>5.2631578947368425</v>
      </c>
    </row>
    <row r="139" spans="1:9" s="50" customFormat="1" x14ac:dyDescent="0.55000000000000004">
      <c r="A139" s="101" t="s">
        <v>147</v>
      </c>
      <c r="B139" s="101"/>
      <c r="C139" s="101"/>
      <c r="D139" s="101"/>
      <c r="E139" s="55"/>
      <c r="F139" s="101"/>
      <c r="G139" s="55"/>
      <c r="H139" s="55"/>
      <c r="I139" s="104">
        <f>I135/I138</f>
        <v>22.799999999999997</v>
      </c>
    </row>
    <row r="140" spans="1:9" s="50" customFormat="1" x14ac:dyDescent="0.55000000000000004">
      <c r="A140" s="87"/>
      <c r="B140" s="87"/>
      <c r="C140" s="87"/>
      <c r="D140" s="87"/>
      <c r="E140" s="87"/>
    </row>
    <row r="141" spans="1:9" s="50" customFormat="1" x14ac:dyDescent="0.55000000000000004">
      <c r="A141" s="146" t="s">
        <v>204</v>
      </c>
      <c r="B141" s="87"/>
      <c r="C141" s="87"/>
      <c r="D141" s="87"/>
      <c r="E141" s="87"/>
    </row>
    <row r="142" spans="1:9" s="50" customFormat="1" x14ac:dyDescent="0.55000000000000004">
      <c r="A142" s="87" t="s">
        <v>148</v>
      </c>
      <c r="B142" s="87"/>
      <c r="C142" s="87"/>
      <c r="D142" s="87"/>
      <c r="I142" s="88">
        <f>G125</f>
        <v>179</v>
      </c>
    </row>
    <row r="143" spans="1:9" s="50" customFormat="1" x14ac:dyDescent="0.55000000000000004">
      <c r="A143" s="87" t="s">
        <v>149</v>
      </c>
      <c r="B143" s="87"/>
      <c r="C143" s="87"/>
      <c r="D143" s="87"/>
      <c r="I143" s="88">
        <f>I135</f>
        <v>120</v>
      </c>
    </row>
    <row r="144" spans="1:9" s="50" customFormat="1" x14ac:dyDescent="0.55000000000000004">
      <c r="A144" s="87" t="s">
        <v>150</v>
      </c>
      <c r="B144" s="87"/>
      <c r="C144" s="87"/>
      <c r="D144" s="87"/>
      <c r="I144" s="89">
        <f>-I132-I139</f>
        <v>-60.8</v>
      </c>
    </row>
    <row r="145" spans="1:9" s="50" customFormat="1" x14ac:dyDescent="0.55000000000000004">
      <c r="A145" s="87" t="s">
        <v>151</v>
      </c>
      <c r="B145" s="87"/>
      <c r="C145" s="87"/>
      <c r="D145" s="87"/>
      <c r="F145" s="87"/>
      <c r="I145" s="88">
        <f>I142+I143+I144</f>
        <v>238.2</v>
      </c>
    </row>
    <row r="146" spans="1:9" s="50" customFormat="1" x14ac:dyDescent="0.55000000000000004">
      <c r="A146" s="119"/>
      <c r="C146" s="84"/>
    </row>
    <row r="147" spans="1:9" s="50" customFormat="1" ht="15.6" x14ac:dyDescent="0.55000000000000004">
      <c r="A147" s="106" t="s">
        <v>157</v>
      </c>
      <c r="B147" s="106"/>
      <c r="C147" s="52">
        <v>1992</v>
      </c>
      <c r="D147" s="52">
        <v>1993</v>
      </c>
      <c r="E147" s="52">
        <v>1994</v>
      </c>
      <c r="F147" s="52">
        <v>1995</v>
      </c>
      <c r="G147" s="52">
        <v>1996</v>
      </c>
      <c r="I147" s="52" t="s">
        <v>141</v>
      </c>
    </row>
    <row r="148" spans="1:9" s="50" customFormat="1" x14ac:dyDescent="0.55000000000000004">
      <c r="A148" s="83" t="s">
        <v>158</v>
      </c>
      <c r="B148" s="83"/>
    </row>
    <row r="149" spans="1:9" s="50" customFormat="1" x14ac:dyDescent="0.55000000000000004">
      <c r="A149" s="119" t="s">
        <v>162</v>
      </c>
      <c r="B149" s="48"/>
      <c r="C149" s="107">
        <f>C39</f>
        <v>0.6292236857762683</v>
      </c>
      <c r="D149" s="107">
        <f t="shared" ref="D149:I149" si="2">D39</f>
        <v>1.2629910589377475</v>
      </c>
      <c r="E149" s="107">
        <f t="shared" si="2"/>
        <v>0.42665016157511415</v>
      </c>
      <c r="F149" s="107">
        <f t="shared" si="2"/>
        <v>0.20958698856487534</v>
      </c>
      <c r="G149" s="107">
        <f t="shared" si="2"/>
        <v>0.52387836250983</v>
      </c>
      <c r="I149" s="107">
        <f t="shared" si="2"/>
        <v>0.5</v>
      </c>
    </row>
    <row r="150" spans="1:9" s="50" customFormat="1" x14ac:dyDescent="0.55000000000000004">
      <c r="A150" s="119" t="s">
        <v>100</v>
      </c>
      <c r="B150" s="48"/>
      <c r="C150" s="107">
        <f>C42</f>
        <v>0.31706779902892213</v>
      </c>
      <c r="D150" s="107">
        <f>D42</f>
        <v>0.22317227462406725</v>
      </c>
      <c r="E150" s="107">
        <f>E42</f>
        <v>0.15064084380813486</v>
      </c>
      <c r="F150" s="107">
        <f>F42</f>
        <v>0.21236839068834354</v>
      </c>
      <c r="G150" s="107">
        <f>G42</f>
        <v>0.20147280966767372</v>
      </c>
      <c r="I150" s="107">
        <f>I42</f>
        <v>0.20147280966767372</v>
      </c>
    </row>
    <row r="151" spans="1:9" s="50" customFormat="1" x14ac:dyDescent="0.55000000000000004">
      <c r="A151" s="119" t="s">
        <v>161</v>
      </c>
      <c r="B151" s="48"/>
      <c r="C151" s="107">
        <f>C50</f>
        <v>7.5146723539478461E-2</v>
      </c>
      <c r="D151" s="107">
        <f>D50</f>
        <v>6.9075099159650502E-2</v>
      </c>
      <c r="E151" s="107">
        <f>E50</f>
        <v>-1.3582234226019122E-2</v>
      </c>
      <c r="F151" s="107">
        <f>F50</f>
        <v>7.1723280263271835E-2</v>
      </c>
      <c r="G151" s="107">
        <f>G50</f>
        <v>7.1185800604229604E-2</v>
      </c>
      <c r="I151" s="107">
        <f>I50</f>
        <v>8.5083081570996977E-2</v>
      </c>
    </row>
    <row r="152" spans="1:9" s="50" customFormat="1" x14ac:dyDescent="0.55000000000000004">
      <c r="A152" s="119" t="s">
        <v>160</v>
      </c>
      <c r="B152" s="48"/>
      <c r="C152" s="107">
        <f>C53</f>
        <v>9.068936185513829E-2</v>
      </c>
      <c r="D152" s="107">
        <f>D53</f>
        <v>7.8757688969395057E-2</v>
      </c>
      <c r="E152" s="107">
        <f>E53</f>
        <v>-2.9159480920866805E-3</v>
      </c>
      <c r="F152" s="107">
        <f>F53</f>
        <v>8.1218745890693361E-2</v>
      </c>
      <c r="G152" s="107">
        <f>G53</f>
        <v>7.8361027190332333E-2</v>
      </c>
      <c r="I152" s="107">
        <f>I53</f>
        <v>9.2736656596173209E-2</v>
      </c>
    </row>
    <row r="153" spans="1:9" s="50" customFormat="1" x14ac:dyDescent="0.55000000000000004">
      <c r="A153" s="119" t="s">
        <v>459</v>
      </c>
      <c r="B153" s="48"/>
      <c r="C153" s="107">
        <f>C61/C38</f>
        <v>5.7207291735725613E-2</v>
      </c>
      <c r="D153" s="107">
        <f>D61/D38</f>
        <v>5.0469630432925953E-2</v>
      </c>
      <c r="E153" s="107">
        <f>E61/E38</f>
        <v>-1.2471612316034835E-2</v>
      </c>
      <c r="F153" s="107">
        <f>F61/F38</f>
        <v>4.2924396239450296E-2</v>
      </c>
      <c r="G153" s="107">
        <f>G61/G38</f>
        <v>5.1359516616314202E-2</v>
      </c>
      <c r="H153" s="107"/>
      <c r="I153" s="107">
        <f ca="1">I61/I38</f>
        <v>6.1700116522305913E-2</v>
      </c>
    </row>
    <row r="154" spans="1:9" s="50" customFormat="1" ht="6.3" customHeight="1" x14ac:dyDescent="0.55000000000000004">
      <c r="A154" s="119"/>
      <c r="B154" s="48"/>
    </row>
    <row r="155" spans="1:9" s="50" customFormat="1" x14ac:dyDescent="0.55000000000000004">
      <c r="A155" s="119" t="s">
        <v>163</v>
      </c>
      <c r="B155" s="48"/>
      <c r="C155" s="107">
        <f>C49/((C16+B16)/2)</f>
        <v>0.16236275241719605</v>
      </c>
      <c r="D155" s="107">
        <f>D49/((D16+C16)/2)</f>
        <v>0.18715860962969735</v>
      </c>
      <c r="E155" s="107">
        <f>E49/((E16+D16)/2)</f>
        <v>-3.7750213423555889E-2</v>
      </c>
      <c r="F155" s="107">
        <f>F49/((F16+E16)/2)</f>
        <v>0.18231107925455659</v>
      </c>
      <c r="G155" s="107">
        <f>G49/((G16+F16)/2)</f>
        <v>0.20149652592196687</v>
      </c>
      <c r="I155" s="107">
        <f ca="1">I49/((I16+G16)/2)</f>
        <v>0.24039019134114178</v>
      </c>
    </row>
    <row r="156" spans="1:9" s="50" customFormat="1" x14ac:dyDescent="0.55000000000000004">
      <c r="A156" s="119" t="s">
        <v>164</v>
      </c>
      <c r="B156" s="48"/>
      <c r="C156" s="107">
        <f>C61/((B32+C32)/2)</f>
        <v>0.26366119864831578</v>
      </c>
      <c r="D156" s="107">
        <f>D61/((C32+D32)/2)</f>
        <v>0.31596257266312272</v>
      </c>
      <c r="E156" s="107">
        <f>E61/((D32+E32)/2)</f>
        <v>-8.5285395355037028E-2</v>
      </c>
      <c r="F156" s="107">
        <f>F61/((E32+F32)/2)</f>
        <v>0.26571277933533044</v>
      </c>
      <c r="G156" s="107">
        <f>G61/((F32+G32)/2)</f>
        <v>0.33482362673074273</v>
      </c>
      <c r="I156" s="107">
        <f ca="1">I61/((I32+G32)/2)</f>
        <v>0.39310000262742273</v>
      </c>
    </row>
    <row r="157" spans="1:9" s="50" customFormat="1" ht="6.3" customHeight="1" x14ac:dyDescent="0.55000000000000004">
      <c r="A157" s="119"/>
      <c r="B157" s="48"/>
      <c r="C157" s="107"/>
      <c r="D157" s="107"/>
      <c r="E157" s="107"/>
      <c r="F157" s="107"/>
      <c r="G157" s="107"/>
    </row>
    <row r="158" spans="1:9" s="50" customFormat="1" x14ac:dyDescent="0.55000000000000004">
      <c r="A158" s="119" t="s">
        <v>177</v>
      </c>
      <c r="B158" s="48"/>
      <c r="C158" s="107">
        <f>-C55/((B23+C23)/2)</f>
        <v>8.6079613992762358E-2</v>
      </c>
      <c r="D158" s="107">
        <f>-D55/((C23+D23)/2)</f>
        <v>0.17521124878928557</v>
      </c>
      <c r="E158" s="107">
        <f>-E55/((D23+E23)/2)</f>
        <v>0.11255417090710575</v>
      </c>
      <c r="F158" s="107">
        <f>-F55/((E23+F23)/2)</f>
        <v>0.11435184534435339</v>
      </c>
      <c r="G158" s="107">
        <f>-G55/((F23+G23)/2)</f>
        <v>0.13249186279142688</v>
      </c>
      <c r="I158" s="107">
        <f ca="1">-I55/((G23+I23)/2)</f>
        <v>0.13249186279142688</v>
      </c>
    </row>
    <row r="159" spans="1:9" s="50" customFormat="1" x14ac:dyDescent="0.55000000000000004">
      <c r="A159" s="119"/>
    </row>
    <row r="160" spans="1:9" s="50" customFormat="1" x14ac:dyDescent="0.55000000000000004">
      <c r="A160" s="83" t="s">
        <v>174</v>
      </c>
      <c r="B160" s="83"/>
    </row>
    <row r="161" spans="1:14" s="50" customFormat="1" x14ac:dyDescent="0.55000000000000004">
      <c r="A161" s="119" t="s">
        <v>170</v>
      </c>
      <c r="B161" s="48"/>
      <c r="C161" s="143"/>
      <c r="D161" s="143">
        <f>D12/D21</f>
        <v>1.7268522737167378</v>
      </c>
      <c r="E161" s="143">
        <f>E12/E21</f>
        <v>1.948716232920126</v>
      </c>
      <c r="F161" s="143">
        <f>F12/F21</f>
        <v>1.9568025445495798</v>
      </c>
      <c r="G161" s="143">
        <f>G12/G21</f>
        <v>2.0841320553780616</v>
      </c>
      <c r="I161" s="143">
        <f ca="1">I12/I21</f>
        <v>1.8766061625537367</v>
      </c>
      <c r="N161" s="143">
        <f>N12/N21</f>
        <v>1.6568154402895054</v>
      </c>
    </row>
    <row r="162" spans="1:14" s="50" customFormat="1" x14ac:dyDescent="0.55000000000000004">
      <c r="A162" s="119" t="s">
        <v>171</v>
      </c>
      <c r="B162" s="48"/>
      <c r="C162" s="143"/>
      <c r="D162" s="143">
        <f>(D12-D10)/D21</f>
        <v>1.1128464945052943</v>
      </c>
      <c r="E162" s="143">
        <f>(E12-E10)/E21</f>
        <v>1.5392918416244257</v>
      </c>
      <c r="F162" s="143">
        <f>(F12-F10)/F21</f>
        <v>1.5669687653877375</v>
      </c>
      <c r="G162" s="143">
        <f>(G12-G10)/G21</f>
        <v>1.6272630457933972</v>
      </c>
      <c r="I162" s="143">
        <f ca="1">(I12-I10)/I21</f>
        <v>1.5434524178195188</v>
      </c>
      <c r="N162" s="143">
        <f>(N12-N10)/N21</f>
        <v>1.505428226779252</v>
      </c>
    </row>
    <row r="163" spans="1:14" s="50" customFormat="1" x14ac:dyDescent="0.55000000000000004">
      <c r="A163" s="119"/>
      <c r="B163" s="48"/>
    </row>
    <row r="164" spans="1:14" s="50" customFormat="1" x14ac:dyDescent="0.55000000000000004">
      <c r="A164" s="119" t="s">
        <v>115</v>
      </c>
      <c r="B164" s="48"/>
      <c r="C164" s="93"/>
      <c r="D164" s="93">
        <f>D101</f>
        <v>67.785450195737269</v>
      </c>
      <c r="E164" s="93">
        <f>E101</f>
        <v>52.183745103396426</v>
      </c>
      <c r="F164" s="93">
        <f>F101</f>
        <v>56.501044645089713</v>
      </c>
      <c r="G164" s="93">
        <f>G101</f>
        <v>50.035876132930511</v>
      </c>
      <c r="I164" s="93">
        <f>I101</f>
        <v>44.310488701867605</v>
      </c>
      <c r="N164" s="93">
        <f>N101</f>
        <v>42.479056579456113</v>
      </c>
    </row>
    <row r="165" spans="1:14" s="50" customFormat="1" x14ac:dyDescent="0.55000000000000004">
      <c r="A165" s="119" t="s">
        <v>135</v>
      </c>
      <c r="B165" s="48"/>
      <c r="C165" s="93"/>
      <c r="D165" s="93">
        <f>D105</f>
        <v>70.742908789674743</v>
      </c>
      <c r="E165" s="93">
        <f>E105</f>
        <v>32.944765277425475</v>
      </c>
      <c r="F165" s="93">
        <f>F105</f>
        <v>39.059663024378125</v>
      </c>
      <c r="G165" s="93">
        <f>G105</f>
        <v>37.02648380231733</v>
      </c>
      <c r="I165" s="93">
        <f>I105</f>
        <v>32.944765277425475</v>
      </c>
      <c r="N165" s="93">
        <f>N105</f>
        <v>15.036107008042016</v>
      </c>
    </row>
    <row r="166" spans="1:14" s="50" customFormat="1" x14ac:dyDescent="0.55000000000000004">
      <c r="A166" s="119" t="s">
        <v>116</v>
      </c>
      <c r="B166" s="48"/>
      <c r="C166" s="93"/>
      <c r="D166" s="111">
        <f>D109</f>
        <v>58.062226191605504</v>
      </c>
      <c r="E166" s="111">
        <f>E109</f>
        <v>35.810126727243009</v>
      </c>
      <c r="F166" s="111">
        <f>F109</f>
        <v>51.104549525849656</v>
      </c>
      <c r="G166" s="111">
        <f>G109</f>
        <v>34.847367342757636</v>
      </c>
      <c r="I166" s="111">
        <f>I109</f>
        <v>51.104549525849656</v>
      </c>
      <c r="N166" s="111">
        <f>N109</f>
        <v>53.882185947480487</v>
      </c>
    </row>
    <row r="167" spans="1:14" s="50" customFormat="1" x14ac:dyDescent="0.55000000000000004">
      <c r="A167" s="119" t="s">
        <v>166</v>
      </c>
      <c r="B167" s="48"/>
      <c r="D167" s="93">
        <f>D164+D165-D166</f>
        <v>80.466132793806509</v>
      </c>
      <c r="E167" s="93">
        <f>E164+E165-E166</f>
        <v>49.318383653578884</v>
      </c>
      <c r="F167" s="93">
        <f>F164+F165-F166</f>
        <v>44.456158143618175</v>
      </c>
      <c r="G167" s="93">
        <f>G164+G165-G166</f>
        <v>52.214992592490205</v>
      </c>
      <c r="I167" s="93">
        <f>I164+I165-I166</f>
        <v>26.150704453443431</v>
      </c>
      <c r="N167" s="93">
        <f>N164+N165-N166</f>
        <v>3.6329776400176428</v>
      </c>
    </row>
    <row r="168" spans="1:14" s="50" customFormat="1" ht="6.6" customHeight="1" x14ac:dyDescent="0.55000000000000004">
      <c r="A168" s="119"/>
      <c r="B168" s="48"/>
    </row>
    <row r="169" spans="1:14" s="50" customFormat="1" x14ac:dyDescent="0.55000000000000004">
      <c r="A169" s="119" t="s">
        <v>175</v>
      </c>
      <c r="B169" s="48"/>
      <c r="D169" s="107">
        <f>D113</f>
        <v>-4.9383194201965887E-2</v>
      </c>
      <c r="E169" s="107">
        <f>E113</f>
        <v>1.1753240764105092E-2</v>
      </c>
      <c r="F169" s="107">
        <f>F113</f>
        <v>-1.0213955859896456E-2</v>
      </c>
      <c r="G169" s="107">
        <f>G113</f>
        <v>-5.7623111782477324E-2</v>
      </c>
      <c r="I169" s="107">
        <f>I113</f>
        <v>2.0286932849353508E-2</v>
      </c>
      <c r="N169" s="107">
        <f>N113</f>
        <v>-7.4107488078360609E-2</v>
      </c>
    </row>
    <row r="170" spans="1:14" s="50" customFormat="1" x14ac:dyDescent="0.55000000000000004">
      <c r="A170" s="119" t="s">
        <v>453</v>
      </c>
      <c r="B170" s="48"/>
      <c r="D170" s="107">
        <f>D122</f>
        <v>5.8823967538000448E-2</v>
      </c>
      <c r="E170" s="107">
        <f>E122</f>
        <v>1.9660896607051805E-2</v>
      </c>
      <c r="F170" s="107">
        <f>F122</f>
        <v>4.9399440573203793E-3</v>
      </c>
      <c r="G170" s="107">
        <f>G122</f>
        <v>2.3579305135951661E-2</v>
      </c>
      <c r="I170" s="107">
        <f>I122</f>
        <v>1.995216515609265E-2</v>
      </c>
      <c r="N170" s="107">
        <f>N122</f>
        <v>7.7329552777419767E-3</v>
      </c>
    </row>
    <row r="171" spans="1:14" s="50" customFormat="1" ht="6.6" customHeight="1" x14ac:dyDescent="0.55000000000000004">
      <c r="A171" s="119"/>
      <c r="B171" s="48"/>
    </row>
    <row r="172" spans="1:14" s="50" customFormat="1" x14ac:dyDescent="0.55000000000000004">
      <c r="A172" s="119" t="s">
        <v>176</v>
      </c>
      <c r="B172" s="48"/>
      <c r="D172" s="107">
        <f>-D136</f>
        <v>2.3436832770253498E-2</v>
      </c>
      <c r="E172" s="107">
        <f>-E136</f>
        <v>1.6725457813943856E-2</v>
      </c>
      <c r="F172" s="107">
        <f>-F136</f>
        <v>1.8326536402306193E-2</v>
      </c>
      <c r="G172" s="107">
        <f>-G136</f>
        <v>1.9070996978851965E-2</v>
      </c>
      <c r="I172" s="107">
        <f>-I136</f>
        <v>1.5105740181268883E-2</v>
      </c>
      <c r="N172" s="107">
        <f>-N136</f>
        <v>0</v>
      </c>
    </row>
    <row r="173" spans="1:14" s="50" customFormat="1" x14ac:dyDescent="0.55000000000000004">
      <c r="A173" s="119"/>
    </row>
    <row r="174" spans="1:14" s="50" customFormat="1" x14ac:dyDescent="0.55000000000000004">
      <c r="A174" s="83" t="s">
        <v>159</v>
      </c>
      <c r="B174" s="83"/>
    </row>
    <row r="175" spans="1:14" s="50" customFormat="1" x14ac:dyDescent="0.55000000000000004">
      <c r="A175" s="119" t="s">
        <v>165</v>
      </c>
      <c r="B175" s="48"/>
      <c r="C175" s="77">
        <f>C23/(C23+C32)</f>
        <v>0.13132465228273613</v>
      </c>
      <c r="D175" s="77">
        <f>D23/(D23+D32)</f>
        <v>0.11584321783257058</v>
      </c>
      <c r="E175" s="77">
        <f>E23/(E23+E32)</f>
        <v>0.17509823010709008</v>
      </c>
      <c r="F175" s="77">
        <f>F23/(F23+F32)</f>
        <v>0.1482412290159639</v>
      </c>
      <c r="G175" s="77">
        <f>G23/(G23+G32)</f>
        <v>0.10405156537753223</v>
      </c>
      <c r="I175" s="77">
        <f ca="1">I23/(I23+I32)</f>
        <v>6.9166210032360315E-2</v>
      </c>
      <c r="N175" s="77">
        <f>N23/(N23+N32)</f>
        <v>2.1844660194174758E-2</v>
      </c>
    </row>
    <row r="176" spans="1:14" s="50" customFormat="1" x14ac:dyDescent="0.55000000000000004">
      <c r="A176" s="119" t="s">
        <v>167</v>
      </c>
      <c r="B176" s="48"/>
      <c r="C176" s="143">
        <f>C52/-C55</f>
        <v>45.239910313901298</v>
      </c>
      <c r="D176" s="143">
        <f>D52/-D55</f>
        <v>20.156563731096703</v>
      </c>
      <c r="E176" s="143">
        <f>E52/-E55</f>
        <v>-1.003353293413201</v>
      </c>
      <c r="F176" s="143">
        <f>F52/-F55</f>
        <v>23.130623617143321</v>
      </c>
      <c r="G176" s="143">
        <f>G52/-G55</f>
        <v>27.666666666666668</v>
      </c>
      <c r="I176" s="143">
        <f ca="1">I52/-I55</f>
        <v>49.206561740412972</v>
      </c>
      <c r="N176" s="143">
        <f>N52/-N55</f>
        <v>102</v>
      </c>
    </row>
    <row r="177" spans="1:14" s="50" customFormat="1" x14ac:dyDescent="0.55000000000000004">
      <c r="A177" s="119" t="s">
        <v>168</v>
      </c>
      <c r="B177" s="48"/>
      <c r="C177" s="143">
        <f>(C76-C72)/-C55</f>
        <v>-73.885089686098667</v>
      </c>
      <c r="D177" s="143">
        <f>(D76-D72)/-D55</f>
        <v>1.6082094294065321</v>
      </c>
      <c r="E177" s="143">
        <f>(E76-E72)/-E55</f>
        <v>7.7929341317365166</v>
      </c>
      <c r="F177" s="143">
        <f>(F76-F72)/-F55</f>
        <v>12.371957715315908</v>
      </c>
      <c r="G177" s="143">
        <f>(G76-G72)/-G55</f>
        <v>5.5835333333333361</v>
      </c>
      <c r="I177" s="143">
        <f ca="1">(I76-I72)/-I55</f>
        <v>50.135329428814728</v>
      </c>
      <c r="N177" s="143"/>
    </row>
    <row r="178" spans="1:14" s="50" customFormat="1" x14ac:dyDescent="0.55000000000000004">
      <c r="A178" s="119" t="s">
        <v>169</v>
      </c>
      <c r="B178" s="48"/>
      <c r="C178" s="143">
        <f>C23/C52</f>
        <v>0.5135798186053433</v>
      </c>
      <c r="D178" s="143">
        <f>D23/D52</f>
        <v>0.30497692482283817</v>
      </c>
      <c r="E178" s="143">
        <f>E23/E52</f>
        <v>-11.936022917163676</v>
      </c>
      <c r="F178" s="143">
        <f>F23/F52</f>
        <v>0.40185571612290677</v>
      </c>
      <c r="G178" s="143">
        <f>G23/G52</f>
        <v>0.27228915662650605</v>
      </c>
      <c r="I178" s="143">
        <f ca="1">I23/I52</f>
        <v>0.15338672458259808</v>
      </c>
      <c r="N178" s="143">
        <f>N23/N52</f>
        <v>2.5210084033613446E-2</v>
      </c>
    </row>
    <row r="179" spans="1:14" s="50" customFormat="1" x14ac:dyDescent="0.55000000000000004">
      <c r="A179" s="119"/>
    </row>
    <row r="180" spans="1:14" s="50" customFormat="1" x14ac:dyDescent="0.55000000000000004">
      <c r="A180" s="83" t="s">
        <v>181</v>
      </c>
    </row>
    <row r="181" spans="1:14" x14ac:dyDescent="0.55000000000000004">
      <c r="A181" s="119" t="s">
        <v>184</v>
      </c>
      <c r="B181" s="50"/>
      <c r="C181" s="62">
        <f>B184</f>
        <v>0</v>
      </c>
      <c r="D181" s="62">
        <f>C184</f>
        <v>41.45</v>
      </c>
      <c r="E181" s="62">
        <f>D184</f>
        <v>48.372999999999998</v>
      </c>
      <c r="F181" s="62">
        <f>E184</f>
        <v>100</v>
      </c>
      <c r="G181" s="62">
        <f>F184</f>
        <v>113.429</v>
      </c>
      <c r="H181" s="50"/>
      <c r="I181" s="62">
        <f>G184</f>
        <v>113</v>
      </c>
      <c r="J181" s="50"/>
    </row>
    <row r="182" spans="1:14" x14ac:dyDescent="0.55000000000000004">
      <c r="A182" s="119" t="s">
        <v>182</v>
      </c>
      <c r="B182" s="50"/>
      <c r="C182" s="62">
        <f>C184-C183-C181</f>
        <v>0</v>
      </c>
      <c r="D182" s="62">
        <f>D184-D183-D181</f>
        <v>-0.27700000000000813</v>
      </c>
      <c r="E182" s="62">
        <f>E184-E183-E181</f>
        <v>-45.026999999999994</v>
      </c>
      <c r="F182" s="62">
        <f>F184-F183-F181</f>
        <v>-0.57099999999999795</v>
      </c>
      <c r="G182" s="62">
        <f>G184-G183-G181</f>
        <v>-0.42900000000000205</v>
      </c>
      <c r="H182" s="50"/>
      <c r="I182" s="63">
        <f ca="1">I81</f>
        <v>0</v>
      </c>
      <c r="J182" s="50"/>
    </row>
    <row r="183" spans="1:14" x14ac:dyDescent="0.55000000000000004">
      <c r="A183" s="119" t="s">
        <v>183</v>
      </c>
      <c r="B183" s="57"/>
      <c r="C183" s="67">
        <f>C80</f>
        <v>41.45</v>
      </c>
      <c r="D183" s="67">
        <f>D80</f>
        <v>7.2</v>
      </c>
      <c r="E183" s="67">
        <f>E80</f>
        <v>96.653999999999996</v>
      </c>
      <c r="F183" s="67">
        <f>F80</f>
        <v>14</v>
      </c>
      <c r="G183" s="67">
        <f>G80</f>
        <v>0</v>
      </c>
      <c r="H183" s="50"/>
      <c r="I183" s="66">
        <f ca="1">I80</f>
        <v>0</v>
      </c>
      <c r="J183" s="50"/>
    </row>
    <row r="184" spans="1:14" x14ac:dyDescent="0.55000000000000004">
      <c r="A184" s="119" t="s">
        <v>185</v>
      </c>
      <c r="B184" s="62">
        <f t="shared" ref="B184:G184" si="3">B23</f>
        <v>0</v>
      </c>
      <c r="C184" s="62">
        <f t="shared" si="3"/>
        <v>41.45</v>
      </c>
      <c r="D184" s="62">
        <f t="shared" si="3"/>
        <v>48.372999999999998</v>
      </c>
      <c r="E184" s="62">
        <f t="shared" si="3"/>
        <v>100</v>
      </c>
      <c r="F184" s="62">
        <f t="shared" si="3"/>
        <v>113.429</v>
      </c>
      <c r="G184" s="62">
        <f t="shared" si="3"/>
        <v>113</v>
      </c>
      <c r="H184" s="50"/>
      <c r="I184" s="62">
        <f ca="1">I181+I182+I183</f>
        <v>113</v>
      </c>
      <c r="J184" s="50"/>
    </row>
    <row r="185" spans="1:14" ht="9.6" customHeight="1" x14ac:dyDescent="0.55000000000000004">
      <c r="A185" s="119"/>
      <c r="B185" s="50"/>
      <c r="C185" s="129">
        <f>C181+C182+C183-C184</f>
        <v>0</v>
      </c>
      <c r="D185" s="129">
        <f>D181+D182+D183-D184</f>
        <v>0</v>
      </c>
      <c r="E185" s="129">
        <f>E181+E182+E183-E184</f>
        <v>0</v>
      </c>
      <c r="F185" s="129">
        <f>F181+F182+F183-F184</f>
        <v>0</v>
      </c>
      <c r="G185" s="129">
        <f>G181+G182+G183-G184</f>
        <v>0</v>
      </c>
      <c r="H185" s="50"/>
      <c r="J185" s="50"/>
    </row>
    <row r="186" spans="1:14" ht="9.6" customHeight="1" x14ac:dyDescent="0.55000000000000004">
      <c r="A186" s="50"/>
      <c r="B186" s="50"/>
      <c r="C186" s="50"/>
      <c r="D186" s="50"/>
      <c r="E186" s="50"/>
      <c r="F186" s="50"/>
      <c r="G186" s="50"/>
      <c r="H186" s="50"/>
      <c r="J186" s="50"/>
    </row>
    <row r="187" spans="1:14" x14ac:dyDescent="0.55000000000000004">
      <c r="A187" s="119" t="s">
        <v>104</v>
      </c>
      <c r="B187" s="50"/>
      <c r="C187" s="62">
        <f>-C55</f>
        <v>1.784</v>
      </c>
      <c r="D187" s="62">
        <f>-D55</f>
        <v>7.8689999999999998</v>
      </c>
      <c r="E187" s="62">
        <f>-E55</f>
        <v>8.35</v>
      </c>
      <c r="F187" s="62">
        <f>-F55</f>
        <v>12.202999999999999</v>
      </c>
      <c r="G187" s="62">
        <f>-G55</f>
        <v>15</v>
      </c>
      <c r="H187" s="50"/>
      <c r="I187" s="62">
        <f ca="1">I188*((I184+I181)/2)</f>
        <v>14.971580495431239</v>
      </c>
      <c r="J187" s="50"/>
    </row>
    <row r="188" spans="1:14" x14ac:dyDescent="0.55000000000000004">
      <c r="A188" s="119" t="s">
        <v>177</v>
      </c>
      <c r="B188" s="48"/>
      <c r="C188" s="107">
        <f>C187/((C184+C181)/2)</f>
        <v>8.6079613992762358E-2</v>
      </c>
      <c r="D188" s="107">
        <f>D187/((D184+D181)/2)</f>
        <v>0.17521124878928557</v>
      </c>
      <c r="E188" s="107">
        <f>E187/((E184+E181)/2)</f>
        <v>0.11255417090710575</v>
      </c>
      <c r="F188" s="107">
        <f>F187/((F184+F181)/2)</f>
        <v>0.11435184534435339</v>
      </c>
      <c r="G188" s="107">
        <f>G187/((G184+G181)/2)</f>
        <v>0.13249186279142688</v>
      </c>
      <c r="H188" s="50"/>
      <c r="I188" s="130">
        <f>G188</f>
        <v>0.13249186279142688</v>
      </c>
      <c r="J188" s="50"/>
    </row>
    <row r="189" spans="1:14" x14ac:dyDescent="0.55000000000000004">
      <c r="A189" s="119"/>
      <c r="B189" s="50"/>
      <c r="C189" s="129"/>
      <c r="D189" s="129"/>
      <c r="E189" s="129"/>
      <c r="F189" s="129"/>
      <c r="G189" s="129"/>
      <c r="H189" s="50"/>
    </row>
    <row r="190" spans="1:14" x14ac:dyDescent="0.55000000000000004">
      <c r="A190" s="119"/>
      <c r="B190" s="50"/>
      <c r="C190" s="129"/>
      <c r="D190" s="129"/>
      <c r="E190" s="129"/>
      <c r="F190" s="129"/>
      <c r="G190" s="129"/>
      <c r="H190" s="50"/>
    </row>
    <row r="191" spans="1:14" x14ac:dyDescent="0.55000000000000004">
      <c r="A191" s="83" t="s">
        <v>186</v>
      </c>
      <c r="B191" s="50"/>
      <c r="C191" s="50"/>
      <c r="D191" s="50"/>
      <c r="E191" s="50"/>
      <c r="F191" s="50"/>
      <c r="G191" s="50"/>
      <c r="H191" s="50"/>
    </row>
    <row r="192" spans="1:14" x14ac:dyDescent="0.55000000000000004">
      <c r="A192" s="119" t="s">
        <v>187</v>
      </c>
      <c r="B192" s="62"/>
      <c r="C192" s="62">
        <f>B194</f>
        <v>0</v>
      </c>
      <c r="D192" s="62">
        <f>C194</f>
        <v>0</v>
      </c>
      <c r="E192" s="62">
        <f>D194</f>
        <v>80.367000000000004</v>
      </c>
      <c r="F192" s="62">
        <f>E194</f>
        <v>333.66699999999997</v>
      </c>
      <c r="G192" s="62">
        <f>F194</f>
        <v>484.29399999999998</v>
      </c>
      <c r="H192" s="50"/>
      <c r="I192" s="62">
        <f>G194</f>
        <v>591</v>
      </c>
    </row>
    <row r="193" spans="1:12" x14ac:dyDescent="0.55000000000000004">
      <c r="A193" s="119" t="s">
        <v>192</v>
      </c>
      <c r="B193" s="57"/>
      <c r="C193" s="67">
        <f>C194-C192</f>
        <v>0</v>
      </c>
      <c r="D193" s="67">
        <f>D194-D192</f>
        <v>80.367000000000004</v>
      </c>
      <c r="E193" s="67">
        <f>E194-E192</f>
        <v>253.29999999999995</v>
      </c>
      <c r="F193" s="67">
        <f>F194-F192</f>
        <v>150.62700000000001</v>
      </c>
      <c r="G193" s="67">
        <f>G194-G192</f>
        <v>106.70600000000002</v>
      </c>
      <c r="H193" s="50"/>
      <c r="I193" s="134">
        <v>781.98800000000006</v>
      </c>
    </row>
    <row r="194" spans="1:12" x14ac:dyDescent="0.55000000000000004">
      <c r="A194" s="119" t="s">
        <v>188</v>
      </c>
      <c r="B194" s="62">
        <f t="shared" ref="B194:G194" si="4">B8</f>
        <v>0</v>
      </c>
      <c r="C194" s="62">
        <f t="shared" si="4"/>
        <v>0</v>
      </c>
      <c r="D194" s="62">
        <f t="shared" si="4"/>
        <v>80.367000000000004</v>
      </c>
      <c r="E194" s="62">
        <f t="shared" si="4"/>
        <v>333.66699999999997</v>
      </c>
      <c r="F194" s="62">
        <f t="shared" si="4"/>
        <v>484.29399999999998</v>
      </c>
      <c r="G194" s="62">
        <f t="shared" si="4"/>
        <v>591</v>
      </c>
      <c r="H194" s="50"/>
      <c r="I194" s="62">
        <f>I192+I193</f>
        <v>1372.9880000000001</v>
      </c>
    </row>
    <row r="195" spans="1:12" x14ac:dyDescent="0.55000000000000004">
      <c r="A195" s="119"/>
      <c r="B195" s="50"/>
      <c r="C195" s="50"/>
      <c r="D195" s="50"/>
      <c r="E195" s="50"/>
      <c r="F195" s="50"/>
      <c r="G195" s="50"/>
      <c r="H195" s="50"/>
    </row>
    <row r="196" spans="1:12" x14ac:dyDescent="0.55000000000000004">
      <c r="A196" s="119" t="s">
        <v>191</v>
      </c>
      <c r="B196" s="50"/>
      <c r="C196" s="63">
        <v>6.931</v>
      </c>
      <c r="D196" s="63">
        <v>12.945</v>
      </c>
      <c r="E196" s="63">
        <v>8.7720000000000002</v>
      </c>
      <c r="F196" s="135">
        <f>((F192+F194)/2)*F197</f>
        <v>10.224512500000001</v>
      </c>
      <c r="G196" s="135">
        <f>((G192+G194)/2)*G197</f>
        <v>22.781894646333392</v>
      </c>
      <c r="H196" s="50"/>
      <c r="I196" s="62">
        <f>I197*((I194+I192)/2)</f>
        <v>39.279760000000003</v>
      </c>
    </row>
    <row r="197" spans="1:12" x14ac:dyDescent="0.55000000000000004">
      <c r="A197" s="119" t="s">
        <v>200</v>
      </c>
      <c r="B197" s="50"/>
      <c r="C197" s="107"/>
      <c r="D197" s="107"/>
      <c r="E197" s="107">
        <f>E196/((E194+E192)/2)</f>
        <v>4.2373331658752664E-2</v>
      </c>
      <c r="F197" s="136">
        <v>2.5000000000000001E-2</v>
      </c>
      <c r="G197" s="136">
        <f>E197</f>
        <v>4.2373331658752664E-2</v>
      </c>
      <c r="H197" s="50"/>
      <c r="I197" s="130">
        <v>0.04</v>
      </c>
    </row>
    <row r="198" spans="1:12" x14ac:dyDescent="0.55000000000000004">
      <c r="B198" s="50"/>
      <c r="D198" s="50"/>
      <c r="E198" s="50"/>
      <c r="F198" s="50"/>
      <c r="G198" s="50"/>
      <c r="H198" s="50"/>
    </row>
    <row r="199" spans="1:12" x14ac:dyDescent="0.55000000000000004">
      <c r="A199" s="138" t="s">
        <v>193</v>
      </c>
      <c r="B199" s="55"/>
      <c r="C199" s="68">
        <f>C94</f>
        <v>55.46</v>
      </c>
      <c r="D199" s="68">
        <f>D94</f>
        <v>14.948</v>
      </c>
      <c r="E199" s="68">
        <f>E94</f>
        <v>3.355</v>
      </c>
      <c r="F199" s="68">
        <f>F94</f>
        <v>42.953000000000003</v>
      </c>
      <c r="G199" s="68">
        <f>G94</f>
        <v>55</v>
      </c>
      <c r="H199" s="55"/>
      <c r="I199" s="68">
        <f ca="1">I94</f>
        <v>81.217120208462319</v>
      </c>
    </row>
    <row r="200" spans="1:12" x14ac:dyDescent="0.55000000000000004">
      <c r="A200" s="123" t="s">
        <v>195</v>
      </c>
      <c r="B200" s="50"/>
      <c r="C200" s="93">
        <f>C108/12</f>
        <v>67.435916666666671</v>
      </c>
      <c r="D200" s="93">
        <f>D108/12</f>
        <v>154.60933333333332</v>
      </c>
      <c r="E200" s="93">
        <f>E108/12</f>
        <v>240.12858333333335</v>
      </c>
      <c r="F200" s="93">
        <f>F108/12</f>
        <v>266.08999999999997</v>
      </c>
      <c r="G200" s="93">
        <f>G108/12</f>
        <v>406.75</v>
      </c>
      <c r="H200" s="50"/>
      <c r="I200" s="93">
        <f>I108/12</f>
        <v>600.60833333333335</v>
      </c>
    </row>
    <row r="201" spans="1:12" x14ac:dyDescent="0.55000000000000004">
      <c r="A201" s="123" t="s">
        <v>194</v>
      </c>
      <c r="B201" s="50"/>
      <c r="C201" s="137">
        <f>C199/C200</f>
        <v>0.82241041186014863</v>
      </c>
      <c r="D201" s="137">
        <f>D199/D200</f>
        <v>9.6682390886276823E-2</v>
      </c>
      <c r="E201" s="137">
        <f>E199/E200</f>
        <v>1.3971681144442404E-2</v>
      </c>
      <c r="F201" s="137">
        <f>F199/F200</f>
        <v>0.16142282686309145</v>
      </c>
      <c r="G201" s="361">
        <f>G199/G200</f>
        <v>0.13521819299323909</v>
      </c>
      <c r="H201" s="50"/>
      <c r="I201" s="360">
        <f>G201</f>
        <v>0.13521819299323909</v>
      </c>
      <c r="J201" s="270" t="s">
        <v>461</v>
      </c>
    </row>
    <row r="202" spans="1:12" x14ac:dyDescent="0.55000000000000004">
      <c r="A202" s="123" t="s">
        <v>196</v>
      </c>
      <c r="B202" s="50"/>
      <c r="C202" s="133">
        <f>C199/C38</f>
        <v>6.2318878035460858E-2</v>
      </c>
      <c r="D202" s="133">
        <f>D199/D38</f>
        <v>7.4223257680031624E-3</v>
      </c>
      <c r="E202" s="133">
        <f>E199/E38</f>
        <v>1.1677018201182319E-3</v>
      </c>
      <c r="F202" s="133">
        <f>F199/F38</f>
        <v>1.2359355608928386E-2</v>
      </c>
      <c r="G202" s="133">
        <f>G199/G38</f>
        <v>1.0385196374622357E-2</v>
      </c>
      <c r="H202" s="112"/>
      <c r="I202" s="133">
        <f>I203/I38</f>
        <v>1.0223209155339167E-2</v>
      </c>
    </row>
    <row r="203" spans="1:12" x14ac:dyDescent="0.55000000000000004">
      <c r="A203" s="123" t="s">
        <v>197</v>
      </c>
      <c r="B203" s="50"/>
      <c r="C203" s="50"/>
      <c r="D203" s="50"/>
      <c r="E203" s="50"/>
      <c r="F203" s="50"/>
      <c r="G203" s="50"/>
      <c r="H203" s="50"/>
      <c r="I203" s="68">
        <f>I200*I201</f>
        <v>81.213173530014345</v>
      </c>
    </row>
    <row r="204" spans="1:12" x14ac:dyDescent="0.55000000000000004">
      <c r="A204" s="148"/>
      <c r="B204" s="139"/>
      <c r="C204" s="139"/>
      <c r="D204" s="139"/>
      <c r="E204" s="140"/>
      <c r="F204" s="140"/>
      <c r="G204" s="140"/>
      <c r="H204" s="140" t="s">
        <v>460</v>
      </c>
      <c r="I204" s="289">
        <f ca="1">I199-I203</f>
        <v>3.94667844797425E-3</v>
      </c>
    </row>
    <row r="205" spans="1:12" x14ac:dyDescent="0.55000000000000004">
      <c r="B205" s="50"/>
      <c r="C205" s="50"/>
      <c r="D205" s="50"/>
      <c r="E205" s="50"/>
      <c r="F205" s="50"/>
      <c r="G205" s="50"/>
      <c r="H205" s="50"/>
    </row>
    <row r="206" spans="1:12" x14ac:dyDescent="0.55000000000000004">
      <c r="A206" s="83" t="s">
        <v>357</v>
      </c>
      <c r="B206" s="50"/>
      <c r="C206" s="50"/>
      <c r="D206" s="50"/>
      <c r="E206" s="50"/>
      <c r="F206" s="52">
        <v>1995</v>
      </c>
      <c r="G206" s="52">
        <v>1996</v>
      </c>
      <c r="H206" s="50"/>
      <c r="I206" s="52" t="s">
        <v>141</v>
      </c>
    </row>
    <row r="207" spans="1:12" x14ac:dyDescent="0.55000000000000004">
      <c r="B207" s="50"/>
      <c r="C207" s="50"/>
      <c r="D207" s="50"/>
      <c r="E207" s="50"/>
    </row>
    <row r="208" spans="1:12" x14ac:dyDescent="0.55000000000000004">
      <c r="A208" s="138" t="s">
        <v>370</v>
      </c>
      <c r="B208" s="50"/>
      <c r="C208" s="50"/>
      <c r="D208" s="50"/>
      <c r="E208" s="50"/>
      <c r="F208" s="284">
        <f>F209/F210</f>
        <v>3.8347248386705973E-2</v>
      </c>
      <c r="G208" s="284">
        <f>G209/G210</f>
        <v>4.6978851963746224E-2</v>
      </c>
      <c r="H208" s="50"/>
      <c r="I208" s="284">
        <f ca="1">I209/I210</f>
        <v>5.8238909070140753E-2</v>
      </c>
      <c r="L208" s="285"/>
    </row>
    <row r="209" spans="1:12" x14ac:dyDescent="0.55000000000000004">
      <c r="A209" s="123" t="s">
        <v>371</v>
      </c>
      <c r="B209" s="50"/>
      <c r="C209" s="50"/>
      <c r="D209" s="50"/>
      <c r="E209" s="50"/>
      <c r="F209" s="62">
        <f>F63-F56*(1-0.3)</f>
        <v>133.2698412499999</v>
      </c>
      <c r="G209" s="62">
        <f>G63-G56*(1-0.3)</f>
        <v>248.8</v>
      </c>
      <c r="H209" s="50"/>
      <c r="I209" s="62">
        <f ca="1">I63-I56*(1-0.3)</f>
        <v>462.64989365319815</v>
      </c>
    </row>
    <row r="210" spans="1:12" x14ac:dyDescent="0.55000000000000004">
      <c r="A210" s="123" t="s">
        <v>52</v>
      </c>
      <c r="B210" s="50"/>
      <c r="C210" s="50"/>
      <c r="D210" s="50"/>
      <c r="E210" s="50"/>
      <c r="F210" s="62">
        <f>F38</f>
        <v>3475.3429999999998</v>
      </c>
      <c r="G210" s="62">
        <f>G38</f>
        <v>5296</v>
      </c>
      <c r="H210" s="50"/>
      <c r="I210" s="62">
        <f>I38</f>
        <v>7944</v>
      </c>
    </row>
    <row r="211" spans="1:12" x14ac:dyDescent="0.55000000000000004">
      <c r="C211" s="50"/>
      <c r="D211" s="50"/>
      <c r="E211" s="50"/>
      <c r="F211" s="50"/>
      <c r="G211" s="50"/>
    </row>
    <row r="212" spans="1:12" x14ac:dyDescent="0.55000000000000004">
      <c r="A212" s="138" t="s">
        <v>372</v>
      </c>
      <c r="B212" s="50"/>
      <c r="C212" s="50"/>
      <c r="D212" s="50"/>
      <c r="E212" s="50"/>
      <c r="F212" s="284">
        <f>F213/F214</f>
        <v>4.3643593224698227</v>
      </c>
      <c r="G212" s="284">
        <f>G213/G214</f>
        <v>5.0172753049823191</v>
      </c>
      <c r="H212" s="50"/>
      <c r="I212" s="284">
        <f>I213/I214</f>
        <v>5.3875737840572864</v>
      </c>
      <c r="L212" s="285"/>
    </row>
    <row r="213" spans="1:12" x14ac:dyDescent="0.55000000000000004">
      <c r="A213" s="123" t="s">
        <v>52</v>
      </c>
      <c r="B213" s="50"/>
      <c r="C213" s="50"/>
      <c r="D213" s="50"/>
      <c r="E213" s="50"/>
      <c r="F213" s="62">
        <f>F38</f>
        <v>3475.3429999999998</v>
      </c>
      <c r="G213" s="62">
        <f>G38</f>
        <v>5296</v>
      </c>
      <c r="H213" s="62"/>
      <c r="I213" s="62">
        <f>I38</f>
        <v>7944</v>
      </c>
    </row>
    <row r="214" spans="1:12" x14ac:dyDescent="0.55000000000000004">
      <c r="A214" s="123" t="s">
        <v>374</v>
      </c>
      <c r="B214" s="50"/>
      <c r="C214" s="50"/>
      <c r="D214" s="50"/>
      <c r="E214" s="50"/>
      <c r="F214" s="62">
        <f>E16-E8-E7-F56*(1-0.3)</f>
        <v>796.30084125000008</v>
      </c>
      <c r="G214" s="62">
        <f>F16-F8-F7-G56*(1-0.3)</f>
        <v>1055.5529999999997</v>
      </c>
      <c r="H214" s="62"/>
      <c r="I214" s="62">
        <f>G16-G8-G7-I56*(1-0.3)</f>
        <v>1474.5041679999999</v>
      </c>
    </row>
    <row r="215" spans="1:12" x14ac:dyDescent="0.55000000000000004">
      <c r="C215" s="50"/>
      <c r="D215" s="50"/>
      <c r="E215" s="50"/>
      <c r="F215" s="50"/>
      <c r="G215" s="50"/>
    </row>
    <row r="216" spans="1:12" x14ac:dyDescent="0.55000000000000004">
      <c r="A216" s="138" t="s">
        <v>373</v>
      </c>
      <c r="B216" s="50"/>
      <c r="C216" s="50"/>
      <c r="D216" s="50"/>
      <c r="F216" s="284">
        <f>F217/F218</f>
        <v>6.2736004946393553</v>
      </c>
      <c r="G216" s="284">
        <f>G217/G218</f>
        <v>9.3173476683526175</v>
      </c>
      <c r="H216" s="50"/>
      <c r="I216" s="284">
        <f>I217/I218</f>
        <v>4.6691075617479409</v>
      </c>
      <c r="L216" s="285"/>
    </row>
    <row r="217" spans="1:12" x14ac:dyDescent="0.55000000000000004">
      <c r="A217" s="123" t="s">
        <v>365</v>
      </c>
      <c r="B217" s="50"/>
      <c r="C217" s="50"/>
      <c r="D217" s="50"/>
      <c r="F217" s="62">
        <f>E16-E8-E7-F56*(1-0.3)</f>
        <v>796.30084125000008</v>
      </c>
      <c r="G217" s="62">
        <f>F16-F8-F7-G56*(1-0.3)</f>
        <v>1055.5529999999997</v>
      </c>
      <c r="H217" s="50"/>
      <c r="I217" s="62">
        <f>G16-G8-G7-I56*(1-0.3)</f>
        <v>1474.5041679999999</v>
      </c>
    </row>
    <row r="218" spans="1:12" x14ac:dyDescent="0.55000000000000004">
      <c r="A218" s="123" t="s">
        <v>367</v>
      </c>
      <c r="B218" s="50"/>
      <c r="C218" s="50"/>
      <c r="D218" s="50"/>
      <c r="F218" s="62">
        <f>E32-E8-E7-F56*(1-0.3)</f>
        <v>126.92884124999998</v>
      </c>
      <c r="G218" s="62">
        <f>F32-F8-F7-G56*(1-0.3)</f>
        <v>113.289</v>
      </c>
      <c r="H218" s="50"/>
      <c r="I218" s="62">
        <f>G32-G8-G7-G56*(1-0.3)</f>
        <v>315.8</v>
      </c>
    </row>
    <row r="219" spans="1:12" x14ac:dyDescent="0.55000000000000004">
      <c r="C219" s="50"/>
      <c r="D219" s="50"/>
      <c r="E219" s="50"/>
      <c r="F219" s="50"/>
      <c r="G219" s="50"/>
    </row>
    <row r="220" spans="1:12" x14ac:dyDescent="0.55000000000000004">
      <c r="A220" s="138" t="s">
        <v>369</v>
      </c>
      <c r="B220" s="50"/>
      <c r="C220" s="50"/>
      <c r="D220" s="50"/>
      <c r="E220" s="50"/>
      <c r="F220" s="283">
        <f>1-F221</f>
        <v>0.9413448453850124</v>
      </c>
      <c r="G220" s="283">
        <f>1-G221</f>
        <v>0.95588235294117652</v>
      </c>
      <c r="H220" s="50"/>
      <c r="I220" s="283">
        <f ca="1">1-I221</f>
        <v>1</v>
      </c>
    </row>
    <row r="221" spans="1:12" x14ac:dyDescent="0.55000000000000004">
      <c r="A221" s="123" t="s">
        <v>364</v>
      </c>
      <c r="B221" s="50"/>
      <c r="C221" s="50"/>
      <c r="D221" s="50"/>
      <c r="E221" s="50"/>
      <c r="F221" s="282">
        <f>-F90/F67</f>
        <v>5.8655154614987604E-2</v>
      </c>
      <c r="G221" s="282">
        <f>-G90/G67</f>
        <v>4.4117647058823532E-2</v>
      </c>
      <c r="H221" s="50"/>
      <c r="I221" s="282">
        <f ca="1">-I90/I67</f>
        <v>0</v>
      </c>
    </row>
    <row r="222" spans="1:12" x14ac:dyDescent="0.55000000000000004">
      <c r="B222" s="50"/>
      <c r="C222" s="50"/>
      <c r="D222" s="50"/>
      <c r="E222" s="50"/>
      <c r="F222" s="50"/>
      <c r="G222" s="50"/>
      <c r="H222" s="50"/>
    </row>
    <row r="223" spans="1:12" x14ac:dyDescent="0.55000000000000004">
      <c r="A223" s="138" t="s">
        <v>368</v>
      </c>
      <c r="B223" s="50"/>
      <c r="C223" s="50"/>
      <c r="D223" s="50"/>
      <c r="E223" s="50"/>
      <c r="F223" s="283">
        <f>F208*F212*F216*F220</f>
        <v>0.98837172757981295</v>
      </c>
      <c r="G223" s="283">
        <f>G208*G212*G216*G220</f>
        <v>2.0992640892916761</v>
      </c>
      <c r="H223" s="50"/>
      <c r="I223" s="283">
        <f ca="1">I208*I212*I216*I220</f>
        <v>1.4650091629296964</v>
      </c>
    </row>
    <row r="224" spans="1:12" x14ac:dyDescent="0.55000000000000004">
      <c r="A224" s="123" t="s">
        <v>366</v>
      </c>
      <c r="B224" s="50"/>
      <c r="C224" s="50"/>
      <c r="D224" s="50"/>
      <c r="E224" s="50"/>
      <c r="F224" s="107">
        <f>F39</f>
        <v>0.20958698856487534</v>
      </c>
      <c r="G224" s="107">
        <f>G39</f>
        <v>0.52387836250983</v>
      </c>
      <c r="H224" s="50"/>
      <c r="I224" s="107">
        <f>I39</f>
        <v>0.5</v>
      </c>
    </row>
    <row r="225" spans="2:8" x14ac:dyDescent="0.55000000000000004">
      <c r="B225" s="50"/>
      <c r="C225" s="50"/>
      <c r="D225" s="50"/>
      <c r="E225" s="50"/>
      <c r="F225" s="50"/>
      <c r="G225" s="50"/>
      <c r="H225" s="50"/>
    </row>
    <row r="226" spans="2:8" x14ac:dyDescent="0.55000000000000004">
      <c r="B226" s="50"/>
      <c r="C226" s="50"/>
      <c r="D226" s="50"/>
      <c r="E226" s="50"/>
      <c r="F226" s="50"/>
      <c r="G226" s="50"/>
      <c r="H226" s="50"/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</vt:i4>
      </vt:variant>
    </vt:vector>
  </HeadingPairs>
  <TitlesOfParts>
    <vt:vector size="18" baseType="lpstr">
      <vt:lpstr>Table 1</vt:lpstr>
      <vt:lpstr>Exhibit 1</vt:lpstr>
      <vt:lpstr>Exhibit 2</vt:lpstr>
      <vt:lpstr>Exhibit 3</vt:lpstr>
      <vt:lpstr>Exhibit 4</vt:lpstr>
      <vt:lpstr>Exhibit 5</vt:lpstr>
      <vt:lpstr>Uses - Sources</vt:lpstr>
      <vt:lpstr>Charts</vt:lpstr>
      <vt:lpstr>Exhibit 6 (Modelo)</vt:lpstr>
      <vt:lpstr>Exhibit 7 (Comps)</vt:lpstr>
      <vt:lpstr>Stock Price</vt:lpstr>
      <vt:lpstr>Stock chart case</vt:lpstr>
      <vt:lpstr>Stock chart post case</vt:lpstr>
      <vt:lpstr>Stock appreciation</vt:lpstr>
      <vt:lpstr>Stock chart full</vt:lpstr>
      <vt:lpstr>Stock data</vt:lpstr>
      <vt:lpstr>Stock splits 1988-1999</vt:lpstr>
      <vt:lpstr>'Exhibit 7 (Comps)'!Área_de_impresión</vt:lpstr>
    </vt:vector>
  </TitlesOfParts>
  <Manager> </Manager>
  <Company> 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</dc:title>
  <dc:subject> </dc:subject>
  <dc:creator>usuario</dc:creator>
  <cp:lastModifiedBy>usuario</cp:lastModifiedBy>
  <cp:lastPrinted>2010-06-07T07:09:39Z</cp:lastPrinted>
  <dcterms:created xsi:type="dcterms:W3CDTF">2010-04-05T11:50:24Z</dcterms:created>
  <dcterms:modified xsi:type="dcterms:W3CDTF">2020-08-11T02:20:02Z</dcterms:modified>
</cp:coreProperties>
</file>