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\Desktop\Finanzas Corporativas\Examen Final 2016\Primer LLamado\Version Final\Resoluciones\"/>
    </mc:Choice>
  </mc:AlternateContent>
  <bookViews>
    <workbookView xWindow="0" yWindow="0" windowWidth="20490" windowHeight="7455"/>
  </bookViews>
  <sheets>
    <sheet name="1. Ejercicio MM" sheetId="4" r:id="rId1"/>
    <sheet name="2. M&amp;A EBITDA" sheetId="3" r:id="rId2"/>
    <sheet name="3. FF" sheetId="1" r:id="rId3"/>
    <sheet name="4. Colocacion" sheetId="5" r:id="rId4"/>
    <sheet name="5. Deuda" sheetId="2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F14" i="4"/>
  <c r="B22" i="4"/>
  <c r="F12" i="4"/>
  <c r="B12" i="4"/>
  <c r="C30" i="3"/>
  <c r="C32" i="3" l="1"/>
  <c r="C36" i="3"/>
  <c r="D37" i="3" s="1"/>
  <c r="J59" i="5" l="1"/>
  <c r="L13" i="5"/>
  <c r="I17" i="5" s="1"/>
  <c r="D13" i="5"/>
  <c r="J41" i="5"/>
  <c r="I41" i="5"/>
  <c r="J38" i="5"/>
  <c r="I38" i="5"/>
  <c r="J35" i="5"/>
  <c r="I35" i="5"/>
  <c r="J40" i="5"/>
  <c r="I40" i="5"/>
  <c r="J39" i="5"/>
  <c r="I39" i="5"/>
  <c r="J37" i="5"/>
  <c r="I37" i="5"/>
  <c r="J36" i="5"/>
  <c r="I36" i="5"/>
  <c r="J58" i="5" s="1"/>
  <c r="Q22" i="5"/>
  <c r="Q23" i="5" s="1"/>
  <c r="J28" i="5"/>
  <c r="J30" i="5" s="1"/>
  <c r="K28" i="5" s="1"/>
  <c r="J34" i="5" s="1"/>
  <c r="J29" i="5"/>
  <c r="I29" i="5"/>
  <c r="I33" i="5" s="1"/>
  <c r="I28" i="5"/>
  <c r="I34" i="5" s="1"/>
  <c r="J60" i="5" s="1"/>
  <c r="K29" i="5" l="1"/>
  <c r="J33" i="5" s="1"/>
  <c r="J51" i="5" s="1"/>
  <c r="J55" i="5"/>
  <c r="J52" i="5"/>
  <c r="J53" i="5"/>
  <c r="J57" i="5"/>
  <c r="J56" i="5"/>
  <c r="J54" i="5"/>
  <c r="B3" i="1"/>
  <c r="C24" i="3"/>
  <c r="C8" i="3"/>
  <c r="F6" i="3"/>
  <c r="F5" i="3"/>
  <c r="C13" i="5"/>
  <c r="F9" i="3" l="1"/>
  <c r="G9" i="3" s="1"/>
  <c r="H9" i="3" s="1"/>
  <c r="B8" i="4" l="1"/>
  <c r="B4" i="4"/>
  <c r="D4" i="4" s="1"/>
  <c r="B14" i="4" l="1"/>
  <c r="B24" i="4"/>
  <c r="C4" i="3" l="1"/>
  <c r="C21" i="3" s="1"/>
  <c r="C16" i="3"/>
  <c r="C18" i="3" s="1"/>
  <c r="C9" i="3" s="1"/>
  <c r="E10" i="2"/>
  <c r="F10" i="2" s="1"/>
  <c r="G10" i="2" s="1"/>
  <c r="H10" i="2" s="1"/>
  <c r="I10" i="2" s="1"/>
  <c r="J10" i="2" s="1"/>
  <c r="K10" i="2" s="1"/>
  <c r="L10" i="2" s="1"/>
  <c r="M10" i="2" s="1"/>
  <c r="D9" i="2"/>
  <c r="E9" i="2" s="1"/>
  <c r="D8" i="2"/>
  <c r="D11" i="2" s="1"/>
  <c r="D12" i="2" s="1"/>
  <c r="C8" i="2"/>
  <c r="D1" i="2"/>
  <c r="D5" i="2" s="1"/>
  <c r="D6" i="2" s="1"/>
  <c r="C1" i="2"/>
  <c r="E3" i="2"/>
  <c r="F3" i="2" s="1"/>
  <c r="G3" i="2" s="1"/>
  <c r="H3" i="2" s="1"/>
  <c r="I3" i="2" s="1"/>
  <c r="J3" i="2" s="1"/>
  <c r="K3" i="2" s="1"/>
  <c r="L3" i="2" s="1"/>
  <c r="M3" i="2" s="1"/>
  <c r="E2" i="2"/>
  <c r="F2" i="2" s="1"/>
  <c r="G2" i="2" s="1"/>
  <c r="H2" i="2" s="1"/>
  <c r="I2" i="2" s="1"/>
  <c r="I1" i="2" s="1"/>
  <c r="I5" i="2" s="1"/>
  <c r="I6" i="2" s="1"/>
  <c r="D2" i="2"/>
  <c r="E8" i="1"/>
  <c r="B1" i="1"/>
  <c r="B5" i="1" l="1"/>
  <c r="B8" i="1"/>
  <c r="J2" i="2"/>
  <c r="G1" i="2"/>
  <c r="G5" i="2" s="1"/>
  <c r="G6" i="2" s="1"/>
  <c r="F1" i="2"/>
  <c r="F5" i="2" s="1"/>
  <c r="F6" i="2" s="1"/>
  <c r="H1" i="2"/>
  <c r="H5" i="2" s="1"/>
  <c r="H6" i="2" s="1"/>
  <c r="E1" i="2"/>
  <c r="E5" i="2" s="1"/>
  <c r="E6" i="2" s="1"/>
  <c r="C10" i="3"/>
  <c r="C22" i="3" s="1"/>
  <c r="C27" i="3" s="1"/>
  <c r="C29" i="3" s="1"/>
  <c r="C33" i="3" s="1"/>
  <c r="D33" i="3" s="1"/>
  <c r="F9" i="2"/>
  <c r="E8" i="2"/>
  <c r="E11" i="2" s="1"/>
  <c r="E12" i="2" s="1"/>
  <c r="K2" i="2" l="1"/>
  <c r="J1" i="2"/>
  <c r="J5" i="2" s="1"/>
  <c r="J6" i="2" s="1"/>
  <c r="B9" i="1"/>
  <c r="B12" i="1"/>
  <c r="B11" i="1"/>
  <c r="B10" i="1"/>
  <c r="B13" i="1"/>
  <c r="F5" i="1"/>
  <c r="F7" i="1"/>
  <c r="B21" i="1" s="1"/>
  <c r="F6" i="1"/>
  <c r="F8" i="1"/>
  <c r="B20" i="1"/>
  <c r="B19" i="1"/>
  <c r="C23" i="3"/>
  <c r="F8" i="2"/>
  <c r="F11" i="2" s="1"/>
  <c r="F12" i="2" s="1"/>
  <c r="G9" i="2"/>
  <c r="L2" i="2" l="1"/>
  <c r="K1" i="2"/>
  <c r="K5" i="2" s="1"/>
  <c r="K6" i="2" s="1"/>
  <c r="G8" i="2"/>
  <c r="G11" i="2" s="1"/>
  <c r="G12" i="2" s="1"/>
  <c r="H9" i="2"/>
  <c r="L1" i="2" l="1"/>
  <c r="L5" i="2" s="1"/>
  <c r="L6" i="2" s="1"/>
  <c r="M2" i="2"/>
  <c r="M1" i="2" s="1"/>
  <c r="M5" i="2" s="1"/>
  <c r="M6" i="2" s="1"/>
  <c r="C6" i="2" s="1"/>
  <c r="H8" i="2"/>
  <c r="H11" i="2" s="1"/>
  <c r="H12" i="2" s="1"/>
  <c r="I9" i="2"/>
  <c r="J9" i="2" l="1"/>
  <c r="I8" i="2"/>
  <c r="I11" i="2" s="1"/>
  <c r="I12" i="2" s="1"/>
  <c r="K9" i="2" l="1"/>
  <c r="J8" i="2"/>
  <c r="J11" i="2" s="1"/>
  <c r="J12" i="2" s="1"/>
  <c r="K8" i="2" l="1"/>
  <c r="K11" i="2" s="1"/>
  <c r="K12" i="2" s="1"/>
  <c r="L9" i="2"/>
  <c r="L8" i="2" l="1"/>
  <c r="L11" i="2" s="1"/>
  <c r="L12" i="2" s="1"/>
  <c r="M9" i="2"/>
  <c r="M8" i="2" s="1"/>
  <c r="M11" i="2" s="1"/>
  <c r="M12" i="2" s="1"/>
  <c r="C12" i="2" s="1"/>
  <c r="C14" i="2" s="1"/>
</calcChain>
</file>

<file path=xl/sharedStrings.xml><?xml version="1.0" encoding="utf-8"?>
<sst xmlns="http://schemas.openxmlformats.org/spreadsheetml/2006/main" count="145" uniqueCount="109">
  <si>
    <t>Saldo Total Teorico</t>
  </si>
  <si>
    <t>Capital Teorico</t>
  </si>
  <si>
    <t>Interes Teorico</t>
  </si>
  <si>
    <t>Capital Descontado</t>
  </si>
  <si>
    <t>Salto Total Teorico</t>
  </si>
  <si>
    <t>Incobrabilidad</t>
  </si>
  <si>
    <t>Gastos</t>
  </si>
  <si>
    <t>Impuestos</t>
  </si>
  <si>
    <t>Interés</t>
  </si>
  <si>
    <t>Neto</t>
  </si>
  <si>
    <t>Respuesta 1</t>
  </si>
  <si>
    <t>Respuesta 2</t>
  </si>
  <si>
    <t>Subordinación Tramo A</t>
  </si>
  <si>
    <t>Subordinación Tramo B</t>
  </si>
  <si>
    <t>Subordinación Tramo C</t>
  </si>
  <si>
    <t>VDFA</t>
  </si>
  <si>
    <t>VDFB</t>
  </si>
  <si>
    <t>VDFC</t>
  </si>
  <si>
    <t>CP</t>
  </si>
  <si>
    <t>Cd</t>
  </si>
  <si>
    <t>Diferencia EBITDA</t>
  </si>
  <si>
    <t>Diferencia Patrimonial (Bienes de Cambio)</t>
  </si>
  <si>
    <t>EBITDA Corregido</t>
  </si>
  <si>
    <t>EBITDA incluido en la Oferta</t>
  </si>
  <si>
    <t>Cálculo Ajuste Total</t>
  </si>
  <si>
    <t>Costo Mercaderías Vendidas Corregido</t>
  </si>
  <si>
    <t>Sobrevaluación Existencia Final</t>
  </si>
  <si>
    <t>Costo Mercaderías Vendidas</t>
  </si>
  <si>
    <t>Existencia Final</t>
  </si>
  <si>
    <t>Compras</t>
  </si>
  <si>
    <t>Existencia Inicial</t>
  </si>
  <si>
    <t>Bienes de Cambio - Cálculos Auxiliares</t>
  </si>
  <si>
    <t>Ajuste Costo Mercaderías Vendidas</t>
  </si>
  <si>
    <t>Compensación Management</t>
  </si>
  <si>
    <t>Ajustes Auditoría de Compra</t>
  </si>
  <si>
    <t>EBITDA Inicial</t>
  </si>
  <si>
    <t>Escenario 1</t>
  </si>
  <si>
    <t>E/V</t>
  </si>
  <si>
    <t>Costo/Rendimiento Equity</t>
  </si>
  <si>
    <t>Escenario 2</t>
  </si>
  <si>
    <t>D/V</t>
  </si>
  <si>
    <t>Costo de Deuda</t>
  </si>
  <si>
    <t>Costo del Activo</t>
  </si>
  <si>
    <t>Impuesto</t>
  </si>
  <si>
    <t>a) Costo del Equity</t>
  </si>
  <si>
    <t>b)WACC after tax</t>
  </si>
  <si>
    <t>Universo real con deducción de intereses de deuda</t>
  </si>
  <si>
    <t>c)</t>
  </si>
  <si>
    <t>Beta Activo</t>
  </si>
  <si>
    <t>Deuda No Rf</t>
  </si>
  <si>
    <t>Deuda Rf</t>
  </si>
  <si>
    <t>Beta Deuda</t>
  </si>
  <si>
    <t>Con Beta deuda distinto de 0</t>
  </si>
  <si>
    <t>Beta del Equity</t>
  </si>
  <si>
    <t>Con Beta deuda igual a 0</t>
  </si>
  <si>
    <t>Incremento de deuda, mayor exigencia de Ce</t>
  </si>
  <si>
    <t>Inversor</t>
  </si>
  <si>
    <t>Fecha de la Oferta</t>
  </si>
  <si>
    <t>Monto Ofrecido (AR$)</t>
  </si>
  <si>
    <t>Margen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</si>
  <si>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</si>
  <si>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</si>
  <si>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</si>
  <si>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</si>
  <si>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</si>
  <si>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</si>
  <si>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</si>
  <si>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</si>
  <si>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</si>
  <si>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</si>
  <si>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</si>
  <si>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Clase I - Vencimiento 18 meses</t>
  </si>
  <si>
    <t>Clase II - Vencimiento 36 meses</t>
  </si>
  <si>
    <t>WACC inicial</t>
  </si>
  <si>
    <t>Costo Activo=Ce</t>
  </si>
  <si>
    <t>Oferta Inicial</t>
  </si>
  <si>
    <t>EBITDA</t>
  </si>
  <si>
    <t>Multiplo</t>
  </si>
  <si>
    <t>VC</t>
  </si>
  <si>
    <t>Deuda Fin</t>
  </si>
  <si>
    <t>Caja</t>
  </si>
  <si>
    <t>Medicina Prepaga y otros</t>
  </si>
  <si>
    <t>Diferencia Patrimonial</t>
  </si>
  <si>
    <t>Oferta Final</t>
  </si>
  <si>
    <r>
      <t xml:space="preserve">Anteriormente era el beta del </t>
    </r>
    <r>
      <rPr>
        <b/>
        <i/>
        <sz val="11"/>
        <color theme="1"/>
        <rFont val="Calibri Light"/>
        <family val="2"/>
        <scheme val="major"/>
      </rPr>
      <t>equity</t>
    </r>
    <r>
      <rPr>
        <i/>
        <sz val="11"/>
        <color theme="1"/>
        <rFont val="Calibri Light"/>
        <family val="2"/>
        <scheme val="major"/>
      </rPr>
      <t xml:space="preserve"> también, al ser 100% = E/V</t>
    </r>
  </si>
  <si>
    <t>Capital</t>
  </si>
  <si>
    <t>IIBB</t>
  </si>
  <si>
    <t>prorrateo</t>
  </si>
  <si>
    <t>Agregado</t>
  </si>
  <si>
    <t>Faltante</t>
  </si>
  <si>
    <t>Adjudicación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</si>
  <si>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</si>
  <si>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</si>
  <si>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</si>
  <si>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</si>
  <si>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</si>
  <si>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</si>
  <si>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</si>
  <si>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</si>
  <si>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</si>
  <si>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</si>
  <si>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Sobresuscripta</t>
  </si>
  <si>
    <t>Resultó Adjudicado? Marque con una Cruz</t>
  </si>
  <si>
    <t>Monto Adjudicado</t>
  </si>
  <si>
    <t>Costo</t>
  </si>
  <si>
    <t>Asiento de Ajuste</t>
  </si>
  <si>
    <t>a Mercadería</t>
  </si>
  <si>
    <t xml:space="preserve"> tax shield</t>
  </si>
  <si>
    <t>el neto de la ecuación para estructurar un FF siempre da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</si>
</sst>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 * #,##0_ ;_ * \-#,##0_ ;_ * &quot;-&quot;??_ ;_ @_ "/>
    <numFmt numFmtId="168" formatCode="0.000"/>
    <numFmt numFmtId="169" formatCode="_ * #,##0.000_ ;_ * \-#,##0.00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/>
    <xf numFmtId="0" fontId="5" fillId="0" borderId="0" xfId="0" applyFont="1" applyBorder="1"/>
    <xf numFmtId="164" fontId="3" fillId="0" borderId="0" xfId="1" applyNumberFormat="1" applyFont="1" applyBorder="1"/>
    <xf numFmtId="0" fontId="6" fillId="0" borderId="0" xfId="0" applyFont="1"/>
    <xf numFmtId="0" fontId="5" fillId="0" borderId="0" xfId="0" quotePrefix="1" applyFont="1" applyBorder="1" applyAlignment="1">
      <alignment horizontal="center"/>
    </xf>
    <xf numFmtId="15" fontId="3" fillId="0" borderId="0" xfId="0" applyNumberFormat="1" applyFont="1" applyBorder="1"/>
    <xf numFmtId="164" fontId="3" fillId="0" borderId="1" xfId="1" applyNumberFormat="1" applyFont="1" applyBorder="1"/>
    <xf numFmtId="167" fontId="4" fillId="0" borderId="0" xfId="1" applyNumberFormat="1" applyFont="1"/>
    <xf numFmtId="9" fontId="5" fillId="0" borderId="0" xfId="0" applyNumberFormat="1" applyFont="1" applyBorder="1"/>
    <xf numFmtId="164" fontId="5" fillId="0" borderId="0" xfId="1" applyNumberFormat="1" applyFont="1" applyBorder="1"/>
    <xf numFmtId="12" fontId="2" fillId="0" borderId="0" xfId="0" applyNumberFormat="1" applyFont="1" applyBorder="1" applyAlignment="1">
      <alignment horizontal="left"/>
    </xf>
    <xf numFmtId="12" fontId="3" fillId="0" borderId="0" xfId="0" applyNumberFormat="1" applyFont="1" applyBorder="1" applyAlignment="1">
      <alignment horizontal="left"/>
    </xf>
    <xf numFmtId="167" fontId="4" fillId="0" borderId="0" xfId="0" applyNumberFormat="1" applyFont="1"/>
    <xf numFmtId="12" fontId="5" fillId="0" borderId="0" xfId="0" applyNumberFormat="1" applyFont="1" applyBorder="1" applyAlignment="1">
      <alignment horizontal="left"/>
    </xf>
    <xf numFmtId="164" fontId="3" fillId="0" borderId="1" xfId="0" applyNumberFormat="1" applyFont="1" applyBorder="1"/>
    <xf numFmtId="164" fontId="3" fillId="0" borderId="0" xfId="0" applyNumberFormat="1" applyFont="1" applyBorder="1"/>
    <xf numFmtId="10" fontId="3" fillId="0" borderId="0" xfId="2" applyNumberFormat="1" applyFont="1" applyBorder="1"/>
    <xf numFmtId="10" fontId="5" fillId="0" borderId="0" xfId="0" applyNumberFormat="1" applyFont="1" applyBorder="1"/>
    <xf numFmtId="164" fontId="5" fillId="0" borderId="0" xfId="0" applyNumberFormat="1" applyFont="1" applyBorder="1"/>
    <xf numFmtId="15" fontId="2" fillId="0" borderId="0" xfId="0" applyNumberFormat="1" applyFont="1" applyBorder="1"/>
    <xf numFmtId="9" fontId="3" fillId="0" borderId="0" xfId="0" applyNumberFormat="1" applyFont="1" applyBorder="1"/>
    <xf numFmtId="164" fontId="3" fillId="0" borderId="1" xfId="0" applyNumberFormat="1" applyFont="1" applyBorder="1" applyAlignment="1">
      <alignment horizontal="center"/>
    </xf>
    <xf numFmtId="9" fontId="2" fillId="0" borderId="0" xfId="0" applyNumberFormat="1" applyFont="1" applyBorder="1"/>
    <xf numFmtId="165" fontId="3" fillId="0" borderId="0" xfId="1" applyNumberFormat="1" applyFont="1" applyBorder="1"/>
    <xf numFmtId="1" fontId="3" fillId="0" borderId="0" xfId="0" applyNumberFormat="1" applyFont="1" applyBorder="1"/>
    <xf numFmtId="0" fontId="3" fillId="0" borderId="0" xfId="0" applyFont="1" applyFill="1" applyBorder="1"/>
    <xf numFmtId="9" fontId="4" fillId="0" borderId="0" xfId="0" applyNumberFormat="1" applyFont="1"/>
    <xf numFmtId="9" fontId="4" fillId="0" borderId="0" xfId="2" applyFont="1"/>
    <xf numFmtId="0" fontId="7" fillId="0" borderId="0" xfId="0" applyFont="1"/>
    <xf numFmtId="0" fontId="4" fillId="2" borderId="0" xfId="0" applyFont="1" applyFill="1"/>
    <xf numFmtId="0" fontId="6" fillId="0" borderId="1" xfId="0" applyFont="1" applyBorder="1"/>
    <xf numFmtId="166" fontId="4" fillId="0" borderId="0" xfId="0" applyNumberFormat="1" applyFont="1"/>
    <xf numFmtId="0" fontId="8" fillId="0" borderId="0" xfId="0" applyFont="1"/>
    <xf numFmtId="166" fontId="4" fillId="2" borderId="0" xfId="0" applyNumberFormat="1" applyFont="1" applyFill="1"/>
    <xf numFmtId="0" fontId="4" fillId="0" borderId="2" xfId="0" applyFont="1" applyBorder="1"/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0" xfId="0" applyFont="1"/>
    <xf numFmtId="43" fontId="4" fillId="2" borderId="0" xfId="1" applyNumberFormat="1" applyFont="1" applyFill="1"/>
    <xf numFmtId="43" fontId="4" fillId="0" borderId="0" xfId="1" applyFont="1"/>
    <xf numFmtId="167" fontId="6" fillId="0" borderId="0" xfId="1" applyNumberFormat="1" applyFont="1"/>
    <xf numFmtId="0" fontId="6" fillId="0" borderId="0" xfId="0" applyFont="1" applyAlignment="1">
      <alignment horizontal="center"/>
    </xf>
    <xf numFmtId="10" fontId="4" fillId="0" borderId="0" xfId="0" applyNumberFormat="1" applyFont="1"/>
    <xf numFmtId="167" fontId="4" fillId="2" borderId="0" xfId="1" applyNumberFormat="1" applyFont="1" applyFill="1"/>
    <xf numFmtId="10" fontId="4" fillId="0" borderId="0" xfId="2" applyNumberFormat="1" applyFont="1"/>
    <xf numFmtId="9" fontId="4" fillId="2" borderId="0" xfId="2" applyFont="1" applyFill="1"/>
    <xf numFmtId="3" fontId="4" fillId="0" borderId="0" xfId="0" applyNumberFormat="1" applyFont="1"/>
    <xf numFmtId="0" fontId="4" fillId="5" borderId="0" xfId="0" applyFont="1" applyFill="1"/>
    <xf numFmtId="43" fontId="4" fillId="0" borderId="0" xfId="0" applyNumberFormat="1" applyFont="1"/>
    <xf numFmtId="0" fontId="3" fillId="6" borderId="0" xfId="0" applyFont="1" applyFill="1" applyBorder="1"/>
    <xf numFmtId="167" fontId="3" fillId="0" borderId="0" xfId="0" applyNumberFormat="1" applyFont="1" applyBorder="1"/>
    <xf numFmtId="9" fontId="10" fillId="0" borderId="1" xfId="0" applyNumberFormat="1" applyFont="1" applyBorder="1" applyAlignment="1">
      <alignment horizontal="center"/>
    </xf>
    <xf numFmtId="0" fontId="11" fillId="0" borderId="0" xfId="0" applyFont="1"/>
    <xf numFmtId="167" fontId="11" fillId="0" borderId="0" xfId="1" applyNumberFormat="1" applyFont="1"/>
    <xf numFmtId="167" fontId="11" fillId="0" borderId="1" xfId="1" applyNumberFormat="1" applyFont="1" applyBorder="1"/>
    <xf numFmtId="167" fontId="11" fillId="0" borderId="0" xfId="0" applyNumberFormat="1" applyFont="1"/>
    <xf numFmtId="43" fontId="11" fillId="2" borderId="0" xfId="1" applyFont="1" applyFill="1"/>
    <xf numFmtId="0" fontId="12" fillId="0" borderId="0" xfId="0" applyFont="1"/>
    <xf numFmtId="0" fontId="11" fillId="0" borderId="1" xfId="0" applyFont="1" applyBorder="1"/>
    <xf numFmtId="43" fontId="11" fillId="0" borderId="0" xfId="1" applyFont="1"/>
    <xf numFmtId="164" fontId="11" fillId="2" borderId="1" xfId="0" applyNumberFormat="1" applyFont="1" applyFill="1" applyBorder="1"/>
    <xf numFmtId="10" fontId="4" fillId="2" borderId="0" xfId="2" applyNumberFormat="1" applyFont="1" applyFill="1"/>
    <xf numFmtId="168" fontId="4" fillId="0" borderId="0" xfId="0" applyNumberFormat="1" applyFont="1"/>
    <xf numFmtId="169" fontId="4" fillId="2" borderId="0" xfId="1" applyNumberFormat="1" applyFont="1" applyFill="1"/>
    <xf numFmtId="10" fontId="4" fillId="0" borderId="2" xfId="2" applyNumberFormat="1" applyFont="1" applyBorder="1"/>
    <xf numFmtId="10" fontId="4" fillId="0" borderId="2" xfId="0" applyNumberFormat="1" applyFont="1" applyBorder="1"/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0" fontId="15" fillId="0" borderId="1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0" fontId="15" fillId="0" borderId="2" xfId="0" applyNumberFormat="1" applyFont="1" applyBorder="1" applyAlignment="1">
      <alignment horizontal="center" vertical="center"/>
    </xf>
    <xf numFmtId="14" fontId="15" fillId="0" borderId="2" xfId="0" applyNumberFormat="1" applyFont="1" applyFill="1" applyBorder="1" applyAlignment="1">
      <alignment horizontal="center" vertical="center"/>
    </xf>
    <xf numFmtId="10" fontId="15" fillId="4" borderId="2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4" fontId="15" fillId="0" borderId="17" xfId="0" applyNumberFormat="1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14" fontId="15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0" fontId="14" fillId="4" borderId="3" xfId="0" applyFont="1" applyFill="1" applyBorder="1" applyAlignment="1">
      <alignment horizontal="center" vertical="center"/>
    </xf>
    <xf numFmtId="3" fontId="15" fillId="4" borderId="0" xfId="0" applyNumberFormat="1" applyFont="1" applyFill="1" applyAlignment="1">
      <alignment vertical="center"/>
    </xf>
    <xf numFmtId="10" fontId="15" fillId="4" borderId="4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0" fontId="15" fillId="0" borderId="4" xfId="0" applyNumberFormat="1" applyFont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3" fontId="15" fillId="5" borderId="0" xfId="0" applyNumberFormat="1" applyFont="1" applyFill="1" applyAlignment="1">
      <alignment vertical="center"/>
    </xf>
    <xf numFmtId="10" fontId="15" fillId="5" borderId="4" xfId="0" applyNumberFormat="1" applyFont="1" applyFill="1" applyBorder="1" applyAlignment="1">
      <alignment horizontal="center" vertical="center"/>
    </xf>
    <xf numFmtId="10" fontId="15" fillId="2" borderId="4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3" fontId="15" fillId="0" borderId="6" xfId="0" applyNumberFormat="1" applyFont="1" applyBorder="1" applyAlignment="1">
      <alignment vertical="center"/>
    </xf>
    <xf numFmtId="10" fontId="15" fillId="0" borderId="7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7" fontId="1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3" fontId="15" fillId="0" borderId="17" xfId="0" applyNumberFormat="1" applyFont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43" fontId="14" fillId="0" borderId="8" xfId="1" applyFont="1" applyBorder="1" applyAlignment="1">
      <alignment horizontal="right" vertical="center"/>
    </xf>
    <xf numFmtId="3" fontId="15" fillId="0" borderId="2" xfId="0" applyNumberFormat="1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167" fontId="14" fillId="0" borderId="8" xfId="1" applyNumberFormat="1" applyFont="1" applyBorder="1" applyAlignment="1">
      <alignment horizontal="right" vertical="center"/>
    </xf>
    <xf numFmtId="0" fontId="13" fillId="0" borderId="2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19</xdr:row>
      <xdr:rowOff>57150</xdr:rowOff>
    </xdr:from>
    <xdr:to>
      <xdr:col>9</xdr:col>
      <xdr:colOff>666750</xdr:colOff>
      <xdr:row>25</xdr:row>
      <xdr:rowOff>152400</xdr:rowOff>
    </xdr:to>
    <xdr:sp macro="" textlink="">
      <xdr:nvSpPr>
        <xdr:cNvPr id="3" name="CuadroTexto 2"/>
        <xdr:cNvSpPr txBox="1"/>
      </xdr:nvSpPr>
      <xdr:spPr>
        <a:xfrm>
          <a:off x="3286125" y="3867150"/>
          <a:ext cx="51244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i="1"/>
            <a:t>Be = Ba + [(Ba - Bd)*D/E*(1-t)]</a:t>
          </a:r>
        </a:p>
        <a:p>
          <a:r>
            <a:rPr lang="es-AR" sz="1400" i="1" baseline="0"/>
            <a:t>Si Bd fuera cero...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= Ba + [Ba*D/E*(1-t)]</a:t>
          </a:r>
          <a:endParaRPr lang="es-AR" sz="1400">
            <a:effectLst/>
          </a:endParaRPr>
        </a:p>
        <a:p>
          <a:r>
            <a:rPr lang="es-AR" sz="1400" b="1" i="1" baseline="0"/>
            <a:t>Be= Ba*[1+(1-t)*D/E]</a:t>
          </a:r>
        </a:p>
        <a:p>
          <a:r>
            <a:rPr lang="es-AR" sz="1400" i="1" baseline="0"/>
            <a:t>Siendo Ba el Beta 100% equity, o unlevered (despalancado)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tabSelected="1" topLeftCell="A8" workbookViewId="0">
      <selection activeCell="B14" sqref="B14"/>
    </sheetView>
  </sheetViews>
  <sheetFormatPr baseColWidth="10" defaultColWidth="11.42578125" defaultRowHeight="15" x14ac:dyDescent="0.25"/>
  <cols>
    <col min="1" max="1" width="24.7109375" style="3" bestFit="1" customWidth="1"/>
    <col min="2" max="2" width="16.42578125" style="3" customWidth="1"/>
    <col min="3" max="3" width="24.42578125" style="3" customWidth="1"/>
    <col min="4" max="16384" width="11.42578125" style="3"/>
  </cols>
  <sheetData>
    <row r="1" spans="1:10" x14ac:dyDescent="0.25">
      <c r="A1" s="33" t="s">
        <v>36</v>
      </c>
    </row>
    <row r="2" spans="1:10" x14ac:dyDescent="0.25">
      <c r="A2" s="3" t="s">
        <v>37</v>
      </c>
      <c r="B2" s="29">
        <v>1</v>
      </c>
    </row>
    <row r="3" spans="1:10" x14ac:dyDescent="0.25">
      <c r="A3" s="3" t="s">
        <v>38</v>
      </c>
      <c r="B3" s="29">
        <v>0.14000000000000001</v>
      </c>
    </row>
    <row r="4" spans="1:10" x14ac:dyDescent="0.25">
      <c r="A4" s="3" t="s">
        <v>74</v>
      </c>
      <c r="B4" s="29">
        <f>+B3</f>
        <v>0.14000000000000001</v>
      </c>
      <c r="C4" s="3" t="s">
        <v>73</v>
      </c>
      <c r="D4" s="29">
        <f>+B4</f>
        <v>0.14000000000000001</v>
      </c>
    </row>
    <row r="6" spans="1:10" x14ac:dyDescent="0.25">
      <c r="A6" s="33" t="s">
        <v>39</v>
      </c>
    </row>
    <row r="7" spans="1:10" x14ac:dyDescent="0.25">
      <c r="A7" s="3" t="s">
        <v>37</v>
      </c>
      <c r="B7" s="29">
        <v>0.6</v>
      </c>
    </row>
    <row r="8" spans="1:10" x14ac:dyDescent="0.25">
      <c r="A8" s="3" t="s">
        <v>40</v>
      </c>
      <c r="B8" s="29">
        <f>1-B7</f>
        <v>0.4</v>
      </c>
    </row>
    <row r="9" spans="1:10" x14ac:dyDescent="0.25">
      <c r="A9" s="3" t="s">
        <v>41</v>
      </c>
      <c r="B9" s="34">
        <v>0.09</v>
      </c>
    </row>
    <row r="10" spans="1:10" x14ac:dyDescent="0.25">
      <c r="A10" s="3" t="s">
        <v>42</v>
      </c>
      <c r="B10" s="34">
        <v>0.14000000000000001</v>
      </c>
    </row>
    <row r="11" spans="1:10" x14ac:dyDescent="0.25">
      <c r="A11" s="3" t="s">
        <v>43</v>
      </c>
      <c r="B11" s="29">
        <v>0.35</v>
      </c>
      <c r="C11" s="3" t="s">
        <v>107</v>
      </c>
    </row>
    <row r="12" spans="1:10" x14ac:dyDescent="0.25">
      <c r="A12" s="32" t="s">
        <v>44</v>
      </c>
      <c r="B12" s="66">
        <f>+B10+((B10-B9)*(B8/B7)*(1-B11))</f>
        <v>0.16166666666666668</v>
      </c>
      <c r="C12" s="35" t="s">
        <v>55</v>
      </c>
      <c r="F12" s="69">
        <f>+B10+((B10-B9)*(B8/B7))</f>
        <v>0.17333333333333337</v>
      </c>
    </row>
    <row r="14" spans="1:10" x14ac:dyDescent="0.25">
      <c r="A14" s="32" t="s">
        <v>45</v>
      </c>
      <c r="B14" s="36">
        <f>(1-B11)*B9*B8+B7*B12</f>
        <v>0.12040000000000001</v>
      </c>
      <c r="C14" s="35" t="s">
        <v>46</v>
      </c>
      <c r="F14" s="70">
        <f>(1-B11)*B9*B8+B7*F12</f>
        <v>0.12740000000000001</v>
      </c>
      <c r="J14" s="67"/>
    </row>
    <row r="16" spans="1:10" x14ac:dyDescent="0.25">
      <c r="A16" s="3" t="s">
        <v>47</v>
      </c>
    </row>
    <row r="17" spans="1:7" x14ac:dyDescent="0.25">
      <c r="A17" s="37" t="s">
        <v>48</v>
      </c>
      <c r="B17" s="38">
        <v>0.5</v>
      </c>
      <c r="C17" s="35" t="s">
        <v>84</v>
      </c>
    </row>
    <row r="18" spans="1:7" x14ac:dyDescent="0.25">
      <c r="A18" s="39"/>
      <c r="B18" s="40" t="s">
        <v>49</v>
      </c>
      <c r="C18" s="40" t="s">
        <v>50</v>
      </c>
    </row>
    <row r="19" spans="1:7" x14ac:dyDescent="0.25">
      <c r="A19" s="41" t="s">
        <v>51</v>
      </c>
      <c r="B19" s="39">
        <v>0.1</v>
      </c>
      <c r="C19" s="39">
        <v>0</v>
      </c>
    </row>
    <row r="21" spans="1:7" x14ac:dyDescent="0.25">
      <c r="A21" s="42" t="s">
        <v>52</v>
      </c>
    </row>
    <row r="22" spans="1:7" x14ac:dyDescent="0.25">
      <c r="A22" s="32" t="s">
        <v>53</v>
      </c>
      <c r="B22" s="43">
        <f>+B17+((B17-B19)*(B8/B7)*(1-B11))</f>
        <v>0.67333333333333334</v>
      </c>
    </row>
    <row r="23" spans="1:7" x14ac:dyDescent="0.25">
      <c r="A23" s="42" t="s">
        <v>54</v>
      </c>
    </row>
    <row r="24" spans="1:7" x14ac:dyDescent="0.25">
      <c r="A24" s="32" t="s">
        <v>53</v>
      </c>
      <c r="B24" s="68">
        <f>+B17+((B17-C19)*(B8/B7)*(1-B11))</f>
        <v>0.71666666666666667</v>
      </c>
    </row>
    <row r="26" spans="1:7" x14ac:dyDescent="0.25">
      <c r="A26" s="31"/>
    </row>
    <row r="27" spans="1:7" ht="90" customHeight="1" x14ac:dyDescent="0.25">
      <c r="A27" s="104"/>
      <c r="B27" s="104"/>
      <c r="C27" s="104"/>
      <c r="D27" s="104"/>
      <c r="E27" s="104"/>
      <c r="F27" s="104"/>
      <c r="G27" s="104"/>
    </row>
  </sheetData>
  <mergeCells count="1">
    <mergeCell ref="A27:G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zoomScale="90" zoomScaleNormal="90" workbookViewId="0">
      <selection activeCell="E13" sqref="E13"/>
    </sheetView>
  </sheetViews>
  <sheetFormatPr baseColWidth="10" defaultColWidth="11.42578125" defaultRowHeight="15" x14ac:dyDescent="0.25"/>
  <cols>
    <col min="1" max="1" width="11.42578125" style="3"/>
    <col min="2" max="2" width="37" style="3" bestFit="1" customWidth="1"/>
    <col min="3" max="3" width="12.7109375" style="3" bestFit="1" customWidth="1"/>
    <col min="4" max="4" width="15.28515625" style="3" customWidth="1"/>
    <col min="5" max="5" width="11.42578125" style="3"/>
    <col min="6" max="6" width="14" style="3" customWidth="1"/>
    <col min="7" max="7" width="15" style="3" bestFit="1" customWidth="1"/>
    <col min="8" max="8" width="13.85546875" style="3" bestFit="1" customWidth="1"/>
    <col min="9" max="9" width="14.5703125" style="3" bestFit="1" customWidth="1"/>
    <col min="10" max="10" width="13.5703125" style="3" bestFit="1" customWidth="1"/>
    <col min="11" max="16384" width="11.42578125" style="3"/>
  </cols>
  <sheetData>
    <row r="1" spans="1:8" x14ac:dyDescent="0.25">
      <c r="A1" s="1"/>
      <c r="B1" s="2"/>
      <c r="C1" s="2"/>
      <c r="D1" s="2"/>
      <c r="E1" s="2"/>
      <c r="F1" s="2"/>
    </row>
    <row r="2" spans="1:8" x14ac:dyDescent="0.25">
      <c r="A2" s="4"/>
      <c r="B2" s="2" t="s">
        <v>35</v>
      </c>
      <c r="C2" s="5">
        <v>20000000</v>
      </c>
      <c r="D2" s="2"/>
      <c r="E2" s="57"/>
      <c r="F2" s="62" t="s">
        <v>75</v>
      </c>
      <c r="G2" s="57"/>
      <c r="H2" s="57"/>
    </row>
    <row r="3" spans="1:8" x14ac:dyDescent="0.25">
      <c r="A3" s="7"/>
      <c r="B3" s="8"/>
      <c r="C3" s="9"/>
      <c r="D3" s="2"/>
      <c r="E3" s="57" t="s">
        <v>76</v>
      </c>
      <c r="F3" s="58">
        <v>20000000</v>
      </c>
      <c r="G3" s="57"/>
      <c r="H3" s="57"/>
    </row>
    <row r="4" spans="1:8" x14ac:dyDescent="0.25">
      <c r="A4" s="4"/>
      <c r="B4" s="11" t="s">
        <v>23</v>
      </c>
      <c r="C4" s="12">
        <f>+C2-C3</f>
        <v>20000000</v>
      </c>
      <c r="D4" s="2"/>
      <c r="E4" s="57" t="s">
        <v>77</v>
      </c>
      <c r="F4" s="58">
        <v>6</v>
      </c>
      <c r="G4" s="57"/>
      <c r="H4" s="57"/>
    </row>
    <row r="5" spans="1:8" x14ac:dyDescent="0.25">
      <c r="A5" s="4"/>
      <c r="B5" s="8"/>
      <c r="C5" s="12"/>
      <c r="D5" s="2"/>
      <c r="E5" s="57" t="s">
        <v>78</v>
      </c>
      <c r="F5" s="59">
        <f>+F3*F4</f>
        <v>120000000</v>
      </c>
      <c r="G5" s="57"/>
      <c r="H5" s="57"/>
    </row>
    <row r="6" spans="1:8" x14ac:dyDescent="0.25">
      <c r="A6" s="4"/>
      <c r="B6" s="13" t="s">
        <v>34</v>
      </c>
      <c r="C6" s="5"/>
      <c r="D6" s="2"/>
      <c r="E6" s="57" t="s">
        <v>79</v>
      </c>
      <c r="F6" s="58">
        <f>500000*14.5</f>
        <v>7250000</v>
      </c>
      <c r="G6" s="57"/>
      <c r="H6" s="57"/>
    </row>
    <row r="7" spans="1:8" x14ac:dyDescent="0.25">
      <c r="A7" s="7"/>
      <c r="B7" s="14" t="s">
        <v>81</v>
      </c>
      <c r="C7" s="5">
        <v>200000</v>
      </c>
      <c r="D7" s="2"/>
      <c r="E7" s="57" t="s">
        <v>80</v>
      </c>
      <c r="F7" s="57"/>
      <c r="G7" s="57"/>
      <c r="H7" s="57"/>
    </row>
    <row r="8" spans="1:8" x14ac:dyDescent="0.25">
      <c r="A8" s="7"/>
      <c r="B8" s="14" t="s">
        <v>33</v>
      </c>
      <c r="C8" s="5">
        <f>-750000*14.5</f>
        <v>-10875000</v>
      </c>
      <c r="D8" s="2"/>
      <c r="E8" s="57"/>
      <c r="F8" s="63"/>
      <c r="G8" s="57"/>
      <c r="H8" s="57"/>
    </row>
    <row r="9" spans="1:8" x14ac:dyDescent="0.25">
      <c r="A9" s="7"/>
      <c r="B9" s="14" t="s">
        <v>32</v>
      </c>
      <c r="C9" s="9">
        <f>+-(C18-C16)</f>
        <v>-100000</v>
      </c>
      <c r="D9" s="54"/>
      <c r="E9" s="57"/>
      <c r="F9" s="60">
        <f>+F5-F6+F7</f>
        <v>112750000</v>
      </c>
      <c r="G9" s="61">
        <f>+F9*0.6</f>
        <v>67650000</v>
      </c>
      <c r="H9" s="64">
        <f>+G9/14.5</f>
        <v>4665517.2413793104</v>
      </c>
    </row>
    <row r="10" spans="1:8" x14ac:dyDescent="0.25">
      <c r="A10" s="4"/>
      <c r="B10" s="16" t="s">
        <v>22</v>
      </c>
      <c r="C10" s="12">
        <f>+C4+C7+C8+C9</f>
        <v>9225000</v>
      </c>
      <c r="D10" s="2"/>
      <c r="E10" s="2"/>
      <c r="F10" s="2"/>
    </row>
    <row r="11" spans="1:8" x14ac:dyDescent="0.25">
      <c r="A11" s="4"/>
      <c r="B11" s="14"/>
      <c r="C11" s="5"/>
      <c r="D11" s="2"/>
      <c r="E11" s="2"/>
      <c r="F11" s="2"/>
    </row>
    <row r="12" spans="1:8" x14ac:dyDescent="0.25">
      <c r="A12" s="4"/>
      <c r="B12" s="13" t="s">
        <v>31</v>
      </c>
      <c r="C12" s="5"/>
      <c r="D12" s="2"/>
      <c r="E12" s="2"/>
      <c r="F12" s="2"/>
    </row>
    <row r="13" spans="1:8" x14ac:dyDescent="0.25">
      <c r="A13" s="4"/>
      <c r="B13" s="14" t="s">
        <v>30</v>
      </c>
      <c r="C13" s="5">
        <v>700000</v>
      </c>
      <c r="D13" s="2"/>
      <c r="E13" s="2"/>
      <c r="F13" s="2"/>
    </row>
    <row r="14" spans="1:8" x14ac:dyDescent="0.25">
      <c r="A14" s="7"/>
      <c r="B14" s="14" t="s">
        <v>29</v>
      </c>
      <c r="C14" s="5">
        <v>3000000</v>
      </c>
      <c r="D14" s="2"/>
      <c r="E14" s="2"/>
      <c r="F14" s="2"/>
    </row>
    <row r="15" spans="1:8" x14ac:dyDescent="0.25">
      <c r="A15" s="7"/>
      <c r="B15" s="14" t="s">
        <v>28</v>
      </c>
      <c r="C15" s="17">
        <v>1000000</v>
      </c>
      <c r="D15" s="2"/>
      <c r="E15" s="2"/>
      <c r="F15" s="2"/>
    </row>
    <row r="16" spans="1:8" x14ac:dyDescent="0.25">
      <c r="A16" s="4"/>
      <c r="B16" s="2" t="s">
        <v>27</v>
      </c>
      <c r="C16" s="18">
        <f>+C13+C14-C15</f>
        <v>2700000</v>
      </c>
      <c r="D16" s="2"/>
      <c r="E16" s="2"/>
      <c r="F16" s="2"/>
    </row>
    <row r="17" spans="1:6" x14ac:dyDescent="0.25">
      <c r="A17" s="7"/>
      <c r="B17" s="19" t="s">
        <v>26</v>
      </c>
      <c r="C17" s="17">
        <v>100000</v>
      </c>
      <c r="D17" s="2"/>
      <c r="E17" s="2"/>
      <c r="F17" s="2"/>
    </row>
    <row r="18" spans="1:6" x14ac:dyDescent="0.25">
      <c r="A18" s="4"/>
      <c r="B18" s="20" t="s">
        <v>25</v>
      </c>
      <c r="C18" s="21">
        <f>+C16+C17</f>
        <v>2800000</v>
      </c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2" t="s">
        <v>24</v>
      </c>
      <c r="C20" s="2"/>
      <c r="D20" s="2"/>
      <c r="E20" s="2"/>
      <c r="F20" s="2"/>
    </row>
    <row r="21" spans="1:6" x14ac:dyDescent="0.25">
      <c r="A21" s="2"/>
      <c r="B21" s="23" t="s">
        <v>23</v>
      </c>
      <c r="C21" s="18">
        <f>+C4</f>
        <v>20000000</v>
      </c>
      <c r="D21" s="2"/>
      <c r="E21" s="2"/>
      <c r="F21" s="2"/>
    </row>
    <row r="22" spans="1:6" x14ac:dyDescent="0.25">
      <c r="A22" s="7"/>
      <c r="B22" s="23" t="s">
        <v>22</v>
      </c>
      <c r="C22" s="24">
        <f>+C10</f>
        <v>9225000</v>
      </c>
      <c r="D22" s="2"/>
      <c r="E22" s="2"/>
      <c r="F22" s="2"/>
    </row>
    <row r="23" spans="1:6" x14ac:dyDescent="0.25">
      <c r="A23" s="2"/>
      <c r="B23" s="2" t="s">
        <v>20</v>
      </c>
      <c r="C23" s="18">
        <f>+C21-C22</f>
        <v>10775000</v>
      </c>
      <c r="D23" s="2"/>
      <c r="E23" s="2"/>
      <c r="F23" s="2"/>
    </row>
    <row r="24" spans="1:6" x14ac:dyDescent="0.25">
      <c r="A24" s="7"/>
      <c r="B24" s="2" t="s">
        <v>21</v>
      </c>
      <c r="C24" s="17">
        <f>+C17</f>
        <v>100000</v>
      </c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C26" s="62" t="s">
        <v>83</v>
      </c>
      <c r="E26" s="2"/>
      <c r="F26" s="2"/>
    </row>
    <row r="27" spans="1:6" x14ac:dyDescent="0.25">
      <c r="A27" s="7"/>
      <c r="B27" s="57" t="s">
        <v>76</v>
      </c>
      <c r="C27" s="58">
        <f>+C22</f>
        <v>9225000</v>
      </c>
      <c r="D27" s="57"/>
      <c r="E27" s="2"/>
      <c r="F27" s="2"/>
    </row>
    <row r="28" spans="1:6" x14ac:dyDescent="0.25">
      <c r="A28" s="2"/>
      <c r="B28" s="57" t="s">
        <v>77</v>
      </c>
      <c r="C28" s="58">
        <v>6</v>
      </c>
      <c r="D28" s="57"/>
      <c r="E28" s="2"/>
      <c r="F28" s="2"/>
    </row>
    <row r="29" spans="1:6" x14ac:dyDescent="0.25">
      <c r="A29" s="7"/>
      <c r="B29" s="57" t="s">
        <v>78</v>
      </c>
      <c r="C29" s="59">
        <f>+C27*C28</f>
        <v>55350000</v>
      </c>
      <c r="D29" s="57"/>
      <c r="E29" s="2"/>
      <c r="F29" s="55"/>
    </row>
    <row r="30" spans="1:6" x14ac:dyDescent="0.25">
      <c r="A30" s="2"/>
      <c r="B30" s="57" t="s">
        <v>79</v>
      </c>
      <c r="C30" s="58">
        <f>500000*14.5</f>
        <v>7250000</v>
      </c>
      <c r="D30" s="57"/>
      <c r="E30" s="2"/>
      <c r="F30" s="2"/>
    </row>
    <row r="31" spans="1:6" x14ac:dyDescent="0.25">
      <c r="A31" s="2"/>
      <c r="B31" s="57" t="s">
        <v>80</v>
      </c>
      <c r="C31" s="57">
        <v>0</v>
      </c>
      <c r="D31" s="57"/>
      <c r="E31" s="2"/>
      <c r="F31" s="2"/>
    </row>
    <row r="32" spans="1:6" x14ac:dyDescent="0.25">
      <c r="A32" s="2"/>
      <c r="B32" s="57" t="s">
        <v>82</v>
      </c>
      <c r="C32" s="65">
        <f>+-C17</f>
        <v>-100000</v>
      </c>
      <c r="D32" s="54"/>
      <c r="E32" s="2"/>
      <c r="F32" s="2"/>
    </row>
    <row r="33" spans="1:6" x14ac:dyDescent="0.25">
      <c r="A33" s="2"/>
      <c r="B33" s="57"/>
      <c r="C33" s="60">
        <f>+C29-C30+C31+C32</f>
        <v>48000000</v>
      </c>
      <c r="D33" s="61">
        <f>+C33*0.6</f>
        <v>28800000</v>
      </c>
      <c r="E33" s="2"/>
      <c r="F33" s="2"/>
    </row>
    <row r="34" spans="1:6" x14ac:dyDescent="0.25">
      <c r="A34" s="2"/>
      <c r="B34" s="25"/>
      <c r="C34" s="2"/>
      <c r="D34" s="2"/>
      <c r="E34" s="2"/>
      <c r="F34" s="2"/>
    </row>
    <row r="35" spans="1:6" x14ac:dyDescent="0.25">
      <c r="A35" s="2"/>
      <c r="B35" s="56" t="s">
        <v>105</v>
      </c>
      <c r="C35" s="2"/>
      <c r="D35" s="4"/>
      <c r="E35" s="2"/>
      <c r="F35" s="2"/>
    </row>
    <row r="36" spans="1:6" x14ac:dyDescent="0.25">
      <c r="A36" s="7"/>
      <c r="B36" s="2" t="s">
        <v>104</v>
      </c>
      <c r="C36" s="18">
        <f>+C17</f>
        <v>100000</v>
      </c>
      <c r="D36" s="18"/>
      <c r="E36" s="4"/>
      <c r="F36" s="2"/>
    </row>
    <row r="37" spans="1:6" x14ac:dyDescent="0.25">
      <c r="A37" s="2"/>
      <c r="B37" s="14" t="s">
        <v>106</v>
      </c>
      <c r="C37" s="2"/>
      <c r="D37" s="18">
        <f>+C36</f>
        <v>100000</v>
      </c>
      <c r="E37" s="4"/>
      <c r="F37" s="2"/>
    </row>
    <row r="38" spans="1:6" x14ac:dyDescent="0.25">
      <c r="A38" s="7"/>
      <c r="B38" s="14"/>
      <c r="C38" s="2"/>
      <c r="D38" s="18"/>
      <c r="E38" s="4"/>
      <c r="F38" s="2"/>
    </row>
    <row r="39" spans="1:6" x14ac:dyDescent="0.25">
      <c r="A39" s="2"/>
      <c r="B39" s="16"/>
      <c r="C39" s="2"/>
      <c r="D39" s="21"/>
      <c r="E39" s="2"/>
      <c r="F39" s="2"/>
    </row>
    <row r="40" spans="1:6" x14ac:dyDescent="0.25">
      <c r="A40" s="4"/>
      <c r="B40" s="2"/>
      <c r="C40" s="2"/>
      <c r="D40" s="2"/>
      <c r="E40" s="2"/>
      <c r="F40" s="2"/>
    </row>
    <row r="41" spans="1:6" x14ac:dyDescent="0.25">
      <c r="A41" s="2"/>
      <c r="B41" s="16"/>
      <c r="C41" s="2"/>
      <c r="D41" s="26"/>
      <c r="E41" s="2"/>
      <c r="F41" s="2"/>
    </row>
    <row r="42" spans="1:6" x14ac:dyDescent="0.25">
      <c r="A42" s="2"/>
      <c r="B42" s="2"/>
      <c r="C42" s="18"/>
      <c r="D42" s="2"/>
      <c r="E42" s="2"/>
      <c r="F42" s="2"/>
    </row>
    <row r="43" spans="1:6" x14ac:dyDescent="0.25">
      <c r="A43" s="7"/>
      <c r="B43" s="2"/>
      <c r="C43" s="18"/>
      <c r="D43" s="2"/>
      <c r="E43" s="2"/>
      <c r="F43" s="2"/>
    </row>
    <row r="44" spans="1:6" x14ac:dyDescent="0.25">
      <c r="A44" s="2"/>
      <c r="B44" s="2"/>
      <c r="C44" s="21"/>
      <c r="D44" s="27"/>
      <c r="E44" s="2"/>
      <c r="F44" s="2"/>
    </row>
    <row r="45" spans="1:6" x14ac:dyDescent="0.25">
      <c r="A45" s="28"/>
      <c r="B45" s="5"/>
      <c r="C45" s="2"/>
      <c r="D45" s="2"/>
      <c r="E45" s="2"/>
      <c r="F45" s="2"/>
    </row>
    <row r="46" spans="1:6" x14ac:dyDescent="0.25">
      <c r="A46" s="28"/>
      <c r="B46" s="5"/>
      <c r="C46" s="2"/>
      <c r="D46" s="2"/>
      <c r="E46" s="2"/>
      <c r="F46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3" workbookViewId="0">
      <selection activeCell="I15" sqref="I15"/>
    </sheetView>
  </sheetViews>
  <sheetFormatPr baseColWidth="10" defaultColWidth="11.42578125" defaultRowHeight="15" x14ac:dyDescent="0.25"/>
  <cols>
    <col min="1" max="1" width="27.140625" style="3" customWidth="1"/>
    <col min="2" max="2" width="16.28515625" style="3" bestFit="1" customWidth="1"/>
    <col min="3" max="3" width="12.85546875" style="3" bestFit="1" customWidth="1"/>
    <col min="4" max="5" width="11.42578125" style="3"/>
    <col min="6" max="6" width="15" style="3" bestFit="1" customWidth="1"/>
    <col min="7" max="16384" width="11.42578125" style="3"/>
  </cols>
  <sheetData>
    <row r="1" spans="1:6" x14ac:dyDescent="0.25">
      <c r="A1" s="6" t="s">
        <v>0</v>
      </c>
      <c r="B1" s="45">
        <f>+B2+B3</f>
        <v>176000000</v>
      </c>
    </row>
    <row r="2" spans="1:6" x14ac:dyDescent="0.25">
      <c r="A2" s="3" t="s">
        <v>1</v>
      </c>
      <c r="B2" s="10">
        <v>110000000</v>
      </c>
    </row>
    <row r="3" spans="1:6" x14ac:dyDescent="0.25">
      <c r="A3" s="3" t="s">
        <v>2</v>
      </c>
      <c r="B3" s="10">
        <f>+B2*0.6</f>
        <v>66000000</v>
      </c>
    </row>
    <row r="4" spans="1:6" x14ac:dyDescent="0.25">
      <c r="B4" s="10"/>
      <c r="F4" s="46" t="s">
        <v>85</v>
      </c>
    </row>
    <row r="5" spans="1:6" x14ac:dyDescent="0.25">
      <c r="A5" s="6" t="s">
        <v>3</v>
      </c>
      <c r="B5" s="45">
        <f>+B1*0.45</f>
        <v>79200000</v>
      </c>
      <c r="D5" s="3" t="s">
        <v>15</v>
      </c>
      <c r="E5" s="34">
        <v>0.75</v>
      </c>
      <c r="F5" s="10">
        <f>+E5*$B$5</f>
        <v>59400000</v>
      </c>
    </row>
    <row r="6" spans="1:6" x14ac:dyDescent="0.25">
      <c r="B6" s="10"/>
      <c r="D6" s="3" t="s">
        <v>16</v>
      </c>
      <c r="E6" s="34">
        <v>0.06</v>
      </c>
      <c r="F6" s="10">
        <f>+E6*$B$5</f>
        <v>4752000</v>
      </c>
    </row>
    <row r="7" spans="1:6" x14ac:dyDescent="0.25">
      <c r="A7" s="31" t="s">
        <v>10</v>
      </c>
      <c r="B7" s="10"/>
      <c r="D7" s="3" t="s">
        <v>17</v>
      </c>
      <c r="E7" s="34">
        <v>4.4999999999999998E-2</v>
      </c>
      <c r="F7" s="10">
        <f>+E7*$B$5</f>
        <v>3564000</v>
      </c>
    </row>
    <row r="8" spans="1:6" x14ac:dyDescent="0.25">
      <c r="A8" s="3" t="s">
        <v>4</v>
      </c>
      <c r="B8" s="15">
        <f>+B1</f>
        <v>176000000</v>
      </c>
      <c r="D8" s="3" t="s">
        <v>18</v>
      </c>
      <c r="E8" s="34">
        <f>1-SUM(E5:E7)</f>
        <v>0.14499999999999991</v>
      </c>
      <c r="F8" s="10">
        <f t="shared" ref="F8" si="0">+E8*$B$5</f>
        <v>11483999.999999993</v>
      </c>
    </row>
    <row r="9" spans="1:6" x14ac:dyDescent="0.25">
      <c r="A9" s="3" t="s">
        <v>5</v>
      </c>
      <c r="B9" s="15">
        <f>-C9*$B$8</f>
        <v>-10560000</v>
      </c>
      <c r="C9" s="47">
        <v>0.06</v>
      </c>
      <c r="F9" s="10"/>
    </row>
    <row r="10" spans="1:6" x14ac:dyDescent="0.25">
      <c r="A10" s="3" t="s">
        <v>6</v>
      </c>
      <c r="B10" s="15">
        <f>-C10*$B$8</f>
        <v>-1232000</v>
      </c>
      <c r="C10" s="47">
        <v>7.0000000000000001E-3</v>
      </c>
    </row>
    <row r="11" spans="1:6" x14ac:dyDescent="0.25">
      <c r="A11" s="3" t="s">
        <v>7</v>
      </c>
      <c r="B11" s="15">
        <f>-C11*$B$8</f>
        <v>-61599999.999999993</v>
      </c>
      <c r="C11" s="49">
        <v>0.35</v>
      </c>
    </row>
    <row r="12" spans="1:6" x14ac:dyDescent="0.25">
      <c r="A12" s="3" t="s">
        <v>86</v>
      </c>
      <c r="B12" s="15">
        <f>-C12*$B$8</f>
        <v>-12320000.000000002</v>
      </c>
      <c r="C12" s="49">
        <v>7.0000000000000007E-2</v>
      </c>
    </row>
    <row r="13" spans="1:6" x14ac:dyDescent="0.25">
      <c r="A13" s="3" t="s">
        <v>3</v>
      </c>
      <c r="B13" s="15">
        <f>-B5</f>
        <v>-79200000</v>
      </c>
    </row>
    <row r="14" spans="1:6" x14ac:dyDescent="0.25">
      <c r="A14" s="32" t="s">
        <v>8</v>
      </c>
      <c r="B14" s="48">
        <f>-SUM(B8:B13)</f>
        <v>-11088000</v>
      </c>
      <c r="C14" s="30"/>
    </row>
    <row r="15" spans="1:6" x14ac:dyDescent="0.25">
      <c r="A15" s="3" t="s">
        <v>9</v>
      </c>
      <c r="B15" s="15">
        <f>SUM(B8:B14)</f>
        <v>0</v>
      </c>
      <c r="C15" s="3" t="s">
        <v>108</v>
      </c>
    </row>
    <row r="17" spans="1:2" x14ac:dyDescent="0.25">
      <c r="A17" s="31" t="s">
        <v>11</v>
      </c>
    </row>
    <row r="19" spans="1:2" x14ac:dyDescent="0.25">
      <c r="A19" s="3" t="s">
        <v>12</v>
      </c>
      <c r="B19" s="50">
        <f>+F5/B2</f>
        <v>0.54</v>
      </c>
    </row>
    <row r="20" spans="1:2" x14ac:dyDescent="0.25">
      <c r="A20" s="3" t="s">
        <v>13</v>
      </c>
      <c r="B20" s="50">
        <f>+(F5+F6)/B2</f>
        <v>0.58320000000000005</v>
      </c>
    </row>
    <row r="21" spans="1:2" x14ac:dyDescent="0.25">
      <c r="A21" s="3" t="s">
        <v>14</v>
      </c>
      <c r="B21" s="50">
        <f>+(+F5+F6+F7)/B2</f>
        <v>0.61560000000000004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topLeftCell="D1" workbookViewId="0">
      <selection activeCell="N28" sqref="N28"/>
    </sheetView>
  </sheetViews>
  <sheetFormatPr baseColWidth="10" defaultColWidth="11.42578125" defaultRowHeight="15" x14ac:dyDescent="0.25"/>
  <cols>
    <col min="1" max="1" width="11.42578125" style="3"/>
    <col min="2" max="2" width="18" style="3" customWidth="1"/>
    <col min="3" max="3" width="9.5703125" style="3" customWidth="1"/>
    <col min="4" max="4" width="6.140625" style="3" customWidth="1"/>
    <col min="5" max="5" width="7.28515625" style="3" customWidth="1"/>
    <col min="6" max="6" width="5" style="3" customWidth="1"/>
    <col min="7" max="9" width="11.42578125" style="3"/>
    <col min="10" max="10" width="16.28515625" style="3" bestFit="1" customWidth="1"/>
    <col min="11" max="11" width="11.42578125" style="3"/>
    <col min="12" max="12" width="7.85546875" style="3" customWidth="1"/>
    <col min="13" max="13" width="9" style="3" customWidth="1"/>
    <col min="14" max="14" width="12.7109375" style="3" customWidth="1"/>
    <col min="15" max="15" width="11.42578125" style="3"/>
    <col min="16" max="16" width="12.42578125" style="3" bestFit="1" customWidth="1"/>
    <col min="17" max="17" width="14" style="3" customWidth="1"/>
    <col min="18" max="16384" width="11.42578125" style="3"/>
  </cols>
  <sheetData>
    <row r="1" spans="1:15" ht="15.75" thickBot="1" x14ac:dyDescent="0.3">
      <c r="A1" s="116" t="s">
        <v>71</v>
      </c>
      <c r="B1" s="117"/>
      <c r="C1" s="117"/>
      <c r="D1" s="117"/>
      <c r="E1" s="117"/>
      <c r="F1" s="117"/>
      <c r="G1" s="118"/>
      <c r="I1" s="111" t="s">
        <v>72</v>
      </c>
      <c r="J1" s="112"/>
      <c r="K1" s="112"/>
      <c r="L1" s="112"/>
      <c r="M1" s="112"/>
      <c r="N1" s="112"/>
      <c r="O1" s="113"/>
    </row>
    <row r="2" spans="1:15" ht="15.75" thickBot="1" x14ac:dyDescent="0.3">
      <c r="A2" s="71" t="s">
        <v>56</v>
      </c>
      <c r="B2" s="72" t="s">
        <v>57</v>
      </c>
      <c r="C2" s="114" t="s">
        <v>58</v>
      </c>
      <c r="D2" s="114"/>
      <c r="E2" s="114"/>
      <c r="F2" s="114"/>
      <c r="G2" s="73" t="s">
        <v>59</v>
      </c>
      <c r="I2" s="71" t="s">
        <v>56</v>
      </c>
      <c r="J2" s="72" t="s">
        <v>57</v>
      </c>
      <c r="K2" s="114" t="s">
        <v>58</v>
      </c>
      <c r="L2" s="114"/>
      <c r="M2" s="114"/>
      <c r="N2" s="114"/>
      <c r="O2" s="73" t="s">
        <v>59</v>
      </c>
    </row>
    <row r="3" spans="1:15" x14ac:dyDescent="0.25">
      <c r="A3" s="74" t="s">
        <v>91</v>
      </c>
      <c r="B3" s="75">
        <v>42566</v>
      </c>
      <c r="C3" s="115">
        <v>6000000</v>
      </c>
      <c r="D3" s="115"/>
      <c r="E3" s="115"/>
      <c r="F3" s="115"/>
      <c r="G3" s="76">
        <v>5.5E-2</v>
      </c>
      <c r="I3" s="74" t="s">
        <v>60</v>
      </c>
      <c r="J3" s="75">
        <v>42569</v>
      </c>
      <c r="K3" s="115">
        <v>70000000</v>
      </c>
      <c r="L3" s="115"/>
      <c r="M3" s="115"/>
      <c r="N3" s="115"/>
      <c r="O3" s="76">
        <v>0.06</v>
      </c>
    </row>
    <row r="4" spans="1:15" x14ac:dyDescent="0.25">
      <c r="A4" s="77" t="s">
        <v>92</v>
      </c>
      <c r="B4" s="78">
        <v>42568</v>
      </c>
      <c r="C4" s="110">
        <v>7500000</v>
      </c>
      <c r="D4" s="110"/>
      <c r="E4" s="110"/>
      <c r="F4" s="110"/>
      <c r="G4" s="79">
        <v>0.06</v>
      </c>
      <c r="I4" s="77" t="s">
        <v>61</v>
      </c>
      <c r="J4" s="78">
        <v>42569</v>
      </c>
      <c r="K4" s="110">
        <v>60000000</v>
      </c>
      <c r="L4" s="110"/>
      <c r="M4" s="110"/>
      <c r="N4" s="110"/>
      <c r="O4" s="79">
        <v>0.06</v>
      </c>
    </row>
    <row r="5" spans="1:15" x14ac:dyDescent="0.25">
      <c r="A5" s="77" t="s">
        <v>93</v>
      </c>
      <c r="B5" s="78">
        <v>42569</v>
      </c>
      <c r="C5" s="106">
        <v>5000000</v>
      </c>
      <c r="D5" s="106"/>
      <c r="E5" s="106"/>
      <c r="F5" s="106"/>
      <c r="G5" s="79">
        <v>3.9E-2</v>
      </c>
      <c r="I5" s="77" t="s">
        <v>62</v>
      </c>
      <c r="J5" s="78">
        <v>42567</v>
      </c>
      <c r="K5" s="110">
        <v>35000000</v>
      </c>
      <c r="L5" s="110"/>
      <c r="M5" s="110"/>
      <c r="N5" s="110"/>
      <c r="O5" s="79">
        <v>0.05</v>
      </c>
    </row>
    <row r="6" spans="1:15" x14ac:dyDescent="0.25">
      <c r="A6" s="77" t="s">
        <v>94</v>
      </c>
      <c r="B6" s="80">
        <v>42567</v>
      </c>
      <c r="C6" s="106">
        <v>6000000</v>
      </c>
      <c r="D6" s="106"/>
      <c r="E6" s="106"/>
      <c r="F6" s="106"/>
      <c r="G6" s="79">
        <v>4.4999999999999998E-2</v>
      </c>
      <c r="I6" s="77" t="s">
        <v>63</v>
      </c>
      <c r="J6" s="80">
        <v>42570</v>
      </c>
      <c r="K6" s="110">
        <v>35000000</v>
      </c>
      <c r="L6" s="110"/>
      <c r="M6" s="110"/>
      <c r="N6" s="110"/>
      <c r="O6" s="79">
        <v>3.9E-2</v>
      </c>
    </row>
    <row r="7" spans="1:15" x14ac:dyDescent="0.25">
      <c r="A7" s="77" t="s">
        <v>95</v>
      </c>
      <c r="B7" s="78">
        <v>42568</v>
      </c>
      <c r="C7" s="106">
        <v>7000000</v>
      </c>
      <c r="D7" s="106"/>
      <c r="E7" s="106"/>
      <c r="F7" s="106"/>
      <c r="G7" s="81">
        <v>4.2500000000000003E-2</v>
      </c>
      <c r="I7" s="82" t="s">
        <v>64</v>
      </c>
      <c r="J7" s="78">
        <v>42568</v>
      </c>
      <c r="K7" s="106">
        <v>150000000</v>
      </c>
      <c r="L7" s="106"/>
      <c r="M7" s="106"/>
      <c r="N7" s="106"/>
      <c r="O7" s="81">
        <v>4.2500000000000003E-2</v>
      </c>
    </row>
    <row r="8" spans="1:15" x14ac:dyDescent="0.25">
      <c r="A8" s="77" t="s">
        <v>96</v>
      </c>
      <c r="B8" s="78">
        <v>42569</v>
      </c>
      <c r="C8" s="106">
        <v>6000000</v>
      </c>
      <c r="D8" s="106"/>
      <c r="E8" s="106"/>
      <c r="F8" s="106"/>
      <c r="G8" s="81">
        <v>0.05</v>
      </c>
      <c r="I8" s="82" t="s">
        <v>65</v>
      </c>
      <c r="J8" s="78">
        <v>42566</v>
      </c>
      <c r="K8" s="106">
        <v>40000000</v>
      </c>
      <c r="L8" s="106"/>
      <c r="M8" s="106"/>
      <c r="N8" s="106"/>
      <c r="O8" s="81">
        <v>0.05</v>
      </c>
    </row>
    <row r="9" spans="1:15" x14ac:dyDescent="0.25">
      <c r="A9" s="77" t="s">
        <v>97</v>
      </c>
      <c r="B9" s="78">
        <v>42569</v>
      </c>
      <c r="C9" s="106">
        <v>5000000</v>
      </c>
      <c r="D9" s="106"/>
      <c r="E9" s="106"/>
      <c r="F9" s="106"/>
      <c r="G9" s="81">
        <v>0.04</v>
      </c>
      <c r="I9" s="82" t="s">
        <v>66</v>
      </c>
      <c r="J9" s="78">
        <v>42568</v>
      </c>
      <c r="K9" s="106">
        <v>50000000</v>
      </c>
      <c r="L9" s="106"/>
      <c r="M9" s="106"/>
      <c r="N9" s="106"/>
      <c r="O9" s="81">
        <v>4.4499999999999998E-2</v>
      </c>
    </row>
    <row r="10" spans="1:15" x14ac:dyDescent="0.25">
      <c r="A10" s="77" t="s">
        <v>98</v>
      </c>
      <c r="B10" s="78">
        <v>42567</v>
      </c>
      <c r="C10" s="106">
        <v>6500000</v>
      </c>
      <c r="D10" s="106"/>
      <c r="E10" s="106"/>
      <c r="F10" s="106"/>
      <c r="G10" s="81">
        <v>0.05</v>
      </c>
      <c r="I10" s="82" t="s">
        <v>67</v>
      </c>
      <c r="J10" s="78">
        <v>42569</v>
      </c>
      <c r="K10" s="106">
        <v>35000000</v>
      </c>
      <c r="L10" s="106"/>
      <c r="M10" s="106"/>
      <c r="N10" s="106"/>
      <c r="O10" s="81">
        <v>4.4999999999999998E-2</v>
      </c>
    </row>
    <row r="11" spans="1:15" x14ac:dyDescent="0.25">
      <c r="A11" s="77" t="s">
        <v>99</v>
      </c>
      <c r="B11" s="78">
        <v>42570</v>
      </c>
      <c r="C11" s="106">
        <v>5000000</v>
      </c>
      <c r="D11" s="106"/>
      <c r="E11" s="106"/>
      <c r="F11" s="106"/>
      <c r="G11" s="79">
        <v>6.5000000000000002E-2</v>
      </c>
      <c r="I11" s="77" t="s">
        <v>68</v>
      </c>
      <c r="J11" s="78">
        <v>42567</v>
      </c>
      <c r="K11" s="110">
        <v>45000000</v>
      </c>
      <c r="L11" s="110"/>
      <c r="M11" s="110"/>
      <c r="N11" s="110"/>
      <c r="O11" s="79">
        <v>5.2600000000000001E-2</v>
      </c>
    </row>
    <row r="12" spans="1:15" ht="15.75" thickBot="1" x14ac:dyDescent="0.3">
      <c r="A12" s="77" t="s">
        <v>100</v>
      </c>
      <c r="B12" s="83">
        <v>42568</v>
      </c>
      <c r="C12" s="105">
        <v>7500000</v>
      </c>
      <c r="D12" s="105"/>
      <c r="E12" s="105"/>
      <c r="F12" s="105"/>
      <c r="G12" s="84">
        <v>0.06</v>
      </c>
      <c r="I12" s="85" t="s">
        <v>69</v>
      </c>
      <c r="J12" s="83">
        <v>42568</v>
      </c>
      <c r="K12" s="105">
        <v>170000000</v>
      </c>
      <c r="L12" s="105"/>
      <c r="M12" s="105"/>
      <c r="N12" s="105"/>
      <c r="O12" s="84">
        <v>6.5000000000000002E-2</v>
      </c>
    </row>
    <row r="13" spans="1:15" ht="15.75" thickBot="1" x14ac:dyDescent="0.3">
      <c r="A13" s="107" t="s">
        <v>70</v>
      </c>
      <c r="B13" s="108"/>
      <c r="C13" s="108">
        <f>+SUM(C3:F12)</f>
        <v>61500000</v>
      </c>
      <c r="D13" s="119">
        <f>+SUM(C3:F12)</f>
        <v>61500000</v>
      </c>
      <c r="E13" s="119"/>
      <c r="F13" s="119"/>
      <c r="G13" s="86"/>
      <c r="I13" s="107" t="s">
        <v>70</v>
      </c>
      <c r="J13" s="108"/>
      <c r="K13" s="108"/>
      <c r="L13" s="109">
        <f>+SUM(K3:N12)</f>
        <v>690000000</v>
      </c>
      <c r="M13" s="109"/>
      <c r="N13" s="109"/>
      <c r="O13" s="86"/>
    </row>
    <row r="15" spans="1:15" x14ac:dyDescent="0.25">
      <c r="J15" s="87"/>
      <c r="L15" s="88"/>
    </row>
    <row r="16" spans="1:15" x14ac:dyDescent="0.25">
      <c r="I16" s="31" t="s">
        <v>101</v>
      </c>
      <c r="M16" s="89" t="s">
        <v>63</v>
      </c>
      <c r="N16" s="90">
        <v>35000000</v>
      </c>
      <c r="O16" s="91">
        <v>3.9E-2</v>
      </c>
    </row>
    <row r="17" spans="9:17" x14ac:dyDescent="0.25">
      <c r="I17" s="32">
        <f>+L13/500000000</f>
        <v>1.38</v>
      </c>
      <c r="M17" s="92" t="s">
        <v>64</v>
      </c>
      <c r="N17" s="88">
        <v>150000000</v>
      </c>
      <c r="O17" s="93">
        <v>4.2500000000000003E-2</v>
      </c>
    </row>
    <row r="18" spans="9:17" x14ac:dyDescent="0.25">
      <c r="M18" s="92" t="s">
        <v>66</v>
      </c>
      <c r="N18" s="88">
        <v>50000000</v>
      </c>
      <c r="O18" s="93">
        <v>4.4499999999999998E-2</v>
      </c>
    </row>
    <row r="19" spans="9:17" x14ac:dyDescent="0.25">
      <c r="M19" s="92" t="s">
        <v>67</v>
      </c>
      <c r="N19" s="88">
        <v>35000000</v>
      </c>
      <c r="O19" s="93">
        <v>4.4999999999999998E-2</v>
      </c>
    </row>
    <row r="20" spans="9:17" x14ac:dyDescent="0.25">
      <c r="M20" s="89" t="s">
        <v>62</v>
      </c>
      <c r="N20" s="90">
        <v>35000000</v>
      </c>
      <c r="O20" s="91">
        <v>0.05</v>
      </c>
    </row>
    <row r="21" spans="9:17" x14ac:dyDescent="0.25">
      <c r="M21" s="89" t="s">
        <v>65</v>
      </c>
      <c r="N21" s="90">
        <v>40000000</v>
      </c>
      <c r="O21" s="91">
        <v>0.05</v>
      </c>
    </row>
    <row r="22" spans="9:17" x14ac:dyDescent="0.25">
      <c r="M22" s="92" t="s">
        <v>68</v>
      </c>
      <c r="N22" s="88">
        <v>45000000</v>
      </c>
      <c r="O22" s="93">
        <v>5.2600000000000001E-2</v>
      </c>
      <c r="P22" s="3" t="s">
        <v>88</v>
      </c>
      <c r="Q22" s="51">
        <f>+SUM(N16:N22)</f>
        <v>390000000</v>
      </c>
    </row>
    <row r="23" spans="9:17" x14ac:dyDescent="0.25">
      <c r="K23" s="52" t="s">
        <v>87</v>
      </c>
      <c r="M23" s="94" t="s">
        <v>61</v>
      </c>
      <c r="N23" s="95">
        <v>60000000</v>
      </c>
      <c r="O23" s="96">
        <v>0.06</v>
      </c>
      <c r="P23" s="3" t="s">
        <v>89</v>
      </c>
      <c r="Q23" s="51">
        <f>500000000-Q22</f>
        <v>110000000</v>
      </c>
    </row>
    <row r="24" spans="9:17" x14ac:dyDescent="0.25">
      <c r="K24" s="52"/>
      <c r="M24" s="94" t="s">
        <v>60</v>
      </c>
      <c r="N24" s="95">
        <v>70000000</v>
      </c>
      <c r="O24" s="97">
        <v>0.06</v>
      </c>
    </row>
    <row r="25" spans="9:17" ht="15.75" thickBot="1" x14ac:dyDescent="0.3">
      <c r="M25" s="98" t="s">
        <v>69</v>
      </c>
      <c r="N25" s="99">
        <v>150000000</v>
      </c>
      <c r="O25" s="100">
        <v>6.5000000000000002E-2</v>
      </c>
    </row>
    <row r="28" spans="9:17" x14ac:dyDescent="0.25">
      <c r="I28" s="3" t="str">
        <f>+M23</f>
        <v>B</v>
      </c>
      <c r="J28" s="44">
        <f>+N23</f>
        <v>60000000</v>
      </c>
      <c r="K28" s="53">
        <f>+J28/J30</f>
        <v>0.46153846153846156</v>
      </c>
    </row>
    <row r="29" spans="9:17" x14ac:dyDescent="0.25">
      <c r="I29" s="3" t="str">
        <f>+M24</f>
        <v>A</v>
      </c>
      <c r="J29" s="44">
        <f>+N24</f>
        <v>70000000</v>
      </c>
      <c r="K29" s="53">
        <f>+J29/J30</f>
        <v>0.53846153846153844</v>
      </c>
    </row>
    <row r="30" spans="9:17" x14ac:dyDescent="0.25">
      <c r="J30" s="53">
        <f>+J28+J29</f>
        <v>130000000</v>
      </c>
    </row>
    <row r="32" spans="9:17" x14ac:dyDescent="0.25">
      <c r="I32" s="31" t="s">
        <v>90</v>
      </c>
    </row>
    <row r="33" spans="9:10" x14ac:dyDescent="0.25">
      <c r="I33" s="32" t="str">
        <f>+I29</f>
        <v>A</v>
      </c>
      <c r="J33" s="48">
        <f>+K29*Q23</f>
        <v>59230769.230769224</v>
      </c>
    </row>
    <row r="34" spans="9:10" x14ac:dyDescent="0.25">
      <c r="I34" s="32" t="str">
        <f>+I28</f>
        <v>B</v>
      </c>
      <c r="J34" s="48">
        <f>+K28*Q23</f>
        <v>50769230.769230776</v>
      </c>
    </row>
    <row r="35" spans="9:10" x14ac:dyDescent="0.25">
      <c r="I35" s="32" t="str">
        <f>+M20</f>
        <v>C</v>
      </c>
      <c r="J35" s="48">
        <f>+N20</f>
        <v>35000000</v>
      </c>
    </row>
    <row r="36" spans="9:10" x14ac:dyDescent="0.25">
      <c r="I36" s="32" t="str">
        <f>+M16</f>
        <v>D</v>
      </c>
      <c r="J36" s="48">
        <f>+N16</f>
        <v>35000000</v>
      </c>
    </row>
    <row r="37" spans="9:10" x14ac:dyDescent="0.25">
      <c r="I37" s="32" t="str">
        <f>+M17</f>
        <v>E</v>
      </c>
      <c r="J37" s="48">
        <f>+N17</f>
        <v>150000000</v>
      </c>
    </row>
    <row r="38" spans="9:10" x14ac:dyDescent="0.25">
      <c r="I38" s="32" t="str">
        <f>+M21</f>
        <v>F</v>
      </c>
      <c r="J38" s="48">
        <f>+N21</f>
        <v>40000000</v>
      </c>
    </row>
    <row r="39" spans="9:10" x14ac:dyDescent="0.25">
      <c r="I39" s="32" t="str">
        <f>+M18</f>
        <v>G</v>
      </c>
      <c r="J39" s="48">
        <f>+N18</f>
        <v>50000000</v>
      </c>
    </row>
    <row r="40" spans="9:10" x14ac:dyDescent="0.25">
      <c r="I40" s="32" t="str">
        <f>+M19</f>
        <v>H</v>
      </c>
      <c r="J40" s="48">
        <f>+N19</f>
        <v>35000000</v>
      </c>
    </row>
    <row r="41" spans="9:10" x14ac:dyDescent="0.25">
      <c r="I41" s="32" t="str">
        <f>+M22</f>
        <v>I</v>
      </c>
      <c r="J41" s="48">
        <f>+N22</f>
        <v>45000000</v>
      </c>
    </row>
    <row r="49" spans="9:14" ht="15.75" thickBot="1" x14ac:dyDescent="0.3"/>
    <row r="50" spans="9:14" ht="60" x14ac:dyDescent="0.25">
      <c r="I50" s="101" t="s">
        <v>56</v>
      </c>
      <c r="J50" s="102" t="s">
        <v>102</v>
      </c>
      <c r="K50" s="120" t="s">
        <v>103</v>
      </c>
      <c r="L50" s="120"/>
      <c r="M50" s="120"/>
      <c r="N50" s="120"/>
    </row>
    <row r="51" spans="9:14" ht="27.75" customHeight="1" x14ac:dyDescent="0.25">
      <c r="I51" s="77" t="s">
        <v>60</v>
      </c>
      <c r="J51" s="103">
        <f t="shared" ref="J51:J60" si="0">VLOOKUP(I51,$I$33:$J$40,2,FALSE)</f>
        <v>59230769.230769224</v>
      </c>
      <c r="K51" s="110"/>
      <c r="L51" s="110"/>
      <c r="M51" s="110"/>
      <c r="N51" s="110"/>
    </row>
    <row r="52" spans="9:14" ht="27.75" customHeight="1" x14ac:dyDescent="0.25">
      <c r="I52" s="77" t="s">
        <v>61</v>
      </c>
      <c r="J52" s="103">
        <f t="shared" si="0"/>
        <v>50769230.769230776</v>
      </c>
      <c r="K52" s="110"/>
      <c r="L52" s="110"/>
      <c r="M52" s="110"/>
      <c r="N52" s="110"/>
    </row>
    <row r="53" spans="9:14" ht="27.75" customHeight="1" x14ac:dyDescent="0.25">
      <c r="I53" s="77" t="s">
        <v>62</v>
      </c>
      <c r="J53" s="103">
        <f t="shared" si="0"/>
        <v>35000000</v>
      </c>
      <c r="K53" s="110"/>
      <c r="L53" s="110"/>
      <c r="M53" s="110"/>
      <c r="N53" s="110"/>
    </row>
    <row r="54" spans="9:14" ht="27.75" customHeight="1" x14ac:dyDescent="0.25">
      <c r="I54" s="77" t="s">
        <v>63</v>
      </c>
      <c r="J54" s="103">
        <f t="shared" si="0"/>
        <v>35000000</v>
      </c>
      <c r="K54" s="110"/>
      <c r="L54" s="110"/>
      <c r="M54" s="110"/>
      <c r="N54" s="110"/>
    </row>
    <row r="55" spans="9:14" ht="27.75" customHeight="1" x14ac:dyDescent="0.25">
      <c r="I55" s="82" t="s">
        <v>64</v>
      </c>
      <c r="J55" s="103">
        <f t="shared" si="0"/>
        <v>150000000</v>
      </c>
      <c r="K55" s="106"/>
      <c r="L55" s="106"/>
      <c r="M55" s="106"/>
      <c r="N55" s="106"/>
    </row>
    <row r="56" spans="9:14" ht="27.75" customHeight="1" x14ac:dyDescent="0.25">
      <c r="I56" s="82" t="s">
        <v>65</v>
      </c>
      <c r="J56" s="103">
        <f t="shared" si="0"/>
        <v>40000000</v>
      </c>
      <c r="K56" s="106"/>
      <c r="L56" s="106"/>
      <c r="M56" s="106"/>
      <c r="N56" s="106"/>
    </row>
    <row r="57" spans="9:14" ht="27.75" customHeight="1" x14ac:dyDescent="0.25">
      <c r="I57" s="82" t="s">
        <v>66</v>
      </c>
      <c r="J57" s="103">
        <f t="shared" si="0"/>
        <v>50000000</v>
      </c>
      <c r="K57" s="106"/>
      <c r="L57" s="106"/>
      <c r="M57" s="106"/>
      <c r="N57" s="106"/>
    </row>
    <row r="58" spans="9:14" ht="27.75" customHeight="1" x14ac:dyDescent="0.25">
      <c r="I58" s="82" t="s">
        <v>67</v>
      </c>
      <c r="J58" s="103">
        <f t="shared" si="0"/>
        <v>35000000</v>
      </c>
      <c r="K58" s="106"/>
      <c r="L58" s="106"/>
      <c r="M58" s="106"/>
      <c r="N58" s="106"/>
    </row>
    <row r="59" spans="9:14" ht="27.75" customHeight="1" x14ac:dyDescent="0.25">
      <c r="I59" s="77" t="s">
        <v>68</v>
      </c>
      <c r="J59" s="103" t="e">
        <f t="shared" si="0"/>
        <v>#N/A</v>
      </c>
      <c r="K59" s="110"/>
      <c r="L59" s="110"/>
      <c r="M59" s="110"/>
      <c r="N59" s="110"/>
    </row>
    <row r="60" spans="9:14" ht="27.75" customHeight="1" x14ac:dyDescent="0.25">
      <c r="I60" s="77" t="s">
        <v>69</v>
      </c>
      <c r="J60" s="103" t="e">
        <f t="shared" si="0"/>
        <v>#N/A</v>
      </c>
      <c r="K60" s="110"/>
      <c r="L60" s="110"/>
      <c r="M60" s="110"/>
      <c r="N60" s="110"/>
    </row>
  </sheetData>
  <sortState ref="M16:O24">
    <sortCondition ref="O15"/>
  </sortState>
  <mergeCells count="39">
    <mergeCell ref="K58:N58"/>
    <mergeCell ref="K59:N59"/>
    <mergeCell ref="K60:N60"/>
    <mergeCell ref="K53:N53"/>
    <mergeCell ref="K54:N54"/>
    <mergeCell ref="K55:N55"/>
    <mergeCell ref="K56:N56"/>
    <mergeCell ref="K57:N57"/>
    <mergeCell ref="A13:C13"/>
    <mergeCell ref="D13:F13"/>
    <mergeCell ref="K50:N50"/>
    <mergeCell ref="K51:N51"/>
    <mergeCell ref="K52:N52"/>
    <mergeCell ref="A1:G1"/>
    <mergeCell ref="C2:F2"/>
    <mergeCell ref="C3:F3"/>
    <mergeCell ref="C4:F4"/>
    <mergeCell ref="C5:F5"/>
    <mergeCell ref="I1:O1"/>
    <mergeCell ref="K2:N2"/>
    <mergeCell ref="K3:N3"/>
    <mergeCell ref="K4:N4"/>
    <mergeCell ref="K5:N5"/>
    <mergeCell ref="K12:N12"/>
    <mergeCell ref="I13:K13"/>
    <mergeCell ref="L13:N13"/>
    <mergeCell ref="K6:N6"/>
    <mergeCell ref="K7:N7"/>
    <mergeCell ref="K8:N8"/>
    <mergeCell ref="K9:N9"/>
    <mergeCell ref="K10:N10"/>
    <mergeCell ref="K11:N11"/>
    <mergeCell ref="C12:F12"/>
    <mergeCell ref="C6:F6"/>
    <mergeCell ref="C7:F7"/>
    <mergeCell ref="C8:F8"/>
    <mergeCell ref="C9:F9"/>
    <mergeCell ref="C10:F10"/>
    <mergeCell ref="C11:F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D16" sqref="D16"/>
    </sheetView>
  </sheetViews>
  <sheetFormatPr baseColWidth="10" defaultColWidth="11.42578125" defaultRowHeight="15" x14ac:dyDescent="0.25"/>
  <cols>
    <col min="1" max="16384" width="11.42578125" style="3"/>
  </cols>
  <sheetData>
    <row r="1" spans="2:13" x14ac:dyDescent="0.25">
      <c r="C1" s="3">
        <f>+C2-$C$2</f>
        <v>0</v>
      </c>
      <c r="D1" s="3">
        <f t="shared" ref="D1:M1" si="0">+D2-$C$2</f>
        <v>1</v>
      </c>
      <c r="E1" s="3">
        <f t="shared" si="0"/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</row>
    <row r="2" spans="2:13" x14ac:dyDescent="0.25">
      <c r="C2" s="3">
        <v>2014</v>
      </c>
      <c r="D2" s="3">
        <f>+C2+1</f>
        <v>2015</v>
      </c>
      <c r="E2" s="3">
        <f t="shared" ref="E2:I2" si="1">+D2+1</f>
        <v>2016</v>
      </c>
      <c r="F2" s="3">
        <f t="shared" si="1"/>
        <v>2017</v>
      </c>
      <c r="G2" s="3">
        <f t="shared" si="1"/>
        <v>2018</v>
      </c>
      <c r="H2" s="3">
        <f t="shared" si="1"/>
        <v>2019</v>
      </c>
      <c r="I2" s="3">
        <f t="shared" si="1"/>
        <v>2020</v>
      </c>
      <c r="J2" s="3">
        <f>+I2+1</f>
        <v>2021</v>
      </c>
      <c r="K2" s="3">
        <f>+J2+1</f>
        <v>2022</v>
      </c>
      <c r="L2" s="3">
        <f>+K2+1</f>
        <v>2023</v>
      </c>
      <c r="M2" s="3">
        <f>+L2+1</f>
        <v>2024</v>
      </c>
    </row>
    <row r="3" spans="2:13" x14ac:dyDescent="0.25">
      <c r="C3" s="29"/>
      <c r="D3" s="29">
        <v>0.11</v>
      </c>
      <c r="E3" s="29">
        <f t="shared" ref="E3:K3" si="2">+D3</f>
        <v>0.11</v>
      </c>
      <c r="F3" s="29">
        <f t="shared" si="2"/>
        <v>0.11</v>
      </c>
      <c r="G3" s="29">
        <f t="shared" si="2"/>
        <v>0.11</v>
      </c>
      <c r="H3" s="29">
        <f t="shared" si="2"/>
        <v>0.11</v>
      </c>
      <c r="I3" s="29">
        <f t="shared" si="2"/>
        <v>0.11</v>
      </c>
      <c r="J3" s="29">
        <f t="shared" si="2"/>
        <v>0.11</v>
      </c>
      <c r="K3" s="29">
        <f t="shared" si="2"/>
        <v>0.11</v>
      </c>
      <c r="L3" s="29">
        <f>+K3</f>
        <v>0.11</v>
      </c>
      <c r="M3" s="29">
        <f>+L3+1</f>
        <v>1.1100000000000001</v>
      </c>
    </row>
    <row r="4" spans="2:13" x14ac:dyDescent="0.25">
      <c r="B4" s="3" t="s">
        <v>19</v>
      </c>
      <c r="C4" s="29">
        <v>0.06</v>
      </c>
    </row>
    <row r="5" spans="2:13" x14ac:dyDescent="0.25">
      <c r="D5" s="3">
        <f>1/(1+$C$4)^D1</f>
        <v>0.94339622641509424</v>
      </c>
      <c r="E5" s="3">
        <f t="shared" ref="E5:M5" si="3">1/(1+$C$4)^E1</f>
        <v>0.88999644001423983</v>
      </c>
      <c r="F5" s="3">
        <f t="shared" si="3"/>
        <v>0.8396192830323016</v>
      </c>
      <c r="G5" s="3">
        <f t="shared" si="3"/>
        <v>0.79209366323802044</v>
      </c>
      <c r="H5" s="3">
        <f t="shared" si="3"/>
        <v>0.74725817286605689</v>
      </c>
      <c r="I5" s="3">
        <f t="shared" si="3"/>
        <v>0.70496054043967626</v>
      </c>
      <c r="J5" s="3">
        <f t="shared" si="3"/>
        <v>0.66505711362233599</v>
      </c>
      <c r="K5" s="3">
        <f t="shared" si="3"/>
        <v>0.62741237134182648</v>
      </c>
      <c r="L5" s="3">
        <f t="shared" si="3"/>
        <v>0.59189846353002495</v>
      </c>
      <c r="M5" s="3">
        <f t="shared" si="3"/>
        <v>0.55839477691511785</v>
      </c>
    </row>
    <row r="6" spans="2:13" x14ac:dyDescent="0.25">
      <c r="C6" s="29">
        <f>+SUM(D6:M6)</f>
        <v>1.3680043525707344</v>
      </c>
      <c r="D6" s="30">
        <f>+D5*D3</f>
        <v>0.10377358490566037</v>
      </c>
      <c r="E6" s="30">
        <f t="shared" ref="E6:M6" si="4">+E5*E3</f>
        <v>9.7899608401566376E-2</v>
      </c>
      <c r="F6" s="30">
        <f t="shared" si="4"/>
        <v>9.235812113355317E-2</v>
      </c>
      <c r="G6" s="30">
        <f t="shared" si="4"/>
        <v>8.7130302956182251E-2</v>
      </c>
      <c r="H6" s="30">
        <f t="shared" si="4"/>
        <v>8.2198399015266252E-2</v>
      </c>
      <c r="I6" s="30">
        <f t="shared" si="4"/>
        <v>7.754565944836439E-2</v>
      </c>
      <c r="J6" s="30">
        <f t="shared" si="4"/>
        <v>7.3156282498456959E-2</v>
      </c>
      <c r="K6" s="30">
        <f t="shared" si="4"/>
        <v>6.9015360847600918E-2</v>
      </c>
      <c r="L6" s="30">
        <f t="shared" si="4"/>
        <v>6.5108830988302752E-2</v>
      </c>
      <c r="M6" s="30">
        <f t="shared" si="4"/>
        <v>0.61981820237578089</v>
      </c>
    </row>
    <row r="8" spans="2:13" x14ac:dyDescent="0.25">
      <c r="C8" s="3">
        <f>+C9-$C$2</f>
        <v>0</v>
      </c>
      <c r="D8" s="3">
        <f t="shared" ref="D8" si="5">+D9-$C$2</f>
        <v>1</v>
      </c>
      <c r="E8" s="3">
        <f t="shared" ref="E8" si="6">+E9-$C$2</f>
        <v>2</v>
      </c>
      <c r="F8" s="3">
        <f t="shared" ref="F8" si="7">+F9-$C$2</f>
        <v>3</v>
      </c>
      <c r="G8" s="3">
        <f t="shared" ref="G8" si="8">+G9-$C$2</f>
        <v>4</v>
      </c>
      <c r="H8" s="3">
        <f t="shared" ref="H8" si="9">+H9-$C$2</f>
        <v>5</v>
      </c>
      <c r="I8" s="3">
        <f t="shared" ref="I8" si="10">+I9-$C$2</f>
        <v>6</v>
      </c>
      <c r="J8" s="3">
        <f t="shared" ref="J8" si="11">+J9-$C$2</f>
        <v>7</v>
      </c>
      <c r="K8" s="3">
        <f t="shared" ref="K8" si="12">+K9-$C$2</f>
        <v>8</v>
      </c>
      <c r="L8" s="3">
        <f t="shared" ref="L8" si="13">+L9-$C$2</f>
        <v>9</v>
      </c>
      <c r="M8" s="3">
        <f t="shared" ref="M8" si="14">+M9-$C$2</f>
        <v>10</v>
      </c>
    </row>
    <row r="9" spans="2:13" x14ac:dyDescent="0.25">
      <c r="C9" s="3">
        <v>2014</v>
      </c>
      <c r="D9" s="3">
        <f>+C9+1</f>
        <v>2015</v>
      </c>
      <c r="E9" s="3">
        <f t="shared" ref="E9:I9" si="15">+D9+1</f>
        <v>2016</v>
      </c>
      <c r="F9" s="3">
        <f t="shared" si="15"/>
        <v>2017</v>
      </c>
      <c r="G9" s="3">
        <f t="shared" si="15"/>
        <v>2018</v>
      </c>
      <c r="H9" s="3">
        <f t="shared" si="15"/>
        <v>2019</v>
      </c>
      <c r="I9" s="3">
        <f t="shared" si="15"/>
        <v>2020</v>
      </c>
      <c r="J9" s="3">
        <f>+I9+1</f>
        <v>2021</v>
      </c>
      <c r="K9" s="3">
        <f>+J9+1</f>
        <v>2022</v>
      </c>
      <c r="L9" s="3">
        <f>+K9+1</f>
        <v>2023</v>
      </c>
      <c r="M9" s="3">
        <f>+L9+1</f>
        <v>2024</v>
      </c>
    </row>
    <row r="10" spans="2:13" x14ac:dyDescent="0.25">
      <c r="C10" s="29"/>
      <c r="D10" s="29">
        <v>0.06</v>
      </c>
      <c r="E10" s="29">
        <f t="shared" ref="E10:K10" si="16">+D10</f>
        <v>0.06</v>
      </c>
      <c r="F10" s="29">
        <f t="shared" si="16"/>
        <v>0.06</v>
      </c>
      <c r="G10" s="29">
        <f t="shared" si="16"/>
        <v>0.06</v>
      </c>
      <c r="H10" s="29">
        <f t="shared" si="16"/>
        <v>0.06</v>
      </c>
      <c r="I10" s="29">
        <f t="shared" si="16"/>
        <v>0.06</v>
      </c>
      <c r="J10" s="29">
        <f t="shared" si="16"/>
        <v>0.06</v>
      </c>
      <c r="K10" s="29">
        <f t="shared" si="16"/>
        <v>0.06</v>
      </c>
      <c r="L10" s="29">
        <f>+K10</f>
        <v>0.06</v>
      </c>
      <c r="M10" s="29">
        <f>+L10+1</f>
        <v>1.06</v>
      </c>
    </row>
    <row r="11" spans="2:13" x14ac:dyDescent="0.25">
      <c r="D11" s="3">
        <f>1/(1+$C$4)^D8</f>
        <v>0.94339622641509424</v>
      </c>
      <c r="E11" s="3">
        <f t="shared" ref="E11:M11" si="17">1/(1+$C$4)^E8</f>
        <v>0.88999644001423983</v>
      </c>
      <c r="F11" s="3">
        <f t="shared" si="17"/>
        <v>0.8396192830323016</v>
      </c>
      <c r="G11" s="3">
        <f t="shared" si="17"/>
        <v>0.79209366323802044</v>
      </c>
      <c r="H11" s="3">
        <f t="shared" si="17"/>
        <v>0.74725817286605689</v>
      </c>
      <c r="I11" s="3">
        <f t="shared" si="17"/>
        <v>0.70496054043967626</v>
      </c>
      <c r="J11" s="3">
        <f t="shared" si="17"/>
        <v>0.66505711362233599</v>
      </c>
      <c r="K11" s="3">
        <f t="shared" si="17"/>
        <v>0.62741237134182648</v>
      </c>
      <c r="L11" s="3">
        <f t="shared" si="17"/>
        <v>0.59189846353002495</v>
      </c>
      <c r="M11" s="3">
        <f t="shared" si="17"/>
        <v>0.55839477691511785</v>
      </c>
    </row>
    <row r="12" spans="2:13" x14ac:dyDescent="0.25">
      <c r="C12" s="29">
        <f>+SUM(D12:M12)</f>
        <v>0.99999999999999956</v>
      </c>
      <c r="D12" s="30">
        <f>+D11*D10</f>
        <v>5.6603773584905655E-2</v>
      </c>
      <c r="E12" s="30">
        <f t="shared" ref="E12:M12" si="18">+E11*E10</f>
        <v>5.3399786400854389E-2</v>
      </c>
      <c r="F12" s="30">
        <f t="shared" si="18"/>
        <v>5.0377156981938093E-2</v>
      </c>
      <c r="G12" s="30">
        <f t="shared" si="18"/>
        <v>4.7525619794281222E-2</v>
      </c>
      <c r="H12" s="30">
        <f t="shared" si="18"/>
        <v>4.483549037196341E-2</v>
      </c>
      <c r="I12" s="30">
        <f t="shared" si="18"/>
        <v>4.2297632426380571E-2</v>
      </c>
      <c r="J12" s="30">
        <f t="shared" si="18"/>
        <v>3.990342681734016E-2</v>
      </c>
      <c r="K12" s="30">
        <f t="shared" si="18"/>
        <v>3.764474228050959E-2</v>
      </c>
      <c r="L12" s="30">
        <f t="shared" si="18"/>
        <v>3.5513907811801498E-2</v>
      </c>
      <c r="M12" s="30">
        <f t="shared" si="18"/>
        <v>0.59189846353002495</v>
      </c>
    </row>
    <row r="14" spans="2:13" x14ac:dyDescent="0.25">
      <c r="C14" s="29">
        <f>+C6-C12</f>
        <v>0.36800435257073483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Ejercicio MM</vt:lpstr>
      <vt:lpstr>2. M&amp;A EBITDA</vt:lpstr>
      <vt:lpstr>3. FF</vt:lpstr>
      <vt:lpstr>4. Colocacion</vt:lpstr>
      <vt:lpstr>5. Deuda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Barale</dc:creator>
  <cp:lastModifiedBy>Nicolas Barale</cp:lastModifiedBy>
  <dcterms:created xsi:type="dcterms:W3CDTF">2016-08-23T00:13:04Z</dcterms:created>
  <dcterms:modified xsi:type="dcterms:W3CDTF">2017-08-20T19:39:25Z</dcterms:modified>
</cp:coreProperties>
</file>