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carolinagialdi/Downloads/"/>
    </mc:Choice>
  </mc:AlternateContent>
  <bookViews>
    <workbookView xWindow="0" yWindow="460" windowWidth="23260" windowHeight="12580" tabRatio="500"/>
  </bookViews>
  <sheets>
    <sheet name="Bono ajustable por inflacion" sheetId="1" r:id="rId1"/>
    <sheet name="Bono a tasa flotante" sheetId="2" r:id="rId2"/>
  </sheet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  <c r="B16" i="2"/>
  <c r="B15" i="2"/>
  <c r="B14" i="2"/>
  <c r="C14" i="2"/>
  <c r="C15" i="2"/>
  <c r="C16" i="2"/>
  <c r="C17" i="2"/>
  <c r="B19" i="2"/>
  <c r="A13" i="2"/>
  <c r="B10" i="2"/>
  <c r="F16" i="2"/>
  <c r="F15" i="2"/>
  <c r="G15" i="2"/>
  <c r="F14" i="2"/>
  <c r="G14" i="2"/>
  <c r="B13" i="2"/>
  <c r="B10" i="1"/>
  <c r="C21" i="1"/>
  <c r="D21" i="1"/>
  <c r="E21" i="1"/>
  <c r="B21" i="1"/>
  <c r="B20" i="1"/>
  <c r="D20" i="1"/>
  <c r="E20" i="1"/>
  <c r="B19" i="1"/>
  <c r="D19" i="1"/>
  <c r="E19" i="1"/>
  <c r="B18" i="1"/>
  <c r="D18" i="1"/>
  <c r="E18" i="1"/>
  <c r="D17" i="1"/>
  <c r="E17" i="1"/>
  <c r="D16" i="1"/>
  <c r="E16" i="1"/>
  <c r="D15" i="1"/>
  <c r="E15" i="1"/>
  <c r="D14" i="1"/>
  <c r="E14" i="1"/>
  <c r="F19" i="1"/>
  <c r="F20" i="1"/>
  <c r="F16" i="1"/>
  <c r="F21" i="1"/>
  <c r="F17" i="1"/>
  <c r="F18" i="1"/>
  <c r="B9" i="1"/>
  <c r="G16" i="1"/>
  <c r="G21" i="1"/>
  <c r="G17" i="1"/>
  <c r="G18" i="1"/>
  <c r="G19" i="1"/>
  <c r="G20" i="1"/>
  <c r="B11" i="1"/>
  <c r="B21" i="2"/>
  <c r="B22" i="2"/>
</calcChain>
</file>

<file path=xl/sharedStrings.xml><?xml version="1.0" encoding="utf-8"?>
<sst xmlns="http://schemas.openxmlformats.org/spreadsheetml/2006/main" count="39" uniqueCount="31">
  <si>
    <t>CER base</t>
  </si>
  <si>
    <t>CER fecha de liq - 10 dias habiles</t>
  </si>
  <si>
    <t>YTM</t>
  </si>
  <si>
    <t>Fecha de liquidacion</t>
  </si>
  <si>
    <t>Cupon</t>
  </si>
  <si>
    <t>Principal original</t>
  </si>
  <si>
    <t>Frecuencia de cupon</t>
  </si>
  <si>
    <t>Precio</t>
  </si>
  <si>
    <t>Incluye CER capitalizado a la fecha</t>
  </si>
  <si>
    <t>Paridad/valor tecnico</t>
  </si>
  <si>
    <t>% relativo a 100 de principal. Bono tradea abajo de la par</t>
  </si>
  <si>
    <t>Fecha flujos de caja</t>
  </si>
  <si>
    <t>Intereses (real)</t>
  </si>
  <si>
    <t>Principal (real)</t>
  </si>
  <si>
    <t>Total (real)</t>
  </si>
  <si>
    <t>Total ajust por CER</t>
  </si>
  <si>
    <t>VP flujos de caja</t>
  </si>
  <si>
    <t>Spread</t>
  </si>
  <si>
    <t>Ti (year fraction)</t>
  </si>
  <si>
    <t>Duracion</t>
  </si>
  <si>
    <t>VP spread</t>
  </si>
  <si>
    <t xml:space="preserve">Bono a tasa flotante: tasa de referencia = tasa de descuento </t>
  </si>
  <si>
    <t>Theta</t>
  </si>
  <si>
    <t>Precio con theta</t>
  </si>
  <si>
    <t>fwd</t>
  </si>
  <si>
    <t>Fecha ultimo cupon</t>
  </si>
  <si>
    <t>Fecha proximo cupon</t>
  </si>
  <si>
    <t>Tasa de referencia para el prox cupon</t>
  </si>
  <si>
    <t>Precio bono:</t>
  </si>
  <si>
    <t>Tasa de descuento</t>
  </si>
  <si>
    <t>r(t)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</si>
</sst>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0000"/>
    <numFmt numFmtId="168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1"/>
      <color rgb="FFFF0000"/>
      <name val="Arial"/>
    </font>
    <font>
      <b/>
      <sz val="11"/>
      <color theme="1"/>
      <name val="Arial"/>
    </font>
    <font>
      <sz val="12"/>
      <color theme="1"/>
      <name val="Arial"/>
    </font>
    <font>
      <sz val="12"/>
      <color rgb="FFFF0000"/>
      <name val="Arial"/>
    </font>
    <font>
      <b/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164" fontId="3" fillId="0" borderId="0" xfId="1" applyNumberFormat="1" applyFont="1"/>
    <xf numFmtId="0" fontId="4" fillId="0" borderId="0" xfId="0" applyFont="1" applyBorder="1"/>
    <xf numFmtId="165" fontId="4" fillId="0" borderId="0" xfId="2" applyNumberFormat="1" applyFont="1" applyBorder="1"/>
    <xf numFmtId="0" fontId="2" fillId="0" borderId="0" xfId="0" applyFont="1" applyAlignment="1">
      <alignment horizontal="right"/>
    </xf>
    <xf numFmtId="14" fontId="2" fillId="0" borderId="1" xfId="0" applyNumberFormat="1" applyFont="1" applyBorder="1"/>
    <xf numFmtId="10" fontId="2" fillId="0" borderId="0" xfId="0" applyNumberFormat="1" applyFont="1" applyBorder="1"/>
    <xf numFmtId="0" fontId="2" fillId="0" borderId="0" xfId="0" applyFont="1" applyBorder="1"/>
    <xf numFmtId="166" fontId="2" fillId="0" borderId="0" xfId="0" applyNumberFormat="1" applyFont="1" applyBorder="1"/>
    <xf numFmtId="0" fontId="4" fillId="0" borderId="0" xfId="0" applyFont="1"/>
    <xf numFmtId="2" fontId="4" fillId="0" borderId="0" xfId="0" applyNumberFormat="1" applyFont="1"/>
    <xf numFmtId="0" fontId="5" fillId="0" borderId="0" xfId="0" applyFont="1"/>
    <xf numFmtId="9" fontId="5" fillId="0" borderId="0" xfId="0" applyNumberFormat="1" applyFont="1"/>
    <xf numFmtId="14" fontId="5" fillId="0" borderId="0" xfId="0" applyNumberFormat="1" applyFont="1"/>
    <xf numFmtId="9" fontId="6" fillId="0" borderId="0" xfId="0" applyNumberFormat="1" applyFont="1"/>
    <xf numFmtId="0" fontId="5" fillId="0" borderId="0" xfId="0" applyFont="1" applyAlignment="1">
      <alignment horizontal="right"/>
    </xf>
    <xf numFmtId="2" fontId="5" fillId="0" borderId="0" xfId="0" applyNumberFormat="1" applyFont="1"/>
    <xf numFmtId="168" fontId="5" fillId="0" borderId="0" xfId="0" applyNumberFormat="1" applyFont="1"/>
    <xf numFmtId="10" fontId="7" fillId="0" borderId="0" xfId="2" applyNumberFormat="1" applyFont="1"/>
    <xf numFmtId="10" fontId="5" fillId="0" borderId="0" xfId="0" applyNumberFormat="1" applyFont="1"/>
    <xf numFmtId="0" fontId="5" fillId="0" borderId="0" xfId="0" applyFont="1" applyAlignment="1">
      <alignment horizontal="left"/>
    </xf>
    <xf numFmtId="14" fontId="2" fillId="0" borderId="0" xfId="0" applyNumberFormat="1" applyFont="1"/>
    <xf numFmtId="10" fontId="2" fillId="0" borderId="0" xfId="0" applyNumberFormat="1" applyFont="1"/>
    <xf numFmtId="164" fontId="2" fillId="0" borderId="0" xfId="1" applyNumberFormat="1" applyFont="1"/>
    <xf numFmtId="165" fontId="2" fillId="0" borderId="0" xfId="0" applyNumberFormat="1" applyFont="1"/>
    <xf numFmtId="165" fontId="6" fillId="0" borderId="0" xfId="0" applyNumberFormat="1" applyFont="1"/>
    <xf numFmtId="165" fontId="5" fillId="0" borderId="0" xfId="0" applyNumberFormat="1" applyFont="1"/>
    <xf numFmtId="0" fontId="5" fillId="2" borderId="0" xfId="0" applyFont="1" applyFill="1"/>
    <xf numFmtId="43" fontId="5" fillId="2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120" zoomScaleNormal="120" zoomScalePageLayoutView="120" workbookViewId="0">
      <selection activeCell="F18" sqref="F18"/>
    </sheetView>
  </sheetViews>
  <sheetFormatPr baseColWidth="10" defaultColWidth="10.83203125" defaultRowHeight="14" x14ac:dyDescent="0.15"/>
  <cols>
    <col min="1" max="1" width="27.5" style="1" bestFit="1" customWidth="1"/>
    <col min="2" max="2" width="13.33203125" style="1" bestFit="1" customWidth="1"/>
    <col min="3" max="3" width="12.83203125" style="1" bestFit="1" customWidth="1"/>
    <col min="4" max="4" width="10.83203125" style="1"/>
    <col min="5" max="5" width="17" style="1" bestFit="1" customWidth="1"/>
    <col min="6" max="6" width="14.6640625" style="1" bestFit="1" customWidth="1"/>
    <col min="7" max="16384" width="10.83203125" style="1"/>
  </cols>
  <sheetData>
    <row r="1" spans="1:7" x14ac:dyDescent="0.25">
      <c r="A1" s="1" t="s">
        <v>0</v>
      </c>
      <c r="B1" s="1">
        <v>20.152139999999999</v>
      </c>
    </row>
    <row r="2" spans="1:7" x14ac:dyDescent="0.15">
      <c r="A2" s="1" t="s">
        <v>1</v>
      </c>
      <c r="B2" s="1">
        <v>53.54</v>
      </c>
    </row>
    <row r="3" spans="1:7" x14ac:dyDescent="0.15">
      <c r="A3" s="1" t="s">
        <v>2</v>
      </c>
      <c r="B3" s="25">
        <v>9.5000000000000001E-2</v>
      </c>
    </row>
    <row r="4" spans="1:7" x14ac:dyDescent="0.15">
      <c r="A4" s="1" t="s">
        <v>3</v>
      </c>
      <c r="B4" s="22">
        <v>44779</v>
      </c>
    </row>
    <row r="5" spans="1:7" x14ac:dyDescent="0.15">
      <c r="A5" s="1" t="s">
        <v>4</v>
      </c>
      <c r="B5" s="23">
        <v>1.4999999999999999E-2</v>
      </c>
    </row>
    <row r="6" spans="1:7" x14ac:dyDescent="0.15">
      <c r="A6" s="1" t="s">
        <v>5</v>
      </c>
      <c r="B6" s="23">
        <v>1</v>
      </c>
    </row>
    <row r="7" spans="1:7" x14ac:dyDescent="0.15">
      <c r="A7" s="1" t="s">
        <v>6</v>
      </c>
      <c r="B7" s="24">
        <v>2</v>
      </c>
    </row>
    <row r="8" spans="1:7" x14ac:dyDescent="0.25">
      <c r="B8" s="2"/>
    </row>
    <row r="9" spans="1:7" x14ac:dyDescent="0.25">
      <c r="A9" s="3" t="s">
        <v>7</v>
      </c>
      <c r="B9" s="4">
        <f>SUM(F14:F21)</f>
        <v>2.355998993525565</v>
      </c>
      <c r="C9" s="1" t="s">
        <v>8</v>
      </c>
    </row>
    <row r="10" spans="1:7" x14ac:dyDescent="0.25">
      <c r="A10" s="3" t="s">
        <v>9</v>
      </c>
      <c r="B10" s="4">
        <f>B9/((B6+YEARFRAC(A17,B4)*B5)*B2/B1)</f>
        <v>0.88197002934229196</v>
      </c>
      <c r="C10" s="1" t="s">
        <v>10</v>
      </c>
    </row>
    <row r="11" spans="1:7" x14ac:dyDescent="0.25">
      <c r="A11" s="10" t="s">
        <v>19</v>
      </c>
      <c r="B11" s="11">
        <f>SUM(G14:G21)/(1+B3/B7)</f>
        <v>1.5382445924537906</v>
      </c>
    </row>
    <row r="12" spans="1:7" x14ac:dyDescent="0.25">
      <c r="A12" s="10"/>
      <c r="B12" s="11"/>
    </row>
    <row r="13" spans="1:7" x14ac:dyDescent="0.25">
      <c r="A13" s="5" t="s">
        <v>11</v>
      </c>
      <c r="B13" s="5" t="s">
        <v>12</v>
      </c>
      <c r="C13" s="5" t="s">
        <v>13</v>
      </c>
      <c r="D13" s="5" t="s">
        <v>14</v>
      </c>
      <c r="E13" s="5" t="s">
        <v>15</v>
      </c>
      <c r="F13" s="5" t="s">
        <v>16</v>
      </c>
      <c r="G13" s="1" t="s">
        <v>19</v>
      </c>
    </row>
    <row r="14" spans="1:7" x14ac:dyDescent="0.25">
      <c r="A14" s="6">
        <v>44099</v>
      </c>
      <c r="B14" s="7"/>
      <c r="C14" s="8"/>
      <c r="D14" s="9">
        <f>C14+B14</f>
        <v>0</v>
      </c>
      <c r="E14" s="1">
        <f>D14*B$2/B$1</f>
        <v>0</v>
      </c>
    </row>
    <row r="15" spans="1:7" x14ac:dyDescent="0.25">
      <c r="A15" s="6">
        <v>44280</v>
      </c>
      <c r="B15" s="7"/>
      <c r="C15" s="8"/>
      <c r="D15" s="9">
        <f t="shared" ref="D15:D21" si="0">C15+B15</f>
        <v>0</v>
      </c>
      <c r="E15" s="1">
        <f t="shared" ref="E15:E21" si="1">D15*B$2/B$1</f>
        <v>0</v>
      </c>
    </row>
    <row r="16" spans="1:7" x14ac:dyDescent="0.25">
      <c r="A16" s="6">
        <v>44464</v>
      </c>
      <c r="B16" s="7"/>
      <c r="C16" s="8"/>
      <c r="D16" s="9">
        <f t="shared" si="0"/>
        <v>0</v>
      </c>
      <c r="E16" s="1">
        <f t="shared" si="1"/>
        <v>0</v>
      </c>
      <c r="F16" s="1">
        <f t="shared" ref="F16:F21" si="2">E16/((1+B$3/B$7)^(B$7*YEARFRAC($B$4,A16)))</f>
        <v>0</v>
      </c>
      <c r="G16" s="1">
        <f t="shared" ref="G16:G21" si="3">(E16/((1+B$3/B$7)^(B$7*YEARFRAC($B$4,A16))))/B$9*(A16-B$4)/365</f>
        <v>0</v>
      </c>
    </row>
    <row r="17" spans="1:7" x14ac:dyDescent="0.25">
      <c r="A17" s="6">
        <v>44645</v>
      </c>
      <c r="B17" s="7"/>
      <c r="C17" s="8"/>
      <c r="D17" s="9">
        <f t="shared" si="0"/>
        <v>0</v>
      </c>
      <c r="E17" s="1">
        <f t="shared" si="1"/>
        <v>0</v>
      </c>
      <c r="F17" s="1">
        <f t="shared" si="2"/>
        <v>0</v>
      </c>
      <c r="G17" s="1">
        <f t="shared" si="3"/>
        <v>0</v>
      </c>
    </row>
    <row r="18" spans="1:7" x14ac:dyDescent="0.25">
      <c r="A18" s="6">
        <v>44829</v>
      </c>
      <c r="B18" s="7">
        <f t="shared" ref="B15:B21" si="4">B$5/B$7</f>
        <v>7.4999999999999997E-3</v>
      </c>
      <c r="C18" s="8"/>
      <c r="D18" s="9">
        <f t="shared" si="0"/>
        <v>7.4999999999999997E-3</v>
      </c>
      <c r="E18" s="1">
        <f t="shared" si="1"/>
        <v>1.9925923499935987E-2</v>
      </c>
      <c r="F18" s="1">
        <f t="shared" si="2"/>
        <v>1.9675785681147639E-2</v>
      </c>
      <c r="G18" s="1">
        <f t="shared" si="3"/>
        <v>1.1440213321030348E-3</v>
      </c>
    </row>
    <row r="19" spans="1:7" x14ac:dyDescent="0.25">
      <c r="A19" s="6">
        <v>45010</v>
      </c>
      <c r="B19" s="7">
        <f t="shared" si="4"/>
        <v>7.4999999999999997E-3</v>
      </c>
      <c r="D19" s="9">
        <f t="shared" si="0"/>
        <v>7.4999999999999997E-3</v>
      </c>
      <c r="E19" s="1">
        <f t="shared" si="1"/>
        <v>1.9925923499935987E-2</v>
      </c>
      <c r="F19" s="1">
        <f t="shared" si="2"/>
        <v>1.878356628271851E-2</v>
      </c>
      <c r="G19" s="1">
        <f t="shared" si="3"/>
        <v>5.0457074504210216E-3</v>
      </c>
    </row>
    <row r="20" spans="1:7" x14ac:dyDescent="0.25">
      <c r="A20" s="6">
        <v>45194</v>
      </c>
      <c r="B20" s="7">
        <f t="shared" si="4"/>
        <v>7.4999999999999997E-3</v>
      </c>
      <c r="C20" s="8"/>
      <c r="D20" s="9">
        <f t="shared" si="0"/>
        <v>7.4999999999999997E-3</v>
      </c>
      <c r="E20" s="1">
        <f t="shared" si="1"/>
        <v>1.9925923499935987E-2</v>
      </c>
      <c r="F20" s="1">
        <f t="shared" si="2"/>
        <v>1.7931805520494993E-2</v>
      </c>
      <c r="G20" s="1">
        <f t="shared" si="3"/>
        <v>8.6537461567935351E-3</v>
      </c>
    </row>
    <row r="21" spans="1:7" x14ac:dyDescent="0.25">
      <c r="A21" s="6">
        <v>45376</v>
      </c>
      <c r="B21" s="7">
        <f t="shared" si="4"/>
        <v>7.4999999999999997E-3</v>
      </c>
      <c r="C21" s="7">
        <f>B6</f>
        <v>1</v>
      </c>
      <c r="D21" s="9">
        <f t="shared" si="0"/>
        <v>1.0075000000000001</v>
      </c>
      <c r="E21" s="1">
        <f t="shared" si="1"/>
        <v>2.6767157234914012</v>
      </c>
      <c r="F21" s="1">
        <f t="shared" si="2"/>
        <v>2.2996078360412038</v>
      </c>
      <c r="G21" s="1">
        <f t="shared" si="3"/>
        <v>1.5964677356560282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H14" sqref="H14"/>
    </sheetView>
  </sheetViews>
  <sheetFormatPr baseColWidth="10" defaultColWidth="10.83203125" defaultRowHeight="16" x14ac:dyDescent="0.2"/>
  <cols>
    <col min="1" max="1" width="55.1640625" style="12" bestFit="1" customWidth="1"/>
    <col min="2" max="2" width="22.33203125" style="12" bestFit="1" customWidth="1"/>
    <col min="3" max="3" width="10.83203125" style="12"/>
    <col min="4" max="4" width="11.33203125" style="12" customWidth="1"/>
    <col min="5" max="5" width="10.83203125" style="12"/>
    <col min="6" max="6" width="10.6640625" style="12" hidden="1" customWidth="1"/>
    <col min="7" max="7" width="0" style="12" hidden="1" customWidth="1"/>
    <col min="8" max="16384" width="10.83203125" style="12"/>
  </cols>
  <sheetData>
    <row r="1" spans="1:7" x14ac:dyDescent="0.2">
      <c r="A1" s="12" t="s">
        <v>21</v>
      </c>
    </row>
    <row r="2" spans="1:7" x14ac:dyDescent="0.2">
      <c r="A2" s="1" t="s">
        <v>3</v>
      </c>
      <c r="B2" s="14">
        <v>44779</v>
      </c>
    </row>
    <row r="3" spans="1:7" x14ac:dyDescent="0.2">
      <c r="A3" s="1" t="s">
        <v>5</v>
      </c>
      <c r="B3" s="13">
        <v>1</v>
      </c>
    </row>
    <row r="4" spans="1:7" x14ac:dyDescent="0.2">
      <c r="A4" s="1" t="s">
        <v>6</v>
      </c>
      <c r="B4" s="12">
        <v>2</v>
      </c>
    </row>
    <row r="5" spans="1:7" x14ac:dyDescent="0.2">
      <c r="A5" s="12" t="s">
        <v>25</v>
      </c>
      <c r="B5" s="14">
        <v>44757</v>
      </c>
    </row>
    <row r="6" spans="1:7" x14ac:dyDescent="0.2">
      <c r="A6" s="12" t="s">
        <v>26</v>
      </c>
      <c r="B6" s="14">
        <v>44941</v>
      </c>
    </row>
    <row r="7" spans="1:7" x14ac:dyDescent="0.2">
      <c r="A7" s="12" t="s">
        <v>27</v>
      </c>
      <c r="B7" s="27">
        <v>0.55000000000000004</v>
      </c>
    </row>
    <row r="8" spans="1:7" x14ac:dyDescent="0.2">
      <c r="A8" s="12" t="s">
        <v>17</v>
      </c>
      <c r="B8" s="27">
        <v>0</v>
      </c>
    </row>
    <row r="9" spans="1:7" x14ac:dyDescent="0.2">
      <c r="A9" s="12" t="s">
        <v>29</v>
      </c>
      <c r="B9" s="27">
        <v>0.65</v>
      </c>
    </row>
    <row r="10" spans="1:7" x14ac:dyDescent="0.2">
      <c r="A10" s="12" t="s">
        <v>28</v>
      </c>
      <c r="B10" s="27">
        <f ca="1">(100%+B7/2)/((1+B9/2)^(2*YEARFRAC(TODAY(),B6)))+C17</f>
        <v>0.99438101863539397</v>
      </c>
    </row>
    <row r="11" spans="1:7" x14ac:dyDescent="0.2">
      <c r="B11" s="13"/>
    </row>
    <row r="12" spans="1:7" x14ac:dyDescent="0.2">
      <c r="A12" s="5" t="s">
        <v>11</v>
      </c>
      <c r="B12" s="16" t="s">
        <v>18</v>
      </c>
      <c r="C12" s="16" t="s">
        <v>20</v>
      </c>
      <c r="E12" s="16" t="s">
        <v>30</v>
      </c>
      <c r="F12" s="16" t="s">
        <v>24</v>
      </c>
    </row>
    <row r="13" spans="1:7" x14ac:dyDescent="0.2">
      <c r="A13" s="14">
        <f>B2</f>
        <v>44779</v>
      </c>
      <c r="B13" s="12">
        <f>ROUND((A13-A$13)/365,1)</f>
        <v>0</v>
      </c>
      <c r="E13" s="13">
        <v>0.55000000000000004</v>
      </c>
      <c r="F13" s="15"/>
    </row>
    <row r="14" spans="1:7" x14ac:dyDescent="0.2">
      <c r="A14" s="14">
        <v>44941</v>
      </c>
      <c r="B14" s="17">
        <f>YEARFRAC(B$2,A14,1)</f>
        <v>0.44383561643835617</v>
      </c>
      <c r="C14" s="20">
        <f>(B$8/2)/((1+E14/2)^(2*B14))</f>
        <v>0</v>
      </c>
      <c r="E14" s="13">
        <v>0.55000000000000004</v>
      </c>
      <c r="F14" s="26">
        <f>E14</f>
        <v>0.55000000000000004</v>
      </c>
      <c r="G14" s="12">
        <f>F14/2</f>
        <v>0.27500000000000002</v>
      </c>
    </row>
    <row r="15" spans="1:7" x14ac:dyDescent="0.2">
      <c r="A15" s="14">
        <v>45122</v>
      </c>
      <c r="B15" s="18">
        <f>YEARFRAC(B$2,A15,1)</f>
        <v>0.9397260273972603</v>
      </c>
      <c r="C15" s="20">
        <f>(B$8/2)/((1+E15/2)^(2*B15))</f>
        <v>0</v>
      </c>
      <c r="E15" s="13">
        <v>0.55000000000000004</v>
      </c>
      <c r="F15" s="26">
        <f>((1+E15/2)^(2*B15)/(1+E14/2)^(2*B14)-1)*2</f>
        <v>0.54491319474083744</v>
      </c>
      <c r="G15" s="12">
        <f>F15/2</f>
        <v>0.27245659737041872</v>
      </c>
    </row>
    <row r="16" spans="1:7" x14ac:dyDescent="0.2">
      <c r="A16" s="14">
        <v>45306</v>
      </c>
      <c r="B16" s="18">
        <f>YEARFRAC(B$2,A16,1)</f>
        <v>1.4425182481751826</v>
      </c>
      <c r="C16" s="20">
        <f>(B$8/2)/((1+E16/2)^(2*B16))</f>
        <v>0</v>
      </c>
      <c r="E16" s="13">
        <v>0.55000000000000004</v>
      </c>
      <c r="F16" s="26">
        <f>((1+E16/2)^(2*B16)/(1+E15/2)^(2*B15)-1)*2</f>
        <v>0.55346198071195918</v>
      </c>
    </row>
    <row r="17" spans="1:6" x14ac:dyDescent="0.2">
      <c r="C17" s="19">
        <f>+SUM(C13:C16)</f>
        <v>0</v>
      </c>
      <c r="E17" s="13"/>
      <c r="F17" s="15"/>
    </row>
    <row r="18" spans="1:6" x14ac:dyDescent="0.2">
      <c r="A18" s="28" t="s">
        <v>22</v>
      </c>
      <c r="B18" s="29">
        <v>1</v>
      </c>
    </row>
    <row r="19" spans="1:6" x14ac:dyDescent="0.2">
      <c r="A19" s="12" t="s">
        <v>7</v>
      </c>
      <c r="B19" s="20">
        <f>100%+C17</f>
        <v>1</v>
      </c>
    </row>
    <row r="20" spans="1:6" x14ac:dyDescent="0.2">
      <c r="A20" s="21" t="s">
        <v>19</v>
      </c>
      <c r="B20" s="17">
        <f>(B6-B2)/365</f>
        <v>0.44383561643835617</v>
      </c>
    </row>
    <row r="21" spans="1:6" x14ac:dyDescent="0.2">
      <c r="A21" s="12" t="s">
        <v>20</v>
      </c>
      <c r="B21" s="20">
        <f>C17</f>
        <v>0</v>
      </c>
    </row>
    <row r="22" spans="1:6" x14ac:dyDescent="0.2">
      <c r="A22" s="12" t="s">
        <v>23</v>
      </c>
      <c r="B22" s="20">
        <f>B18*B19+100%*(1-B18)/((1+(E13/B18)/B4)^(B4*B16))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Bono ajustable por inflacion</vt:lpstr>
      <vt:lpstr>Bono a tasa flotante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2020-06-22T19:51:22Z</dcterms:created>
  <dcterms:modified xsi:type="dcterms:W3CDTF">2022-08-06T13:38:19Z</dcterms:modified>
</cp:coreProperties>
</file>