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 showInkAnnotation="0"/>
  <mc:AlternateContent xmlns:mc="http://schemas.openxmlformats.org/markup-compatibility/2006">
    <mc:Choice Requires="x15">
      <x15ac:absPath xmlns:x15ac="http://schemas.microsoft.com/office/spreadsheetml/2010/11/ac" url="/Users/juandelich/Documents/Maestria/Instrumento de Mercado de Capitales/Presentaciones/Renta fija/"/>
    </mc:Choice>
  </mc:AlternateContent>
  <xr:revisionPtr revIDLastSave="0" documentId="13_ncr:1_{6B5D056D-4B1A-9147-A7B4-35AE8AC50CFE}" xr6:coauthVersionLast="47" xr6:coauthVersionMax="47" xr10:uidLastSave="{00000000-0000-0000-0000-000000000000}"/>
  <bookViews>
    <workbookView xWindow="19320" yWindow="0" windowWidth="19080" windowHeight="21600" tabRatio="500" activeTab="1" xr2:uid="{00000000-000D-0000-FFFF-FFFF00000000}"/>
  </bookViews>
  <sheets>
    <sheet name="Bono 2029" sheetId="1" r:id="rId1"/>
    <sheet name="Bono 2029 (2)" sheetId="2" r:id="rId2"/>
  </sheets>
  <definedNames>
    <definedName name="_xlnm._FilterDatabase" localSheetId="0" hidden="1">'Bono 2029'!$A$14:$O$35</definedName>
    <definedName name="_xlnm._FilterDatabase" localSheetId="1" hidden="1">'Bono 2029 (2)'!$A$14:$O$35</definedName>
    <definedName name="solver_adj" localSheetId="0" hidden="1">'Bono 2029'!$H$7</definedName>
    <definedName name="solver_adj" localSheetId="1" hidden="1">'Bono 2029 (2)'!$H$7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in" localSheetId="0" hidden="1">2</definedName>
    <definedName name="solver_lin" localSheetId="1" hidden="1">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'Bono 2029'!$O$35</definedName>
    <definedName name="solver_opt" localSheetId="1" hidden="1">'Bono 2029 (2)'!$O$35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3</definedName>
    <definedName name="solver_typ" localSheetId="1" hidden="1">3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2" l="1"/>
  <c r="C24" i="2"/>
  <c r="J18" i="2"/>
  <c r="E19" i="1"/>
  <c r="D22" i="1"/>
  <c r="B29" i="1"/>
  <c r="C20" i="1"/>
  <c r="C24" i="1"/>
  <c r="E17" i="1"/>
  <c r="F17" i="1"/>
  <c r="I18" i="1"/>
  <c r="I20" i="1"/>
  <c r="E18" i="1"/>
  <c r="J18" i="1"/>
  <c r="I17" i="1"/>
  <c r="C17" i="1"/>
  <c r="C19" i="1"/>
  <c r="J17" i="1"/>
  <c r="C18" i="1"/>
  <c r="C33" i="1"/>
  <c r="C25" i="1"/>
  <c r="G16" i="1"/>
  <c r="E22" i="1"/>
  <c r="E20" i="1"/>
  <c r="D17" i="1" l="1"/>
  <c r="E18" i="2" l="1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17" i="2"/>
  <c r="D18" i="2"/>
  <c r="D19" i="2"/>
  <c r="O19" i="2" s="1"/>
  <c r="D17" i="2"/>
  <c r="O17" i="2"/>
  <c r="O18" i="2"/>
  <c r="M33" i="2"/>
  <c r="K33" i="2"/>
  <c r="B33" i="2"/>
  <c r="M32" i="2"/>
  <c r="K32" i="2"/>
  <c r="G32" i="2"/>
  <c r="H32" i="2"/>
  <c r="B32" i="2"/>
  <c r="M31" i="2"/>
  <c r="K31" i="2"/>
  <c r="B31" i="2"/>
  <c r="M30" i="2"/>
  <c r="K30" i="2"/>
  <c r="B30" i="2"/>
  <c r="M29" i="2"/>
  <c r="K29" i="2"/>
  <c r="B29" i="2"/>
  <c r="M28" i="2"/>
  <c r="K28" i="2"/>
  <c r="B28" i="2"/>
  <c r="M27" i="2"/>
  <c r="K27" i="2"/>
  <c r="B27" i="2"/>
  <c r="M26" i="2"/>
  <c r="K26" i="2"/>
  <c r="B26" i="2"/>
  <c r="M25" i="2"/>
  <c r="K25" i="2"/>
  <c r="B25" i="2"/>
  <c r="M24" i="2"/>
  <c r="K24" i="2"/>
  <c r="G24" i="2"/>
  <c r="H24" i="2"/>
  <c r="B24" i="2"/>
  <c r="M23" i="2"/>
  <c r="K23" i="2"/>
  <c r="B23" i="2"/>
  <c r="M22" i="2"/>
  <c r="K22" i="2"/>
  <c r="B22" i="2"/>
  <c r="C25" i="2" s="1"/>
  <c r="M21" i="2"/>
  <c r="K21" i="2"/>
  <c r="B21" i="2"/>
  <c r="M20" i="2"/>
  <c r="K20" i="2"/>
  <c r="B20" i="2"/>
  <c r="M19" i="2"/>
  <c r="K19" i="2"/>
  <c r="B19" i="2"/>
  <c r="M18" i="2"/>
  <c r="K18" i="2"/>
  <c r="C18" i="2"/>
  <c r="B18" i="2"/>
  <c r="M17" i="2"/>
  <c r="K17" i="2"/>
  <c r="C17" i="2"/>
  <c r="B17" i="2"/>
  <c r="C26" i="2" s="1"/>
  <c r="M16" i="2"/>
  <c r="G16" i="2"/>
  <c r="B10" i="2"/>
  <c r="B10" i="1"/>
  <c r="B4" i="1"/>
  <c r="B17" i="1"/>
  <c r="F18" i="1"/>
  <c r="B18" i="1"/>
  <c r="B19" i="1"/>
  <c r="B20" i="1"/>
  <c r="B21" i="1"/>
  <c r="E21" i="1"/>
  <c r="B22" i="1"/>
  <c r="B23" i="1"/>
  <c r="B24" i="1"/>
  <c r="E25" i="1"/>
  <c r="F25" i="1" s="1"/>
  <c r="B26" i="1"/>
  <c r="B27" i="1"/>
  <c r="B28" i="1"/>
  <c r="B30" i="1"/>
  <c r="B31" i="1"/>
  <c r="E31" i="1"/>
  <c r="G31" i="1" s="1"/>
  <c r="H31" i="1" s="1"/>
  <c r="B32" i="1"/>
  <c r="E32" i="1"/>
  <c r="F32" i="1" s="1"/>
  <c r="B33" i="1"/>
  <c r="M33" i="1"/>
  <c r="K33" i="1"/>
  <c r="M32" i="1"/>
  <c r="K32" i="1"/>
  <c r="M31" i="1"/>
  <c r="K31" i="1"/>
  <c r="M30" i="1"/>
  <c r="K30" i="1"/>
  <c r="M29" i="1"/>
  <c r="K29" i="1"/>
  <c r="M28" i="1"/>
  <c r="K28" i="1"/>
  <c r="M27" i="1"/>
  <c r="K27" i="1"/>
  <c r="M26" i="1"/>
  <c r="K26" i="1"/>
  <c r="M25" i="1"/>
  <c r="K25" i="1"/>
  <c r="M24" i="1"/>
  <c r="K24" i="1"/>
  <c r="M23" i="1"/>
  <c r="K23" i="1"/>
  <c r="M22" i="1"/>
  <c r="K22" i="1"/>
  <c r="G21" i="1"/>
  <c r="H21" i="1" s="1"/>
  <c r="M21" i="1"/>
  <c r="K21" i="1"/>
  <c r="F21" i="1"/>
  <c r="M20" i="1"/>
  <c r="K20" i="1"/>
  <c r="M19" i="1"/>
  <c r="K19" i="1"/>
  <c r="M18" i="1"/>
  <c r="K18" i="1"/>
  <c r="M17" i="1"/>
  <c r="K17" i="1"/>
  <c r="N17" i="2"/>
  <c r="F27" i="2"/>
  <c r="G27" i="2"/>
  <c r="H27" i="2"/>
  <c r="F24" i="2"/>
  <c r="C31" i="2"/>
  <c r="D31" i="2" s="1"/>
  <c r="F32" i="2"/>
  <c r="J17" i="2"/>
  <c r="C20" i="2"/>
  <c r="D20" i="2" s="1"/>
  <c r="C28" i="2"/>
  <c r="D28" i="2" s="1"/>
  <c r="C22" i="2"/>
  <c r="D22" i="2" s="1"/>
  <c r="C30" i="2"/>
  <c r="D30" i="2" s="1"/>
  <c r="C19" i="2"/>
  <c r="D24" i="2"/>
  <c r="C32" i="2"/>
  <c r="J32" i="2" s="1"/>
  <c r="C21" i="2"/>
  <c r="D21" i="2" s="1"/>
  <c r="C29" i="1"/>
  <c r="D29" i="1" s="1"/>
  <c r="N29" i="1" s="1"/>
  <c r="C21" i="1"/>
  <c r="J21" i="1"/>
  <c r="G18" i="1"/>
  <c r="H18" i="1"/>
  <c r="C26" i="1"/>
  <c r="J26" i="1" s="1"/>
  <c r="C27" i="1"/>
  <c r="C30" i="1"/>
  <c r="J30" i="1" s="1"/>
  <c r="C22" i="1"/>
  <c r="C32" i="1"/>
  <c r="J32" i="1" s="1"/>
  <c r="C28" i="1"/>
  <c r="J28" i="1" s="1"/>
  <c r="F19" i="2"/>
  <c r="G19" i="2"/>
  <c r="H19" i="2" s="1"/>
  <c r="I19" i="2" s="1"/>
  <c r="J19" i="2"/>
  <c r="J31" i="2"/>
  <c r="G17" i="2"/>
  <c r="H17" i="2"/>
  <c r="I17" i="2"/>
  <c r="F17" i="2"/>
  <c r="G23" i="2"/>
  <c r="H23" i="2"/>
  <c r="F23" i="2"/>
  <c r="G29" i="2"/>
  <c r="H29" i="2"/>
  <c r="I29" i="2" s="1"/>
  <c r="G28" i="2"/>
  <c r="H28" i="2"/>
  <c r="I28" i="2" s="1"/>
  <c r="F29" i="2"/>
  <c r="F30" i="2"/>
  <c r="G30" i="2"/>
  <c r="H30" i="2" s="1"/>
  <c r="I30" i="2" s="1"/>
  <c r="J28" i="2"/>
  <c r="J24" i="2"/>
  <c r="F28" i="2"/>
  <c r="G26" i="2"/>
  <c r="H26" i="2"/>
  <c r="I26" i="2" s="1"/>
  <c r="F26" i="2"/>
  <c r="F22" i="2"/>
  <c r="G22" i="2"/>
  <c r="H22" i="2" s="1"/>
  <c r="J22" i="2"/>
  <c r="J20" i="2"/>
  <c r="G21" i="2"/>
  <c r="H21" i="2" s="1"/>
  <c r="I21" i="2" s="1"/>
  <c r="F21" i="2"/>
  <c r="G33" i="2"/>
  <c r="H33" i="2"/>
  <c r="I33" i="2" s="1"/>
  <c r="F33" i="2"/>
  <c r="G20" i="2"/>
  <c r="H20" i="2"/>
  <c r="I20" i="2" s="1"/>
  <c r="F20" i="2"/>
  <c r="G18" i="2"/>
  <c r="H18" i="2"/>
  <c r="I18" i="2" s="1"/>
  <c r="F18" i="2"/>
  <c r="N18" i="2"/>
  <c r="J21" i="2"/>
  <c r="G25" i="2"/>
  <c r="H25" i="2" s="1"/>
  <c r="I25" i="2" s="1"/>
  <c r="F25" i="2"/>
  <c r="G31" i="2"/>
  <c r="H31" i="2" s="1"/>
  <c r="F31" i="2"/>
  <c r="D21" i="1"/>
  <c r="N21" i="1"/>
  <c r="D20" i="1"/>
  <c r="N20" i="1" s="1"/>
  <c r="J20" i="1"/>
  <c r="J27" i="1"/>
  <c r="D27" i="1"/>
  <c r="N27" i="1" s="1"/>
  <c r="D19" i="1"/>
  <c r="N19" i="1" s="1"/>
  <c r="J19" i="1"/>
  <c r="D26" i="1"/>
  <c r="O21" i="1"/>
  <c r="I24" i="2"/>
  <c r="N19" i="2"/>
  <c r="I27" i="2"/>
  <c r="D30" i="1" l="1"/>
  <c r="N30" i="1" s="1"/>
  <c r="J29" i="1"/>
  <c r="D32" i="1"/>
  <c r="O32" i="1" s="1"/>
  <c r="O17" i="1"/>
  <c r="I31" i="2"/>
  <c r="I32" i="2"/>
  <c r="O24" i="2"/>
  <c r="N24" i="2"/>
  <c r="O28" i="2"/>
  <c r="N28" i="2"/>
  <c r="O31" i="2"/>
  <c r="N31" i="2"/>
  <c r="J25" i="1"/>
  <c r="D25" i="1"/>
  <c r="J26" i="2"/>
  <c r="D26" i="2"/>
  <c r="N22" i="2"/>
  <c r="O22" i="2"/>
  <c r="G19" i="1"/>
  <c r="H19" i="1" s="1"/>
  <c r="I19" i="1" s="1"/>
  <c r="F19" i="1"/>
  <c r="O19" i="1"/>
  <c r="O20" i="2"/>
  <c r="N20" i="2"/>
  <c r="D18" i="1"/>
  <c r="D25" i="2"/>
  <c r="J25" i="2"/>
  <c r="N22" i="1"/>
  <c r="I23" i="2"/>
  <c r="I22" i="2"/>
  <c r="N21" i="2"/>
  <c r="O21" i="2"/>
  <c r="N30" i="2"/>
  <c r="O30" i="2"/>
  <c r="J33" i="1"/>
  <c r="D33" i="1"/>
  <c r="N17" i="1"/>
  <c r="D32" i="2"/>
  <c r="E33" i="1"/>
  <c r="E26" i="1"/>
  <c r="O26" i="1" s="1"/>
  <c r="C29" i="2"/>
  <c r="N26" i="1"/>
  <c r="O27" i="1"/>
  <c r="N32" i="1"/>
  <c r="J22" i="1"/>
  <c r="D28" i="1"/>
  <c r="J30" i="2"/>
  <c r="G32" i="1"/>
  <c r="H32" i="1" s="1"/>
  <c r="I32" i="1" s="1"/>
  <c r="C31" i="1"/>
  <c r="C23" i="1"/>
  <c r="F31" i="1"/>
  <c r="C27" i="2"/>
  <c r="C33" i="2"/>
  <c r="C23" i="2"/>
  <c r="M16" i="1"/>
  <c r="E27" i="1"/>
  <c r="O22" i="1"/>
  <c r="G25" i="1"/>
  <c r="H25" i="1" s="1"/>
  <c r="E30" i="1"/>
  <c r="E29" i="1"/>
  <c r="O29" i="1" s="1"/>
  <c r="E28" i="1"/>
  <c r="E24" i="1"/>
  <c r="E23" i="1"/>
  <c r="F28" i="1" l="1"/>
  <c r="G28" i="1"/>
  <c r="H28" i="1" s="1"/>
  <c r="J23" i="2"/>
  <c r="D23" i="2"/>
  <c r="J23" i="1"/>
  <c r="D23" i="1"/>
  <c r="J24" i="1"/>
  <c r="D24" i="1"/>
  <c r="H6" i="1" s="1"/>
  <c r="D29" i="2"/>
  <c r="J29" i="2"/>
  <c r="N18" i="1"/>
  <c r="O18" i="1"/>
  <c r="N25" i="1"/>
  <c r="O25" i="1"/>
  <c r="F20" i="1"/>
  <c r="G20" i="1"/>
  <c r="H20" i="1" s="1"/>
  <c r="O20" i="1"/>
  <c r="F29" i="1"/>
  <c r="G29" i="1"/>
  <c r="H29" i="1" s="1"/>
  <c r="I29" i="1" s="1"/>
  <c r="F22" i="1"/>
  <c r="G22" i="1"/>
  <c r="H22" i="1" s="1"/>
  <c r="I22" i="1" s="1"/>
  <c r="D33" i="2"/>
  <c r="J33" i="2"/>
  <c r="G17" i="1"/>
  <c r="H17" i="1" s="1"/>
  <c r="F26" i="1"/>
  <c r="G26" i="1"/>
  <c r="H26" i="1" s="1"/>
  <c r="I26" i="1" s="1"/>
  <c r="O32" i="2"/>
  <c r="N32" i="2"/>
  <c r="F23" i="1"/>
  <c r="G23" i="1"/>
  <c r="H23" i="1" s="1"/>
  <c r="I23" i="1" s="1"/>
  <c r="F30" i="1"/>
  <c r="G30" i="1"/>
  <c r="H30" i="1" s="1"/>
  <c r="O30" i="1"/>
  <c r="G27" i="1"/>
  <c r="H27" i="1" s="1"/>
  <c r="I27" i="1" s="1"/>
  <c r="F27" i="1"/>
  <c r="D27" i="2"/>
  <c r="J27" i="2"/>
  <c r="D31" i="1"/>
  <c r="J31" i="1"/>
  <c r="N28" i="1"/>
  <c r="O28" i="1"/>
  <c r="G33" i="1"/>
  <c r="H33" i="1" s="1"/>
  <c r="I33" i="1" s="1"/>
  <c r="F33" i="1"/>
  <c r="N26" i="2"/>
  <c r="O26" i="2"/>
  <c r="F24" i="1"/>
  <c r="G24" i="1"/>
  <c r="H24" i="1" s="1"/>
  <c r="I25" i="1" s="1"/>
  <c r="O33" i="1"/>
  <c r="N33" i="1"/>
  <c r="O25" i="2"/>
  <c r="N25" i="2"/>
  <c r="N31" i="1" l="1"/>
  <c r="O31" i="1"/>
  <c r="I21" i="1"/>
  <c r="O24" i="1"/>
  <c r="N24" i="1"/>
  <c r="O23" i="2"/>
  <c r="N23" i="2"/>
  <c r="O27" i="2"/>
  <c r="N27" i="2"/>
  <c r="I30" i="1"/>
  <c r="I31" i="1"/>
  <c r="O33" i="2"/>
  <c r="N33" i="2"/>
  <c r="N23" i="1"/>
  <c r="O23" i="1"/>
  <c r="I28" i="1"/>
  <c r="I24" i="1"/>
  <c r="N29" i="2"/>
  <c r="O29" i="2"/>
  <c r="O35" i="1" l="1"/>
  <c r="N16" i="2"/>
  <c r="O35" i="2"/>
  <c r="N16" i="1" l="1"/>
</calcChain>
</file>

<file path=xl/sharedStrings.xml><?xml version="1.0" encoding="utf-8"?>
<sst xmlns="http://schemas.openxmlformats.org/spreadsheetml/2006/main" count="54" uniqueCount="24">
  <si>
    <t>Datos</t>
  </si>
  <si>
    <t>Fecha de emision</t>
  </si>
  <si>
    <t>Fecha de vencimiento</t>
  </si>
  <si>
    <t>Cupon</t>
  </si>
  <si>
    <t>Frecuencia cupon</t>
  </si>
  <si>
    <t>Fecha amortizacion inicial</t>
  </si>
  <si>
    <t>Risk free</t>
  </si>
  <si>
    <t>Principal</t>
  </si>
  <si>
    <t>Hazard rate</t>
  </si>
  <si>
    <t>Fecha inicial devengamiento cupon</t>
  </si>
  <si>
    <t>Recovery</t>
  </si>
  <si>
    <t>Base</t>
  </si>
  <si>
    <t>Precio</t>
  </si>
  <si>
    <t>Fecha de liquidacion</t>
  </si>
  <si>
    <t>YTM</t>
  </si>
  <si>
    <t>Interes</t>
  </si>
  <si>
    <t>Total flujos de caja</t>
  </si>
  <si>
    <t>Ti</t>
  </si>
  <si>
    <t>Z</t>
  </si>
  <si>
    <t>P*</t>
  </si>
  <si>
    <t>1-P*</t>
  </si>
  <si>
    <t>Proba default en t</t>
  </si>
  <si>
    <t>Claim</t>
  </si>
  <si>
    <t>Cant de Amortizaciones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</si>
</sst>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0.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9" fontId="0" fillId="0" borderId="0" xfId="0" applyNumberFormat="1"/>
    <xf numFmtId="14" fontId="0" fillId="0" borderId="0" xfId="0" applyNumberFormat="1"/>
    <xf numFmtId="0" fontId="2" fillId="0" borderId="0" xfId="0" applyFont="1"/>
    <xf numFmtId="166" fontId="0" fillId="0" borderId="0" xfId="2" applyNumberFormat="1" applyFont="1"/>
    <xf numFmtId="10" fontId="0" fillId="0" borderId="0" xfId="2" applyNumberFormat="1" applyFont="1"/>
    <xf numFmtId="164" fontId="0" fillId="0" borderId="0" xfId="0" applyNumberFormat="1"/>
    <xf numFmtId="165" fontId="0" fillId="0" borderId="0" xfId="1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10" fontId="2" fillId="0" borderId="0" xfId="0" applyNumberFormat="1" applyFont="1"/>
    <xf numFmtId="10" fontId="0" fillId="0" borderId="0" xfId="0" applyNumberFormat="1" applyAlignment="1">
      <alignment horizontal="right"/>
    </xf>
    <xf numFmtId="0" fontId="0" fillId="0" borderId="0" xfId="0" applyBorder="1"/>
    <xf numFmtId="10" fontId="2" fillId="0" borderId="0" xfId="0" applyNumberFormat="1" applyFont="1" applyBorder="1"/>
    <xf numFmtId="0" fontId="0" fillId="2" borderId="0" xfId="0" applyFill="1"/>
    <xf numFmtId="164" fontId="3" fillId="2" borderId="0" xfId="1" applyFont="1" applyFill="1"/>
    <xf numFmtId="10" fontId="3" fillId="2" borderId="0" xfId="2" applyNumberFormat="1" applyFont="1" applyFill="1"/>
    <xf numFmtId="9" fontId="0" fillId="0" borderId="0" xfId="2" applyNumberFormat="1" applyFont="1"/>
    <xf numFmtId="14" fontId="0" fillId="3" borderId="0" xfId="0" applyNumberFormat="1" applyFill="1"/>
    <xf numFmtId="0" fontId="0" fillId="3" borderId="0" xfId="0" applyFill="1" applyAlignment="1">
      <alignment horizontal="right"/>
    </xf>
    <xf numFmtId="167" fontId="0" fillId="3" borderId="0" xfId="0" applyNumberFormat="1" applyFill="1" applyAlignment="1">
      <alignment horizontal="right"/>
    </xf>
    <xf numFmtId="166" fontId="0" fillId="3" borderId="0" xfId="2" applyNumberFormat="1" applyFont="1" applyFill="1"/>
    <xf numFmtId="9" fontId="0" fillId="3" borderId="0" xfId="2" applyNumberFormat="1" applyFont="1" applyFill="1"/>
    <xf numFmtId="10" fontId="0" fillId="3" borderId="0" xfId="2" applyNumberFormat="1" applyFont="1" applyFill="1"/>
    <xf numFmtId="0" fontId="0" fillId="3" borderId="0" xfId="0" applyFill="1"/>
    <xf numFmtId="9" fontId="0" fillId="3" borderId="0" xfId="0" applyNumberFormat="1" applyFill="1"/>
    <xf numFmtId="167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167" fontId="0" fillId="0" borderId="0" xfId="0" applyNumberFormat="1"/>
  </cellXfs>
  <cellStyles count="4">
    <cellStyle name="Comma" xfId="1" builtinId="3"/>
    <cellStyle name="Comma 2" xfId="3" xr:uid="{00000000-0005-0000-0000-000001000000}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5"/>
  <sheetViews>
    <sheetView zoomScale="99" workbookViewId="0">
      <selection activeCell="E22" sqref="E22"/>
    </sheetView>
  </sheetViews>
  <sheetFormatPr baseColWidth="10" defaultRowHeight="16" x14ac:dyDescent="0.2"/>
  <cols>
    <col min="1" max="1" width="29.6640625" bestFit="1" customWidth="1"/>
    <col min="2" max="3" width="10.83203125" style="1"/>
    <col min="4" max="4" width="16.33203125" style="1" bestFit="1" customWidth="1"/>
    <col min="5" max="5" width="10.83203125" style="1"/>
    <col min="6" max="6" width="15.6640625" style="1" customWidth="1"/>
    <col min="7" max="8" width="10.83203125" style="1"/>
    <col min="9" max="9" width="15.6640625" style="1" bestFit="1" customWidth="1"/>
  </cols>
  <sheetData>
    <row r="1" spans="1:15" x14ac:dyDescent="0.2">
      <c r="A1" t="s">
        <v>0</v>
      </c>
    </row>
    <row r="2" spans="1:15" x14ac:dyDescent="0.2">
      <c r="A2" t="s">
        <v>1</v>
      </c>
      <c r="B2" s="2">
        <v>44078</v>
      </c>
    </row>
    <row r="3" spans="1:15" x14ac:dyDescent="0.2">
      <c r="A3" t="s">
        <v>2</v>
      </c>
      <c r="B3" s="2">
        <v>47365</v>
      </c>
      <c r="G3" t="s">
        <v>6</v>
      </c>
      <c r="H3" s="11">
        <v>0.02</v>
      </c>
    </row>
    <row r="4" spans="1:15" x14ac:dyDescent="0.2">
      <c r="A4" t="s">
        <v>13</v>
      </c>
      <c r="B4" s="2">
        <f>B2</f>
        <v>44078</v>
      </c>
      <c r="F4"/>
      <c r="G4" t="s">
        <v>8</v>
      </c>
      <c r="H4" s="11">
        <v>0.152</v>
      </c>
      <c r="I4"/>
    </row>
    <row r="5" spans="1:15" x14ac:dyDescent="0.2">
      <c r="A5" t="s">
        <v>3</v>
      </c>
      <c r="B5" s="9">
        <v>1</v>
      </c>
      <c r="G5" s="13" t="s">
        <v>10</v>
      </c>
      <c r="H5" s="14">
        <v>0.2</v>
      </c>
    </row>
    <row r="6" spans="1:15" x14ac:dyDescent="0.2">
      <c r="A6" t="s">
        <v>4</v>
      </c>
      <c r="B6" s="1">
        <v>2</v>
      </c>
      <c r="G6" s="15" t="s">
        <v>12</v>
      </c>
      <c r="H6" s="16">
        <f>SUMPRODUCT(F17:F33,G17:G33,D17:D33)+SUMPRODUCT(I17:I33,J17:J33,K17:K33,F17:F33)</f>
        <v>48.646966530857156</v>
      </c>
    </row>
    <row r="7" spans="1:15" x14ac:dyDescent="0.2">
      <c r="A7" t="s">
        <v>23</v>
      </c>
      <c r="B7" s="1">
        <v>10</v>
      </c>
      <c r="G7" s="15" t="s">
        <v>14</v>
      </c>
      <c r="H7" s="17">
        <v>0.129608061550012</v>
      </c>
    </row>
    <row r="8" spans="1:15" x14ac:dyDescent="0.2">
      <c r="A8" t="s">
        <v>5</v>
      </c>
      <c r="B8" s="2">
        <v>45666</v>
      </c>
      <c r="F8"/>
      <c r="H8" s="12"/>
      <c r="I8" s="3"/>
    </row>
    <row r="9" spans="1:15" x14ac:dyDescent="0.2">
      <c r="A9" t="s">
        <v>7</v>
      </c>
      <c r="B9" s="1">
        <v>100</v>
      </c>
      <c r="F9"/>
      <c r="H9" s="12"/>
      <c r="I9" s="3"/>
    </row>
    <row r="10" spans="1:15" x14ac:dyDescent="0.2">
      <c r="A10" t="s">
        <v>9</v>
      </c>
      <c r="B10" s="2">
        <f>+B2</f>
        <v>44078</v>
      </c>
      <c r="F10"/>
      <c r="H10" s="12"/>
      <c r="I10" s="3"/>
    </row>
    <row r="11" spans="1:15" x14ac:dyDescent="0.2">
      <c r="A11" t="s">
        <v>11</v>
      </c>
      <c r="B11" s="1">
        <v>0</v>
      </c>
      <c r="F11"/>
      <c r="H11" s="12"/>
      <c r="I11"/>
    </row>
    <row r="12" spans="1:15" x14ac:dyDescent="0.2">
      <c r="F12"/>
      <c r="G12"/>
      <c r="H12"/>
      <c r="I12"/>
    </row>
    <row r="13" spans="1:15" x14ac:dyDescent="0.2">
      <c r="F13"/>
      <c r="G13"/>
      <c r="H13"/>
      <c r="I13"/>
    </row>
    <row r="14" spans="1:15" x14ac:dyDescent="0.2">
      <c r="B14" s="1" t="s">
        <v>7</v>
      </c>
      <c r="C14" s="1" t="s">
        <v>15</v>
      </c>
      <c r="D14" s="1" t="s">
        <v>16</v>
      </c>
      <c r="E14" s="1" t="s">
        <v>17</v>
      </c>
      <c r="F14" s="1" t="s">
        <v>18</v>
      </c>
      <c r="G14" s="1" t="s">
        <v>19</v>
      </c>
      <c r="H14" s="1" t="s">
        <v>20</v>
      </c>
      <c r="I14" t="s">
        <v>21</v>
      </c>
      <c r="J14" t="s">
        <v>22</v>
      </c>
      <c r="K14" t="s">
        <v>10</v>
      </c>
      <c r="O14" t="s">
        <v>14</v>
      </c>
    </row>
    <row r="15" spans="1:15" x14ac:dyDescent="0.2">
      <c r="A15" s="4">
        <v>44078</v>
      </c>
      <c r="F15"/>
      <c r="G15"/>
      <c r="H15"/>
      <c r="I15"/>
      <c r="M15" s="5"/>
    </row>
    <row r="16" spans="1:15" x14ac:dyDescent="0.2">
      <c r="A16" s="4">
        <v>44205</v>
      </c>
      <c r="F16"/>
      <c r="G16" s="6">
        <f>EXP(-H$4*E16)</f>
        <v>1</v>
      </c>
      <c r="H16" s="7">
        <v>0</v>
      </c>
      <c r="I16"/>
      <c r="M16" s="4">
        <f>B4</f>
        <v>44078</v>
      </c>
      <c r="N16">
        <f>-H6</f>
        <v>-48.646966530857156</v>
      </c>
    </row>
    <row r="17" spans="1:15" x14ac:dyDescent="0.2">
      <c r="A17" s="4">
        <v>44386</v>
      </c>
      <c r="B17" s="1">
        <f t="shared" ref="B17:B33" si="0">IF(A17&lt;B$8,0,B$9/B$7)</f>
        <v>0</v>
      </c>
      <c r="C17" s="10">
        <f>B$5%*YEARFRAC(A15,A17,B$11)*(B$9-SUM(B$15:B16))</f>
        <v>0.84722222222222232</v>
      </c>
      <c r="D17" s="10">
        <f>C17+B17</f>
        <v>0.84722222222222232</v>
      </c>
      <c r="E17" s="10">
        <f>(A17-B$4)/365</f>
        <v>0.84383561643835614</v>
      </c>
      <c r="F17" s="6">
        <f>EXP(-H$3*E17)</f>
        <v>0.98326490160240088</v>
      </c>
      <c r="G17" s="18">
        <f t="shared" ref="G16:G33" si="1">EXP(-H$4*E17)</f>
        <v>0.87962199608293401</v>
      </c>
      <c r="H17" s="18">
        <f t="shared" ref="H17:H33" si="2">1-G17</f>
        <v>0.12037800391706599</v>
      </c>
      <c r="I17" s="7">
        <f>H17-H16</f>
        <v>0.12037800391706599</v>
      </c>
      <c r="J17" s="29">
        <f>B$9-SUM(B16:B$16)+C17</f>
        <v>100.84722222222223</v>
      </c>
      <c r="K17" s="3">
        <f t="shared" ref="K17:K33" si="3">H$5</f>
        <v>0.2</v>
      </c>
      <c r="L17" s="3"/>
      <c r="M17" s="4">
        <f t="shared" ref="M17:M33" si="4">A17</f>
        <v>44386</v>
      </c>
      <c r="N17">
        <f t="shared" ref="N17:N33" si="5">D17</f>
        <v>0.84722222222222232</v>
      </c>
      <c r="O17">
        <f>D17/((1+H$7/2)^(2*E17))</f>
        <v>0.76203527091010381</v>
      </c>
    </row>
    <row r="18" spans="1:15" x14ac:dyDescent="0.2">
      <c r="A18" s="4">
        <v>44570</v>
      </c>
      <c r="B18" s="1">
        <f t="shared" si="0"/>
        <v>0</v>
      </c>
      <c r="C18" s="10">
        <f>B$5%*YEARFRAC(A17,A18,B$11)*(B$9-SUM(B$15:B17))</f>
        <v>0.5</v>
      </c>
      <c r="D18" s="10">
        <f t="shared" ref="D18:D33" si="6">C18+B18</f>
        <v>0.5</v>
      </c>
      <c r="E18" s="10">
        <f>(A18-B$4)/365</f>
        <v>1.3479452054794521</v>
      </c>
      <c r="F18" s="6">
        <f t="shared" ref="F17:F33" si="7">EXP(-H$3*E18)</f>
        <v>0.97340124349320134</v>
      </c>
      <c r="G18" s="18">
        <f t="shared" si="1"/>
        <v>0.81473882987980861</v>
      </c>
      <c r="H18" s="18">
        <f t="shared" si="2"/>
        <v>0.18526117012019139</v>
      </c>
      <c r="I18" s="7">
        <f>H18-H17</f>
        <v>6.4883166203125398E-2</v>
      </c>
      <c r="J18" s="29">
        <f>B$9-SUM(B$16:B17)+C18</f>
        <v>100.5</v>
      </c>
      <c r="K18" s="3">
        <f t="shared" si="3"/>
        <v>0.2</v>
      </c>
      <c r="L18" s="3"/>
      <c r="M18" s="4">
        <f t="shared" si="4"/>
        <v>44570</v>
      </c>
      <c r="N18">
        <f t="shared" si="5"/>
        <v>0.5</v>
      </c>
      <c r="O18">
        <f t="shared" ref="O17:O33" si="8">D18/((1+H$7/2)^(2*E18))</f>
        <v>0.42213748468281159</v>
      </c>
    </row>
    <row r="19" spans="1:15" x14ac:dyDescent="0.2">
      <c r="A19" s="4">
        <v>44751</v>
      </c>
      <c r="B19" s="1">
        <f t="shared" si="0"/>
        <v>0</v>
      </c>
      <c r="C19" s="10">
        <f>B$5%*YEARFRAC(A18,A19,B$11)*(B$9-SUM(B$15:B18))</f>
        <v>0.5</v>
      </c>
      <c r="D19" s="10">
        <f t="shared" si="6"/>
        <v>0.5</v>
      </c>
      <c r="E19" s="10">
        <f>(A19-B$4)/365</f>
        <v>1.8438356164383563</v>
      </c>
      <c r="F19" s="6">
        <f t="shared" si="7"/>
        <v>0.96379495205977062</v>
      </c>
      <c r="G19" s="18">
        <f t="shared" si="1"/>
        <v>0.75558498611735481</v>
      </c>
      <c r="H19" s="18">
        <f t="shared" si="2"/>
        <v>0.24441501388264519</v>
      </c>
      <c r="I19" s="7">
        <f t="shared" ref="I17:I33" si="9">H19-H18</f>
        <v>5.9153843762453806E-2</v>
      </c>
      <c r="J19">
        <f>B$9-SUM(B$16:B18)+C19</f>
        <v>100.5</v>
      </c>
      <c r="K19" s="3">
        <f t="shared" si="3"/>
        <v>0.2</v>
      </c>
      <c r="L19" s="3"/>
      <c r="M19" s="4">
        <f t="shared" si="4"/>
        <v>44751</v>
      </c>
      <c r="N19">
        <f t="shared" si="5"/>
        <v>0.5</v>
      </c>
      <c r="O19">
        <f t="shared" si="8"/>
        <v>0.39665082872103957</v>
      </c>
    </row>
    <row r="20" spans="1:15" x14ac:dyDescent="0.2">
      <c r="A20" s="19">
        <v>44935</v>
      </c>
      <c r="B20" s="20">
        <f t="shared" si="0"/>
        <v>0</v>
      </c>
      <c r="C20" s="21">
        <f>B$5%*YEARFRAC(A19,A20,B$11)*(B$9-SUM(B$15:B19))</f>
        <v>0.5</v>
      </c>
      <c r="D20" s="21">
        <f t="shared" si="6"/>
        <v>0.5</v>
      </c>
      <c r="E20" s="21">
        <f>(A20-B$4)/365</f>
        <v>2.3479452054794518</v>
      </c>
      <c r="F20" s="22">
        <f t="shared" si="7"/>
        <v>0.95412660746718192</v>
      </c>
      <c r="G20" s="23">
        <f t="shared" si="1"/>
        <v>0.69985110673149153</v>
      </c>
      <c r="H20" s="24">
        <f t="shared" si="2"/>
        <v>0.30014889326850847</v>
      </c>
      <c r="I20" s="24">
        <f>H20-H19</f>
        <v>5.5733879385863272E-2</v>
      </c>
      <c r="J20" s="25">
        <f>B$9-SUM(B$16:B19)+C20</f>
        <v>100.5</v>
      </c>
      <c r="K20" s="26">
        <f t="shared" si="3"/>
        <v>0.2</v>
      </c>
      <c r="L20" s="26"/>
      <c r="M20" s="19">
        <f t="shared" si="4"/>
        <v>44935</v>
      </c>
      <c r="N20" s="25">
        <f t="shared" si="5"/>
        <v>0.5</v>
      </c>
      <c r="O20" s="25">
        <f t="shared" si="8"/>
        <v>0.37231843900502626</v>
      </c>
    </row>
    <row r="21" spans="1:15" x14ac:dyDescent="0.2">
      <c r="A21" s="4">
        <v>45116</v>
      </c>
      <c r="B21" s="1">
        <f t="shared" si="0"/>
        <v>0</v>
      </c>
      <c r="C21" s="10">
        <f>B$5%*YEARFRAC(A20,A21,B$11)*(B$9-SUM(B$15:B20))</f>
        <v>0.5</v>
      </c>
      <c r="D21" s="10">
        <f t="shared" si="6"/>
        <v>0.5</v>
      </c>
      <c r="E21" s="10">
        <f t="shared" ref="E17:E33" si="10">(A21-B$4)/365</f>
        <v>2.8438356164383563</v>
      </c>
      <c r="F21" s="6">
        <f t="shared" si="7"/>
        <v>0.944710533348735</v>
      </c>
      <c r="G21" s="18">
        <f t="shared" si="1"/>
        <v>0.64903864817875223</v>
      </c>
      <c r="H21" s="18">
        <f t="shared" si="2"/>
        <v>0.35096135182124777</v>
      </c>
      <c r="I21" s="7">
        <f t="shared" si="9"/>
        <v>5.0812458552739304E-2</v>
      </c>
      <c r="J21">
        <f>B$9-SUM(B$16:B20)+C21</f>
        <v>100.5</v>
      </c>
      <c r="K21" s="3">
        <f t="shared" si="3"/>
        <v>0.2</v>
      </c>
      <c r="L21" s="3"/>
      <c r="M21" s="4">
        <f t="shared" si="4"/>
        <v>45116</v>
      </c>
      <c r="N21">
        <f t="shared" si="5"/>
        <v>0.5</v>
      </c>
      <c r="O21">
        <f t="shared" si="8"/>
        <v>0.34983962035599026</v>
      </c>
    </row>
    <row r="22" spans="1:15" x14ac:dyDescent="0.2">
      <c r="A22" s="4">
        <v>45300</v>
      </c>
      <c r="B22" s="1">
        <f t="shared" si="0"/>
        <v>0</v>
      </c>
      <c r="C22" s="10">
        <f>B$5%*YEARFRAC(A21,A22,B$11)*(B$9-SUM(B$15:B21))</f>
        <v>0.5</v>
      </c>
      <c r="D22" s="10">
        <f>C22+B22</f>
        <v>0.5</v>
      </c>
      <c r="E22" s="10">
        <f>(A22-B$4)/365</f>
        <v>3.3479452054794518</v>
      </c>
      <c r="F22" s="6">
        <f t="shared" si="7"/>
        <v>0.93523363480600696</v>
      </c>
      <c r="G22" s="18">
        <f t="shared" si="1"/>
        <v>0.60116389894605637</v>
      </c>
      <c r="H22" s="18">
        <f t="shared" si="2"/>
        <v>0.39883610105394363</v>
      </c>
      <c r="I22" s="7">
        <f t="shared" si="9"/>
        <v>4.7874749232695857E-2</v>
      </c>
      <c r="J22">
        <f>B$9-SUM(B$16:B21)+C22</f>
        <v>100.5</v>
      </c>
      <c r="K22" s="3">
        <f t="shared" si="3"/>
        <v>0.2</v>
      </c>
      <c r="L22" s="3"/>
      <c r="M22" s="4">
        <f t="shared" si="4"/>
        <v>45300</v>
      </c>
      <c r="N22">
        <f t="shared" si="5"/>
        <v>0.5</v>
      </c>
      <c r="O22">
        <f t="shared" si="8"/>
        <v>0.32837884588073812</v>
      </c>
    </row>
    <row r="23" spans="1:15" x14ac:dyDescent="0.2">
      <c r="A23" s="4">
        <v>45482</v>
      </c>
      <c r="B23" s="1">
        <f t="shared" si="0"/>
        <v>0</v>
      </c>
      <c r="C23" s="10">
        <f>B$5%*YEARFRAC(A22,A23,B$11)*(B$9-SUM(B$15:B22))</f>
        <v>0.5</v>
      </c>
      <c r="D23" s="10">
        <f t="shared" si="6"/>
        <v>0.5</v>
      </c>
      <c r="E23" s="10">
        <f t="shared" si="10"/>
        <v>3.8465753424657536</v>
      </c>
      <c r="F23" s="6">
        <f t="shared" si="7"/>
        <v>0.92595327289162466</v>
      </c>
      <c r="G23" s="18">
        <f t="shared" si="1"/>
        <v>0.55728446957608624</v>
      </c>
      <c r="H23" s="18">
        <f t="shared" si="2"/>
        <v>0.44271553042391376</v>
      </c>
      <c r="I23" s="7">
        <f t="shared" si="9"/>
        <v>4.3879429369970135E-2</v>
      </c>
      <c r="J23">
        <f>B$9-SUM(B$16:B22)+C23</f>
        <v>100.5</v>
      </c>
      <c r="K23" s="3">
        <f t="shared" si="3"/>
        <v>0.2</v>
      </c>
      <c r="L23" s="3"/>
      <c r="M23" s="4">
        <f t="shared" si="4"/>
        <v>45482</v>
      </c>
      <c r="N23">
        <f t="shared" si="5"/>
        <v>0.5</v>
      </c>
      <c r="O23">
        <f t="shared" si="8"/>
        <v>0.30844674898078872</v>
      </c>
    </row>
    <row r="24" spans="1:15" x14ac:dyDescent="0.2">
      <c r="A24" s="4">
        <v>45666</v>
      </c>
      <c r="B24" s="1">
        <f t="shared" si="0"/>
        <v>10</v>
      </c>
      <c r="C24" s="10">
        <f>B$5%*YEARFRAC(A23,A24,B$11)*(B$9-SUM(B$15:B23))</f>
        <v>0.5</v>
      </c>
      <c r="D24" s="10">
        <f t="shared" si="6"/>
        <v>10.5</v>
      </c>
      <c r="E24" s="10">
        <f t="shared" si="10"/>
        <v>4.3506849315068497</v>
      </c>
      <c r="F24" s="6">
        <f t="shared" si="7"/>
        <v>0.91666453849867213</v>
      </c>
      <c r="G24" s="18">
        <f t="shared" si="1"/>
        <v>0.51617774302429065</v>
      </c>
      <c r="H24" s="18">
        <f t="shared" si="2"/>
        <v>0.48382225697570935</v>
      </c>
      <c r="I24" s="7">
        <f t="shared" si="9"/>
        <v>4.1106726551795592E-2</v>
      </c>
      <c r="J24">
        <f>B$9-SUM(B$16:B23)+C24</f>
        <v>100.5</v>
      </c>
      <c r="K24" s="3">
        <f t="shared" si="3"/>
        <v>0.2</v>
      </c>
      <c r="L24" s="3"/>
      <c r="M24" s="4">
        <f t="shared" si="4"/>
        <v>45666</v>
      </c>
      <c r="N24">
        <f t="shared" si="5"/>
        <v>10.5</v>
      </c>
      <c r="O24">
        <f t="shared" si="8"/>
        <v>6.0800292837074563</v>
      </c>
    </row>
    <row r="25" spans="1:15" x14ac:dyDescent="0.2">
      <c r="A25" s="4">
        <v>45847</v>
      </c>
      <c r="B25" s="1">
        <v>10</v>
      </c>
      <c r="C25" s="10">
        <f>B$5%*YEARFRAC(A24,A25,B$11)*(B$9-SUM(B$15:B24))</f>
        <v>0.45</v>
      </c>
      <c r="D25" s="10">
        <f t="shared" si="6"/>
        <v>10.45</v>
      </c>
      <c r="E25" s="10">
        <f t="shared" si="10"/>
        <v>4.8465753424657532</v>
      </c>
      <c r="F25" s="6">
        <f t="shared" si="7"/>
        <v>0.90761816963241837</v>
      </c>
      <c r="G25" s="18">
        <f t="shared" si="1"/>
        <v>0.47870082840489131</v>
      </c>
      <c r="H25" s="18">
        <f t="shared" si="2"/>
        <v>0.52129917159510875</v>
      </c>
      <c r="I25" s="7">
        <f t="shared" si="9"/>
        <v>3.7476914619399393E-2</v>
      </c>
      <c r="J25">
        <f>B$9-SUM(B$16:B24)+C25</f>
        <v>90.45</v>
      </c>
      <c r="K25" s="3">
        <f t="shared" si="3"/>
        <v>0.2</v>
      </c>
      <c r="L25" s="3"/>
      <c r="M25" s="4">
        <f t="shared" si="4"/>
        <v>45847</v>
      </c>
      <c r="N25">
        <f t="shared" si="5"/>
        <v>10.45</v>
      </c>
      <c r="O25">
        <f t="shared" si="8"/>
        <v>5.685741493969747</v>
      </c>
    </row>
    <row r="26" spans="1:15" x14ac:dyDescent="0.2">
      <c r="A26" s="4">
        <v>46031</v>
      </c>
      <c r="B26" s="1">
        <f t="shared" si="0"/>
        <v>10</v>
      </c>
      <c r="C26" s="10">
        <f>B$5%*YEARFRAC(A25,A26,B$11)*(B$9-SUM(B$15:B25))</f>
        <v>0.4</v>
      </c>
      <c r="D26" s="10">
        <f t="shared" si="6"/>
        <v>10.4</v>
      </c>
      <c r="E26" s="10">
        <f t="shared" si="10"/>
        <v>5.3506849315068497</v>
      </c>
      <c r="F26" s="6">
        <f t="shared" si="7"/>
        <v>0.89851336450374752</v>
      </c>
      <c r="G26" s="18">
        <f t="shared" si="1"/>
        <v>0.44339063203726886</v>
      </c>
      <c r="H26" s="18">
        <f t="shared" si="2"/>
        <v>0.55660936796273108</v>
      </c>
      <c r="I26" s="7">
        <f t="shared" si="9"/>
        <v>3.5310196367622337E-2</v>
      </c>
      <c r="J26">
        <f>B$9-SUM(B$16:B25)+C26</f>
        <v>80.400000000000006</v>
      </c>
      <c r="K26" s="3">
        <f t="shared" si="3"/>
        <v>0.2</v>
      </c>
      <c r="L26" s="3"/>
      <c r="M26" s="4">
        <f t="shared" si="4"/>
        <v>46031</v>
      </c>
      <c r="N26">
        <f t="shared" si="5"/>
        <v>10.4</v>
      </c>
      <c r="O26">
        <f t="shared" si="8"/>
        <v>5.3114162541130083</v>
      </c>
    </row>
    <row r="27" spans="1:15" x14ac:dyDescent="0.2">
      <c r="A27" s="4">
        <v>46212</v>
      </c>
      <c r="B27" s="1">
        <f t="shared" si="0"/>
        <v>10</v>
      </c>
      <c r="C27" s="10">
        <f>B$5%*YEARFRAC(A26,A27,B$11)*(B$9-SUM(B$15:B26))</f>
        <v>0.35000000000000003</v>
      </c>
      <c r="D27" s="10">
        <f t="shared" si="6"/>
        <v>10.35</v>
      </c>
      <c r="E27" s="10">
        <f t="shared" si="10"/>
        <v>5.8465753424657532</v>
      </c>
      <c r="F27" s="6">
        <f t="shared" si="7"/>
        <v>0.88964612574280211</v>
      </c>
      <c r="G27" s="18">
        <f t="shared" si="1"/>
        <v>0.41119840158086912</v>
      </c>
      <c r="H27" s="18">
        <f t="shared" si="2"/>
        <v>0.58880159841913082</v>
      </c>
      <c r="I27" s="7">
        <f t="shared" si="9"/>
        <v>3.219223045639974E-2</v>
      </c>
      <c r="J27">
        <f>B$9-SUM(B$16:B26)+C27</f>
        <v>70.349999999999994</v>
      </c>
      <c r="K27" s="3">
        <f t="shared" si="3"/>
        <v>0.2</v>
      </c>
      <c r="L27" s="3"/>
      <c r="M27" s="4">
        <f t="shared" si="4"/>
        <v>46212</v>
      </c>
      <c r="N27">
        <f t="shared" si="5"/>
        <v>10.35</v>
      </c>
      <c r="O27">
        <f t="shared" si="8"/>
        <v>4.9667442390412697</v>
      </c>
    </row>
    <row r="28" spans="1:15" x14ac:dyDescent="0.2">
      <c r="A28" s="4">
        <v>46396</v>
      </c>
      <c r="B28" s="1">
        <f t="shared" si="0"/>
        <v>10</v>
      </c>
      <c r="C28" s="10">
        <f>B$5%*YEARFRAC(A27,A28,B$11)*(B$9-SUM(B$15:B27))</f>
        <v>0.3</v>
      </c>
      <c r="D28" s="10">
        <f t="shared" si="6"/>
        <v>10.3</v>
      </c>
      <c r="E28" s="10">
        <f t="shared" si="10"/>
        <v>6.3506849315068497</v>
      </c>
      <c r="F28" s="6">
        <f t="shared" si="7"/>
        <v>0.88072160783496234</v>
      </c>
      <c r="G28" s="18">
        <f t="shared" si="1"/>
        <v>0.38086735671041366</v>
      </c>
      <c r="H28" s="18">
        <f t="shared" si="2"/>
        <v>0.61913264328958628</v>
      </c>
      <c r="I28" s="7">
        <f t="shared" si="9"/>
        <v>3.0331044870455459E-2</v>
      </c>
      <c r="J28">
        <f>B$9-SUM(B$16:B27)+C28</f>
        <v>60.3</v>
      </c>
      <c r="K28" s="3">
        <f t="shared" si="3"/>
        <v>0.2</v>
      </c>
      <c r="L28" s="3"/>
      <c r="M28" s="4">
        <f t="shared" si="4"/>
        <v>46396</v>
      </c>
      <c r="N28">
        <f t="shared" si="5"/>
        <v>10.3</v>
      </c>
      <c r="O28">
        <f t="shared" si="8"/>
        <v>4.6395392241492619</v>
      </c>
    </row>
    <row r="29" spans="1:15" x14ac:dyDescent="0.2">
      <c r="A29" s="4">
        <v>46577</v>
      </c>
      <c r="B29" s="1">
        <f>IF(A29&lt;B$8,0,B$9/B$7)</f>
        <v>10</v>
      </c>
      <c r="C29" s="10">
        <f>B$5%*YEARFRAC(A28,A29,B$11)*(B$9-SUM(B$15:B28))</f>
        <v>0.25</v>
      </c>
      <c r="D29" s="10">
        <f t="shared" si="6"/>
        <v>10.25</v>
      </c>
      <c r="E29" s="10">
        <f t="shared" si="10"/>
        <v>6.8465753424657532</v>
      </c>
      <c r="F29" s="6">
        <f t="shared" si="7"/>
        <v>0.87202995216558943</v>
      </c>
      <c r="G29" s="18">
        <f t="shared" si="1"/>
        <v>0.35321460801744886</v>
      </c>
      <c r="H29" s="18">
        <f t="shared" si="2"/>
        <v>0.64678539198255114</v>
      </c>
      <c r="I29" s="7">
        <f t="shared" si="9"/>
        <v>2.7652748692964857E-2</v>
      </c>
      <c r="J29">
        <f>B$9-SUM(B$16:B28)+C29</f>
        <v>50.25</v>
      </c>
      <c r="K29" s="3">
        <f t="shared" si="3"/>
        <v>0.2</v>
      </c>
      <c r="L29" s="3"/>
      <c r="M29" s="4">
        <f t="shared" si="4"/>
        <v>46577</v>
      </c>
      <c r="N29">
        <f t="shared" si="5"/>
        <v>10.25</v>
      </c>
      <c r="O29">
        <f t="shared" si="8"/>
        <v>4.3382636243359007</v>
      </c>
    </row>
    <row r="30" spans="1:15" x14ac:dyDescent="0.2">
      <c r="A30" s="4">
        <v>46761</v>
      </c>
      <c r="B30" s="1">
        <f t="shared" si="0"/>
        <v>10</v>
      </c>
      <c r="C30" s="10">
        <f>B$5%*YEARFRAC(A29,A30,B$11)*(B$9-SUM(B$15:B29))</f>
        <v>0.2</v>
      </c>
      <c r="D30" s="10">
        <f t="shared" si="6"/>
        <v>10.199999999999999</v>
      </c>
      <c r="E30" s="10">
        <f t="shared" si="10"/>
        <v>7.3506849315068497</v>
      </c>
      <c r="F30" s="6">
        <f t="shared" si="7"/>
        <v>0.86328215155242261</v>
      </c>
      <c r="G30" s="18">
        <f t="shared" si="1"/>
        <v>0.32716059593109448</v>
      </c>
      <c r="H30" s="18">
        <f t="shared" si="2"/>
        <v>0.67283940406890552</v>
      </c>
      <c r="I30" s="7">
        <f t="shared" si="9"/>
        <v>2.6054012086354383E-2</v>
      </c>
      <c r="J30">
        <f>B$9-SUM(B$16:B29)+C30</f>
        <v>40.200000000000003</v>
      </c>
      <c r="K30" s="3">
        <f t="shared" si="3"/>
        <v>0.2</v>
      </c>
      <c r="L30" s="3"/>
      <c r="M30" s="4">
        <f t="shared" si="4"/>
        <v>46761</v>
      </c>
      <c r="N30">
        <f t="shared" si="5"/>
        <v>10.199999999999999</v>
      </c>
      <c r="O30">
        <f t="shared" si="8"/>
        <v>4.0522704707050536</v>
      </c>
    </row>
    <row r="31" spans="1:15" x14ac:dyDescent="0.2">
      <c r="A31" s="4">
        <v>46943</v>
      </c>
      <c r="B31" s="1">
        <f t="shared" si="0"/>
        <v>10</v>
      </c>
      <c r="C31" s="10">
        <f>B$5%*YEARFRAC(A30,A31,B$11)*(B$9-SUM(B$15:B30))</f>
        <v>0.15</v>
      </c>
      <c r="D31" s="10">
        <f t="shared" si="6"/>
        <v>10.15</v>
      </c>
      <c r="E31" s="10">
        <f t="shared" si="10"/>
        <v>7.8493150684931505</v>
      </c>
      <c r="F31" s="6">
        <f t="shared" si="7"/>
        <v>0.8547157671726574</v>
      </c>
      <c r="G31" s="18">
        <f t="shared" si="1"/>
        <v>0.30328088477917126</v>
      </c>
      <c r="H31" s="18">
        <f t="shared" si="2"/>
        <v>0.69671911522082874</v>
      </c>
      <c r="I31" s="7">
        <f t="shared" si="9"/>
        <v>2.3879711151923222E-2</v>
      </c>
      <c r="J31">
        <f>B$9-SUM(B$16:B30)+C31</f>
        <v>30.15</v>
      </c>
      <c r="K31" s="3">
        <f t="shared" si="3"/>
        <v>0.2</v>
      </c>
      <c r="L31" s="3"/>
      <c r="M31" s="4">
        <f t="shared" si="4"/>
        <v>46943</v>
      </c>
      <c r="N31">
        <f t="shared" si="5"/>
        <v>10.15</v>
      </c>
      <c r="O31">
        <f t="shared" si="8"/>
        <v>3.7876454594464799</v>
      </c>
    </row>
    <row r="32" spans="1:15" x14ac:dyDescent="0.2">
      <c r="A32" s="4">
        <v>47127</v>
      </c>
      <c r="B32" s="1">
        <f t="shared" si="0"/>
        <v>10</v>
      </c>
      <c r="C32" s="10">
        <f>B$5%*YEARFRAC(A31,A32,B$11)*(B$9-SUM(B$15:B31))</f>
        <v>0.1</v>
      </c>
      <c r="D32" s="10">
        <f t="shared" si="6"/>
        <v>10.1</v>
      </c>
      <c r="E32" s="10">
        <f t="shared" si="10"/>
        <v>8.3534246575342461</v>
      </c>
      <c r="F32" s="6">
        <f t="shared" si="7"/>
        <v>0.84614165444454714</v>
      </c>
      <c r="G32" s="18">
        <f t="shared" si="1"/>
        <v>0.28091011171871377</v>
      </c>
      <c r="H32" s="18">
        <f t="shared" si="2"/>
        <v>0.71908988828128617</v>
      </c>
      <c r="I32" s="7">
        <f t="shared" si="9"/>
        <v>2.2370773060457427E-2</v>
      </c>
      <c r="J32">
        <f>B$9-SUM(B$16:B31)+C32</f>
        <v>20.100000000000001</v>
      </c>
      <c r="K32" s="3">
        <f t="shared" si="3"/>
        <v>0.2</v>
      </c>
      <c r="L32" s="3"/>
      <c r="M32" s="4">
        <f t="shared" si="4"/>
        <v>47127</v>
      </c>
      <c r="N32">
        <f t="shared" si="5"/>
        <v>10.1</v>
      </c>
      <c r="O32">
        <f t="shared" si="8"/>
        <v>3.537780069672114</v>
      </c>
    </row>
    <row r="33" spans="1:15" x14ac:dyDescent="0.2">
      <c r="A33" s="4">
        <v>47308</v>
      </c>
      <c r="B33" s="1">
        <f t="shared" si="0"/>
        <v>10</v>
      </c>
      <c r="C33" s="10">
        <f>B$5%*YEARFRAC(A32,A33,B$11)*(B$9-SUM(B$15:B32))</f>
        <v>0.05</v>
      </c>
      <c r="D33" s="10">
        <f t="shared" si="6"/>
        <v>10.050000000000001</v>
      </c>
      <c r="E33" s="10">
        <f t="shared" si="10"/>
        <v>8.8493150684931514</v>
      </c>
      <c r="F33" s="6">
        <f t="shared" si="7"/>
        <v>0.8377912610370043</v>
      </c>
      <c r="G33" s="18">
        <f t="shared" si="1"/>
        <v>0.26051472579810703</v>
      </c>
      <c r="H33" s="18">
        <f t="shared" si="2"/>
        <v>0.73948527420189292</v>
      </c>
      <c r="I33" s="7">
        <f t="shared" si="9"/>
        <v>2.0395385920606746E-2</v>
      </c>
      <c r="J33">
        <f>B$9-SUM(B$16:B32)+C33</f>
        <v>10.050000000000001</v>
      </c>
      <c r="K33" s="3">
        <f t="shared" si="3"/>
        <v>0.2</v>
      </c>
      <c r="L33" s="3"/>
      <c r="M33" s="4">
        <f t="shared" si="4"/>
        <v>47308</v>
      </c>
      <c r="N33">
        <f t="shared" si="5"/>
        <v>10.050000000000001</v>
      </c>
      <c r="O33">
        <f t="shared" si="8"/>
        <v>3.3077293503561447</v>
      </c>
    </row>
    <row r="34" spans="1:15" x14ac:dyDescent="0.2">
      <c r="A34" s="4"/>
      <c r="C34" s="10"/>
      <c r="D34" s="10"/>
      <c r="E34" s="10"/>
      <c r="F34" s="6"/>
      <c r="G34" s="18"/>
      <c r="H34" s="18"/>
      <c r="I34" s="7"/>
      <c r="K34" s="3"/>
      <c r="L34" s="3"/>
      <c r="M34" s="4"/>
    </row>
    <row r="35" spans="1:15" x14ac:dyDescent="0.2">
      <c r="A35" s="4"/>
      <c r="F35" s="6"/>
      <c r="G35" s="18"/>
      <c r="H35" s="18"/>
      <c r="I35" s="7"/>
      <c r="K35" s="3"/>
      <c r="L35" s="3"/>
      <c r="M35" s="4"/>
      <c r="O35" s="8">
        <f>SUM(O17:O33)-H6</f>
        <v>1.7717578515430432E-7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8"/>
  <sheetViews>
    <sheetView tabSelected="1" workbookViewId="0">
      <selection activeCell="H6" sqref="H6"/>
    </sheetView>
  </sheetViews>
  <sheetFormatPr baseColWidth="10" defaultRowHeight="16" x14ac:dyDescent="0.2"/>
  <cols>
    <col min="1" max="1" width="29.6640625" bestFit="1" customWidth="1"/>
    <col min="2" max="3" width="10.83203125" style="1"/>
    <col min="4" max="4" width="16.33203125" style="1" bestFit="1" customWidth="1"/>
    <col min="5" max="5" width="10.83203125" style="1"/>
    <col min="6" max="6" width="15.6640625" style="1" customWidth="1"/>
    <col min="7" max="8" width="10.83203125" style="1"/>
    <col min="9" max="9" width="15.6640625" style="1" bestFit="1" customWidth="1"/>
  </cols>
  <sheetData>
    <row r="1" spans="1:15" x14ac:dyDescent="0.2">
      <c r="A1" t="s">
        <v>0</v>
      </c>
    </row>
    <row r="2" spans="1:15" x14ac:dyDescent="0.2">
      <c r="A2" t="s">
        <v>1</v>
      </c>
      <c r="B2" s="2">
        <v>44078</v>
      </c>
    </row>
    <row r="3" spans="1:15" x14ac:dyDescent="0.2">
      <c r="A3" t="s">
        <v>2</v>
      </c>
      <c r="B3" s="2">
        <v>47365</v>
      </c>
      <c r="G3" t="s">
        <v>6</v>
      </c>
      <c r="H3" s="11">
        <v>0.02</v>
      </c>
    </row>
    <row r="4" spans="1:15" x14ac:dyDescent="0.2">
      <c r="A4" t="s">
        <v>13</v>
      </c>
      <c r="B4" s="2">
        <v>44779</v>
      </c>
      <c r="F4"/>
      <c r="G4" t="s">
        <v>8</v>
      </c>
      <c r="H4" s="11">
        <v>0.8</v>
      </c>
      <c r="I4"/>
    </row>
    <row r="5" spans="1:15" x14ac:dyDescent="0.2">
      <c r="A5" t="s">
        <v>3</v>
      </c>
      <c r="B5" s="9">
        <v>1</v>
      </c>
      <c r="G5" s="13" t="s">
        <v>10</v>
      </c>
      <c r="H5" s="14">
        <v>0.2</v>
      </c>
    </row>
    <row r="6" spans="1:15" x14ac:dyDescent="0.2">
      <c r="A6" t="s">
        <v>4</v>
      </c>
      <c r="B6" s="1">
        <v>2</v>
      </c>
      <c r="G6" s="15" t="s">
        <v>12</v>
      </c>
      <c r="H6" s="16">
        <f>SUMPRODUCT(F17:F33,G17:G33,D17:D33)+SUMPRODUCT(I17:I33,J17:J33,K17:K33,F17:F33)</f>
        <v>23.731012701366961</v>
      </c>
    </row>
    <row r="7" spans="1:15" x14ac:dyDescent="0.2">
      <c r="A7" t="s">
        <v>23</v>
      </c>
      <c r="B7" s="1">
        <v>10</v>
      </c>
      <c r="G7" s="15" t="s">
        <v>14</v>
      </c>
      <c r="H7" s="17">
        <v>0.38734499999999999</v>
      </c>
    </row>
    <row r="8" spans="1:15" x14ac:dyDescent="0.2">
      <c r="A8" t="s">
        <v>5</v>
      </c>
      <c r="B8" s="2">
        <v>45666</v>
      </c>
      <c r="F8"/>
      <c r="H8" s="12"/>
      <c r="I8" s="3"/>
    </row>
    <row r="9" spans="1:15" x14ac:dyDescent="0.2">
      <c r="A9" t="s">
        <v>7</v>
      </c>
      <c r="B9" s="1">
        <v>100</v>
      </c>
      <c r="F9"/>
      <c r="H9" s="12"/>
      <c r="I9" s="3"/>
    </row>
    <row r="10" spans="1:15" x14ac:dyDescent="0.2">
      <c r="A10" t="s">
        <v>9</v>
      </c>
      <c r="B10" s="2">
        <f>+B2</f>
        <v>44078</v>
      </c>
      <c r="F10"/>
      <c r="H10" s="12"/>
      <c r="I10" s="3"/>
    </row>
    <row r="11" spans="1:15" x14ac:dyDescent="0.2">
      <c r="A11" t="s">
        <v>11</v>
      </c>
      <c r="B11" s="1">
        <v>0</v>
      </c>
      <c r="F11"/>
      <c r="H11" s="12"/>
      <c r="I11"/>
    </row>
    <row r="12" spans="1:15" x14ac:dyDescent="0.2">
      <c r="F12"/>
      <c r="G12"/>
      <c r="H12"/>
      <c r="I12"/>
    </row>
    <row r="13" spans="1:15" x14ac:dyDescent="0.2">
      <c r="F13"/>
      <c r="G13"/>
      <c r="H13"/>
      <c r="I13"/>
    </row>
    <row r="14" spans="1:15" x14ac:dyDescent="0.2">
      <c r="B14" s="1" t="s">
        <v>7</v>
      </c>
      <c r="C14" s="1" t="s">
        <v>15</v>
      </c>
      <c r="D14" s="1" t="s">
        <v>16</v>
      </c>
      <c r="E14" s="1" t="s">
        <v>17</v>
      </c>
      <c r="F14" s="1" t="s">
        <v>18</v>
      </c>
      <c r="G14" s="1" t="s">
        <v>19</v>
      </c>
      <c r="H14" s="1" t="s">
        <v>20</v>
      </c>
      <c r="I14" t="s">
        <v>21</v>
      </c>
      <c r="J14" t="s">
        <v>22</v>
      </c>
      <c r="K14" t="s">
        <v>10</v>
      </c>
      <c r="O14" t="s">
        <v>14</v>
      </c>
    </row>
    <row r="15" spans="1:15" x14ac:dyDescent="0.2">
      <c r="A15" s="4">
        <v>44078</v>
      </c>
      <c r="F15"/>
      <c r="G15"/>
      <c r="H15"/>
      <c r="I15"/>
      <c r="M15" s="5"/>
    </row>
    <row r="16" spans="1:15" x14ac:dyDescent="0.2">
      <c r="A16" s="4">
        <v>44205</v>
      </c>
      <c r="F16"/>
      <c r="G16" s="18">
        <f t="shared" ref="G16:G33" si="0">EXP(-H$4*E16)</f>
        <v>1</v>
      </c>
      <c r="H16" s="18">
        <v>0</v>
      </c>
      <c r="I16"/>
      <c r="M16" s="4">
        <f>B4</f>
        <v>44779</v>
      </c>
      <c r="N16">
        <f>-H6</f>
        <v>-23.731012701366961</v>
      </c>
    </row>
    <row r="17" spans="1:15" x14ac:dyDescent="0.2">
      <c r="A17" s="4">
        <v>44386</v>
      </c>
      <c r="B17" s="1">
        <f t="shared" ref="B17:B33" si="1">IF(A17&lt;B$8,0,B$9/B$7)</f>
        <v>0</v>
      </c>
      <c r="C17" s="10">
        <f>B$5%*YEARFRAC(A15,A17,B$11)*(B$9-SUM(B$15:B16))</f>
        <v>0.84722222222222232</v>
      </c>
      <c r="D17" s="10">
        <f>IF(A17&lt;B$4,0,C17+B17)</f>
        <v>0</v>
      </c>
      <c r="E17" s="10">
        <f>IF(A17&lt;B$4,0,(A17-B$4)/365)</f>
        <v>0</v>
      </c>
      <c r="F17" s="6">
        <f t="shared" ref="F17:F33" si="2">EXP(-H$3*E17)</f>
        <v>1</v>
      </c>
      <c r="G17" s="18">
        <f t="shared" si="0"/>
        <v>1</v>
      </c>
      <c r="H17" s="18">
        <f t="shared" ref="H17:H33" si="3">1-G17</f>
        <v>0</v>
      </c>
      <c r="I17" s="6">
        <f t="shared" ref="I17:I33" si="4">H17-H16</f>
        <v>0</v>
      </c>
      <c r="J17">
        <f>B$9-SUM(B16:B$16)+C17</f>
        <v>100.84722222222223</v>
      </c>
      <c r="K17" s="3">
        <f t="shared" ref="K17:K33" si="5">H$5</f>
        <v>0.2</v>
      </c>
      <c r="L17" s="3"/>
      <c r="M17" s="4">
        <f t="shared" ref="M17:M33" si="6">A17</f>
        <v>44386</v>
      </c>
      <c r="N17">
        <f t="shared" ref="N17:N33" si="7">D17</f>
        <v>0</v>
      </c>
      <c r="O17">
        <f t="shared" ref="O17:O33" si="8">D17/((1+H$7/2)^(2*E17))</f>
        <v>0</v>
      </c>
    </row>
    <row r="18" spans="1:15" x14ac:dyDescent="0.2">
      <c r="A18" s="4">
        <v>44570</v>
      </c>
      <c r="B18" s="1">
        <f t="shared" si="1"/>
        <v>0</v>
      </c>
      <c r="C18" s="10">
        <f>B$5%*YEARFRAC(A17,A18,B$11)*(B$9-SUM(B$15:B17))</f>
        <v>0.5</v>
      </c>
      <c r="D18" s="10">
        <f t="shared" ref="D18:D33" si="9">IF(A18&lt;B$4,0,C18+B18)</f>
        <v>0</v>
      </c>
      <c r="E18" s="10">
        <f t="shared" ref="E18:E33" si="10">IF(A18&lt;B$4,0,(A18-B$4)/365)</f>
        <v>0</v>
      </c>
      <c r="F18" s="6">
        <f t="shared" si="2"/>
        <v>1</v>
      </c>
      <c r="G18" s="18">
        <f t="shared" si="0"/>
        <v>1</v>
      </c>
      <c r="H18" s="18">
        <f t="shared" si="3"/>
        <v>0</v>
      </c>
      <c r="I18" s="6">
        <f t="shared" si="4"/>
        <v>0</v>
      </c>
      <c r="J18" s="29">
        <f>B$9-SUM(B$16:B17)+C18</f>
        <v>100.5</v>
      </c>
      <c r="K18" s="3">
        <f t="shared" si="5"/>
        <v>0.2</v>
      </c>
      <c r="L18" s="3"/>
      <c r="M18" s="4">
        <f t="shared" si="6"/>
        <v>44570</v>
      </c>
      <c r="N18">
        <f t="shared" si="7"/>
        <v>0</v>
      </c>
      <c r="O18">
        <f t="shared" si="8"/>
        <v>0</v>
      </c>
    </row>
    <row r="19" spans="1:15" x14ac:dyDescent="0.2">
      <c r="A19" s="4">
        <v>44751</v>
      </c>
      <c r="B19" s="1">
        <f t="shared" si="1"/>
        <v>0</v>
      </c>
      <c r="C19" s="10">
        <f>B$5%*YEARFRAC(A18,A19,B$11)*(B$9-SUM(B$15:B18))</f>
        <v>0.5</v>
      </c>
      <c r="D19" s="10">
        <f t="shared" si="9"/>
        <v>0</v>
      </c>
      <c r="E19" s="10">
        <f t="shared" si="10"/>
        <v>0</v>
      </c>
      <c r="F19" s="6">
        <f t="shared" si="2"/>
        <v>1</v>
      </c>
      <c r="G19" s="18">
        <f t="shared" si="0"/>
        <v>1</v>
      </c>
      <c r="H19" s="18">
        <f t="shared" si="3"/>
        <v>0</v>
      </c>
      <c r="I19" s="6">
        <f t="shared" si="4"/>
        <v>0</v>
      </c>
      <c r="J19">
        <f>B$9-SUM(B$16:B18)+C19</f>
        <v>100.5</v>
      </c>
      <c r="K19" s="3">
        <f t="shared" si="5"/>
        <v>0.2</v>
      </c>
      <c r="L19" s="3"/>
      <c r="M19" s="4">
        <f t="shared" si="6"/>
        <v>44751</v>
      </c>
      <c r="N19">
        <f t="shared" si="7"/>
        <v>0</v>
      </c>
      <c r="O19">
        <f t="shared" si="8"/>
        <v>0</v>
      </c>
    </row>
    <row r="20" spans="1:15" x14ac:dyDescent="0.2">
      <c r="A20" s="19">
        <v>44935</v>
      </c>
      <c r="B20" s="20">
        <f t="shared" si="1"/>
        <v>0</v>
      </c>
      <c r="C20" s="21">
        <f>B$5%*YEARFRAC(A19,A20,B$11)*(B$9-SUM(B$15:B19))</f>
        <v>0.5</v>
      </c>
      <c r="D20" s="21">
        <f t="shared" si="9"/>
        <v>0.5</v>
      </c>
      <c r="E20" s="21">
        <f t="shared" si="10"/>
        <v>0.42739726027397262</v>
      </c>
      <c r="F20" s="22">
        <f t="shared" si="2"/>
        <v>0.99148848460423511</v>
      </c>
      <c r="G20" s="23">
        <f t="shared" si="0"/>
        <v>0.71040659189256639</v>
      </c>
      <c r="H20" s="23">
        <f t="shared" si="3"/>
        <v>0.28959340810743361</v>
      </c>
      <c r="I20" s="22">
        <f t="shared" si="4"/>
        <v>0.28959340810743361</v>
      </c>
      <c r="J20" s="25">
        <f>B$9-SUM(B$16:B19)+C20</f>
        <v>100.5</v>
      </c>
      <c r="K20" s="26">
        <f t="shared" si="5"/>
        <v>0.2</v>
      </c>
      <c r="L20" s="26"/>
      <c r="M20" s="19">
        <f t="shared" si="6"/>
        <v>44935</v>
      </c>
      <c r="N20" s="25">
        <f t="shared" si="7"/>
        <v>0.5</v>
      </c>
      <c r="O20" s="25">
        <f t="shared" si="8"/>
        <v>0.42978273609953538</v>
      </c>
    </row>
    <row r="21" spans="1:15" x14ac:dyDescent="0.2">
      <c r="A21" s="4">
        <v>45116</v>
      </c>
      <c r="B21" s="1">
        <f t="shared" si="1"/>
        <v>0</v>
      </c>
      <c r="C21" s="10">
        <f>B$5%*YEARFRAC(A20,A21,B$11)*(B$9-SUM(B$15:B20))</f>
        <v>0.5</v>
      </c>
      <c r="D21" s="10">
        <f t="shared" si="9"/>
        <v>0.5</v>
      </c>
      <c r="E21" s="10">
        <f t="shared" si="10"/>
        <v>0.92328767123287669</v>
      </c>
      <c r="F21" s="6">
        <f t="shared" si="2"/>
        <v>0.98170369400563406</v>
      </c>
      <c r="G21" s="18">
        <f t="shared" si="0"/>
        <v>0.47776794408972556</v>
      </c>
      <c r="H21" s="18">
        <f t="shared" si="3"/>
        <v>0.52223205591027444</v>
      </c>
      <c r="I21" s="6">
        <f t="shared" si="4"/>
        <v>0.23263864780284083</v>
      </c>
      <c r="J21">
        <f>B$9-SUM(B$16:B20)+C21</f>
        <v>100.5</v>
      </c>
      <c r="K21" s="3">
        <f t="shared" si="5"/>
        <v>0.2</v>
      </c>
      <c r="L21" s="3"/>
      <c r="M21" s="4">
        <f t="shared" si="6"/>
        <v>45116</v>
      </c>
      <c r="N21">
        <f t="shared" si="7"/>
        <v>0.5</v>
      </c>
      <c r="O21">
        <f t="shared" si="8"/>
        <v>0.36057508186573495</v>
      </c>
    </row>
    <row r="22" spans="1:15" x14ac:dyDescent="0.2">
      <c r="A22" s="4">
        <v>45300</v>
      </c>
      <c r="B22" s="1">
        <f t="shared" si="1"/>
        <v>0</v>
      </c>
      <c r="C22" s="10">
        <f>B$5%*YEARFRAC(A21,A22,B$11)*(B$9-SUM(B$15:B21))</f>
        <v>0.5</v>
      </c>
      <c r="D22" s="10">
        <f t="shared" si="9"/>
        <v>0.5</v>
      </c>
      <c r="E22" s="10">
        <f t="shared" si="10"/>
        <v>1.4273972602739726</v>
      </c>
      <c r="F22" s="6">
        <f t="shared" si="2"/>
        <v>0.97185569720799658</v>
      </c>
      <c r="G22" s="18">
        <f t="shared" si="0"/>
        <v>0.31920625803713265</v>
      </c>
      <c r="H22" s="18">
        <f t="shared" si="3"/>
        <v>0.68079374196286735</v>
      </c>
      <c r="I22" s="6">
        <f t="shared" si="4"/>
        <v>0.15856168605259291</v>
      </c>
      <c r="J22">
        <f>B$9-SUM(B$16:B21)+C22</f>
        <v>100.5</v>
      </c>
      <c r="K22" s="3">
        <f t="shared" si="5"/>
        <v>0.2</v>
      </c>
      <c r="L22" s="3"/>
      <c r="M22" s="4">
        <f t="shared" si="6"/>
        <v>45300</v>
      </c>
      <c r="N22">
        <f t="shared" si="7"/>
        <v>0.5</v>
      </c>
      <c r="O22">
        <f t="shared" si="8"/>
        <v>0.3016328163179019</v>
      </c>
    </row>
    <row r="23" spans="1:15" x14ac:dyDescent="0.2">
      <c r="A23" s="4">
        <v>45482</v>
      </c>
      <c r="B23" s="1">
        <f t="shared" si="1"/>
        <v>0</v>
      </c>
      <c r="C23" s="10">
        <f>B$5%*YEARFRAC(A22,A23,B$11)*(B$9-SUM(B$15:B22))</f>
        <v>0.5</v>
      </c>
      <c r="D23" s="10">
        <f t="shared" si="9"/>
        <v>0.5</v>
      </c>
      <c r="E23" s="10">
        <f t="shared" si="10"/>
        <v>1.9260273972602739</v>
      </c>
      <c r="F23" s="6">
        <f t="shared" si="2"/>
        <v>0.96221193305860797</v>
      </c>
      <c r="G23" s="18">
        <f t="shared" si="0"/>
        <v>0.21420497017459136</v>
      </c>
      <c r="H23" s="18">
        <f t="shared" si="3"/>
        <v>0.78579502982540861</v>
      </c>
      <c r="I23" s="6">
        <f t="shared" si="4"/>
        <v>0.10500128786254126</v>
      </c>
      <c r="J23">
        <f>B$9-SUM(B$16:B22)+C23</f>
        <v>100.5</v>
      </c>
      <c r="K23" s="3">
        <f t="shared" si="5"/>
        <v>0.2</v>
      </c>
      <c r="L23" s="3"/>
      <c r="M23" s="4">
        <f t="shared" si="6"/>
        <v>45482</v>
      </c>
      <c r="N23">
        <f t="shared" si="7"/>
        <v>0.5</v>
      </c>
      <c r="O23">
        <f t="shared" si="8"/>
        <v>0.25281570257028541</v>
      </c>
    </row>
    <row r="24" spans="1:15" x14ac:dyDescent="0.2">
      <c r="A24" s="4">
        <v>45666</v>
      </c>
      <c r="B24" s="1">
        <f t="shared" si="1"/>
        <v>10</v>
      </c>
      <c r="C24" s="10">
        <f>B$5%*YEARFRAC(A23,A24,B$11)*(B$9-SUM(B$15:B23))</f>
        <v>0.5</v>
      </c>
      <c r="D24" s="10">
        <f t="shared" si="9"/>
        <v>10.5</v>
      </c>
      <c r="E24" s="10">
        <f t="shared" si="10"/>
        <v>2.43013698630137</v>
      </c>
      <c r="F24" s="6">
        <f t="shared" si="2"/>
        <v>0.95255946857948848</v>
      </c>
      <c r="G24" s="18">
        <f t="shared" si="0"/>
        <v>0.14311459742796362</v>
      </c>
      <c r="H24" s="18">
        <f t="shared" si="3"/>
        <v>0.85688540257203638</v>
      </c>
      <c r="I24" s="6">
        <f t="shared" si="4"/>
        <v>7.1090372746627772E-2</v>
      </c>
      <c r="J24">
        <f>B$9-SUM(B$16:B23)+C24</f>
        <v>100.5</v>
      </c>
      <c r="K24" s="3">
        <f t="shared" si="5"/>
        <v>0.2</v>
      </c>
      <c r="L24" s="3"/>
      <c r="M24" s="4">
        <f t="shared" si="6"/>
        <v>45666</v>
      </c>
      <c r="N24">
        <f t="shared" si="7"/>
        <v>10.5</v>
      </c>
      <c r="O24">
        <f t="shared" si="8"/>
        <v>4.4412601991317162</v>
      </c>
    </row>
    <row r="25" spans="1:15" x14ac:dyDescent="0.2">
      <c r="A25" s="4">
        <v>45847</v>
      </c>
      <c r="B25" s="1">
        <f t="shared" si="1"/>
        <v>10</v>
      </c>
      <c r="C25" s="10">
        <f>B$5%*YEARFRAC(A24,A25,B$11)*(B$9-SUM(B$15:B24))</f>
        <v>0.45</v>
      </c>
      <c r="D25" s="10">
        <f t="shared" si="9"/>
        <v>10.45</v>
      </c>
      <c r="E25" s="10">
        <f t="shared" si="10"/>
        <v>2.9260273972602739</v>
      </c>
      <c r="F25" s="6">
        <f t="shared" si="2"/>
        <v>0.94315886022397599</v>
      </c>
      <c r="G25" s="18">
        <f t="shared" si="0"/>
        <v>9.624849735730949E-2</v>
      </c>
      <c r="H25" s="18">
        <f t="shared" si="3"/>
        <v>0.90375150264269055</v>
      </c>
      <c r="I25" s="6">
        <f t="shared" si="4"/>
        <v>4.6866100070654171E-2</v>
      </c>
      <c r="J25">
        <f>B$9-SUM(B$16:B24)+C25</f>
        <v>90.45</v>
      </c>
      <c r="K25" s="3">
        <f t="shared" si="5"/>
        <v>0.2</v>
      </c>
      <c r="L25" s="3"/>
      <c r="M25" s="4">
        <f t="shared" si="6"/>
        <v>45847</v>
      </c>
      <c r="N25">
        <f t="shared" si="7"/>
        <v>10.45</v>
      </c>
      <c r="O25">
        <f t="shared" si="8"/>
        <v>3.7083434833042497</v>
      </c>
    </row>
    <row r="26" spans="1:15" x14ac:dyDescent="0.2">
      <c r="A26" s="4">
        <v>46031</v>
      </c>
      <c r="B26" s="1">
        <f t="shared" si="1"/>
        <v>10</v>
      </c>
      <c r="C26" s="10">
        <f>B$5%*YEARFRAC(A25,A26,B$11)*(B$9-SUM(B$15:B25))</f>
        <v>0.4</v>
      </c>
      <c r="D26" s="10">
        <f t="shared" si="9"/>
        <v>10.4</v>
      </c>
      <c r="E26" s="10">
        <f t="shared" si="10"/>
        <v>3.43013698630137</v>
      </c>
      <c r="F26" s="6">
        <f t="shared" si="2"/>
        <v>0.93369752734740252</v>
      </c>
      <c r="G26" s="18">
        <f t="shared" si="0"/>
        <v>6.4305533812360066E-2</v>
      </c>
      <c r="H26" s="18">
        <f t="shared" si="3"/>
        <v>0.93569446618763996</v>
      </c>
      <c r="I26" s="6">
        <f t="shared" si="4"/>
        <v>3.194296354494941E-2</v>
      </c>
      <c r="J26">
        <f>B$9-SUM(B$16:B25)+C26</f>
        <v>80.400000000000006</v>
      </c>
      <c r="K26" s="3">
        <f t="shared" si="5"/>
        <v>0.2</v>
      </c>
      <c r="L26" s="3"/>
      <c r="M26" s="4">
        <f t="shared" si="6"/>
        <v>46031</v>
      </c>
      <c r="N26">
        <f t="shared" si="7"/>
        <v>10.4</v>
      </c>
      <c r="O26">
        <f t="shared" si="8"/>
        <v>3.0873074489933794</v>
      </c>
    </row>
    <row r="27" spans="1:15" x14ac:dyDescent="0.2">
      <c r="A27" s="4">
        <v>46212</v>
      </c>
      <c r="B27" s="1">
        <f t="shared" si="1"/>
        <v>10</v>
      </c>
      <c r="C27" s="10">
        <f>B$5%*YEARFRAC(A26,A27,B$11)*(B$9-SUM(B$15:B26))</f>
        <v>0.35000000000000003</v>
      </c>
      <c r="D27" s="10">
        <f t="shared" si="9"/>
        <v>10.35</v>
      </c>
      <c r="E27" s="10">
        <f t="shared" si="10"/>
        <v>3.9260273972602739</v>
      </c>
      <c r="F27" s="6">
        <f t="shared" si="2"/>
        <v>0.92448306350905274</v>
      </c>
      <c r="G27" s="18">
        <f t="shared" si="0"/>
        <v>4.3247237615398997E-2</v>
      </c>
      <c r="H27" s="18">
        <f t="shared" si="3"/>
        <v>0.95675276238460105</v>
      </c>
      <c r="I27" s="6">
        <f t="shared" si="4"/>
        <v>2.105829619696109E-2</v>
      </c>
      <c r="J27">
        <f>B$9-SUM(B$16:B26)+C27</f>
        <v>70.349999999999994</v>
      </c>
      <c r="K27" s="3">
        <f t="shared" si="5"/>
        <v>0.2</v>
      </c>
      <c r="L27" s="3"/>
      <c r="M27" s="4">
        <f t="shared" si="6"/>
        <v>46212</v>
      </c>
      <c r="N27">
        <f t="shared" si="7"/>
        <v>10.35</v>
      </c>
      <c r="O27">
        <f t="shared" si="8"/>
        <v>2.5777075031957293</v>
      </c>
    </row>
    <row r="28" spans="1:15" x14ac:dyDescent="0.2">
      <c r="A28" s="4">
        <v>46396</v>
      </c>
      <c r="B28" s="1">
        <f t="shared" si="1"/>
        <v>10</v>
      </c>
      <c r="C28" s="10">
        <f>B$5%*YEARFRAC(A27,A28,B$11)*(B$9-SUM(B$15:B27))</f>
        <v>0.3</v>
      </c>
      <c r="D28" s="10">
        <f t="shared" si="9"/>
        <v>10.3</v>
      </c>
      <c r="E28" s="10">
        <f t="shared" si="10"/>
        <v>4.4301369863013695</v>
      </c>
      <c r="F28" s="6">
        <f t="shared" si="2"/>
        <v>0.91520907757572179</v>
      </c>
      <c r="G28" s="18">
        <f t="shared" si="0"/>
        <v>2.8894338894912733E-2</v>
      </c>
      <c r="H28" s="18">
        <f t="shared" si="3"/>
        <v>0.97110566110508723</v>
      </c>
      <c r="I28" s="6">
        <f t="shared" si="4"/>
        <v>1.4352898720486174E-2</v>
      </c>
      <c r="J28">
        <f>B$9-SUM(B$16:B27)+C28</f>
        <v>60.3</v>
      </c>
      <c r="K28" s="3">
        <f t="shared" si="5"/>
        <v>0.2</v>
      </c>
      <c r="L28" s="3"/>
      <c r="M28" s="4">
        <f t="shared" si="6"/>
        <v>46396</v>
      </c>
      <c r="N28">
        <f t="shared" si="7"/>
        <v>10.3</v>
      </c>
      <c r="O28">
        <f t="shared" si="8"/>
        <v>2.145919315590552</v>
      </c>
    </row>
    <row r="29" spans="1:15" x14ac:dyDescent="0.2">
      <c r="A29" s="4">
        <v>46577</v>
      </c>
      <c r="B29" s="1">
        <f t="shared" si="1"/>
        <v>10</v>
      </c>
      <c r="C29" s="10">
        <f>B$5%*YEARFRAC(A28,A29,B$11)*(B$9-SUM(B$15:B28))</f>
        <v>0.25</v>
      </c>
      <c r="D29" s="10">
        <f t="shared" si="9"/>
        <v>10.25</v>
      </c>
      <c r="E29" s="10">
        <f t="shared" si="10"/>
        <v>4.9260273972602739</v>
      </c>
      <c r="F29" s="6">
        <f t="shared" si="2"/>
        <v>0.90617707234613831</v>
      </c>
      <c r="G29" s="18">
        <f t="shared" si="0"/>
        <v>1.9432236478658577E-2</v>
      </c>
      <c r="H29" s="18">
        <f t="shared" si="3"/>
        <v>0.98056776352134145</v>
      </c>
      <c r="I29" s="6">
        <f t="shared" si="4"/>
        <v>9.4621024162542255E-3</v>
      </c>
      <c r="J29">
        <f>B$9-SUM(B$16:B28)+C29</f>
        <v>50.25</v>
      </c>
      <c r="K29" s="3">
        <f t="shared" si="5"/>
        <v>0.2</v>
      </c>
      <c r="L29" s="3"/>
      <c r="M29" s="4">
        <f t="shared" si="6"/>
        <v>46577</v>
      </c>
      <c r="N29">
        <f t="shared" si="7"/>
        <v>10.25</v>
      </c>
      <c r="O29">
        <f t="shared" si="8"/>
        <v>1.7916235978859913</v>
      </c>
    </row>
    <row r="30" spans="1:15" x14ac:dyDescent="0.2">
      <c r="A30" s="4">
        <v>46761</v>
      </c>
      <c r="B30" s="1">
        <f t="shared" si="1"/>
        <v>10</v>
      </c>
      <c r="C30" s="10">
        <f>B$5%*YEARFRAC(A29,A30,B$11)*(B$9-SUM(B$15:B29))</f>
        <v>0.2</v>
      </c>
      <c r="D30" s="10">
        <f t="shared" si="9"/>
        <v>10.199999999999999</v>
      </c>
      <c r="E30" s="10">
        <f t="shared" si="10"/>
        <v>5.4301369863013695</v>
      </c>
      <c r="F30" s="6">
        <f t="shared" si="2"/>
        <v>0.89708672363802178</v>
      </c>
      <c r="G30" s="18">
        <f t="shared" si="0"/>
        <v>1.2983063364503085E-2</v>
      </c>
      <c r="H30" s="18">
        <f t="shared" si="3"/>
        <v>0.98701693663549694</v>
      </c>
      <c r="I30" s="6">
        <f t="shared" si="4"/>
        <v>6.4491731141554931E-3</v>
      </c>
      <c r="J30">
        <f>B$9-SUM(B$16:B29)+C30</f>
        <v>40.200000000000003</v>
      </c>
      <c r="K30" s="3">
        <f t="shared" si="5"/>
        <v>0.2</v>
      </c>
      <c r="L30" s="3"/>
      <c r="M30" s="4">
        <f t="shared" si="6"/>
        <v>46761</v>
      </c>
      <c r="N30">
        <f t="shared" si="7"/>
        <v>10.199999999999999</v>
      </c>
      <c r="O30">
        <f t="shared" si="8"/>
        <v>1.4914405910447939</v>
      </c>
    </row>
    <row r="31" spans="1:15" x14ac:dyDescent="0.2">
      <c r="A31" s="4">
        <v>46943</v>
      </c>
      <c r="B31" s="1">
        <f t="shared" si="1"/>
        <v>10</v>
      </c>
      <c r="C31" s="10">
        <f>B$5%*YEARFRAC(A30,A31,B$11)*(B$9-SUM(B$15:B30))</f>
        <v>0.15</v>
      </c>
      <c r="D31" s="10">
        <f t="shared" si="9"/>
        <v>10.15</v>
      </c>
      <c r="E31" s="10">
        <f t="shared" si="10"/>
        <v>5.9287671232876713</v>
      </c>
      <c r="F31" s="6">
        <f t="shared" si="2"/>
        <v>0.88818489509581455</v>
      </c>
      <c r="G31" s="18">
        <f t="shared" si="0"/>
        <v>8.7123501834500336E-3</v>
      </c>
      <c r="H31" s="18">
        <f t="shared" si="3"/>
        <v>0.99128764981654993</v>
      </c>
      <c r="I31" s="6">
        <f t="shared" si="4"/>
        <v>4.2707131810529875E-3</v>
      </c>
      <c r="J31">
        <f>B$9-SUM(B$16:B30)+C31</f>
        <v>30.15</v>
      </c>
      <c r="K31" s="3">
        <f t="shared" si="5"/>
        <v>0.2</v>
      </c>
      <c r="L31" s="3"/>
      <c r="M31" s="4">
        <f t="shared" si="6"/>
        <v>46943</v>
      </c>
      <c r="N31">
        <f t="shared" si="7"/>
        <v>10.15</v>
      </c>
      <c r="O31">
        <f t="shared" si="8"/>
        <v>1.2439338466892285</v>
      </c>
    </row>
    <row r="32" spans="1:15" x14ac:dyDescent="0.2">
      <c r="A32" s="4">
        <v>47127</v>
      </c>
      <c r="B32" s="1">
        <f t="shared" si="1"/>
        <v>10</v>
      </c>
      <c r="C32" s="10">
        <f>B$5%*YEARFRAC(A31,A32,B$11)*(B$9-SUM(B$15:B31))</f>
        <v>0.1</v>
      </c>
      <c r="D32" s="10">
        <f t="shared" si="9"/>
        <v>10.1</v>
      </c>
      <c r="E32" s="10">
        <f t="shared" si="10"/>
        <v>6.4328767123287669</v>
      </c>
      <c r="F32" s="6">
        <f t="shared" si="2"/>
        <v>0.87927503557707942</v>
      </c>
      <c r="G32" s="18">
        <f t="shared" si="0"/>
        <v>5.8208942964284088E-3</v>
      </c>
      <c r="H32" s="18">
        <f t="shared" si="3"/>
        <v>0.9941791057035716</v>
      </c>
      <c r="I32" s="6">
        <f t="shared" si="4"/>
        <v>2.8914558870216656E-3</v>
      </c>
      <c r="J32">
        <f>B$9-SUM(B$16:B31)+C32</f>
        <v>20.100000000000001</v>
      </c>
      <c r="K32" s="3">
        <f t="shared" si="5"/>
        <v>0.2</v>
      </c>
      <c r="L32" s="3"/>
      <c r="M32" s="4">
        <f t="shared" si="6"/>
        <v>47127</v>
      </c>
      <c r="N32">
        <f t="shared" si="7"/>
        <v>10.1</v>
      </c>
      <c r="O32">
        <f t="shared" si="8"/>
        <v>1.0354651690885888</v>
      </c>
    </row>
    <row r="33" spans="1:15" x14ac:dyDescent="0.2">
      <c r="A33" s="4">
        <v>47308</v>
      </c>
      <c r="B33" s="1">
        <f t="shared" si="1"/>
        <v>10</v>
      </c>
      <c r="C33" s="10">
        <f>B$5%*YEARFRAC(A32,A33,B$11)*(B$9-SUM(B$15:B32))</f>
        <v>0.05</v>
      </c>
      <c r="D33" s="10">
        <f t="shared" si="9"/>
        <v>10.050000000000001</v>
      </c>
      <c r="E33" s="10">
        <f t="shared" si="10"/>
        <v>6.9287671232876713</v>
      </c>
      <c r="F33" s="6">
        <f t="shared" si="2"/>
        <v>0.87059765582401705</v>
      </c>
      <c r="G33" s="18">
        <f t="shared" si="0"/>
        <v>3.9147112829560904E-3</v>
      </c>
      <c r="H33" s="18">
        <f t="shared" si="3"/>
        <v>0.99608528871704394</v>
      </c>
      <c r="I33" s="6">
        <f t="shared" si="4"/>
        <v>1.9061830134723401E-3</v>
      </c>
      <c r="J33">
        <f>B$9-SUM(B$16:B32)+C33</f>
        <v>10.050000000000001</v>
      </c>
      <c r="K33" s="3">
        <f t="shared" si="5"/>
        <v>0.2</v>
      </c>
      <c r="L33" s="3"/>
      <c r="M33" s="4">
        <f t="shared" si="6"/>
        <v>47308</v>
      </c>
      <c r="N33">
        <f t="shared" si="7"/>
        <v>10.050000000000001</v>
      </c>
      <c r="O33">
        <f t="shared" si="8"/>
        <v>0.86442422073090419</v>
      </c>
    </row>
    <row r="34" spans="1:15" x14ac:dyDescent="0.2">
      <c r="A34" s="4"/>
      <c r="C34" s="10"/>
      <c r="D34" s="10"/>
      <c r="E34" s="27"/>
      <c r="F34" s="6"/>
      <c r="G34" s="18"/>
      <c r="H34" s="18"/>
      <c r="I34" s="7"/>
      <c r="K34" s="3"/>
      <c r="L34" s="3"/>
      <c r="M34" s="4"/>
    </row>
    <row r="35" spans="1:15" x14ac:dyDescent="0.2">
      <c r="A35" s="4"/>
      <c r="E35" s="28"/>
      <c r="F35" s="6"/>
      <c r="G35" s="6"/>
      <c r="H35" s="7"/>
      <c r="I35" s="7"/>
      <c r="K35" s="3"/>
      <c r="L35" s="3"/>
      <c r="M35" s="4"/>
      <c r="O35" s="8">
        <f>SUM(O17:O33)-H6</f>
        <v>1.2190111416252591E-3</v>
      </c>
    </row>
    <row r="36" spans="1:15" x14ac:dyDescent="0.2">
      <c r="E36" s="28"/>
    </row>
    <row r="37" spans="1:15" x14ac:dyDescent="0.2">
      <c r="E37" s="28"/>
    </row>
    <row r="38" spans="1:15" x14ac:dyDescent="0.2">
      <c r="E38" s="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Bono 2029</vt:lpstr>
      <vt:lpstr>Bono 2029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2022-08-01T00:13:19Z</dcterms:created>
  <dcterms:modified xsi:type="dcterms:W3CDTF">2022-08-31T13:01:34Z</dcterms:modified>
</cp:coreProperties>
</file>